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C:\Martha Elena\AÑOS 2022  31-I-2022\RENDICIÓIN DE LA CUENTA CGQ\RENDICIÓN DE LA CUENTA VIGENCIA 2021\ANEXOI No. 10 INFORME DE GESTIÓN VIGENCIA 2021\ANEXOS INFORME DE GESTIÓN 2021\ANEXO No.1\"/>
    </mc:Choice>
  </mc:AlternateContent>
  <xr:revisionPtr revIDLastSave="0" documentId="13_ncr:1_{8D25A606-01A1-4941-87A3-3B0E311DD870}" xr6:coauthVersionLast="36" xr6:coauthVersionMax="36" xr10:uidLastSave="{00000000-0000-0000-0000-000000000000}"/>
  <bookViews>
    <workbookView xWindow="390" yWindow="390" windowWidth="13800" windowHeight="10755" activeTab="2" xr2:uid="{00000000-000D-0000-FFFF-FFFF00000000}"/>
  </bookViews>
  <sheets>
    <sheet name="F-PL-07 ADMINISTRATIVA" sheetId="1" r:id="rId1"/>
    <sheet name="F-PLA-07 PLANEACION" sheetId="9" r:id="rId2"/>
    <sheet name="F-PLA-07 HACIENDA" sheetId="2" r:id="rId3"/>
    <sheet name="F-PLA-07 AGUAS INFRAESTRUCTURA" sheetId="5" r:id="rId4"/>
    <sheet name="F-PLA-07 INTERIOR" sheetId="14" r:id="rId5"/>
    <sheet name="F-PLA-07 CULTURA" sheetId="4" r:id="rId6"/>
    <sheet name="F-PLA-07 TURISMO" sheetId="12" r:id="rId7"/>
    <sheet name="F-PLA-07 AGRICULTURA" sheetId="11" r:id="rId8"/>
    <sheet name="F-PLA-07 PRIVADA" sheetId="3" r:id="rId9"/>
    <sheet name="F-PLA-07 EDUCACION" sheetId="17" r:id="rId10"/>
    <sheet name="F-PLA-07 FAMILIA" sheetId="8" r:id="rId11"/>
    <sheet name="F-PLA 07 SALUD" sheetId="16" r:id="rId12"/>
    <sheet name="F-PLA-07 TIC" sheetId="15" r:id="rId13"/>
    <sheet name="F-PLA-07 INDEPORTES" sheetId="20" r:id="rId14"/>
    <sheet name="F-PL-07 PROYECTA" sheetId="19" r:id="rId15"/>
    <sheet name="F-PLA-07 IDTQ" sheetId="10" r:id="rId16"/>
  </sheets>
  <externalReferences>
    <externalReference r:id="rId17"/>
    <externalReference r:id="rId18"/>
    <externalReference r:id="rId19"/>
    <externalReference r:id="rId20"/>
    <externalReference r:id="rId21"/>
    <externalReference r:id="rId22"/>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5" hidden="1">'F-PLA-07 CULTURA'!$AA$13:$BU$62</definedName>
    <definedName name="_xlnm._FilterDatabase" localSheetId="9" hidden="1">'F-PLA-07 EDUCACION'!$X$8:$AA$244</definedName>
    <definedName name="_xlnm._FilterDatabase" localSheetId="10" hidden="1">'F-PLA-07 FAMILIA'!$A$13:$CO$13</definedName>
    <definedName name="_xlnm._FilterDatabase" localSheetId="4" hidden="1">'F-PLA-07 INTERIOR'!$X$8:$AA$231</definedName>
    <definedName name="_xlnm._FilterDatabase" localSheetId="1" hidden="1">'F-PLA-07 PLANEACION'!$A$9:$CO$96</definedName>
    <definedName name="_xlnm._FilterDatabase" localSheetId="6" hidden="1">'F-PLA-07 TURISMO'!$X$8:$AA$48</definedName>
    <definedName name="aa" localSheetId="0">#REF!</definedName>
    <definedName name="aa" localSheetId="11">#REF!</definedName>
    <definedName name="aa" localSheetId="3">#REF!</definedName>
    <definedName name="aa" localSheetId="9">#REF!</definedName>
    <definedName name="aa" localSheetId="10">#REF!</definedName>
    <definedName name="aa" localSheetId="2">#REF!</definedName>
    <definedName name="aa" localSheetId="15">#REF!</definedName>
    <definedName name="aa" localSheetId="13">#REF!</definedName>
    <definedName name="aa" localSheetId="4">#REF!</definedName>
    <definedName name="aa" localSheetId="1">#REF!</definedName>
    <definedName name="aa" localSheetId="12">#REF!</definedName>
    <definedName name="aa" localSheetId="6">#REF!</definedName>
    <definedName name="aa">#REF!</definedName>
    <definedName name="_xlnm.Print_Area" localSheetId="6">'F-PLA-07 TURISMO'!$V$13:$X$47</definedName>
    <definedName name="CODIGO_DIVIPOLA" localSheetId="0">#REF!</definedName>
    <definedName name="CODIGO_DIVIPOLA" localSheetId="14">#REF!</definedName>
    <definedName name="CODIGO_DIVIPOLA" localSheetId="11">#REF!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3">#REF!</definedName>
    <definedName name="CODIGO_DIVIPOLA" localSheetId="4">#REF!</definedName>
    <definedName name="CODIGO_DIVIPOLA" localSheetId="1">#REF!</definedName>
    <definedName name="CODIGO_DIVIPOLA" localSheetId="12">#REF!</definedName>
    <definedName name="CODIGO_DIVIPOLA" localSheetId="6">#REF!</definedName>
    <definedName name="CODIGO_DIVIPOLA">#REF!</definedName>
    <definedName name="DboREGISTRO_LEY_617" localSheetId="0">#REF!</definedName>
    <definedName name="DboREGISTRO_LEY_617" localSheetId="14">#REF!</definedName>
    <definedName name="DboREGISTRO_LEY_617" localSheetId="11">#REF!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3">#REF!</definedName>
    <definedName name="DboREGISTRO_LEY_617" localSheetId="4">#REF!</definedName>
    <definedName name="DboREGISTRO_LEY_617" localSheetId="1">#REF!</definedName>
    <definedName name="DboREGISTRO_LEY_617" localSheetId="12">#REF!</definedName>
    <definedName name="DboREGISTRO_LEY_617" localSheetId="6">#REF!</definedName>
    <definedName name="DboREGISTRO_LEY_617">#REF!</definedName>
    <definedName name="ññ" localSheetId="0">#REF!</definedName>
    <definedName name="ññ" localSheetId="14">#REF!</definedName>
    <definedName name="ññ" localSheetId="11">#REF!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5">#REF!</definedName>
    <definedName name="ññ" localSheetId="13">#REF!</definedName>
    <definedName name="ññ" localSheetId="4">#REF!</definedName>
    <definedName name="ññ" localSheetId="1">#REF!</definedName>
    <definedName name="ññ" localSheetId="12">#REF!</definedName>
    <definedName name="ññ" localSheetId="6">#REF!</definedName>
    <definedName name="ññ">#REF!</definedName>
    <definedName name="sdfas" localSheetId="11">#REF!</definedName>
    <definedName name="sdfas" localSheetId="15">#REF!</definedName>
    <definedName name="sdfa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8" i="20" l="1"/>
  <c r="X78" i="20"/>
  <c r="BO77" i="20"/>
  <c r="BL77" i="20"/>
  <c r="BK77" i="20"/>
  <c r="BM76" i="20"/>
  <c r="BL76" i="20"/>
  <c r="BK76" i="20"/>
  <c r="BH76" i="20"/>
  <c r="T76" i="20"/>
  <c r="S76" i="20" s="1"/>
  <c r="BO75" i="20"/>
  <c r="BO68" i="20"/>
  <c r="Z58" i="20"/>
  <c r="Z78" i="20" s="1"/>
  <c r="Y58" i="20"/>
  <c r="Y78" i="20" s="1"/>
  <c r="BL51" i="20"/>
  <c r="BL78" i="20" s="1"/>
  <c r="BK51" i="20"/>
  <c r="BK78" i="20" s="1"/>
  <c r="BI51" i="20"/>
  <c r="BH51" i="20"/>
  <c r="T51" i="20"/>
  <c r="S51" i="20" s="1"/>
  <c r="BO16" i="20"/>
  <c r="BN16" i="20"/>
  <c r="BO14" i="20"/>
  <c r="BN14" i="20"/>
  <c r="BO13" i="20"/>
  <c r="BN13" i="20"/>
  <c r="BL13" i="20"/>
  <c r="BK13" i="20"/>
  <c r="BI13" i="20"/>
  <c r="BH13" i="20"/>
  <c r="T13" i="20"/>
  <c r="S13" i="20" s="1"/>
  <c r="T78" i="20" l="1"/>
  <c r="BK79" i="20"/>
  <c r="BM13" i="20"/>
  <c r="BM78" i="20"/>
  <c r="BL79" i="20"/>
  <c r="S24" i="20"/>
  <c r="S32" i="20"/>
  <c r="BM51" i="20"/>
  <c r="S47" i="20"/>
  <c r="Z53" i="19"/>
  <c r="Y53" i="19"/>
  <c r="X53" i="19"/>
  <c r="S49" i="19"/>
  <c r="BL27" i="19"/>
  <c r="BK27" i="19"/>
  <c r="BI27" i="19"/>
  <c r="BG27" i="19"/>
  <c r="BE27" i="19"/>
  <c r="BC27" i="19"/>
  <c r="AW27" i="19"/>
  <c r="AU27" i="19"/>
  <c r="AS27" i="19"/>
  <c r="AQ27" i="19"/>
  <c r="AO27" i="19"/>
  <c r="AM27" i="19"/>
  <c r="AK27" i="19"/>
  <c r="AI27" i="19"/>
  <c r="AG27" i="19"/>
  <c r="AE27" i="19"/>
  <c r="T27" i="19"/>
  <c r="S45" i="19" s="1"/>
  <c r="S27" i="19"/>
  <c r="BL22" i="19"/>
  <c r="BK22" i="19"/>
  <c r="BI22" i="19"/>
  <c r="BG22" i="19"/>
  <c r="BE22" i="19"/>
  <c r="BC22" i="19"/>
  <c r="AW22" i="19"/>
  <c r="AU22" i="19"/>
  <c r="AS22" i="19"/>
  <c r="AQ22" i="19"/>
  <c r="AO22" i="19"/>
  <c r="AM22" i="19"/>
  <c r="AK22" i="19"/>
  <c r="AI22" i="19"/>
  <c r="AG22" i="19"/>
  <c r="AE22" i="19"/>
  <c r="T22" i="19"/>
  <c r="S22" i="19" s="1"/>
  <c r="BL17" i="19"/>
  <c r="BK17" i="19"/>
  <c r="BI17" i="19"/>
  <c r="BG17" i="19"/>
  <c r="BE17" i="19"/>
  <c r="BC17" i="19"/>
  <c r="AW17" i="19"/>
  <c r="AU17" i="19"/>
  <c r="AS17" i="19"/>
  <c r="AQ17" i="19"/>
  <c r="AO17" i="19"/>
  <c r="AM17" i="19"/>
  <c r="AK17" i="19"/>
  <c r="AI17" i="19"/>
  <c r="AG17" i="19"/>
  <c r="AE17" i="19"/>
  <c r="T17" i="19"/>
  <c r="BM17" i="19" s="1"/>
  <c r="S17" i="19"/>
  <c r="BL13" i="19"/>
  <c r="BL53" i="19" s="1"/>
  <c r="BK13" i="19"/>
  <c r="BI13" i="19"/>
  <c r="BG13" i="19"/>
  <c r="BE13" i="19"/>
  <c r="BC13" i="19"/>
  <c r="AW13" i="19"/>
  <c r="AU13" i="19"/>
  <c r="AS13" i="19"/>
  <c r="AQ13" i="19"/>
  <c r="AO13" i="19"/>
  <c r="AM13" i="19"/>
  <c r="AK13" i="19"/>
  <c r="AI13" i="19"/>
  <c r="AG13" i="19"/>
  <c r="AE13" i="19"/>
  <c r="T13" i="19"/>
  <c r="S13" i="19" s="1"/>
  <c r="BM22" i="19" l="1"/>
  <c r="BK53" i="19"/>
  <c r="BM27" i="19"/>
  <c r="S34" i="19"/>
  <c r="BM13" i="19"/>
  <c r="S38" i="19"/>
  <c r="T53" i="19"/>
  <c r="S39" i="19"/>
  <c r="S28" i="19"/>
  <c r="O25" i="11"/>
  <c r="O22" i="11"/>
  <c r="O21" i="11"/>
  <c r="O18" i="11"/>
  <c r="O15" i="11"/>
  <c r="O58" i="15" l="1"/>
  <c r="O83" i="16" l="1"/>
  <c r="O13" i="16" l="1"/>
  <c r="O87" i="8" l="1"/>
  <c r="Z244" i="17" l="1"/>
  <c r="Y244" i="17"/>
  <c r="BL242" i="17"/>
  <c r="BM242" i="17" s="1"/>
  <c r="BK242" i="17"/>
  <c r="BI242" i="17"/>
  <c r="BH242" i="17"/>
  <c r="T242" i="17"/>
  <c r="S242" i="17" s="1"/>
  <c r="BL236" i="17"/>
  <c r="BK236" i="17"/>
  <c r="BI236" i="17"/>
  <c r="BH236" i="17"/>
  <c r="T236" i="17"/>
  <c r="S236" i="17"/>
  <c r="X119" i="17"/>
  <c r="X118" i="17"/>
  <c r="X117" i="17"/>
  <c r="X116" i="17"/>
  <c r="BL112" i="17"/>
  <c r="BM112" i="17" s="1"/>
  <c r="BK112" i="17"/>
  <c r="BI112" i="17"/>
  <c r="BH112" i="17"/>
  <c r="X111" i="17"/>
  <c r="X110" i="17"/>
  <c r="X109" i="17"/>
  <c r="X108" i="17"/>
  <c r="T100" i="17" s="1"/>
  <c r="BL100" i="17"/>
  <c r="BM100" i="17" s="1"/>
  <c r="BK100" i="17"/>
  <c r="BI100" i="17"/>
  <c r="BH100" i="17"/>
  <c r="X99" i="17"/>
  <c r="X98" i="17"/>
  <c r="X97" i="17"/>
  <c r="X96" i="17"/>
  <c r="BL92" i="17"/>
  <c r="BM92" i="17" s="1"/>
  <c r="BK92" i="17"/>
  <c r="BI92" i="17"/>
  <c r="BH92" i="17"/>
  <c r="BL80" i="17"/>
  <c r="BK80" i="17"/>
  <c r="BI80" i="17"/>
  <c r="BH80" i="17"/>
  <c r="T80" i="17"/>
  <c r="S88" i="17" s="1"/>
  <c r="X59" i="17"/>
  <c r="X57" i="17"/>
  <c r="X56" i="17"/>
  <c r="X55" i="17"/>
  <c r="BL46" i="17"/>
  <c r="BM46" i="17" s="1"/>
  <c r="BK46" i="17"/>
  <c r="BI46" i="17"/>
  <c r="BH46" i="17"/>
  <c r="BL44" i="17"/>
  <c r="BK44" i="17"/>
  <c r="BI44" i="17"/>
  <c r="BH44" i="17"/>
  <c r="X44" i="17"/>
  <c r="T44" i="17" s="1"/>
  <c r="X41" i="17"/>
  <c r="X40" i="17"/>
  <c r="X24" i="17"/>
  <c r="X23" i="17"/>
  <c r="X22" i="17"/>
  <c r="X21" i="17"/>
  <c r="BL13" i="17"/>
  <c r="BL244" i="17" s="1"/>
  <c r="BK13" i="17"/>
  <c r="BK244" i="17" s="1"/>
  <c r="BI13" i="17"/>
  <c r="BH13" i="17"/>
  <c r="T92" i="17" l="1"/>
  <c r="BM236" i="17"/>
  <c r="BM44" i="17"/>
  <c r="BM13" i="17"/>
  <c r="BM80" i="17"/>
  <c r="X244" i="17"/>
  <c r="S84" i="17"/>
  <c r="T112" i="17"/>
  <c r="S124" i="17" s="1"/>
  <c r="T46" i="17"/>
  <c r="S79" i="17" s="1"/>
  <c r="T13" i="17"/>
  <c r="T244" i="17" s="1"/>
  <c r="S42" i="17"/>
  <c r="S25" i="17"/>
  <c r="S32" i="17"/>
  <c r="S17" i="17"/>
  <c r="S41" i="17"/>
  <c r="S78" i="17"/>
  <c r="S68" i="17"/>
  <c r="S74" i="17"/>
  <c r="S64" i="17"/>
  <c r="S46" i="17"/>
  <c r="S45" i="17"/>
  <c r="S44" i="17"/>
  <c r="S92" i="17"/>
  <c r="S96" i="17"/>
  <c r="S100" i="17"/>
  <c r="S104" i="17"/>
  <c r="S80" i="17"/>
  <c r="S304" i="16"/>
  <c r="S303" i="16"/>
  <c r="BL292" i="16"/>
  <c r="BM292" i="16" s="1"/>
  <c r="BK292" i="16"/>
  <c r="T292" i="16"/>
  <c r="S301" i="16" s="1"/>
  <c r="BL272" i="16"/>
  <c r="BK272" i="16"/>
  <c r="T272" i="16"/>
  <c r="S277" i="16" s="1"/>
  <c r="S272" i="16"/>
  <c r="BL258" i="16"/>
  <c r="BK258" i="16"/>
  <c r="T258" i="16"/>
  <c r="S258" i="16" s="1"/>
  <c r="X255" i="16"/>
  <c r="Y254" i="16"/>
  <c r="BK246" i="16" s="1"/>
  <c r="X253" i="16"/>
  <c r="BL246" i="16"/>
  <c r="X246" i="16"/>
  <c r="Z242" i="16"/>
  <c r="BL239" i="16" s="1"/>
  <c r="Y242" i="16"/>
  <c r="BK239" i="16" s="1"/>
  <c r="T239" i="16"/>
  <c r="S239" i="16" s="1"/>
  <c r="BL228" i="16"/>
  <c r="BK228" i="16"/>
  <c r="T228" i="16"/>
  <c r="S228" i="16"/>
  <c r="X226" i="16"/>
  <c r="X225" i="16"/>
  <c r="T222" i="16" s="1"/>
  <c r="S222" i="16" s="1"/>
  <c r="X223" i="16"/>
  <c r="BL222" i="16"/>
  <c r="BM222" i="16" s="1"/>
  <c r="BK222" i="16"/>
  <c r="X222" i="16"/>
  <c r="BL220" i="16"/>
  <c r="BM220" i="16" s="1"/>
  <c r="BK220" i="16"/>
  <c r="T220" i="16"/>
  <c r="S220" i="16" s="1"/>
  <c r="Z217" i="16"/>
  <c r="Y217" i="16"/>
  <c r="BK216" i="16" s="1"/>
  <c r="BL216" i="16"/>
  <c r="BM216" i="16" s="1"/>
  <c r="T216" i="16"/>
  <c r="S216" i="16"/>
  <c r="X204" i="16"/>
  <c r="T201" i="16" s="1"/>
  <c r="BL201" i="16"/>
  <c r="BM201" i="16" s="1"/>
  <c r="BK201" i="16"/>
  <c r="Z199" i="16"/>
  <c r="BL188" i="16" s="1"/>
  <c r="Y199" i="16"/>
  <c r="BK188" i="16" s="1"/>
  <c r="X199" i="16"/>
  <c r="T188" i="16" s="1"/>
  <c r="X195" i="16"/>
  <c r="X187" i="16"/>
  <c r="Z185" i="16"/>
  <c r="Y185" i="16"/>
  <c r="Z184" i="16"/>
  <c r="BL170" i="16" s="1"/>
  <c r="BM170" i="16" s="1"/>
  <c r="Y184" i="16"/>
  <c r="X184" i="16"/>
  <c r="X183" i="16"/>
  <c r="X306" i="16" s="1"/>
  <c r="BK170" i="16"/>
  <c r="BM47" i="16"/>
  <c r="BL47" i="16"/>
  <c r="BK47" i="16"/>
  <c r="T47" i="16"/>
  <c r="S51" i="16" s="1"/>
  <c r="Z46" i="16"/>
  <c r="Y46" i="16"/>
  <c r="Z45" i="16"/>
  <c r="Y45" i="16"/>
  <c r="Z30" i="16"/>
  <c r="Y30" i="16"/>
  <c r="Z28" i="16"/>
  <c r="BL13" i="16" s="1"/>
  <c r="Y28" i="16"/>
  <c r="Y306" i="16" s="1"/>
  <c r="T13" i="16"/>
  <c r="S16" i="16" s="1"/>
  <c r="S195" i="16" l="1"/>
  <c r="S188" i="16"/>
  <c r="S47" i="16"/>
  <c r="S13" i="16"/>
  <c r="S26" i="16"/>
  <c r="S302" i="16"/>
  <c r="BM228" i="16"/>
  <c r="BM258" i="16"/>
  <c r="S116" i="17"/>
  <c r="S55" i="17"/>
  <c r="S28" i="17"/>
  <c r="BM239" i="16"/>
  <c r="S112" i="17"/>
  <c r="S70" i="17"/>
  <c r="S13" i="17"/>
  <c r="T246" i="16"/>
  <c r="S246" i="16" s="1"/>
  <c r="S120" i="17"/>
  <c r="S51" i="17"/>
  <c r="S21" i="17"/>
  <c r="S275" i="16"/>
  <c r="S69" i="17"/>
  <c r="S38" i="17"/>
  <c r="BM246" i="16"/>
  <c r="S292" i="16"/>
  <c r="S40" i="17"/>
  <c r="BL306" i="16"/>
  <c r="S202" i="16"/>
  <c r="S201" i="16"/>
  <c r="BM188" i="16"/>
  <c r="S43" i="16"/>
  <c r="BK13" i="16"/>
  <c r="BK306" i="16" s="1"/>
  <c r="S19" i="16"/>
  <c r="S44" i="16"/>
  <c r="Z306" i="16"/>
  <c r="S22" i="16"/>
  <c r="S45" i="16"/>
  <c r="T170" i="16"/>
  <c r="T306" i="16" s="1"/>
  <c r="BL58" i="15"/>
  <c r="BK58" i="15"/>
  <c r="BM58" i="15" s="1"/>
  <c r="BI58" i="15"/>
  <c r="BH58" i="15"/>
  <c r="X58" i="15"/>
  <c r="T58" i="15" s="1"/>
  <c r="S58" i="15" s="1"/>
  <c r="Z56" i="15"/>
  <c r="Y56" i="15"/>
  <c r="Z55" i="15"/>
  <c r="Y55" i="15"/>
  <c r="BI54" i="15"/>
  <c r="BH54" i="15"/>
  <c r="Z54" i="15"/>
  <c r="Y54" i="15"/>
  <c r="T54" i="15"/>
  <c r="S54" i="15" s="1"/>
  <c r="Z50" i="15"/>
  <c r="Y50" i="15"/>
  <c r="Z49" i="15"/>
  <c r="Y49" i="15"/>
  <c r="Z48" i="15"/>
  <c r="BL44" i="15" s="1"/>
  <c r="Y48" i="15"/>
  <c r="Z47" i="15"/>
  <c r="Y47" i="15"/>
  <c r="Z46" i="15"/>
  <c r="Y46" i="15"/>
  <c r="BK44" i="15" s="1"/>
  <c r="X45" i="15"/>
  <c r="BI44" i="15"/>
  <c r="BH44" i="15"/>
  <c r="X44" i="15"/>
  <c r="T44" i="15"/>
  <c r="S47" i="15" s="1"/>
  <c r="Z40" i="15"/>
  <c r="Y40" i="15"/>
  <c r="Z39" i="15"/>
  <c r="Y39" i="15"/>
  <c r="Z38" i="15"/>
  <c r="Y38" i="15"/>
  <c r="Z37" i="15"/>
  <c r="Y37" i="15"/>
  <c r="BK35" i="15" s="1"/>
  <c r="Z36" i="15"/>
  <c r="Y36" i="15"/>
  <c r="X36" i="15"/>
  <c r="T35" i="15" s="1"/>
  <c r="BI35" i="15"/>
  <c r="BH35" i="15"/>
  <c r="Z30" i="15"/>
  <c r="Y30" i="15"/>
  <c r="X29" i="15"/>
  <c r="Z28" i="15"/>
  <c r="Y28" i="15"/>
  <c r="Z27" i="15"/>
  <c r="Y27" i="15"/>
  <c r="X27" i="15"/>
  <c r="Z26" i="15"/>
  <c r="Y26" i="15"/>
  <c r="BI25" i="15"/>
  <c r="BH25" i="15"/>
  <c r="Z25" i="15"/>
  <c r="Y25" i="15"/>
  <c r="X24" i="15"/>
  <c r="X23" i="15"/>
  <c r="X22" i="15"/>
  <c r="X21" i="15"/>
  <c r="X18" i="15"/>
  <c r="Z17" i="15"/>
  <c r="Y17" i="15"/>
  <c r="X17" i="15"/>
  <c r="Z16" i="15"/>
  <c r="BL13" i="15" s="1"/>
  <c r="Y16" i="15"/>
  <c r="X16" i="15"/>
  <c r="BI13" i="15"/>
  <c r="BH13" i="15"/>
  <c r="BK13" i="15" l="1"/>
  <c r="BK54" i="15"/>
  <c r="BL54" i="15"/>
  <c r="BL35" i="15"/>
  <c r="BM35" i="15" s="1"/>
  <c r="T25" i="15"/>
  <c r="S26" i="15" s="1"/>
  <c r="BM13" i="16"/>
  <c r="BM44" i="15"/>
  <c r="BM306" i="16"/>
  <c r="Y60" i="15"/>
  <c r="X60" i="15"/>
  <c r="BL25" i="15"/>
  <c r="BM25" i="15" s="1"/>
  <c r="S177" i="16"/>
  <c r="S170" i="16"/>
  <c r="S183" i="16"/>
  <c r="S25" i="15"/>
  <c r="S39" i="15"/>
  <c r="S35" i="15"/>
  <c r="S40" i="15"/>
  <c r="S38" i="15"/>
  <c r="S36" i="15"/>
  <c r="BM13" i="15"/>
  <c r="BM54" i="15"/>
  <c r="BK25" i="15"/>
  <c r="BK60" i="15" s="1"/>
  <c r="S50" i="15"/>
  <c r="Z60" i="15"/>
  <c r="S48" i="15"/>
  <c r="S46" i="15"/>
  <c r="S49" i="15"/>
  <c r="T13" i="15"/>
  <c r="S44" i="15"/>
  <c r="Z231" i="14"/>
  <c r="Y231" i="14"/>
  <c r="BL197" i="14"/>
  <c r="BM197" i="14" s="1"/>
  <c r="BK197" i="14"/>
  <c r="BI197" i="14"/>
  <c r="BH197" i="14"/>
  <c r="T197" i="14"/>
  <c r="S213" i="14" s="1"/>
  <c r="S197" i="14"/>
  <c r="BL182" i="14"/>
  <c r="BM182" i="14" s="1"/>
  <c r="BK182" i="14"/>
  <c r="BI182" i="14"/>
  <c r="BH182" i="14"/>
  <c r="T182" i="14"/>
  <c r="S182" i="14" s="1"/>
  <c r="BL140" i="14"/>
  <c r="BM140" i="14" s="1"/>
  <c r="BK140" i="14"/>
  <c r="BI140" i="14"/>
  <c r="BH140" i="14"/>
  <c r="T140" i="14"/>
  <c r="S147" i="14" s="1"/>
  <c r="S140" i="14"/>
  <c r="BL134" i="14"/>
  <c r="BM134" i="14" s="1"/>
  <c r="BK134" i="14"/>
  <c r="BI134" i="14"/>
  <c r="BH134" i="14"/>
  <c r="T134" i="14"/>
  <c r="S134" i="14" s="1"/>
  <c r="BM127" i="14"/>
  <c r="BL127" i="14"/>
  <c r="BK127" i="14"/>
  <c r="BI127" i="14"/>
  <c r="BH127" i="14"/>
  <c r="T127" i="14"/>
  <c r="S127" i="14" s="1"/>
  <c r="BL106" i="14"/>
  <c r="BK106" i="14"/>
  <c r="BI106" i="14"/>
  <c r="BH106" i="14"/>
  <c r="T106" i="14"/>
  <c r="S106" i="14" s="1"/>
  <c r="BL93" i="14"/>
  <c r="BM93" i="14" s="1"/>
  <c r="BK93" i="14"/>
  <c r="BI93" i="14"/>
  <c r="BH93" i="14"/>
  <c r="T93" i="14"/>
  <c r="S93" i="14"/>
  <c r="BL42" i="14"/>
  <c r="BK42" i="14"/>
  <c r="BI42" i="14"/>
  <c r="BH42" i="14"/>
  <c r="T42" i="14"/>
  <c r="S84" i="14" s="1"/>
  <c r="BL34" i="14"/>
  <c r="BM34" i="14" s="1"/>
  <c r="BK34" i="14"/>
  <c r="BI34" i="14"/>
  <c r="BH34" i="14"/>
  <c r="T34" i="14"/>
  <c r="S34" i="14"/>
  <c r="X31" i="14"/>
  <c r="X30" i="14"/>
  <c r="X29" i="14"/>
  <c r="X28" i="14"/>
  <c r="BL27" i="14"/>
  <c r="BM27" i="14" s="1"/>
  <c r="BK27" i="14"/>
  <c r="BI27" i="14"/>
  <c r="BH27" i="14"/>
  <c r="X27" i="14"/>
  <c r="X231" i="14" s="1"/>
  <c r="BL23" i="14"/>
  <c r="BM23" i="14" s="1"/>
  <c r="BK23" i="14"/>
  <c r="BI23" i="14"/>
  <c r="BH23" i="14"/>
  <c r="T23" i="14"/>
  <c r="S23" i="14" s="1"/>
  <c r="BL13" i="14"/>
  <c r="BK13" i="14"/>
  <c r="BI13" i="14"/>
  <c r="BH13" i="14"/>
  <c r="T13" i="14"/>
  <c r="S13" i="14"/>
  <c r="S42" i="14" l="1"/>
  <c r="BL60" i="15"/>
  <c r="S31" i="15"/>
  <c r="BL231" i="14"/>
  <c r="S172" i="14"/>
  <c r="S30" i="15"/>
  <c r="BK231" i="14"/>
  <c r="S218" i="14"/>
  <c r="BL59" i="15"/>
  <c r="S27" i="15"/>
  <c r="S63" i="14"/>
  <c r="BM106" i="14"/>
  <c r="BK59" i="15"/>
  <c r="BM42" i="14"/>
  <c r="S69" i="14"/>
  <c r="T60" i="15"/>
  <c r="S13" i="15"/>
  <c r="S24" i="15"/>
  <c r="S21" i="15"/>
  <c r="S227" i="14"/>
  <c r="BM13" i="14"/>
  <c r="S78" i="14"/>
  <c r="T27" i="14"/>
  <c r="S27" i="14" s="1"/>
  <c r="T231" i="14" l="1"/>
  <c r="Z48" i="12" l="1"/>
  <c r="X46" i="12"/>
  <c r="X45" i="12"/>
  <c r="X42" i="12"/>
  <c r="X40" i="12"/>
  <c r="T38" i="12" s="1"/>
  <c r="X39" i="12"/>
  <c r="BL38" i="12"/>
  <c r="BK38" i="12"/>
  <c r="BI38" i="12"/>
  <c r="BH38" i="12"/>
  <c r="AL38" i="12"/>
  <c r="X38" i="12"/>
  <c r="X32" i="12"/>
  <c r="X31" i="12"/>
  <c r="X28" i="12"/>
  <c r="BL27" i="12"/>
  <c r="BK27" i="12"/>
  <c r="BJ27" i="12"/>
  <c r="BI27" i="12"/>
  <c r="BH27" i="12"/>
  <c r="AL27" i="12"/>
  <c r="X27" i="12"/>
  <c r="X24" i="12"/>
  <c r="T21" i="12" s="1"/>
  <c r="S21" i="12" s="1"/>
  <c r="BM21" i="12"/>
  <c r="BL21" i="12"/>
  <c r="BK21" i="12"/>
  <c r="BJ21" i="12"/>
  <c r="BI21" i="12"/>
  <c r="BH21" i="12"/>
  <c r="AL21" i="12"/>
  <c r="X21" i="12"/>
  <c r="X20" i="12"/>
  <c r="X19" i="12"/>
  <c r="T17" i="12" s="1"/>
  <c r="S17" i="12" s="1"/>
  <c r="BL17" i="12"/>
  <c r="BM17" i="12" s="1"/>
  <c r="BK17" i="12"/>
  <c r="BI17" i="12"/>
  <c r="BH17" i="12"/>
  <c r="AL17" i="12"/>
  <c r="X17" i="12"/>
  <c r="X14" i="12"/>
  <c r="BL13" i="12"/>
  <c r="BJ13" i="12"/>
  <c r="BI13" i="12"/>
  <c r="BH13" i="12"/>
  <c r="AL13" i="12"/>
  <c r="Y13" i="12"/>
  <c r="BK13" i="12" s="1"/>
  <c r="T13" i="12"/>
  <c r="S13" i="12" s="1"/>
  <c r="BM38" i="12" l="1"/>
  <c r="X48" i="12"/>
  <c r="BM27" i="12"/>
  <c r="BL48" i="12"/>
  <c r="T27" i="12"/>
  <c r="S27" i="12" s="1"/>
  <c r="Y48" i="12"/>
  <c r="BK48" i="12"/>
  <c r="BM13" i="12"/>
  <c r="S44" i="12"/>
  <c r="S39" i="12"/>
  <c r="S41" i="12"/>
  <c r="S38" i="12"/>
  <c r="S14" i="12"/>
  <c r="S20" i="12"/>
  <c r="S23" i="12"/>
  <c r="S24" i="12"/>
  <c r="T48" i="12"/>
  <c r="Z81" i="11" l="1"/>
  <c r="Y81" i="11"/>
  <c r="BL78" i="11"/>
  <c r="BK78" i="11"/>
  <c r="T78" i="11"/>
  <c r="S78" i="11" s="1"/>
  <c r="BL74" i="11"/>
  <c r="BM74" i="11" s="1"/>
  <c r="BK74" i="11"/>
  <c r="T74" i="11"/>
  <c r="S76" i="11" s="1"/>
  <c r="S74" i="11"/>
  <c r="BL72" i="11"/>
  <c r="BK72" i="11"/>
  <c r="T72" i="11"/>
  <c r="S72" i="11" s="1"/>
  <c r="BL68" i="11"/>
  <c r="BK68" i="11"/>
  <c r="BM68" i="11" s="1"/>
  <c r="X68" i="11"/>
  <c r="T68" i="11"/>
  <c r="S68" i="11" s="1"/>
  <c r="BL66" i="11"/>
  <c r="BM66" i="11" s="1"/>
  <c r="BK66" i="11"/>
  <c r="X66" i="11"/>
  <c r="T66" i="11"/>
  <c r="S66" i="11" s="1"/>
  <c r="X65" i="11"/>
  <c r="X60" i="11"/>
  <c r="BL57" i="11"/>
  <c r="BM57" i="11" s="1"/>
  <c r="BK57" i="11"/>
  <c r="X57" i="11"/>
  <c r="BL54" i="11"/>
  <c r="BK54" i="11"/>
  <c r="BM54" i="11" s="1"/>
  <c r="BH54" i="11"/>
  <c r="T54" i="11"/>
  <c r="S55" i="11" s="1"/>
  <c r="BL49" i="11"/>
  <c r="BK49" i="11"/>
  <c r="T49" i="11"/>
  <c r="S49" i="11" s="1"/>
  <c r="S46" i="11"/>
  <c r="BM43" i="11"/>
  <c r="BL43" i="11"/>
  <c r="BK43" i="11"/>
  <c r="T43" i="11"/>
  <c r="S44" i="11" s="1"/>
  <c r="BL40" i="11"/>
  <c r="BK40" i="11"/>
  <c r="BM40" i="11" s="1"/>
  <c r="T40" i="11"/>
  <c r="S41" i="11" s="1"/>
  <c r="BL38" i="11"/>
  <c r="BK38" i="11"/>
  <c r="T38" i="11"/>
  <c r="S38" i="11" s="1"/>
  <c r="BM36" i="11"/>
  <c r="BL36" i="11"/>
  <c r="BK36" i="11"/>
  <c r="T36" i="11"/>
  <c r="S36" i="11" s="1"/>
  <c r="BL33" i="11"/>
  <c r="BK33" i="11"/>
  <c r="BM33" i="11" s="1"/>
  <c r="T33" i="11"/>
  <c r="S34" i="11" s="1"/>
  <c r="BL30" i="11"/>
  <c r="BK30" i="11"/>
  <c r="T30" i="11"/>
  <c r="S30" i="11" s="1"/>
  <c r="BM28" i="11"/>
  <c r="BL28" i="11"/>
  <c r="BK28" i="11"/>
  <c r="T28" i="11"/>
  <c r="S28" i="11" s="1"/>
  <c r="BL26" i="11"/>
  <c r="BK26" i="11"/>
  <c r="BM26" i="11" s="1"/>
  <c r="T26" i="11"/>
  <c r="S27" i="11" s="1"/>
  <c r="BL23" i="11"/>
  <c r="BM23" i="11" s="1"/>
  <c r="BK23" i="11"/>
  <c r="T23" i="11"/>
  <c r="S23" i="11" s="1"/>
  <c r="S22" i="11"/>
  <c r="BL18" i="11"/>
  <c r="BK18" i="11"/>
  <c r="BM18" i="11" s="1"/>
  <c r="T18" i="11"/>
  <c r="S21" i="11" s="1"/>
  <c r="BL13" i="11"/>
  <c r="BK13" i="11"/>
  <c r="T13" i="11"/>
  <c r="S13" i="11" s="1"/>
  <c r="BM72" i="11" l="1"/>
  <c r="S26" i="11"/>
  <c r="S33" i="11"/>
  <c r="S40" i="11"/>
  <c r="BM49" i="11"/>
  <c r="BM38" i="11"/>
  <c r="S18" i="11"/>
  <c r="S43" i="11"/>
  <c r="BL81" i="11"/>
  <c r="X81" i="11"/>
  <c r="BM78" i="11"/>
  <c r="BM30" i="11"/>
  <c r="BK81" i="11"/>
  <c r="S16" i="11"/>
  <c r="S54" i="11"/>
  <c r="T57" i="11"/>
  <c r="S75" i="11"/>
  <c r="S80" i="11"/>
  <c r="S15" i="11"/>
  <c r="S50" i="11"/>
  <c r="S79" i="11"/>
  <c r="BM13" i="11"/>
  <c r="S60" i="11" l="1"/>
  <c r="S61" i="11"/>
  <c r="S57" i="11"/>
  <c r="T81" i="11"/>
  <c r="S65" i="11"/>
  <c r="Z16" i="10" l="1"/>
  <c r="Y16" i="10"/>
  <c r="X16" i="10"/>
  <c r="P16" i="10"/>
  <c r="Z15" i="10"/>
  <c r="Y15" i="10"/>
  <c r="X15" i="10"/>
  <c r="P15" i="10"/>
  <c r="Z14" i="10"/>
  <c r="Y14" i="10"/>
  <c r="X14" i="10"/>
  <c r="P14" i="10"/>
  <c r="Z13" i="10"/>
  <c r="Z17" i="10" s="1"/>
  <c r="Y13" i="10"/>
  <c r="X13" i="10"/>
  <c r="T13" i="10" s="1"/>
  <c r="S13" i="10" s="1"/>
  <c r="P13" i="10"/>
  <c r="X17" i="10" l="1"/>
  <c r="Y17" i="10"/>
  <c r="S14" i="10"/>
  <c r="S15" i="10"/>
  <c r="T17" i="10"/>
  <c r="BK13" i="10"/>
  <c r="BK17" i="10" s="1"/>
  <c r="S16" i="10"/>
  <c r="BL13" i="10"/>
  <c r="BL17" i="10" l="1"/>
  <c r="BM17" i="10" s="1"/>
  <c r="AE17" i="10" s="1"/>
  <c r="BM13" i="10"/>
  <c r="BG13" i="10" l="1"/>
  <c r="AS13" i="10"/>
  <c r="AK13" i="10"/>
  <c r="AU13" i="10"/>
  <c r="BE13" i="10"/>
  <c r="AQ13" i="10"/>
  <c r="AI13" i="10"/>
  <c r="BC13" i="10"/>
  <c r="AO13" i="10"/>
  <c r="AG13" i="10"/>
  <c r="AM13" i="10"/>
  <c r="AE13" i="10"/>
  <c r="BH13" i="10" l="1"/>
  <c r="BI13" i="10" s="1"/>
  <c r="BK96" i="9"/>
  <c r="Y96" i="9"/>
  <c r="BM69" i="9"/>
  <c r="BN69" i="9" s="1"/>
  <c r="BL69" i="9"/>
  <c r="T69" i="9"/>
  <c r="S69" i="9" s="1"/>
  <c r="BM63" i="9"/>
  <c r="BN63" i="9" s="1"/>
  <c r="BL63" i="9"/>
  <c r="BJ63" i="9"/>
  <c r="BI63" i="9"/>
  <c r="T63" i="9"/>
  <c r="S66" i="9" s="1"/>
  <c r="BM49" i="9"/>
  <c r="BL49" i="9"/>
  <c r="T49" i="9"/>
  <c r="S49" i="9" s="1"/>
  <c r="X48" i="9"/>
  <c r="X47" i="9"/>
  <c r="BM46" i="9"/>
  <c r="BL46" i="9"/>
  <c r="Z45" i="9"/>
  <c r="AA45" i="9" s="1"/>
  <c r="Z44" i="9"/>
  <c r="AA44" i="9" s="1"/>
  <c r="Z43" i="9"/>
  <c r="AA43" i="9" s="1"/>
  <c r="Z42" i="9"/>
  <c r="AA42" i="9" s="1"/>
  <c r="Z41" i="9"/>
  <c r="AA41" i="9" s="1"/>
  <c r="BL40" i="9"/>
  <c r="BI40" i="9"/>
  <c r="AF40" i="9"/>
  <c r="BJ40" i="9" s="1"/>
  <c r="Z40" i="9"/>
  <c r="T40" i="9"/>
  <c r="S40" i="9" s="1"/>
  <c r="X38" i="9"/>
  <c r="Z37" i="9"/>
  <c r="AA37" i="9" s="1"/>
  <c r="X37" i="9"/>
  <c r="Z36" i="9"/>
  <c r="AA36" i="9" s="1"/>
  <c r="X36" i="9"/>
  <c r="Z35" i="9"/>
  <c r="AA35" i="9" s="1"/>
  <c r="X35" i="9"/>
  <c r="BL34" i="9"/>
  <c r="BI34" i="9"/>
  <c r="BJ34" i="9" s="1"/>
  <c r="BH34" i="9"/>
  <c r="BF34" i="9"/>
  <c r="BD34" i="9"/>
  <c r="BB34" i="9"/>
  <c r="AZ34" i="9"/>
  <c r="AX34" i="9"/>
  <c r="AV34" i="9"/>
  <c r="AT34" i="9"/>
  <c r="AR34" i="9"/>
  <c r="AP34" i="9"/>
  <c r="AN34" i="9"/>
  <c r="AL34" i="9"/>
  <c r="AJ34" i="9"/>
  <c r="AH34" i="9"/>
  <c r="AF34" i="9"/>
  <c r="Z34" i="9"/>
  <c r="AA34" i="9" s="1"/>
  <c r="X33" i="9"/>
  <c r="X32" i="9"/>
  <c r="X31" i="9"/>
  <c r="X26" i="9"/>
  <c r="X25" i="9"/>
  <c r="X21" i="9"/>
  <c r="Z15" i="9"/>
  <c r="BM13" i="9" s="1"/>
  <c r="BL13" i="9"/>
  <c r="BL96" i="9" s="1"/>
  <c r="BI13" i="9"/>
  <c r="BJ13" i="9" s="1"/>
  <c r="BH13" i="9"/>
  <c r="BF13" i="9"/>
  <c r="BD13" i="9"/>
  <c r="AX13" i="9"/>
  <c r="AV13" i="9"/>
  <c r="AT13" i="9"/>
  <c r="AR13" i="9"/>
  <c r="AP13" i="9"/>
  <c r="AN13" i="9"/>
  <c r="AL13" i="9"/>
  <c r="AJ13" i="9"/>
  <c r="AH13" i="9"/>
  <c r="AF13" i="9"/>
  <c r="BM40" i="9" l="1"/>
  <c r="BN40" i="9" s="1"/>
  <c r="BN46" i="9"/>
  <c r="S64" i="9"/>
  <c r="S68" i="9"/>
  <c r="T34" i="9"/>
  <c r="S34" i="9" s="1"/>
  <c r="T46" i="9"/>
  <c r="S46" i="9" s="1"/>
  <c r="S67" i="9"/>
  <c r="T13" i="9"/>
  <c r="BN49" i="9"/>
  <c r="T96" i="9"/>
  <c r="S13" i="9"/>
  <c r="AA40" i="9"/>
  <c r="X96" i="9"/>
  <c r="BM34" i="9"/>
  <c r="BN34" i="9" s="1"/>
  <c r="S63" i="9"/>
  <c r="S65" i="9"/>
  <c r="Z96" i="9"/>
  <c r="AA15" i="9"/>
  <c r="BM96" i="9" l="1"/>
  <c r="BN96" i="9" s="1"/>
  <c r="AA96" i="9"/>
  <c r="BJ206" i="8" l="1"/>
  <c r="Z205" i="8"/>
  <c r="Z204" i="8"/>
  <c r="Z203" i="8"/>
  <c r="Z202" i="8"/>
  <c r="Z201" i="8"/>
  <c r="Z200" i="8"/>
  <c r="BK199" i="8"/>
  <c r="BI199" i="8"/>
  <c r="Z199" i="8"/>
  <c r="BL199" i="8" s="1"/>
  <c r="BM199" i="8" s="1"/>
  <c r="T199" i="8"/>
  <c r="S199" i="8" s="1"/>
  <c r="BL198" i="8"/>
  <c r="BK198" i="8"/>
  <c r="T198" i="8"/>
  <c r="S198" i="8" s="1"/>
  <c r="Z197" i="8"/>
  <c r="Y196" i="8"/>
  <c r="BK196" i="8" s="1"/>
  <c r="T196" i="8"/>
  <c r="S196" i="8" s="1"/>
  <c r="Z194" i="8"/>
  <c r="Z193" i="8"/>
  <c r="BK191" i="8"/>
  <c r="T191" i="8"/>
  <c r="S191" i="8" s="1"/>
  <c r="Z190" i="8"/>
  <c r="Y189" i="8"/>
  <c r="Z189" i="8" s="1"/>
  <c r="Z188" i="8"/>
  <c r="T188" i="8"/>
  <c r="S188" i="8" s="1"/>
  <c r="Z187" i="8"/>
  <c r="Z186" i="8"/>
  <c r="Z183" i="8"/>
  <c r="Z182" i="8"/>
  <c r="BL181" i="8"/>
  <c r="BM181" i="8" s="1"/>
  <c r="BK181" i="8"/>
  <c r="Z181" i="8"/>
  <c r="T181" i="8"/>
  <c r="S181" i="8"/>
  <c r="Z180" i="8"/>
  <c r="Z177" i="8"/>
  <c r="BL175" i="8"/>
  <c r="BM175" i="8" s="1"/>
  <c r="BK175" i="8"/>
  <c r="Z175" i="8"/>
  <c r="T175" i="8"/>
  <c r="S175" i="8"/>
  <c r="BK174" i="8"/>
  <c r="Z174" i="8"/>
  <c r="BL174" i="8" s="1"/>
  <c r="T174" i="8"/>
  <c r="S174" i="8" s="1"/>
  <c r="Y170" i="8"/>
  <c r="Z170" i="8" s="1"/>
  <c r="Y168" i="8"/>
  <c r="Z168" i="8" s="1"/>
  <c r="Y167" i="8"/>
  <c r="Z167" i="8" s="1"/>
  <c r="T166" i="8"/>
  <c r="S166" i="8" s="1"/>
  <c r="BL162" i="8"/>
  <c r="BK162" i="8"/>
  <c r="T162" i="8"/>
  <c r="S162" i="8" s="1"/>
  <c r="Y158" i="8"/>
  <c r="Y155" i="8"/>
  <c r="Y152" i="8"/>
  <c r="Y149" i="8"/>
  <c r="Y146" i="8"/>
  <c r="Y143" i="8"/>
  <c r="Y137" i="8"/>
  <c r="Y134" i="8"/>
  <c r="Y131" i="8"/>
  <c r="BK98" i="8" s="1"/>
  <c r="Y128" i="8"/>
  <c r="Y125" i="8"/>
  <c r="Y122" i="8"/>
  <c r="Y119" i="8"/>
  <c r="Y116" i="8"/>
  <c r="Y113" i="8"/>
  <c r="Y110" i="8"/>
  <c r="Y107" i="8"/>
  <c r="Y104" i="8"/>
  <c r="S102" i="8"/>
  <c r="BL98" i="8"/>
  <c r="BI98" i="8"/>
  <c r="T98" i="8"/>
  <c r="S98" i="8" s="1"/>
  <c r="Z97" i="8"/>
  <c r="Z96" i="8"/>
  <c r="BK95" i="8"/>
  <c r="Z95" i="8"/>
  <c r="T95" i="8"/>
  <c r="Z94" i="8"/>
  <c r="Z93" i="8"/>
  <c r="Z92" i="8"/>
  <c r="Z91" i="8"/>
  <c r="Z90" i="8"/>
  <c r="Z89" i="8"/>
  <c r="BK87" i="8"/>
  <c r="BI87" i="8"/>
  <c r="Z87" i="8"/>
  <c r="T87" i="8"/>
  <c r="S88" i="8" s="1"/>
  <c r="S87" i="8"/>
  <c r="Z84" i="8"/>
  <c r="Z82" i="8"/>
  <c r="BL81" i="8"/>
  <c r="BK81" i="8"/>
  <c r="BI81" i="8"/>
  <c r="Z81" i="8"/>
  <c r="T81" i="8"/>
  <c r="S81" i="8" s="1"/>
  <c r="X79" i="8"/>
  <c r="X78" i="8"/>
  <c r="Z76" i="8"/>
  <c r="Y76" i="8"/>
  <c r="X76" i="8"/>
  <c r="Z75" i="8"/>
  <c r="BL75" i="8" s="1"/>
  <c r="Y75" i="8"/>
  <c r="BK75" i="8" s="1"/>
  <c r="X75" i="8"/>
  <c r="T75" i="8" s="1"/>
  <c r="Z74" i="8"/>
  <c r="Y73" i="8"/>
  <c r="Z73" i="8" s="1"/>
  <c r="X72" i="8"/>
  <c r="Z71" i="8"/>
  <c r="X71" i="8"/>
  <c r="T71" i="8" s="1"/>
  <c r="S71" i="8" s="1"/>
  <c r="Z70" i="8"/>
  <c r="Z69" i="8"/>
  <c r="BL68" i="8" s="1"/>
  <c r="BK68" i="8"/>
  <c r="BI68" i="8"/>
  <c r="BH68" i="8"/>
  <c r="T68" i="8"/>
  <c r="S68" i="8" s="1"/>
  <c r="BK67" i="8"/>
  <c r="BM67" i="8" s="1"/>
  <c r="Z67" i="8"/>
  <c r="T67" i="8"/>
  <c r="S67" i="8"/>
  <c r="BM66" i="8"/>
  <c r="BK66" i="8"/>
  <c r="Z66" i="8"/>
  <c r="T66" i="8"/>
  <c r="S66" i="8" s="1"/>
  <c r="Z64" i="8"/>
  <c r="Z63" i="8"/>
  <c r="Z62" i="8"/>
  <c r="Z61" i="8"/>
  <c r="BK60" i="8"/>
  <c r="BI60" i="8"/>
  <c r="BH60" i="8"/>
  <c r="Z60" i="8"/>
  <c r="T60" i="8"/>
  <c r="S60" i="8" s="1"/>
  <c r="Z59" i="8"/>
  <c r="Y58" i="8"/>
  <c r="BK55" i="8" s="1"/>
  <c r="Z57" i="8"/>
  <c r="X57" i="8"/>
  <c r="Z56" i="8"/>
  <c r="X56" i="8"/>
  <c r="X55" i="8"/>
  <c r="Y54" i="8"/>
  <c r="Z54" i="8" s="1"/>
  <c r="Z53" i="8"/>
  <c r="BL52" i="8" s="1"/>
  <c r="BI52" i="8"/>
  <c r="BH52" i="8"/>
  <c r="T52" i="8"/>
  <c r="S52" i="8" s="1"/>
  <c r="Z51" i="8"/>
  <c r="Y50" i="8"/>
  <c r="Z50" i="8" s="1"/>
  <c r="Z49" i="8"/>
  <c r="Z48" i="8"/>
  <c r="Z47" i="8"/>
  <c r="Z46" i="8"/>
  <c r="Z45" i="8"/>
  <c r="T45" i="8"/>
  <c r="S45" i="8" s="1"/>
  <c r="Z44" i="8"/>
  <c r="Z43" i="8"/>
  <c r="Y41" i="8"/>
  <c r="Z41" i="8" s="1"/>
  <c r="Y40" i="8"/>
  <c r="Z40" i="8" s="1"/>
  <c r="Y39" i="8"/>
  <c r="Z39" i="8" s="1"/>
  <c r="Z38" i="8"/>
  <c r="Z37" i="8"/>
  <c r="T36" i="8"/>
  <c r="S37" i="8" s="1"/>
  <c r="Z35" i="8"/>
  <c r="Z34" i="8"/>
  <c r="Z33" i="8"/>
  <c r="BL31" i="8" s="1"/>
  <c r="BK31" i="8"/>
  <c r="BI31" i="8"/>
  <c r="BE31" i="8"/>
  <c r="AQ31" i="8"/>
  <c r="AO31" i="8"/>
  <c r="AM31" i="8"/>
  <c r="AK31" i="8"/>
  <c r="AI31" i="8"/>
  <c r="AG31" i="8"/>
  <c r="AE31" i="8"/>
  <c r="T31" i="8"/>
  <c r="S31" i="8" s="1"/>
  <c r="Z29" i="8"/>
  <c r="Z28" i="8"/>
  <c r="Z26" i="8"/>
  <c r="Y25" i="8"/>
  <c r="BK25" i="8" s="1"/>
  <c r="T25" i="8"/>
  <c r="S27" i="8" s="1"/>
  <c r="BK22" i="8"/>
  <c r="BI22" i="8"/>
  <c r="BH22" i="8"/>
  <c r="Z22" i="8"/>
  <c r="BL22" i="8" s="1"/>
  <c r="BM22" i="8" s="1"/>
  <c r="T22" i="8"/>
  <c r="S22" i="8" s="1"/>
  <c r="Z19" i="8"/>
  <c r="Z18" i="8"/>
  <c r="Y17" i="8"/>
  <c r="Z17" i="8" s="1"/>
  <c r="Y16" i="8"/>
  <c r="BK13" i="8" s="1"/>
  <c r="Z14" i="8"/>
  <c r="BI13" i="8"/>
  <c r="BH13" i="8"/>
  <c r="T13" i="8"/>
  <c r="S16" i="8" s="1"/>
  <c r="BM52" i="8" l="1"/>
  <c r="BL55" i="8"/>
  <c r="BM55" i="8" s="1"/>
  <c r="BM81" i="8"/>
  <c r="BM198" i="8"/>
  <c r="BK52" i="8"/>
  <c r="BM68" i="8"/>
  <c r="BL95" i="8"/>
  <c r="BM95" i="8" s="1"/>
  <c r="BM31" i="8"/>
  <c r="Z58" i="8"/>
  <c r="BL87" i="8"/>
  <c r="BM174" i="8"/>
  <c r="BL191" i="8"/>
  <c r="BM191" i="8" s="1"/>
  <c r="BM75" i="8"/>
  <c r="BL36" i="8"/>
  <c r="BM36" i="8" s="1"/>
  <c r="BK71" i="8"/>
  <c r="T55" i="8"/>
  <c r="BM98" i="8"/>
  <c r="BK36" i="8"/>
  <c r="BL60" i="8"/>
  <c r="BM60" i="8" s="1"/>
  <c r="BM162" i="8"/>
  <c r="BL71" i="8"/>
  <c r="S59" i="8"/>
  <c r="S55" i="8"/>
  <c r="S75" i="8"/>
  <c r="S78" i="8"/>
  <c r="BM87" i="8"/>
  <c r="BL45" i="8"/>
  <c r="BL166" i="8"/>
  <c r="BL188" i="8"/>
  <c r="Z16" i="8"/>
  <c r="BL13" i="8" s="1"/>
  <c r="Z25" i="8"/>
  <c r="BL25" i="8" s="1"/>
  <c r="BM25" i="8" s="1"/>
  <c r="BK45" i="8"/>
  <c r="BK166" i="8"/>
  <c r="BK188" i="8"/>
  <c r="Z196" i="8"/>
  <c r="BL196" i="8" s="1"/>
  <c r="BM196" i="8" s="1"/>
  <c r="X206" i="8"/>
  <c r="T206" i="8"/>
  <c r="S25" i="8"/>
  <c r="S36" i="8"/>
  <c r="Y206" i="8"/>
  <c r="S13" i="8"/>
  <c r="X180" i="5"/>
  <c r="BL179" i="5"/>
  <c r="BM179" i="5" s="1"/>
  <c r="BK179" i="5"/>
  <c r="T179" i="5"/>
  <c r="S179" i="5" s="1"/>
  <c r="BL167" i="5"/>
  <c r="BK167" i="5"/>
  <c r="T167" i="5"/>
  <c r="S174" i="5" s="1"/>
  <c r="BL162" i="5"/>
  <c r="BK162" i="5"/>
  <c r="BM162" i="5" s="1"/>
  <c r="T162" i="5"/>
  <c r="S162" i="5" s="1"/>
  <c r="BL153" i="5"/>
  <c r="BK153" i="5"/>
  <c r="T153" i="5"/>
  <c r="S153" i="5" s="1"/>
  <c r="BL148" i="5"/>
  <c r="BM148" i="5" s="1"/>
  <c r="BK148" i="5"/>
  <c r="BH148" i="5"/>
  <c r="T148" i="5"/>
  <c r="S148" i="5" s="1"/>
  <c r="BL128" i="5"/>
  <c r="BK128" i="5"/>
  <c r="BM128" i="5" s="1"/>
  <c r="T128" i="5"/>
  <c r="S128" i="5" s="1"/>
  <c r="BL113" i="5"/>
  <c r="BK113" i="5"/>
  <c r="T113" i="5"/>
  <c r="S113" i="5" s="1"/>
  <c r="BL110" i="5"/>
  <c r="BM110" i="5" s="1"/>
  <c r="BK110" i="5"/>
  <c r="T110" i="5"/>
  <c r="S110" i="5" s="1"/>
  <c r="BL77" i="5"/>
  <c r="BK77" i="5"/>
  <c r="BM77" i="5" s="1"/>
  <c r="T77" i="5"/>
  <c r="S80" i="5" s="1"/>
  <c r="BL52" i="5"/>
  <c r="BK52" i="5"/>
  <c r="T52" i="5"/>
  <c r="S52" i="5" s="1"/>
  <c r="BL43" i="5"/>
  <c r="BK43" i="5"/>
  <c r="T43" i="5"/>
  <c r="S43" i="5" s="1"/>
  <c r="BL24" i="5"/>
  <c r="BK24" i="5"/>
  <c r="T24" i="5"/>
  <c r="S24" i="5" s="1"/>
  <c r="BL18" i="5"/>
  <c r="BK18" i="5"/>
  <c r="BM18" i="5" s="1"/>
  <c r="T18" i="5"/>
  <c r="S18" i="5" s="1"/>
  <c r="BO15" i="5"/>
  <c r="BH13" i="5"/>
  <c r="BF13" i="5"/>
  <c r="BD13" i="5"/>
  <c r="BB13" i="5"/>
  <c r="AZ13" i="5"/>
  <c r="AX13" i="5"/>
  <c r="AV13" i="5"/>
  <c r="AR13" i="5"/>
  <c r="AP13" i="5"/>
  <c r="AN13" i="5"/>
  <c r="AL13" i="5"/>
  <c r="AJ13" i="5"/>
  <c r="AH13" i="5"/>
  <c r="AF13" i="5"/>
  <c r="AD13" i="5"/>
  <c r="Z13" i="5"/>
  <c r="BL13" i="5" s="1"/>
  <c r="Y13" i="5"/>
  <c r="Y180" i="5" s="1"/>
  <c r="T13" i="5"/>
  <c r="S13" i="5" s="1"/>
  <c r="BM167" i="5" l="1"/>
  <c r="BK206" i="8"/>
  <c r="BM71" i="8"/>
  <c r="BM43" i="5"/>
  <c r="BL206" i="8"/>
  <c r="BM206" i="8" s="1"/>
  <c r="BM13" i="8"/>
  <c r="BM188" i="8"/>
  <c r="BM45" i="8"/>
  <c r="BM166" i="8"/>
  <c r="Z206" i="8"/>
  <c r="BK13" i="5"/>
  <c r="BK180" i="5" s="1"/>
  <c r="BM24" i="5"/>
  <c r="BM52" i="5"/>
  <c r="BM113" i="5"/>
  <c r="BM153" i="5"/>
  <c r="S77" i="5"/>
  <c r="BL180" i="5"/>
  <c r="S168" i="5"/>
  <c r="S175" i="5"/>
  <c r="S172" i="5"/>
  <c r="Z180" i="5"/>
  <c r="S173" i="5"/>
  <c r="T180" i="5"/>
  <c r="S167" i="5"/>
  <c r="Z69" i="4"/>
  <c r="BL64" i="4"/>
  <c r="BM64" i="4" s="1"/>
  <c r="BK64" i="4"/>
  <c r="T64" i="4"/>
  <c r="S65" i="4" s="1"/>
  <c r="BL60" i="4"/>
  <c r="BK60" i="4"/>
  <c r="BM60" i="4" s="1"/>
  <c r="T60" i="4"/>
  <c r="S60" i="4" s="1"/>
  <c r="X54" i="4"/>
  <c r="X53" i="4"/>
  <c r="T38" i="4" s="1"/>
  <c r="BL38" i="4"/>
  <c r="BK38" i="4"/>
  <c r="BI38" i="4"/>
  <c r="BF38" i="4"/>
  <c r="BD38" i="4"/>
  <c r="BB38" i="4"/>
  <c r="AR38" i="4"/>
  <c r="AP38" i="4"/>
  <c r="AN38" i="4"/>
  <c r="AL38" i="4"/>
  <c r="AJ38" i="4"/>
  <c r="AH38" i="4"/>
  <c r="AF38" i="4"/>
  <c r="AD38" i="4"/>
  <c r="P38" i="4"/>
  <c r="X36" i="4"/>
  <c r="X34" i="4"/>
  <c r="X31" i="4"/>
  <c r="Y16" i="4"/>
  <c r="Y69" i="4" s="1"/>
  <c r="BL13" i="4"/>
  <c r="BI13" i="4"/>
  <c r="BF13" i="4"/>
  <c r="BD13" i="4"/>
  <c r="AN13" i="4"/>
  <c r="AL13" i="4"/>
  <c r="AJ13" i="4"/>
  <c r="AH13" i="4"/>
  <c r="AF13" i="4"/>
  <c r="AD13" i="4"/>
  <c r="O13" i="4"/>
  <c r="BM13" i="5" l="1"/>
  <c r="BL69" i="4"/>
  <c r="BM69" i="4" s="1"/>
  <c r="S64" i="4"/>
  <c r="X69" i="4"/>
  <c r="S38" i="4"/>
  <c r="S55" i="4"/>
  <c r="BK13" i="4"/>
  <c r="BK69" i="4" s="1"/>
  <c r="T13" i="4"/>
  <c r="Z22" i="3"/>
  <c r="Y22" i="3"/>
  <c r="X22" i="3"/>
  <c r="BL20" i="3"/>
  <c r="BK20" i="3"/>
  <c r="T20" i="3"/>
  <c r="S20" i="3" s="1"/>
  <c r="BL15" i="3"/>
  <c r="BK15" i="3"/>
  <c r="T15" i="3"/>
  <c r="S15" i="3"/>
  <c r="BL13" i="3"/>
  <c r="BK13" i="3"/>
  <c r="T13" i="3"/>
  <c r="S13" i="3"/>
  <c r="BK22" i="3" l="1"/>
  <c r="BM20" i="3"/>
  <c r="BL22" i="3"/>
  <c r="BM15" i="3"/>
  <c r="S35" i="4"/>
  <c r="S16" i="4"/>
  <c r="S37" i="4"/>
  <c r="S13" i="4"/>
  <c r="T69" i="4"/>
  <c r="S36" i="4"/>
  <c r="T22" i="3"/>
  <c r="BM13" i="3"/>
  <c r="Z52" i="2" l="1"/>
  <c r="Y52" i="2"/>
  <c r="X52" i="2"/>
  <c r="BL48" i="2"/>
  <c r="BK48" i="2"/>
  <c r="T48" i="2"/>
  <c r="S48" i="2"/>
  <c r="BL13" i="2"/>
  <c r="BM13" i="2" s="1"/>
  <c r="BK13" i="2"/>
  <c r="BK52" i="2" s="1"/>
  <c r="BI13" i="2"/>
  <c r="T13" i="2"/>
  <c r="T52" i="2" s="1"/>
  <c r="BM48" i="2" l="1"/>
  <c r="BL52" i="2"/>
  <c r="T13" i="1"/>
  <c r="S13" i="1" s="1"/>
  <c r="BK13" i="1"/>
  <c r="BL13" i="1"/>
  <c r="T24" i="1"/>
  <c r="BK24" i="1"/>
  <c r="BL24" i="1"/>
  <c r="BM24" i="1" s="1"/>
  <c r="T31" i="1"/>
  <c r="S31" i="1" s="1"/>
  <c r="BK31" i="1"/>
  <c r="BL31" i="1"/>
  <c r="BM31" i="1" s="1"/>
  <c r="T33" i="1"/>
  <c r="S33" i="1" s="1"/>
  <c r="BK33" i="1"/>
  <c r="BL33" i="1"/>
  <c r="BM33" i="1" s="1"/>
  <c r="X38" i="1"/>
  <c r="Y38" i="1"/>
  <c r="Z38" i="1"/>
  <c r="BJ38" i="1"/>
  <c r="BK38" i="1" l="1"/>
  <c r="T38" i="1"/>
  <c r="BM13" i="1"/>
  <c r="S24" i="1"/>
  <c r="BL38" i="1"/>
  <c r="Y5"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AUXSALUD68</author>
  </authors>
  <commentList>
    <comment ref="Y46" authorId="0" shapeId="0" xr:uid="{00000000-0006-0000-0B00-000001000000}">
      <text>
        <r>
          <rPr>
            <b/>
            <sz val="9"/>
            <color indexed="81"/>
            <rFont val="Tahoma"/>
            <family val="2"/>
          </rPr>
          <t>AUXSALUD68:</t>
        </r>
        <r>
          <rPr>
            <sz val="9"/>
            <color indexed="81"/>
            <rFont val="Tahoma"/>
            <family val="2"/>
          </rPr>
          <t xml:space="preserve">
LIBERACION DE ANGIE JULIANA PINEDA VARGAS $1.923.334
</t>
        </r>
      </text>
    </comment>
  </commentList>
</comments>
</file>

<file path=xl/sharedStrings.xml><?xml version="1.0" encoding="utf-8"?>
<sst xmlns="http://schemas.openxmlformats.org/spreadsheetml/2006/main" count="8877" uniqueCount="3540">
  <si>
    <t>TOTAL:</t>
  </si>
  <si>
    <t>Recurso Ordinario</t>
  </si>
  <si>
    <t>0304 - 2 - 3.2.1.1.4.1.1.2.4502033.38140 - 88</t>
  </si>
  <si>
    <t>0304 - 2 - 3.2.1.1.4.1.1.2.4502033.38140 - 20</t>
  </si>
  <si>
    <t>0304 - 2 - 3.2.1.1.3.3.2.0.4502033.45250 - 20</t>
  </si>
  <si>
    <t>Superávit Recurso Ordinario</t>
  </si>
  <si>
    <t>0304 - 2 - 3.2.2.2.9.0.0.0.4502033.91119 - 88</t>
  </si>
  <si>
    <t>Secretaría Administrativa-Dirección Talento Humano</t>
  </si>
  <si>
    <t>31/12/2021</t>
  </si>
  <si>
    <t>MAURICIO GRAJALES OSORIO-JOHN HAROLD VALENCIA RODRIGUEZ</t>
  </si>
  <si>
    <t>Recurso Ordinario
Superávit Recurso Ordinario</t>
  </si>
  <si>
    <t>20
88</t>
  </si>
  <si>
    <t>0304 - 2 - 3.2.2.2.9.0.0.0.4502033.91119 - 20</t>
  </si>
  <si>
    <t>Ejecutar las acciones en el marco del cumplimiento del Plan de Acción del Sistema Departamental de Servicio a la Ciudadanía SDSC</t>
  </si>
  <si>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</si>
  <si>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</si>
  <si>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Implementación del Sistema Departamental de Servicio a la Ciudadanía SDSC   en la Administración Departamental.</t>
  </si>
  <si>
    <t>202000363-0005</t>
  </si>
  <si>
    <t xml:space="preserve">Espacios de integración de oferta pública generados </t>
  </si>
  <si>
    <t xml:space="preserve">Plan de Acción del Sistema Departamental de Servicio a la Ciudadanía SDSC implementado. </t>
  </si>
  <si>
    <t>ND</t>
  </si>
  <si>
    <t>Implementación del Plan de Acción del Sistema Departamental de Servicio a la Ciudadanía SDSC</t>
  </si>
  <si>
    <t>Fortalecimiento de la Gestión  y Desempeño Institucional. "Quindío con una administración al servicio de la ciudadanía "</t>
  </si>
  <si>
    <t>0304 - 2 - 3.2.2.2.9.0.0.0.45990233.91119 - 20</t>
  </si>
  <si>
    <t>Implementar el programa de modernización Administrativa que incluya el desarrollo del estudio de viabilidad para la creación de la oficina de la felicidad.</t>
  </si>
  <si>
    <t>Actualizar los procesos y procedimientos implementados al interior de la entidad, que permitan desarrollar una modernización administrativa incluyente y participativa.</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</si>
  <si>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</si>
  <si>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Implementación de un programa de modernización  de la gestión Administrativa  de la Administración Departamental del Quindío. "TÚ y YO SOMOS QUINDÍO" </t>
  </si>
  <si>
    <t>202000363-0041</t>
  </si>
  <si>
    <t xml:space="preserve">Metodologías aplicadas </t>
  </si>
  <si>
    <t>Proceso de modernización administrativa implementada</t>
  </si>
  <si>
    <t xml:space="preserve">Servicio de Implementación Sistemas de Gestión </t>
  </si>
  <si>
    <t xml:space="preserve">Proceso de modernización administrativa, incluido el  estudio de la viabilidad de creación de la Oficina de la Felicidad. </t>
  </si>
  <si>
    <t>0304 - 2 - 3.2.2.2.9.0.0.0.45990022.91119 - 20</t>
  </si>
  <si>
    <t>0304 - 2 - 3.2.2.2.9.0.0.0.45990022.91119 - 88</t>
  </si>
  <si>
    <t>Adelantar acciones para determinar qué cuotas partes están a favor o cargo del Ente Territorial.</t>
  </si>
  <si>
    <t>0304 - 2 - 3.2.1.1.3.3.2.0.45990022.45250 - 88</t>
  </si>
  <si>
    <t>Depurar los expedientes administrativos que reposan  en el Fondo Territorial de Pensiones.</t>
  </si>
  <si>
    <t>Secretaría Administrativa-Dirección Fondo Territorial de Pensiones</t>
  </si>
  <si>
    <t>LUFY DANIEL JARAMILLO GUTIERREZ</t>
  </si>
  <si>
    <t>Diseñar y Establecer  los procedimientos que se van a implementar en el Fondo Territorial de Pensiones con el fin de contar con la información depurada  y real.</t>
  </si>
  <si>
    <t>Implementar estrategias de actualización, depuración, evaluación y seguimiento de las bases de datos del pasivo pensional de la administración departamental.</t>
  </si>
  <si>
    <t>Incrementar del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</si>
  <si>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Actualización, depuración, seguimiento y evaluación   del  Pasivo Pensional  de la Administración Departamental del Quindío</t>
  </si>
  <si>
    <t>202000363-0007</t>
  </si>
  <si>
    <t>Programa de saneamiento fiscal y financiero ejecutado</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</si>
  <si>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</si>
  <si>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</si>
  <si>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</si>
  <si>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0304 - 2 - 3.2.2.2.9.0.0.0.45990232.91119 - 20</t>
  </si>
  <si>
    <t>0304 - 2 - 3.2.2.2.9.0.0.0.45990232.38140 - 88</t>
  </si>
  <si>
    <t>0304 - 2 - 3.2.2.2.9.0.0.0.45990232.45272 - 88</t>
  </si>
  <si>
    <t>0304 - 2 - 3.2.1.1.3.3.2.0.45990232.45250 - 88</t>
  </si>
  <si>
    <t>0304 - 2 - 3.2.2.2.9.0.0.0.45990232.91119 - 88</t>
  </si>
  <si>
    <t>Ejecutar las actividades establecidas en el Plan Institucional de Archivos PINAR.</t>
  </si>
  <si>
    <t xml:space="preserve">Realizar el  diagnóstico  y el Plan de Acción de la  implementación del Código de Integridad.  </t>
  </si>
  <si>
    <t>0304 - 2 - 3.2.2.2.9.0.0.0.45990232.45272 - 20</t>
  </si>
  <si>
    <t>MAURICIO GRAJALES OSORIO</t>
  </si>
  <si>
    <t xml:space="preserve">Desarrollar un plan de trabajo para identificar los medios, mecanismos, procesos y procedimientos para capturar, clasificar y organizar el conocimiento de la Entidad.     </t>
  </si>
  <si>
    <t>Implementar las dimensiones del Modelo Integrado de Planeación y de Gestión MIPG que están correlacionadas con las competencias de la Secretaría Administrativa, de conformidad con las directrices emitidas por el Gobierno Nacional.</t>
  </si>
  <si>
    <t>Implementación del Modelo Integrado de Planeación y de Gestión MIPG  de la Administración Departamental del Quindío (Dimensiones  de Talento humano,  Información y Comunicación y Gestión del Conocimiento).</t>
  </si>
  <si>
    <t>202000363-0006</t>
  </si>
  <si>
    <t>Sistema de Gestión implementado</t>
  </si>
  <si>
    <t>Número de Dimensiones y Políticas   de MIPG implementadas.</t>
  </si>
  <si>
    <t>Implementación de  las Dimensiones y Políticas  del Modelo Integrado de Planeación y de Gestión MIPG</t>
  </si>
  <si>
    <t xml:space="preserve"> Fortalecimiento a la gestión y dirección de la administración pública territorial "Quindío con una administración al servicio de la ciudadanía " </t>
  </si>
  <si>
    <t>Gobierno territorial</t>
  </si>
  <si>
    <t xml:space="preserve">LIDERAZGO, GOBERNABILIDAD Y TRANSPARENCIA.   </t>
  </si>
  <si>
    <t>E</t>
  </si>
  <si>
    <t>P</t>
  </si>
  <si>
    <t>NOMBRE</t>
  </si>
  <si>
    <t>CODIGO</t>
  </si>
  <si>
    <t>E (OBLIGACIONES)</t>
  </si>
  <si>
    <t>E (COMPROMISOS)</t>
  </si>
  <si>
    <t>PRESUPUESTADO</t>
  </si>
  <si>
    <t>SUPERVISOR RESPONSABLE</t>
  </si>
  <si>
    <t>FUENTE DE LOS RECURSOS</t>
  </si>
  <si>
    <t>% DE EJECUCION</t>
  </si>
  <si>
    <t>VALOR DE LAS OBLIGACIONES</t>
  </si>
  <si>
    <t>VALOR COMPROMISOS</t>
  </si>
  <si>
    <t xml:space="preserve">No. DE 
CONTRATOS </t>
  </si>
  <si>
    <t xml:space="preserve">Victimas </t>
  </si>
  <si>
    <t xml:space="preserve">Discapacitados </t>
  </si>
  <si>
    <t xml:space="preserve">Desplazados </t>
  </si>
  <si>
    <t>palenqueras</t>
  </si>
  <si>
    <t xml:space="preserve">Mestiza </t>
  </si>
  <si>
    <t>ROM</t>
  </si>
  <si>
    <t>Raizal</t>
  </si>
  <si>
    <t>Afrocolombiano</t>
  </si>
  <si>
    <t>Indígena</t>
  </si>
  <si>
    <t>Adultos Mayores (Mayores a 60 años)</t>
  </si>
  <si>
    <t>Edad Económicamente Activa (20-59 años)</t>
  </si>
  <si>
    <t>Adolescencia
 (15 - 19 años)</t>
  </si>
  <si>
    <t>Edad Escolar 
(0 - 14 años)</t>
  </si>
  <si>
    <t>HOMBRE</t>
  </si>
  <si>
    <t>MUJER</t>
  </si>
  <si>
    <t xml:space="preserve">CODIGO </t>
  </si>
  <si>
    <t>IMPUTACION PRESUPUESTAL</t>
  </si>
  <si>
    <t xml:space="preserve">VALOR EN PESOS </t>
  </si>
  <si>
    <t>ACTIVIDADES CUANTIFICADAS</t>
  </si>
  <si>
    <t xml:space="preserve">OBJETIVOS ESPECIFICOS </t>
  </si>
  <si>
    <t xml:space="preserve">OBJETIVO GENERAL DEL PROYECTO </t>
  </si>
  <si>
    <t>VALOR 
(EN PESOS )</t>
  </si>
  <si>
    <t>PESO DE LA META (%)</t>
  </si>
  <si>
    <t xml:space="preserve">NOMBRE PROYECTO </t>
  </si>
  <si>
    <t>CODIGO BPIN</t>
  </si>
  <si>
    <t>META FISICA PROGRAMADA</t>
  </si>
  <si>
    <t xml:space="preserve">INDICADOR CATÁLOGO MGA </t>
  </si>
  <si>
    <t>CÓDIGO CATALOGO DE INDICADORES MGA</t>
  </si>
  <si>
    <t>INDICADOR PDD</t>
  </si>
  <si>
    <t>CÓDIGO PDD</t>
  </si>
  <si>
    <t xml:space="preserve">PRODUCTO CATÁLOGO MGA  </t>
  </si>
  <si>
    <t>CÓDIGO CATÁLOGO DE PRODUCTOS MGA</t>
  </si>
  <si>
    <t>PRODUCTO PDD</t>
  </si>
  <si>
    <t xml:space="preserve">RESPONSABLE </t>
  </si>
  <si>
    <t xml:space="preserve">FECHA DE TERMINACIÓN </t>
  </si>
  <si>
    <t xml:space="preserve">FECHA DE INICIO </t>
  </si>
  <si>
    <t>CONTRATOS</t>
  </si>
  <si>
    <t>TOTAL</t>
  </si>
  <si>
    <t xml:space="preserve">POBLACIÓN VULNERABLE </t>
  </si>
  <si>
    <t xml:space="preserve">GRUPOS ÉTNICOS </t>
  </si>
  <si>
    <t>DISTRIBUCIÓN ETÁREA (EDAD)</t>
  </si>
  <si>
    <t>GENERO</t>
  </si>
  <si>
    <t>FUENTE DE RECURSOS</t>
  </si>
  <si>
    <t>PROYECTO</t>
  </si>
  <si>
    <t>INDICADOR PRODUCTO</t>
  </si>
  <si>
    <t>META PRODUCTO</t>
  </si>
  <si>
    <t>PROGRAMA</t>
  </si>
  <si>
    <t>SECTOR</t>
  </si>
  <si>
    <t>ESTRATEGIA</t>
  </si>
  <si>
    <t>POBLACIÓN</t>
  </si>
  <si>
    <t>PLAN DE DESARROLLO DEPARTAMENTAL:   "TÚ Y YO SOMOS QUINDÍO" 2020-2023</t>
  </si>
  <si>
    <t xml:space="preserve"> 1 de 1</t>
  </si>
  <si>
    <t>PÁGINA:</t>
  </si>
  <si>
    <t xml:space="preserve">FECHA: </t>
  </si>
  <si>
    <t>08</t>
  </si>
  <si>
    <t xml:space="preserve">VERSIÓN: </t>
  </si>
  <si>
    <t>F-PLA-07</t>
  </si>
  <si>
    <t xml:space="preserve">CODIGO:  </t>
  </si>
  <si>
    <t>SEGUIMIENTO PLAN DE ACCIÓN SECRETARÍA ADMINISTRATIVA      
AÑO: DICIEMBRE 31 DE 2021</t>
  </si>
  <si>
    <t>SEGUIMIENTO PLAN DE ACCIÓN SECRETARÍA DE HACIENDA     
A DICIEMBRE 31 DE 2021</t>
  </si>
  <si>
    <t>PLAN DE DESARROLLO DEPARTAMENTAL:   "TÚ Y YO SOMOS QUINDÍO"</t>
  </si>
  <si>
    <t xml:space="preserve">PRODUCTO CATÁLOGO MGA </t>
  </si>
  <si>
    <t>Fortalecimiento a la gestión y dirección de la administración pública territorial "Quindío con una administración al servicio de la ciudadanía "</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</si>
  <si>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</si>
  <si>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</si>
  <si>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</si>
  <si>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</si>
  <si>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</si>
  <si>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</si>
  <si>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Mejorar los niveles de desempeño fiscal de la administración departamental .</t>
  </si>
  <si>
    <t>Realizar procesos de fiscalización de las rentas del departamento, procedimiento Administrativo de Cobro Coactivo sobre la cartera morosa de las rentas Departamentales y programa Anticontrabando de Licores, Cervezas y Cigarrillos</t>
  </si>
  <si>
    <t>0307 - 2 - 3.2.2.1.3.0.0.0.45990021.32610 - 20</t>
  </si>
  <si>
    <t> </t>
  </si>
  <si>
    <t>20
88
56
95</t>
  </si>
  <si>
    <t>Recurso Ordinario
Superavit Recurso Ordinario
Convenio Interadministrativo
Superavit convenios interadministrativos convenio anticontrabando</t>
  </si>
  <si>
    <t>-Orlando Yara 
-Manuel Alejandro Londoño</t>
  </si>
  <si>
    <t xml:space="preserve"> Aleyda Marín Betancourt </t>
  </si>
  <si>
    <t>0307 - 2 - 3.2.2.1.3.0.0.0.45990021.33311 - 56</t>
  </si>
  <si>
    <t>Federación Nacional de Departamentos</t>
  </si>
  <si>
    <t>0307 - 2 - 3.2.2.1.3.0.0.0.45990021.36111 - 56</t>
  </si>
  <si>
    <t>0307 - 2 - 3.2.2.1.3.0.0.0.45990021.38911 - 20</t>
  </si>
  <si>
    <t>0307 - 2 - 3.2.2.1.3.0.0.0.45990021.83444 - 56</t>
  </si>
  <si>
    <t>0307 - 2 - 3.2.2.1.3.0.0.0.45990021.87141 - 56</t>
  </si>
  <si>
    <t>0307 - 2 - 3.2.2.2.6.0.0.0.45990021.63391 - 56</t>
  </si>
  <si>
    <t>0307 - 2 - 3.2.2.2.6.0.0.0.45990021.85953 - 20</t>
  </si>
  <si>
    <t>0307 - 2 - 3.2.2.2.9.0.0.0.45990021.91119 - 20</t>
  </si>
  <si>
    <t>0307 - 2 - 3.2.2.2.9.0.0.0.45990021.63393 - 20</t>
  </si>
  <si>
    <t>0307 - 2 - 3.2.2.2.9.0.0.0.45990021.91119 - 56</t>
  </si>
  <si>
    <t>0307 - 2 - 3.2.2.1.3.0.0.0.45990021.32128 - 56</t>
  </si>
  <si>
    <t>0307 - 2 - 3.2.2.1.3.0.0.0.45990021.32610 - 88</t>
  </si>
  <si>
    <t>Superavit Recurso Ordinario</t>
  </si>
  <si>
    <t>0307 - 2 - 3.2.2.1.3.0.0.0.45990021.33311 - 88</t>
  </si>
  <si>
    <t>0307 - 2 - 3.2.2.2.6.0.0.0.45990021.85953 - 88</t>
  </si>
  <si>
    <t>0307 - 2 - 3.2.2.1.3.0.0.0.45990021.32128 - 20</t>
  </si>
  <si>
    <t>0307 - 2 - 3.2.2.1.3.0.0.0.45990021.35130 - 20</t>
  </si>
  <si>
    <t>0307 - 2 - 3.2.2.2.8.0.0.0.45990021.84392 - 20</t>
  </si>
  <si>
    <t>0307 - 2 - 3.2.2.2.6.0.0.0.45990021.63393 - 56</t>
  </si>
  <si>
    <t>0307 - 2 - 3.2.2.2.9.0.0.0.45990021.91119 - 95</t>
  </si>
  <si>
    <t>Superavit convenios interadministrativos convenio anticontrabando</t>
  </si>
  <si>
    <t>0307 - 2 - 3.2.2.2.8.0.0.0.45990021.85961 - 56</t>
  </si>
  <si>
    <t>0307 - 2 - 3.2.2.1.2.0.0.0.45990021.88221 - 56</t>
  </si>
  <si>
    <t>0307 - 2 - 3.2.2.1.2.0.0.0.45990021.29330 - 56</t>
  </si>
  <si>
    <t>0307 - 2 - 3.2.2.1.3.0.0.0.45990021.36971- 56</t>
  </si>
  <si>
    <t>0307 - 2 - 3.2.2.1.3.0.0.0.45990021.36990- 56</t>
  </si>
  <si>
    <t>0307 - 2 - 3.2.2.1.4.0.0.0.45990021.48171- 56</t>
  </si>
  <si>
    <t>0307 - 2 - 3.2.2.1.2.0.0.0.45990021.29222 - 56</t>
  </si>
  <si>
    <t>0307 - 2 - 3.2.2.1.3.0.0.0.45990021.38111- 56</t>
  </si>
  <si>
    <t>0307 - 2 - 3.2.2.1.3.0.0.0.45990021.38121- 56</t>
  </si>
  <si>
    <t>0307 - 2 - 3.2.2.1.3.0.0.0.45990021.38140- 56</t>
  </si>
  <si>
    <t>0307 - 2 - 3.2.2.1.4.0.0.0.45990021.42999 - 56</t>
  </si>
  <si>
    <t>0307 - 2 - 3.2.2.1.4.0.0.0.45990021.44815 - 56</t>
  </si>
  <si>
    <t>0307 - 2 - 3.2.2.1.4.0.0.0.45990021.44816 - 56</t>
  </si>
  <si>
    <t>0307 - 2 - 3.2.2.1.4.0.0.0.45990021.47313 - 56</t>
  </si>
  <si>
    <t>0307 - 2 - 3.2.2.2.6.0.0.0.45990021.64119 - 20</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</si>
  <si>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</si>
  <si>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</si>
  <si>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</si>
  <si>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</si>
  <si>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</si>
  <si>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implementar un programa para el cumplimiento de las políticas y practicas contables para la administración departamental, enmarcada en las normas y lineamientos q rigen para la materia, encaminando a la prestación de un servicio.</t>
  </si>
  <si>
    <t>Realizar buenas practicas en cuanto a la aplicación de las normas y lineamientos contables</t>
  </si>
  <si>
    <t>Ejecutar un programa para el cumplimiento de las políticas y prácticas contables</t>
  </si>
  <si>
    <t>0307 - 2 - 3.2.2.2.9.0.0.0.45990023.91119 - 20</t>
  </si>
  <si>
    <t>-Aleyda Marín Betancourt
-Andrés Mauricio Olarte
-Milly Gabriela Sarria
-Wbiller Grajales Puentes</t>
  </si>
  <si>
    <t>Aleyda Marín Betancourt</t>
  </si>
  <si>
    <t>0307 - 2 - 3.2.2.1.3.0.0.0.45990023.32128 - 20</t>
  </si>
  <si>
    <t>0307 - 2 - 3.2.2.1.3.0.0.0.45990023.35130 - 20</t>
  </si>
  <si>
    <t>0307 - 2 - 3.2.2.2.9.0.0.0.45990023.91119 - 88</t>
  </si>
  <si>
    <t>ALEYDA MARÍN BETANCOUR</t>
  </si>
  <si>
    <t>Secretaria de Hacienda</t>
  </si>
  <si>
    <t>SEGUIMIENTO PLAN DE ACCIÓN OFICINA PRIVADA 
DICIEMBRE 31 DE 2021</t>
  </si>
  <si>
    <t>Marzo 11 de 2021</t>
  </si>
  <si>
    <t xml:space="preserve">SECTOR </t>
  </si>
  <si>
    <t xml:space="preserve"> </t>
  </si>
  <si>
    <t>Fortalecimiento de la Gestión  y Desempeño Institucional</t>
  </si>
  <si>
    <t>Desarrollo de  la Política  de Transparencia, Acceso a la Información Pública y Lucha Contra la Corrupción del Modelo Integrado de Planificación y Gestión MIPG, articulada con el "Pacto por la Integridad , Transparencia y Legalidad" del Gobierno Nacional</t>
  </si>
  <si>
    <t>Servicio de Implementación Sistemas de Gestión</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</si>
  <si>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</si>
  <si>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</si>
  <si>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</si>
  <si>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</si>
  <si>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</si>
  <si>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Desarrollar la Política de Transparencia, Acceso a la Información Pública</t>
  </si>
  <si>
    <t>Desarrollo, Articulaciones y Transparencia.</t>
  </si>
  <si>
    <t>0313 - 2 - 3.2.2.2.9.0.0.0.45990231.91119 - 20</t>
  </si>
  <si>
    <t xml:space="preserve">
Camilo José Ortiz M - Director Logístico
Carlos Andrés Quintero - Director de Emprendimiento y Competitividad
Santiago Montes Correal - Asesor de Despacho Grado II
- Sergio Yamith Quintero Castaño - Director de Gestión Estratégica
Lina Vélez Rendón - Directora de análisis financiero y administrativo</t>
  </si>
  <si>
    <t>Director Oficina Privada</t>
  </si>
  <si>
    <t>0313 - 2 - 3.2.2.2.6.0.0.0.45990231.63391 - 20</t>
  </si>
  <si>
    <t>Desarrollo e implementación de la estrategia de comunicaciones para la Administración Departamental</t>
  </si>
  <si>
    <t>Servicio de integración de la oferta pública</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</si>
  <si>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</si>
  <si>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</si>
  <si>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</si>
  <si>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</si>
  <si>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Incrementar el número de campañas institucionales para dar a conocer los programas y proyectos de la gobernación.</t>
  </si>
  <si>
    <t>Proceso de implementación de la estrategia de comunicaciones.</t>
  </si>
  <si>
    <t>0313 - 2 - 3.2.2.2.9.0.0.0.4599029.91119 - 20</t>
  </si>
  <si>
    <t>20-88</t>
  </si>
  <si>
    <t xml:space="preserve">
Camilo José Ortiz M - Director Logístico -Angie Catalina Toro - Directora de comunicaciones</t>
  </si>
  <si>
    <t>0313 - 2 - 3.2.2.2.9.0.0.0.4599029.91119 - 88</t>
  </si>
  <si>
    <t>Superávit recurso ordinario</t>
  </si>
  <si>
    <t>Ejecución Plan de Medios (Radio, Prensa, Revistas, Televisión, Portal WEB, Redes Sociales, OOH) Revisión y Desarrollo de la Estrategia de Comunicaciones.</t>
  </si>
  <si>
    <t>0313 - 2 - 3.2.2.2.9.0.0.0.4599029.91136 - 20</t>
  </si>
  <si>
    <t>0313 - 2 - 3.2.2.2.9.0.0.0.4599029.91136 - 88</t>
  </si>
  <si>
    <t>Fortalecimiento del buen gobierno para el respeto y garantía de los derechos humanos. "Quindío integrado y participativo"</t>
  </si>
  <si>
    <t xml:space="preserve">Encuentros ciudadanos en el Departamento del Quindío en aplicación de la Política de Transparencia, Acceso a la Información Pública y Lucha contra la Corrupción.  </t>
  </si>
  <si>
    <t>Servicio de promoción a la participación ciudadana</t>
  </si>
  <si>
    <t>Encuentros  ciudadanos realizados.</t>
  </si>
  <si>
    <t>Espacios de participación promovidos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</si>
  <si>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</si>
  <si>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</si>
  <si>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</si>
  <si>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Proporcionar espacios de participación efectiva de los ciudadanos, mejorando la percepción de transparencia</t>
  </si>
  <si>
    <t>Encuentros Ciudadanos</t>
  </si>
  <si>
    <t>0313 - 2 - 3.2.2.2.9.0.0.0.45020011.91119 - 20</t>
  </si>
  <si>
    <t xml:space="preserve">
Sergio  Yamith Quintero Castaño - Director de Gestión Estratégica
Angie Catalina Toro -Director de comunicaciones
Santiago Montes Correal - Asesor de Despacho Grado II
Carlos Andrés Quintero - Director de Emprendimiento y Competitividad</t>
  </si>
  <si>
    <t>Ruta de la felicidad</t>
  </si>
  <si>
    <t>FORMATO</t>
  </si>
  <si>
    <t xml:space="preserve">F-PLA-07  </t>
  </si>
  <si>
    <t>SEGUIMIENTO PLAN DE ACCIÓN 
SECRETARIA  CULTURA
A NOVIEMBRE  30 DE 2021</t>
  </si>
  <si>
    <t>PLAN DE DESARROLLO DEPARTAMENTAL:  "TÚ Y YO SOMOS QUINDÍO"</t>
  </si>
  <si>
    <t>FECHA DE INICIO 
(dd/mm/aaaa)</t>
  </si>
  <si>
    <t>FECHA DE TERMINACIÓN
(dd/mm/aaaa)</t>
  </si>
  <si>
    <t>META FISICA 
PROGRAMADA</t>
  </si>
  <si>
    <t xml:space="preserve">VALOR ACTIVIDAD (EN PESOS) </t>
  </si>
  <si>
    <t>RUBRO PRESUPUESTAL</t>
  </si>
  <si>
    <t>Palenqueras</t>
  </si>
  <si>
    <t>VALOR COMPROMISOS
PROYECTO</t>
  </si>
  <si>
    <t>VALOR DE LAS OBLIGACIONES
PROYECTO</t>
  </si>
  <si>
    <t>PROGRAMADA</t>
  </si>
  <si>
    <t>EJECUTADA</t>
  </si>
  <si>
    <t>PRESUPUESTO</t>
  </si>
  <si>
    <t>INCLUSIÓN SOCIAL Y EQUIDAD</t>
  </si>
  <si>
    <t>Cultura</t>
  </si>
  <si>
    <t>Promoción y acceso efectivo a procesos culturales y artísticos. "Tú y yo somos cultura Quindiana"</t>
  </si>
  <si>
    <t>Servicio de educación informal en áreas artísticas y culturales</t>
  </si>
  <si>
    <t>Personas capacitadas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</si>
  <si>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</si>
  <si>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</si>
  <si>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</si>
  <si>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Aprovechar los mecanismos de financiación</t>
  </si>
  <si>
    <t>Formación artística y cultural</t>
  </si>
  <si>
    <t>0310 - 2 - 3.2.2.2.9.0.0.0.3301087.91119 - 20</t>
  </si>
  <si>
    <t xml:space="preserve">Recurso Ordinario </t>
  </si>
  <si>
    <t xml:space="preserve">
20
34
39 
41
88</t>
  </si>
  <si>
    <t xml:space="preserve">Recursos Ordinarios
Superavid de recurso ordinario
Estampilla procultura 50% concertacion 
ESTAMPILLA PRO-CULTRA 10% ESTIMULOS
</t>
  </si>
  <si>
    <t xml:space="preserve">* Juan Manuel Rodriguez Brito 
* Arles Lopez Espinosa 
*Olga Lucia Urrea Moncaleano
</t>
  </si>
  <si>
    <t>Juan Manuel Rodriguez Brito. 
Secretario de Cultura</t>
  </si>
  <si>
    <t>0310 - 2 - 3.2.2.2.9.0.0.0.3301087.91119 - 88</t>
  </si>
  <si>
    <t>Apoyo técnico y logístico formación artística y cultural</t>
  </si>
  <si>
    <t>Servicio de circulación artística y cultural</t>
  </si>
  <si>
    <t>Producciones artísticas en circulación</t>
  </si>
  <si>
    <t xml:space="preserve">Actualizar los parámetros de participación y criterios de evaluación referentes planeas y políticas y culturales </t>
  </si>
  <si>
    <t>Fortalecimiento del sector artístico y cultural</t>
  </si>
  <si>
    <t>0310 - 2 - 3.2.2.2.9.0.0.0.3301073.91119 - 20</t>
  </si>
  <si>
    <t xml:space="preserve">apoyo a la realización y participación de artistas y/o grupos artísticos en eventos </t>
  </si>
  <si>
    <t>Apoyo técnico logístico circulación artística y cultural</t>
  </si>
  <si>
    <t>0310 - 2 - 3.2.2.2.6.0.0.0.3301073.64119 - 20</t>
  </si>
  <si>
    <t xml:space="preserve">Apoyo para la generación de conbdiciones de seguimientos a proyectos cofinanciados por la secretaría </t>
  </si>
  <si>
    <t>0310 - 2 - 3.2.2.1.4.0.0.0.3301073.45250 - 20</t>
  </si>
  <si>
    <t>0310 - 2 - 3.2.2.1.3.0.0.0.3301073.38350 - 20</t>
  </si>
  <si>
    <t>0310 - 2 - 3.2.2.1.3.0.0.0.3301073.38360 - 20</t>
  </si>
  <si>
    <t>0310 - 2 - 3.2.2.1.3.0.0.0.3301073.38122 - 20</t>
  </si>
  <si>
    <t xml:space="preserve">Apoyo técnico en la coordinación del programa concertación </t>
  </si>
  <si>
    <t>0310 - 2 - 3.2.2.2.9.0.0.0.3301073.91119 - 39</t>
  </si>
  <si>
    <t>Estampilla Pro Cultura 50% Concertación</t>
  </si>
  <si>
    <t>Convocatoria y apoyo logístico de proyectos concertados</t>
  </si>
  <si>
    <t>Evaluación y Seguimiento de proyectos concertados</t>
  </si>
  <si>
    <t>Cofinanciación de proyectos</t>
  </si>
  <si>
    <t>0310 - 2 - 3.2.2.2.9.0.0.0.3301073.91119 - 83</t>
  </si>
  <si>
    <t>Superávit Estampilla Pro Cultura 50% Concertación</t>
  </si>
  <si>
    <t xml:space="preserve">Apoyo técnico en la coordinación del programa estímulos </t>
  </si>
  <si>
    <t>0310 - 2 - 3.2.2.2.9.0.0.0.3301073.91119 - 41</t>
  </si>
  <si>
    <t>Estampilla Pro Cultura 10% Estímulos</t>
  </si>
  <si>
    <t>Convocatoria y apoyo logístico de proyectos programa departamental de estímulos</t>
  </si>
  <si>
    <t>Evaluación y Seguimiento de proyectos programa departamental de estímulos</t>
  </si>
  <si>
    <t>Cofinanciación de proyectos programa departamental de estímulos</t>
  </si>
  <si>
    <t>Formulación e implementación del Plan de Cultura</t>
  </si>
  <si>
    <t xml:space="preserve">Documentos de lineamientos técnicos </t>
  </si>
  <si>
    <t>Plan Decenal de cultura formulado e implementado</t>
  </si>
  <si>
    <t>Documentos de lineamientos técnicos realizados</t>
  </si>
  <si>
    <t>Abrir espacios de formación en las áreas artísticas y culturales</t>
  </si>
  <si>
    <t>Apoyo técnico en la formulación e implementación del plan decenal de cultura</t>
  </si>
  <si>
    <t>0310 - 2 - 3.2.2.2.9.0.0.0.3301070.91119 - 20</t>
  </si>
  <si>
    <t xml:space="preserve">Servicio de información para el sector artístico y cultural </t>
  </si>
  <si>
    <t>Sistema de información del sector artístico cultural en operación</t>
  </si>
  <si>
    <t xml:space="preserve">Realizar programas de promoción de la producción artística </t>
  </si>
  <si>
    <t xml:space="preserve">Caracterización en sede de artistas cultores y gestores de cada uno de los municipios del departamento del Quindío. </t>
  </si>
  <si>
    <t>0310 - 2 - 3.2.2.2.9.0.0.0.3301099.91119 - 20</t>
  </si>
  <si>
    <t>Servicio de educación formal al sector artístico y cultural</t>
  </si>
  <si>
    <t>Cupos de educación formal ofertados</t>
  </si>
  <si>
    <t xml:space="preserve">Cofinanciar el programa de profesionalización de artistas </t>
  </si>
  <si>
    <t>Apoyo en educación formal al sector artístico y cultural</t>
  </si>
  <si>
    <t>0310 - 2 - 3.2.2.1.3.0.0.0.3301052.32690 - 20</t>
  </si>
  <si>
    <t>Servicios bibliotecarios</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</si>
  <si>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</si>
  <si>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</si>
  <si>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</si>
  <si>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</si>
  <si>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 xml:space="preserve">Realizar procesos de formación y actividades de promoción de lectura
</t>
  </si>
  <si>
    <t>Procesos de formación literaria y actividades de promoción de lectura.</t>
  </si>
  <si>
    <t>0310 - 2 - 3.2.2.2.9.0.0.0.3301085.91119 - 34</t>
  </si>
  <si>
    <t>Estampilla Pro Cultura 10% Bibliotecas</t>
  </si>
  <si>
    <t xml:space="preserve">34
20
83
</t>
  </si>
  <si>
    <t xml:space="preserve">Estampilla Pro cultura 10% biblitecas 
Recurso Ordinario 
Superavid recurso Ordinario 
</t>
  </si>
  <si>
    <t>* Arles Lopez Espinosa 
*Olga Lucia Urrea Moncaleano</t>
  </si>
  <si>
    <t>Juan Manuel Rodriguez Brito 
Secretario de Cultura</t>
  </si>
  <si>
    <t>0310 - 2 - 3.2.2.1.3.0.0.0.3301085.38999 - 34</t>
  </si>
  <si>
    <t>0310 - 2 - 3.2.2.2.9.0.0.0.3301085.91119 - 83</t>
  </si>
  <si>
    <t>Superávit Estampilla Pro Cultura 10% Bibliotecas</t>
  </si>
  <si>
    <t>0310 - 2 - 3.2.2.1.3.0.0.0.3301085.32210 - 20</t>
  </si>
  <si>
    <t>0310 - 2 - 3.2.2.2.9.0.0.0.3301085.91119 - 20</t>
  </si>
  <si>
    <t>0310 - 2 - 3.2.2.2.9.0.0.0.3301085.91119 - 196</t>
  </si>
  <si>
    <t>Nación Actividades de promoción y desarrollo de la cultura</t>
  </si>
  <si>
    <t>Fortalecimiento y dotación de bibliotecas</t>
  </si>
  <si>
    <t>0310 - 2 - 3.2.2.1.4.0.0.0.3301085.45250 - 83</t>
  </si>
  <si>
    <t>0310 - 2 - 3.2.2.1.4.0.0.0.3301085.45250 - 20</t>
  </si>
  <si>
    <t>0310 - 2 - 3.2.2.2.6.0.0.0.3301085.63399 - 20</t>
  </si>
  <si>
    <t>310 - 2 - 3.2.2.2.6.0.0.0.3301085.64119 - 20</t>
  </si>
  <si>
    <t>0310 - 2 - 3.2.2.1.3.0.0.0.3301085.32690 - 20</t>
  </si>
  <si>
    <t>0310 - 2 - 3.2.2.1.4.0.0.0.3301085.45250 - 34</t>
  </si>
  <si>
    <t>Coordinación y apoyo de la Red Departamental de Bibliotecas.</t>
  </si>
  <si>
    <t>Servicio de divulgación y publicaciones</t>
  </si>
  <si>
    <t>330110000</t>
  </si>
  <si>
    <t>Publicaciones realizadas</t>
  </si>
  <si>
    <t>Brindar un mayor acceso a programas y actividades de promoción, circulación y difusión literarios</t>
  </si>
  <si>
    <t xml:space="preserve">Publicación, divulgación y circulación de obras literarias y escritores locales. </t>
  </si>
  <si>
    <t>0310 - 2 - 3.2.2.1.3.0.0.0.3301100.32210 - 34</t>
  </si>
  <si>
    <t>0310 - 2 - 3.2.2.2.9.0.0.0.3301100.91119 - 20</t>
  </si>
  <si>
    <t>0310 - 2 - 3.2.2.2.9.0.0.0.3301100.91124 - 20</t>
  </si>
  <si>
    <t>0310 - 2 - 3.2.2.1.3.0.0.0.3301100.32210 - 83</t>
  </si>
  <si>
    <t xml:space="preserve">Ejecución plan de medios (radio, prensa, revistas, television, portal web, redes sociales, ooh) revisión y desarrollo de la estrategia de comunicación </t>
  </si>
  <si>
    <t>Servicio de asistencia técnica en gestión artística y cultural</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</si>
  <si>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</si>
  <si>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</si>
  <si>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</si>
  <si>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</si>
  <si>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 xml:space="preserve">Apoyar a los artistas Beneficios periódicos para los artistas
</t>
  </si>
  <si>
    <t>Giros anuales al fondo de pensiones Colpensiones de acuerdo al recaudo y comportamiento de la estampilla procultura</t>
  </si>
  <si>
    <t>0310 - 2 - 3.2.2.2.9.0.0.0.3301095.91119 - 33</t>
  </si>
  <si>
    <t>Estampilla Pro Cultura 10% Seguridad Social</t>
  </si>
  <si>
    <t>SUPERÁVIT ESTAMPILLA PRO CULTURA 10% Beps</t>
  </si>
  <si>
    <t xml:space="preserve">* Arles Lopez Espinosa </t>
  </si>
  <si>
    <t>0310 - 2 - 3.2.2.2.9.0.0.0.3301095.91119 - 20</t>
  </si>
  <si>
    <t>0310 - 2 - 3.2.2.2.9.0.0.0.3301095.91119 - 83</t>
  </si>
  <si>
    <t>Superávit Estampilla Pro Cultura 10% Beps</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</si>
  <si>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</si>
  <si>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</si>
  <si>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</si>
  <si>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</si>
  <si>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</si>
  <si>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</si>
  <si>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Incrementar la oferta diversificada, pertinente y de calidad en todas las áreas culturales, para el desarrollo del
talento, la creación y la gestión, dirigida al fortalecimiento del PCC</t>
  </si>
  <si>
    <t>Apoyo técnico a proyectos y/o actividades de patrimonio cultural y PCC.</t>
  </si>
  <si>
    <t>0310 - 2 - 3.2.2.2.9.0.0.0.3302042.91119 - 20</t>
  </si>
  <si>
    <t xml:space="preserve">* Monica Andrea Rodriguez </t>
  </si>
  <si>
    <t>Juan Manuel Rodriguez Brito  
Secretario de Cultura</t>
  </si>
  <si>
    <t>Investigación, divulgación y publicación del patrimonio cultural</t>
  </si>
  <si>
    <t>330207000</t>
  </si>
  <si>
    <t>Suficientes declaratorias de bienes de interés patrimonial material e inmaterial.</t>
  </si>
  <si>
    <t>0310 - 2 - 3.2.2.2.9.0.0.0.3302070.91119 - 20</t>
  </si>
  <si>
    <t>0310 - 2 - 3.2.2.1.3.0.0.0.3302070.32210 - 47</t>
  </si>
  <si>
    <t>IVATelefonía Móvil</t>
  </si>
  <si>
    <t>0310 - 2 - 3.2.2.2.9.0.0.0.3302070.91119 - 47</t>
  </si>
  <si>
    <t>0310 - 2 - 3.2.2.2.9.0.0.0.3302070.91119 - 93</t>
  </si>
  <si>
    <t>Superavit Iva Telefonía Móvil</t>
  </si>
  <si>
    <t>SEGUIMIENTO PLAN DE ACCIÓN SECRETARIA  AGUAS E INFRAESTRUCTURA    AÑO: DICIEMBRE 31 / 2021</t>
  </si>
  <si>
    <t>PLAN DE DESARROLLO DEPARTAMENTAL: "TU Y YO SOMOS QUINDÍO" 2020-2023</t>
  </si>
  <si>
    <t xml:space="preserve">INCLUSIÓN SOCIAL Y EQUIDAD </t>
  </si>
  <si>
    <t>Justicia y del derecho</t>
  </si>
  <si>
    <t>Promoción al acceso a la justicia. "Tú y yo con justicia"</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</si>
  <si>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</si>
  <si>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</si>
  <si>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</si>
  <si>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</si>
  <si>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</si>
  <si>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</si>
  <si>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</si>
  <si>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Aumentar los procesos de mantenimiento, mejoramiento y construcción de las instituciones de seguridad del estado </t>
  </si>
  <si>
    <t>Construir, mejorar y/o rehabilitar la   infraestructura física de las instituciones publicas y/o de seguridad y justicia del Estado en el departamento.</t>
  </si>
  <si>
    <t>0308 - 2 - 3.2.2.2.5.0.0.0.1202019.54129 - 20</t>
  </si>
  <si>
    <t>Ordinario</t>
  </si>
  <si>
    <t>Ordinarios</t>
  </si>
  <si>
    <t>CARLOS ANDRES PELAEZ ALZATE</t>
  </si>
  <si>
    <t>Secretario de Aguas e Infraestructura, Directores y Jefes</t>
  </si>
  <si>
    <t>Prestación de servicios profesionales a la supervisión de obras físicas y procesos que se adelanten en cumplimiento del proyecto.</t>
  </si>
  <si>
    <t xml:space="preserve">Construcción y/o mejoramiento </t>
  </si>
  <si>
    <t>0308 - 2 - 3.2.2.2.5.0.0.0.1202019.54129 - 88</t>
  </si>
  <si>
    <t>Salud y protección social</t>
  </si>
  <si>
    <t>Aseguramiento y Prestación integral de servicios de salud "Tú y yo con servicios de salud"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</si>
  <si>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</si>
  <si>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</si>
  <si>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</si>
  <si>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</si>
  <si>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</si>
  <si>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</si>
  <si>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Aumentar el proceso de mantenimiento, mejoramiento y construcción de las instituciones de Salud del Departamento</t>
  </si>
  <si>
    <t>Servicio  de Mano de obra calificada y/o no calificada necesaria  para el mejoramiento de la infraestructura física de las instituciones de salud publica y bienestar social en el departamento</t>
  </si>
  <si>
    <t>0308 - 2 - 3.2.2.2.5.0.0.0.1906015.54129 - 20</t>
  </si>
  <si>
    <t>20
88</t>
  </si>
  <si>
    <t>Ordinario
Superávit Recurso Ordinario</t>
  </si>
  <si>
    <t>Construir, mejorar y/o rehabilitar la   infraestructura física de las instituciones de salud publica y bienestar social en el departamento</t>
  </si>
  <si>
    <t>0308 - 2 - 3.2.2.2.5.0.0.0.1906015.54129 - 88</t>
  </si>
  <si>
    <t>Educación</t>
  </si>
  <si>
    <t>Calidad, cobertura y fortalecimiento de la educación inicial, prescolar, básica y media." Tú y yo con educación y  calidad"</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</si>
  <si>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</si>
  <si>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</si>
  <si>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</si>
  <si>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</si>
  <si>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</si>
  <si>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</si>
  <si>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</si>
  <si>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 xml:space="preserve">contar con espacios adecuados para una formación integral </t>
  </si>
  <si>
    <t>Prestación de Servicios de Asistencia Profesional a la supervisión en la vigilancia, seguimiento y control jurídico de los contratos suscritos en cumplimiento del proyecto.</t>
  </si>
  <si>
    <t>0308 - 2 - 3.2.2.2.5.0.0.0.2201062.54129 - 04</t>
  </si>
  <si>
    <t>04</t>
  </si>
  <si>
    <t xml:space="preserve">Estampilla pro desarrollo </t>
  </si>
  <si>
    <t>Estampilla Pro Desarrollo</t>
  </si>
  <si>
    <t>0308 - 2 - 3.2.2.2.9.0.0.0.2201062.91119 - 04</t>
  </si>
  <si>
    <t>Apoyo a la Supervisión en la vigilancia, seguimiento y control jurídico a los procesos y contratos de obra física en ejecución suscritos por el Departamento en cumplimiento del proyecto educativa del Departamento del Quindío.</t>
  </si>
  <si>
    <t>Seguimiento y control administrativo y financiero de las obras y contratos suscritos y en ejecución por el Departamento en cumplimiento del proyecto educativo del Departamento del Quindío.</t>
  </si>
  <si>
    <t>Prestación de Servicios de Asistencia Profesional a la Supervisión de obras físicas y procesos que se adelanten en cumplimiento del proyecto.</t>
  </si>
  <si>
    <t>Prestación de Servicios de Apoyo Técnico a la supervisión de obras físicas y procesos que se adelanten en cumplimiento del proyecto.</t>
  </si>
  <si>
    <t>Apoyo técnico a la Supervisión, en la vigilancia, seguimiento y control de las obras y contratos suscritos, para mantener la infraestructura educativa del Departamento del Quindío.</t>
  </si>
  <si>
    <t>Suministro y/o compraventa de materiales, elementos y equipos necesarios para la ejecución de proyectos en infraestructura educativa</t>
  </si>
  <si>
    <t>0308 - 2 - 3.2.2.1.1.0.0.0.2201062.15311 - 04</t>
  </si>
  <si>
    <t>0308 - 2 - 3.2.2.1.3.0.0.0.2201062.37440 - 04</t>
  </si>
  <si>
    <t>0308 - 2 - 3.2.2.1.4.0.0.0.2201062.42190 - 04</t>
  </si>
  <si>
    <t>0308 - 2 - 3.2.2.1.4.0.0.0.2201062.42999 - 04</t>
  </si>
  <si>
    <t>Servicio de transporte para el desplazamiento del personal y materiales a las obras físicas</t>
  </si>
  <si>
    <t>0308 - 2 - 3.2.2.2.6.0.0.0.2201062.64119 - 04</t>
  </si>
  <si>
    <t>Construcción y/o mejoramiento y/o mantenimiento y/o reforzamiento de infraestructura educativa en el Departamento del Quindío</t>
  </si>
  <si>
    <t>Interventoría integral para los contratos que se adelanten en infraestructura educativa</t>
  </si>
  <si>
    <t xml:space="preserve">Mano de obra calificada y/o no calificada necesaria para la ejecución de obras físicas de las instituciones educativas </t>
  </si>
  <si>
    <t>3301068</t>
  </si>
  <si>
    <t>Servicio de mantenimiento de infraestructura cultural</t>
  </si>
  <si>
    <t>330106800</t>
  </si>
  <si>
    <t>Infraestructura cultural intervenida</t>
  </si>
  <si>
    <t>202000363-0051</t>
  </si>
  <si>
    <t xml:space="preserve">Mantenimiento de la infraestructura cultural en el departamento del Quindío  </t>
  </si>
  <si>
    <t>Realizar mantenimiento de la  infraestructura cultural, para fortalecer los espacios de los artistas y gestores culturales dedicados a la creación, promoción y divulgación de actividades en el Departamento del Quindío.</t>
  </si>
  <si>
    <t>Mejorar espacios para el aprendizaje y práctica cultural</t>
  </si>
  <si>
    <t>Mano de obra calificada y/o no calificada necesaria para la ejecución de obras físicas de mantenimiento y/o mejoramiento y/o rehabilitación y/o atención de la infraestructura social y Cultural del Departamento del Quindío</t>
  </si>
  <si>
    <t>0308 - 2 - 3.2.2.2.5.0.0.0.3301068.54129 - 20</t>
  </si>
  <si>
    <t>Seguimiento y control de obras físicas y procesos que se adelanten en cumplimiento del proyecto.</t>
  </si>
  <si>
    <t>Suministro y/o compraventa de materiales, elementos y  equipos necesarios para la ejecución del proyectos</t>
  </si>
  <si>
    <t>0308 - 2 - 3.2.2.1.3.0.0.0.3301068.37440- 20</t>
  </si>
  <si>
    <t>0308 - 2 - 3.2.2.1.4.0.0.0.3301068.42999 - 20</t>
  </si>
  <si>
    <t>0308 - 2 - 3.2.2.1.1.0.0.0.3301068.15311 - 20</t>
  </si>
  <si>
    <t>0308 - 2 - 3.2.2.1.4.0.0.0.3301068.42190 - 20</t>
  </si>
  <si>
    <t>Construcción, mantenimiento, mejoramiento y/o rehabilitación de la infraestructura cultural en el Departamento del Quindío</t>
  </si>
  <si>
    <t>0308 - 2 - 3.2.2.2.5.0.0.0.3301068.54129 - 88</t>
  </si>
  <si>
    <t>Deporte y recreación</t>
  </si>
  <si>
    <t>Fomento a la recreación, la actividad física y el deporte para desarrollar entornos de convivencia y paz "Tú y yo en la recreación y en deporte"</t>
  </si>
  <si>
    <t xml:space="preserve">Infraestructura  deportiva y/o recreativa con procesos   constructivos ,  mejorados,  ampliados,  mantenidos,   reforzados </t>
  </si>
  <si>
    <t>Servicio de mantenimiento a la infraestructura deportiva</t>
  </si>
  <si>
    <t xml:space="preserve">Infraestructura   deportiva y/o recreativa construida  mejorada,  ampliada,  mantenida y/o  reforzada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</si>
  <si>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</si>
  <si>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</si>
  <si>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</si>
  <si>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</si>
  <si>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Mejorar las condiciones para la recreación y la práctica deportiva</t>
  </si>
  <si>
    <t>0308 - 2 - 3.2.2.2.5.0.0.0.4301004.54129 - 04</t>
  </si>
  <si>
    <t>04
82</t>
  </si>
  <si>
    <t>Estampilla pro desarrollo 
Superávit Estampilla Pro-Desarrollo</t>
  </si>
  <si>
    <t>Estampilla Pro Desarrollo
Superávit Estampilla Pro-Desarrollo</t>
  </si>
  <si>
    <t>0308 - 2 - 3.2.2.2.6.0.0.0.4301004.64119 - 04</t>
  </si>
  <si>
    <t>Suministro y/o compraventa de materiales, elementos y equipos necesarios para la realización de proyectos en infraestructura deportiva.</t>
  </si>
  <si>
    <t>0308 - 2 - 3.2.2.1.4.0.0.0.4301004.42999 - 04</t>
  </si>
  <si>
    <t>0308 - 2 - 3.2.2.1.1.0.0.0.4301004.15311 - 04</t>
  </si>
  <si>
    <t>0308 - 2 - 3.2.2.1.3.0.0.0.4301004.37440 - 04</t>
  </si>
  <si>
    <t>0308 - 2 - 3.2.2.1.4.0.0.0.4301004.42190 - 04</t>
  </si>
  <si>
    <t>Prestación de Servicios de Asistencia Profesional a la supervisión en la vigilancia, seguimiento y control jurídico de los contratos suscritos en cumplimiento del proyecto</t>
  </si>
  <si>
    <t>0308 - 2 - 3.2.2.2.9.0.0.0.4301004.91119 - 04</t>
  </si>
  <si>
    <t>Seguimiento y control administrativo y financiero de las obras y contratos suscritos y en ejecución de proyectos deportivos por el Departamento</t>
  </si>
  <si>
    <t>0308 - 2 - 3.2.2.2.5.0.0.0.4301004.54270 - 82</t>
  </si>
  <si>
    <t>Mano de obra calificada y/o no calificada necesaria para la ejecución de obras físicas de mantenimiento y/o mejoramiento y/o rehabilitación y/o atención de la infraestructura deportiva del Departamento del Quindío</t>
  </si>
  <si>
    <t xml:space="preserve">Construcción, mejoramiento, mantenimiento y/o reforzamiento de infraestructura deportiva y recreativa en el Departamento del Quindío </t>
  </si>
  <si>
    <t>0308 - 2 - 3.2.1.1.1.2.11.0.4301004.53270 - 04</t>
  </si>
  <si>
    <t>0308 - 2 - 3.2.1.1.1.2.11.0.4301004.53270 - 82</t>
  </si>
  <si>
    <t>Interventoría integral para los contratos que se adelanten en infraestructura deportiva</t>
  </si>
  <si>
    <t>0308 - 2 - 3.2.2.2.5.0.0.0.4301004.54270 - 04</t>
  </si>
  <si>
    <t>Estudios y diseños</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</si>
  <si>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</si>
  <si>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</si>
  <si>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</si>
  <si>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</si>
  <si>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</si>
  <si>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</si>
  <si>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</si>
  <si>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</si>
  <si>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</si>
  <si>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</si>
  <si>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Atender las emergencias y mejorar las vías del Departamento</t>
  </si>
  <si>
    <t>Prestación de Servicios de apoyo a la gestión para la operación de maquinaria pesada, vehículos y equipos</t>
  </si>
  <si>
    <t>0308 - 2 - 3.2.2.2.5.0.0.0.2402022.54221 - 20</t>
  </si>
  <si>
    <t>20
88
56</t>
  </si>
  <si>
    <t>Ordinario
Superávit Recurso Ordinario
Cofinanciación Convenios Interadministrativos</t>
  </si>
  <si>
    <t>LUIS FELIPE ZULUAGA PUERTA</t>
  </si>
  <si>
    <t>Construir, mejorar y/o rehabilitar la infraestructura en puentes del Departamento</t>
  </si>
  <si>
    <t xml:space="preserve">Prestación de servicios para la supervisión de obras físicas y procesos que se adelanten en cumplimiento del proyecto </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</si>
  <si>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</si>
  <si>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</si>
  <si>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</si>
  <si>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</si>
  <si>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Suministro y/o compraventa de materiales y elementos</t>
  </si>
  <si>
    <t>0308 - 2 - 3.2.2.2.5.0.0.0.2402041.54211 - 20</t>
  </si>
  <si>
    <t>0308-2-3.2.2.1.4.0.0.0.2402041.42999-56</t>
  </si>
  <si>
    <t>0308-2-3.2.2.1.1.0.0.0.2402041.15320-56</t>
  </si>
  <si>
    <t>0308 - 2 - 3.2.2.1.3.0.0.0.2402041.37440 - 20</t>
  </si>
  <si>
    <t>0308 - 2 - 3.2.2.1.4.0.0.0.2402041.42190 - 20</t>
  </si>
  <si>
    <t>0308 - 2 - 3.2.2.1.4.0.0.0.2402041.42999 - 20</t>
  </si>
  <si>
    <t>0308 - 2 - 3.2.2.1.1.0.0.0.2402041.15311 - 20</t>
  </si>
  <si>
    <t>Prestación de Servicios Profesionales para la Dirección y la Coordinación de la maquinaria</t>
  </si>
  <si>
    <t>Prestación de Servicios Profesionales y/o especializada en la supervisión, vigilancia, seguimiento y control jurídico de los contratos suscritos en cumplimiento del proyecto</t>
  </si>
  <si>
    <t>0308 - 2 - 3.2.2.2.9.0.0.0.2402041.91119 - 20</t>
  </si>
  <si>
    <t>Apoyo a la Supervisión en la vigilancia, seguimiento y control jurídico a los procesos y contratos de obra física en ejecución y suscritos por el Departamento en cumplimiento del proyecto</t>
  </si>
  <si>
    <t>Mano de obra calificada y/o no calificada necesaria para la ejecución de obras físicas de mantenimiento, mejoramiento  de las vías y sus emergencia en cumplimiento del Plan Vial del Departamento del Quindío.</t>
  </si>
  <si>
    <t>0308 - 2 - 3.2.2.2.5.0.0.0.2402041.54211 - 56</t>
  </si>
  <si>
    <t>Prestación de servicios Profesionales y/o técnica y/o apoyo a la gestión para la supervisión en la vigilancia y seguimiento y control Financiero y Administrativo de los contratos suscritos en cumplimiento del proyecto.</t>
  </si>
  <si>
    <t xml:space="preserve">Construcción y/o Mantenimiento y/o mejoramiento y/o rehabilitación y/o atención de las vías secundarias y terciarias en el departamento </t>
  </si>
  <si>
    <t xml:space="preserve">Prestación de servicios de apoyo técnico a la supervisión de obras físicas y procesos que se adelanten en cumplimiento del proyecto </t>
  </si>
  <si>
    <t>Apoyo logístico para la intervención de la infraestructura vial</t>
  </si>
  <si>
    <t>0308 - 2 - 3.2.2.2.9.0.0.0.2402041.91119 - 56</t>
  </si>
  <si>
    <t>Suministro de combustible para la maquinaria pesada, vehículos y equipos menores</t>
  </si>
  <si>
    <t>0308 - 2 - 3.2.2.2.5.0.0.0.2402041.33311 - 20</t>
  </si>
  <si>
    <t>0308-2-3.2.2.2.5.0.0.0.2402041.33311-56</t>
  </si>
  <si>
    <t>Mantenimiento preventivo y correctivo, incluyendo repuestos e instalación para maquinaria pesada del departamento</t>
  </si>
  <si>
    <t>0308 - 2 - 3.2.1.1.3.2.8.0.0.2402041.87156 - 20</t>
  </si>
  <si>
    <t>0308-2.3.2.1.1.3.2.8.0.2402041.87156-56</t>
  </si>
  <si>
    <t xml:space="preserve">Servicio de transporte para el desplazamiento del personal y materiales a las obras físicas en cumplimiento del proyecto </t>
  </si>
  <si>
    <t>0308 - 2 - 3.2.2.2.6.0.0.0.2402041.64119 - 20</t>
  </si>
  <si>
    <t>Suministro de aceites y lubricantes</t>
  </si>
  <si>
    <t>0308-2-3.2.2.1.3.0.0.0.2402041.33380-56</t>
  </si>
  <si>
    <t>Compra de maquinaria de construcción</t>
  </si>
  <si>
    <t>0308 - 2 - 3.2.1.1.3.2.4.0.2402041.44424 - 88</t>
  </si>
  <si>
    <t>Estudios y diseños de infraestructura vial</t>
  </si>
  <si>
    <t>Estudios de preinversión para la red vial regional</t>
  </si>
  <si>
    <t>Estudios y diseños de infraestructura vial elaborado.</t>
  </si>
  <si>
    <t>Estudios de preinversión realizados.</t>
  </si>
  <si>
    <t>202000363-0054</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</si>
  <si>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</si>
  <si>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</si>
  <si>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 xml:space="preserve">Mejoramiento de la red vial del Departamento </t>
  </si>
  <si>
    <t>Prestación de servicios  profesionales y/o especializados y/o técnicos para la elaboración de estudios y diseños de infraestructura vial</t>
  </si>
  <si>
    <t>0308 - 2 - 3.2.2.2.9.0.0.0.2402118.91134 - 20</t>
  </si>
  <si>
    <t>Ordenamiento Ambiental Territorial. "Tú y yo planificamos con sentido ambiental"</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</si>
  <si>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</si>
  <si>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</si>
  <si>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</si>
  <si>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</si>
  <si>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</si>
  <si>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</si>
  <si>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 xml:space="preserve">Atender oportunamente  en la mitigación y atención de desastres viales </t>
  </si>
  <si>
    <t>Prestación de Servicios  Profesionales y/o especializada en la supervisión, vigilancia, seguimiento y control jurídico de los contratos suscritos en cumplimiento del proyecto.</t>
  </si>
  <si>
    <t>0308 - 2 - 3.2.2.2.5.0.0.0.3205010.53211 - 20</t>
  </si>
  <si>
    <t>0308 - 2 - 3.2.2.2.9.0.0.0.3205010.91119 - 20</t>
  </si>
  <si>
    <t xml:space="preserve">Apoyo a la Supervisión en la vigilancia, seguimiento y control jurídico a los procesos  y contratos de obra física en ejecución y suscritos por el Departamento en cumplimiento del proyecto </t>
  </si>
  <si>
    <t>Prestación de servicios Profesionales y/o técnica y/o apoyo a la gestión para  la supervisión en la vigilancia y seguimiento y control  Financiero y Administrativo de los contratos suscritos en cumplimiento del proyecto.</t>
  </si>
  <si>
    <t>Prestación de servicios profesionales y/o especializados y/o técnicos para el Seguimiento y control de obras físicas y procesos que se adelanten en cumplimiento del proyecto.</t>
  </si>
  <si>
    <t xml:space="preserve">Construcción y/o mejoramiento y/o rehabilitación de obras para la estabilización de taludes </t>
  </si>
  <si>
    <t>0308 - 2 - 3.2.2.2.5.0.0.0.3205010.53211 - 88</t>
  </si>
  <si>
    <t>0308 - 2 - 3.2.2.2.5.0.0.0.3205010.33311 - 20</t>
  </si>
  <si>
    <t xml:space="preserve">Mano de obra calificada y/o no calificada necesaria para la construcción, mantenimiento y/o mejoramiento de obras de estabilización de taludes en el Departamento del Quindío </t>
  </si>
  <si>
    <t xml:space="preserve">Suministro y/o compraventa de materiales y elementos </t>
  </si>
  <si>
    <t>0308 - 2 - 3.2.2.1.4.0.0.0.3205010.42999 - 20</t>
  </si>
  <si>
    <t>0308 - 2 - 3.2.2.1.1.0.0.0.3205010.15311 - 20</t>
  </si>
  <si>
    <t>0308 - 2 - 3.2.2.1.3.0.0.0.3205010.37440 - 20</t>
  </si>
  <si>
    <t>0308 - 2 - 3.2.2.1.4.0.0.0.3205010.42190 - 20</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</si>
  <si>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</si>
  <si>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</si>
  <si>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</si>
  <si>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</si>
  <si>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</si>
  <si>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0308 - 2 - 3.2.2.1.4.0.0.0.3205021.42999 - 20</t>
  </si>
  <si>
    <t>0308 - 2 - 3.2.2.1.3.0.0.0.3205021.37440 - 20</t>
  </si>
  <si>
    <t>0308 - 2 - 3.2.2.1.1.0.0.0.3205021.15311 - 20</t>
  </si>
  <si>
    <t>0308 - 2 - 3.2.2.1.4.0.0.0.3205021.42190 - 20</t>
  </si>
  <si>
    <t xml:space="preserve">Mano de obra calificada y/o no calificada necesaria para la ejecución de obras de infraestructura en cumplimiento del proyecto Construcción, mantenimiento y/o mejoramiento de obras de infraestructura  para la mitigación y atención de desastres en los municipios del departamento del Quindío  </t>
  </si>
  <si>
    <t>0308 - 2 - 3.2.2.2.5.0.0.0.3205021.53211 - 20</t>
  </si>
  <si>
    <t>0308 - 2 - 3.2.2.2.5.0.0.0.3205021.53211 - 88</t>
  </si>
  <si>
    <t>0308 - 2 - 3.2.2.2.5.0.0.0.3205021.33311 - 20</t>
  </si>
  <si>
    <t>0308 - 2 - 3.2.2.2.5.0.0.0.3205021.33311 - 89</t>
  </si>
  <si>
    <t>Superávit recurso ACPM</t>
  </si>
  <si>
    <t xml:space="preserve">Servicio de revisión técnico mecánica y de gases para la maquinaria pesada </t>
  </si>
  <si>
    <t>Mantenimiento preventivo y correctivo, incluyendo repuestos e instalación para la maquinaria pesada del departamento</t>
  </si>
  <si>
    <t>0308 - 2 - 3.2.1.1.3.2.8.0.0.3205021.87156 - 20</t>
  </si>
  <si>
    <t xml:space="preserve">Prestación de servicios profesionales para la dirección y la coordinación de la maquinaria </t>
  </si>
  <si>
    <t xml:space="preserve">Construcción , mantenimiento y/o mejoramiento de obras de infraestructura para la mitigación y atención de desastres </t>
  </si>
  <si>
    <t xml:space="preserve">Estudios y diseños técnicos de vulnerabilidad </t>
  </si>
  <si>
    <t>servicio de transporte para desplazamiento de la maquinaria amarilla y equipos del Departamento</t>
  </si>
  <si>
    <t>0308 - 2 - 3.2.2.2.6.0.0.0.3205021.65119 - 88</t>
  </si>
  <si>
    <t>Servicios de vigilancia en puntos aleatorios para el funcionamiento de la maquinaria y equipos del Departamento</t>
  </si>
  <si>
    <t>0308 - 2 - 3.2.2.2.5.0.0.0.3205021.85250 - 88</t>
  </si>
  <si>
    <t xml:space="preserve">Superávit recurso ordinario </t>
  </si>
  <si>
    <t>0308 - 2 - 3.2.2.2.5.0.0.0.3205021.85250 - 20</t>
  </si>
  <si>
    <t>Vivienda, Ciudad y Territorio</t>
  </si>
  <si>
    <t>Acceso a soluciones de vivienda. "Tú y yo con vivienda digna"</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</si>
  <si>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</si>
  <si>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</si>
  <si>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</si>
  <si>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</si>
  <si>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</si>
  <si>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</si>
  <si>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Disminuir el número de viviendas con déficit cualitativo en la zona urbana</t>
  </si>
  <si>
    <t>Mejoramiento de vivienda de interés social en el Departamento del Quindío</t>
  </si>
  <si>
    <t>0308 - 2 - 3.2.2.2.5.0.0.0.4001015.54112 - 20</t>
  </si>
  <si>
    <t>0308 - 2 - 3.2.2.2.5.0.0.0.4001015.54112 - 04</t>
  </si>
  <si>
    <t>Estampilla pro desarrollo (04)</t>
  </si>
  <si>
    <t>Estampilla pro desarrollo</t>
  </si>
  <si>
    <t xml:space="preserve">LIDERAZGO, GOBERNABILIDAD Y TRANSPARENCIA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</si>
  <si>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</si>
  <si>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</si>
  <si>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</si>
  <si>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</si>
  <si>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</si>
  <si>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</si>
  <si>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mejorar y adecuar los edificios publico para el buen servicio de las administración</t>
  </si>
  <si>
    <t xml:space="preserve">Suministro y/o compraventa de materiales  y  elementos  necesarios para el  mantenimiento de la infraestructura institucional o edificios públicos en el Departamento del Quindío </t>
  </si>
  <si>
    <t>0308 - 2 - 3.2.2.1.4.0.0.0.45099016.42999 - 20</t>
  </si>
  <si>
    <t>0308 - 2 - 3.2.2.1.3.0.0.0.4599016.37440 - 20</t>
  </si>
  <si>
    <t>0308 - 2 - 3.2.2.1.1.0.0.0.4599016.15311 - 20</t>
  </si>
  <si>
    <t>0308 - 2 - 3.2.2.1.3.0.0.0.4599016.42190 - 20</t>
  </si>
  <si>
    <t>Apoyo técnico a la supervisión de obras físicas y procesos que se adelanten en cumplimiento del proyecto</t>
  </si>
  <si>
    <t>0308 - 2 - 3.2.2.2.5.0.0.0.4599016.54129 - 20</t>
  </si>
  <si>
    <t>Prestación de Mano de obra calificada y/o no calificada necesaria para el mantenimiento de la infraestructura institucional o edificios públicos en el Departamento del Quindío</t>
  </si>
  <si>
    <t>Construcción y/o mejoramiento y/o mantenimiento y/o reforzamiento de infraestructura institucional o edificios públicos en el Departamento del Quindío</t>
  </si>
  <si>
    <t>0308 - 2 - 3.2.2.2.5.0.0.0.4599016.54129 - 20 </t>
  </si>
  <si>
    <t>0308 - 2 - 3.2.2.2.5.0.0.0.4599016.54129 - 88</t>
  </si>
  <si>
    <t>Salones comunales adecuados</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</si>
  <si>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</si>
  <si>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</si>
  <si>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</si>
  <si>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Construir, mejorar y/o habilitar los equipamientos colectivos para el desarrollo comunitario, culturar en el Departamento del Quindío</t>
  </si>
  <si>
    <t>Prestación  de mano de obra calificada y/o no calificada necesaria para la construcción y/o adecuación  de casetas comunales.</t>
  </si>
  <si>
    <t>0308 - 2 - 3.2.2.2.5.0.0.0.4502003.54129 - 20</t>
  </si>
  <si>
    <t>Construcción, mantenimiento, mejoramiento y/o rehabilitación de casetas comunales.</t>
  </si>
  <si>
    <t>TERRITORIO, AMBIENTE Y DESARROLLO SOSTENIBLE</t>
  </si>
  <si>
    <t>Acceso de la población a los servicios de agua potable y saneamiento básico. "Tú y yo con calidad del agua"</t>
  </si>
  <si>
    <t>4003018</t>
  </si>
  <si>
    <t>Alcantarillados construidos</t>
  </si>
  <si>
    <t>Plantas de tratamiento de aguas residuales  construidas</t>
  </si>
  <si>
    <t>202000363-0014</t>
  </si>
  <si>
    <t>Implementación del Plan departamental para el manejo empresarial de los servicios de agua y saneamiento básico en el departamento del Quindío.</t>
  </si>
  <si>
    <t>Implementar estrategias de planeación y coordinación interinstitucional para el manejo de los esquemas de abastecimiento y prestación de los servicios de agua y saneamiento urbanos y rurales</t>
  </si>
  <si>
    <t>Articular recursos, planificación e inversión en agua y saneamiento básico.</t>
  </si>
  <si>
    <t>0308 - 2 - 3.2.2.2.5.0.0.0.4003018.53253 - 27</t>
  </si>
  <si>
    <t xml:space="preserve">
S.G.P. Agua Potable y Saneamiento Básico</t>
  </si>
  <si>
    <t>Mónica María Camacho Valladares
Directora de Aguas y Saneamiento Básico</t>
  </si>
  <si>
    <t>4003025</t>
  </si>
  <si>
    <t>Servicios de apoyo financiero para la ejecución de proyectos de acueductos y alcantarillado</t>
  </si>
  <si>
    <t>Proyectos de acueducto y alcantarillado en área urbana financiados</t>
  </si>
  <si>
    <t>0308 - 2 - 3.2.2.2.5.0.0.0.4003025.53253 - 27</t>
  </si>
  <si>
    <t>0308 - 2 - 3.2.2.2.5.0.0.0.4003025.53253 - 04</t>
  </si>
  <si>
    <t>0308 - 2 - 3.2.2.2.5.0.0.0.4003025.53253 - 82</t>
  </si>
  <si>
    <t>82</t>
  </si>
  <si>
    <t>Superávit estampilla pro desarrollo</t>
  </si>
  <si>
    <t>0308 - 2 - 3.2.2.2.5.0.0.0.4003025.53253 - 90</t>
  </si>
  <si>
    <t>90</t>
  </si>
  <si>
    <t>superávit SGP agua potable y saneamiento básico</t>
  </si>
  <si>
    <t>Superávit SGP Agua Potable y Saneamiento Básico</t>
  </si>
  <si>
    <t>4003026</t>
  </si>
  <si>
    <t>Servicios de apoyo financiero para la ejecución de proyectos de acueductos y de manejo de aguas residuales</t>
  </si>
  <si>
    <t>Proyectos de acueducto y de manejo de aguas residuales en área rural financiados</t>
  </si>
  <si>
    <t>0308 - 2 - 3.2.2.2.5.0.0.0.4003026.53253 - 27</t>
  </si>
  <si>
    <t>4003028</t>
  </si>
  <si>
    <t>Servicios de educación informal en agua potable y saneamiento básico</t>
  </si>
  <si>
    <t>Eventos de educación informal en agua y saneamiento básico realizados</t>
  </si>
  <si>
    <t>0308 - 2 - 3.2.2.2.9.0.0.0.4003028.91123 - 27</t>
  </si>
  <si>
    <t>Estudios de pre inversión e inversión</t>
  </si>
  <si>
    <t xml:space="preserve">Estudios o diseños realizados </t>
  </si>
  <si>
    <t>0308 - 2 - 3.2.2.2.5.0.0.0.4003042.54253 - 27</t>
  </si>
  <si>
    <t xml:space="preserve">Adoptar e implementar la Política Publica de Producción Consumo Sostenible y Gestión Integral de Aseo  </t>
  </si>
  <si>
    <t>Documentos de planeación.</t>
  </si>
  <si>
    <t>Política Pública de Producción Consumo Sostenible y Gestión Integral de Aseo  adoptada e implementada.</t>
  </si>
  <si>
    <t>Documentos de planeación elaborados.</t>
  </si>
  <si>
    <t>0308 - 2 - 3.2.2.2.9.0.0.0.4003006.91123 - 27</t>
  </si>
  <si>
    <t xml:space="preserve">PRODUCTIVIDAD Y COMPETITIVIDAD </t>
  </si>
  <si>
    <t>Comercio, Industria y Turismo</t>
  </si>
  <si>
    <t xml:space="preserve">Productividad y competitividad de las empresas colombianas. </t>
  </si>
  <si>
    <t>Servicio de asistencia técnica a los entes territoriales para el desarrollo turístico</t>
  </si>
  <si>
    <t>Proyectos de infraestructura turística apoyados</t>
  </si>
  <si>
    <t>202100363-0020</t>
  </si>
  <si>
    <t>Mejoramiento casa del artesano del municipio de Filandia en el departamento del Quindío</t>
  </si>
  <si>
    <t>Diseñar una propuesta turística que mejore la infraestructura de la casa del artesano  como oferta de 
diversificación que permita aprovechar las oportunidades económicas actuales del sector..</t>
  </si>
  <si>
    <t>Identificar la oportunidad de ingreso económico de un sistema turístico mediante el mejoramiento de la infraestructura que permita determinar la demanda, las características y las necesidades de los clientes, con la finalidad de establecer las posibilidades de diversificación en la oferta turística de la región.</t>
  </si>
  <si>
    <t xml:space="preserve">suministro y/o compraventa de materiales y elementos necesarios para ejecución del proyecto </t>
  </si>
  <si>
    <t>0308 - 2 - 3.2.2.2.5.0.0.0.3502039.54129 - 88</t>
  </si>
  <si>
    <t>Secretario de Aguas e Infraestructura</t>
  </si>
  <si>
    <t>SEGUIMIENTO PLAN DE ACCIÓN 
SECRETARIA DE EDUCACIÓN 
DICIEMBRE 31 DE 2021</t>
  </si>
  <si>
    <t xml:space="preserve">Código:  </t>
  </si>
  <si>
    <t xml:space="preserve">Versión: </t>
  </si>
  <si>
    <t>O9</t>
  </si>
  <si>
    <t xml:space="preserve">Fecha: </t>
  </si>
  <si>
    <t>Pagina:</t>
  </si>
  <si>
    <t>PLAN DE DESARROLLO DEPARTAMENTAL: TÚ YO SOMOS QUINDIO 2020-2023</t>
  </si>
  <si>
    <t xml:space="preserve">CONTRATOS </t>
  </si>
  <si>
    <t>FECHA DE TERMINACIÓN 
(dd/mm/aaaa)</t>
  </si>
  <si>
    <t xml:space="preserve">META FISICA </t>
  </si>
  <si>
    <t>VALOR 
(EN PESOS)</t>
  </si>
  <si>
    <t>Edad Económicamente Activa      (20-59 años)</t>
  </si>
  <si>
    <t>Rom</t>
  </si>
  <si>
    <t xml:space="preserve">Víctimas </t>
  </si>
  <si>
    <t xml:space="preserve">No. DE CONTRATOS </t>
  </si>
  <si>
    <t xml:space="preserve">FUENTE DE LOS RECURSOS </t>
  </si>
  <si>
    <t>CÓDIGO</t>
  </si>
  <si>
    <t xml:space="preserve">NOMBRE </t>
  </si>
  <si>
    <t>Calidad, cobertura y fortalecimiento de la educación inicial, prescolar, básica y media." Tú y yo con educación y de calidad"</t>
  </si>
  <si>
    <t>2201030</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</si>
  <si>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</si>
  <si>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</si>
  <si>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</si>
  <si>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</si>
  <si>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</si>
  <si>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Brindar un acompañamiento a los Establecimientos Educativos Oficiales urbanos o rurales para el fortalecimiento de las Escuelas de Padres 
</t>
  </si>
  <si>
    <t>* Fortalecer los modelos educativos flexibles en el proceso de atención a población diversa o en condición de vulnerabilidad con discapacidad, capacidades y/o talentos excepcionales.</t>
  </si>
  <si>
    <t>1404 - 2 - 3.2.2.2.9.0.0.0.2201030.92102 - 25</t>
  </si>
  <si>
    <t>SGP</t>
  </si>
  <si>
    <t>25
20
81
137
88
172</t>
  </si>
  <si>
    <t xml:space="preserve">
SGP
Recurso Ordinario 
Transferencias de la nacion por alimentacion PAE
Superávit PAE Educación
Superávit Recurso Ordinario
Confinanciacion Municipios PAE</t>
  </si>
  <si>
    <t xml:space="preserve">Daniela Alvis Hoyos </t>
  </si>
  <si>
    <t>Secretaría de Educación</t>
  </si>
  <si>
    <t>1404 - 2 - 3.2.2.2.9.0.0.0.2201030.92200 - 25</t>
  </si>
  <si>
    <t>1404 - 2 - 3.2.2.2.9.0.0.0.2201030.92310 - 25</t>
  </si>
  <si>
    <t>1404 - 2 - 3.2.2.2.9.0.0.0.2201030.92330 - 25</t>
  </si>
  <si>
    <t>Servicio de fomento para la permanencia en programas de educación formal</t>
  </si>
  <si>
    <t>Personas beneficiarias de estrategias de permanencia</t>
  </si>
  <si>
    <t xml:space="preserve">Garantizar a los estudiantes las estrategias de transporte y alimentación escolar </t>
  </si>
  <si>
    <t xml:space="preserve">* Diseño e Implementación de estrategias de acceso y permanencia de los niños, niñas, adolescentes, jóvenes y adultos del Departamento del Quindío en el sector educativo.  </t>
  </si>
  <si>
    <t>0314 - 2 - 3.2.2.2.9.0.0.0.2201033.92102 - 20</t>
  </si>
  <si>
    <t>0314 - 2 - 3.2.2.2.9.0.0.0.2201033.92200 - 20</t>
  </si>
  <si>
    <t>0314 - 2 - 3.2.2.2.9.0.0.0.2201033.92310 - 20</t>
  </si>
  <si>
    <t>0314 - 2 - 3.2.2.2.9.0.0.0.2201033.92330 - 20</t>
  </si>
  <si>
    <t>Servicio de alfabetización</t>
  </si>
  <si>
    <t xml:space="preserve">Personas beneficiarias con modelos de alfabetización </t>
  </si>
  <si>
    <t xml:space="preserve">Brindar un acompañamiento a los Establecimientos Educativos Oficiales urbanos o rurales para el fortalecimiento de las Escuelas de Padres </t>
  </si>
  <si>
    <t>* Fortalecer modelos de alfabetización flexibles  para la atención a la población iletrada en los 11 municipios no certificados en educación del Departamento del Quindío.</t>
  </si>
  <si>
    <t>0314 - 2 - 3.2.2.2.9.0.0.0.2201032.92102 - 20</t>
  </si>
  <si>
    <t>0314 - 2 - 3.2.2.2.9.0.0.0.2201032.92200 - 20</t>
  </si>
  <si>
    <t>0314 - 2 - 3.2.2.2.9.0.0.0.2201032.92310 - 20</t>
  </si>
  <si>
    <t>0314 - 2 - 3.2.2.2.9.0.0.0.2201032.92330 - 20</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</si>
  <si>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</si>
  <si>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</si>
  <si>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 xml:space="preserve">* Fortalecer, los estándares mínimos de atención en el servicio educativo a la población en condición SRPA. </t>
  </si>
  <si>
    <t>1404 - 2 - 3.2.2.2.9.0.0.0.2201055.92200 - 25</t>
  </si>
  <si>
    <t>1404 - 2 - 3.2.2.2.9.0.0.0.2201055.92310 - 25</t>
  </si>
  <si>
    <t>1404 - 2 - 3.2.2.2.9.0.0.0.2201055.92330 - 25</t>
  </si>
  <si>
    <t>Servicio de apoyo para el fortalecimiento de escuelas de padres</t>
  </si>
  <si>
    <t>Escuelas de padres apoyadas</t>
  </si>
  <si>
    <t>* Fortalecer la conformación y la participación activa de las escuelas de padres en los Establecimientos Educativos Oficiales urbanos o rurales del Departamento del Quindío.</t>
  </si>
  <si>
    <t>0314 - 2 - 3.2.2.2.9.0.0.0.2201067.92102 - 20</t>
  </si>
  <si>
    <t>0314 - 2 - 3.2.2.2.9.0.0.0.2201067.92200 - 20</t>
  </si>
  <si>
    <t>0314 - 2 - 3.2.2.2.9.0.0.0.2201067.92310 - 20</t>
  </si>
  <si>
    <t>0314 - 2 - 3.2.2.2.9.0.0.0.2201067.92330 - 20</t>
  </si>
  <si>
    <t>Servicio de apoyo a la permanencia con alimentación escolar</t>
  </si>
  <si>
    <t>Beneficiarios de la alimentación escolar</t>
  </si>
  <si>
    <t xml:space="preserve"> Garantizar a los estudiantes las estrategias de transporte y alimentación escolar </t>
  </si>
  <si>
    <t xml:space="preserve">* Fortalecer el Programa de Alimentación Escolar (PAE), para los niños, niñas, adolescentes y jóvenes matriculados  en los Establecimientos Educativos Oficiales urbanos o rurales del Departamento del Quindío (ETC Quindío), dentro de las jornadas regular y única. </t>
  </si>
  <si>
    <t>1404 - 2 - 3.2.2.2.6.0.0.0.2201028.63320 - 81</t>
  </si>
  <si>
    <t>Transferencias de la nacion por alimentacion PAE</t>
  </si>
  <si>
    <t>0314 - 2 - 3.2.2.2.6.0.0.0.2201028.63320 - 20</t>
  </si>
  <si>
    <t>0314 - 2 - 3.2.2.2.6.0.0.0.2201028.63320 - 186</t>
  </si>
  <si>
    <t>Extracción minera</t>
  </si>
  <si>
    <t>1404 - 2 - 3.2.2.2.6.0.0.0.2201028.63320 - 137</t>
  </si>
  <si>
    <t>Superávit PAE Educación</t>
  </si>
  <si>
    <t>0314 - 2 - 3.2.2.2.6.0.0.0.2201028.63320 - 88</t>
  </si>
  <si>
    <t>1404 - 2 - 3.2.2.2.6.0.0.0.2201028.63320 - 172</t>
  </si>
  <si>
    <t>Confinanciacion Municipios PAE</t>
  </si>
  <si>
    <t>2201029</t>
  </si>
  <si>
    <t>Servicio de apoyo a la permanencia con transporte escolar</t>
  </si>
  <si>
    <t>Beneficiarios de transporte escolar</t>
  </si>
  <si>
    <t>* Transferencia de recursos económicos a los Municipios no certificados en educación; con el fin de cofinanciar el servicio de transporte escolar a los alumnos de básica y media de los Establecimientos Educativos Oficiales urbanos o rurales del Departamento del Quindío (ETC QUINDÍO), que habiten en la zona rural del Departamento. Así mismo a los alumnos que habiten en la zona urbana cuando las condiciones lo ameriten.</t>
  </si>
  <si>
    <t>0314 - 2 - 3.4.2.4.0.0.0.0.2201029.64114 - 20</t>
  </si>
  <si>
    <t>0314 - 2 - 3.4.2.4.0.0.0.0.2201029.64114 - 88</t>
  </si>
  <si>
    <t>Infraestructura de Instituciones Educativas con procesos constructivos, mejorados, ampliados, mantenidos, y/o reforzados.</t>
  </si>
  <si>
    <t xml:space="preserve">Sedes mantenidas </t>
  </si>
  <si>
    <t>Gestionar interinstitucionalmente la generación de ambientes de aprendizaje adecuados, a través de los procesos de focalización y coordinación para dar solución a las necesidades en infraestructura educativa</t>
  </si>
  <si>
    <t>* Asistencia y seguimiento a los procesos para  para la construcción, mejoramiento, mantenimiento y reforzamiento de la Infraestructura Educativa en los Establecimientos Educativos Oficiales urbanos o rurales del Departamento.</t>
  </si>
  <si>
    <t>0314 - 2 - 3.2.2.2.5.0.0.0.2201062.54129 - 20</t>
  </si>
  <si>
    <t>Estudios de preinversión</t>
  </si>
  <si>
    <t>Estudios o diseños realizados</t>
  </si>
  <si>
    <t>*Asistencia, seguimiento y elaboración de estudios de pre factibilidad, factibilidad y definitivos.</t>
  </si>
  <si>
    <t>0314 - 2 - 3.2.2.2.9.0.0.0.2201063.91121 - 20</t>
  </si>
  <si>
    <t>Infraestructura educativa dotada</t>
  </si>
  <si>
    <t>Sedes dotadas</t>
  </si>
  <si>
    <t>* Adquirir y dotar de Mobiliario Escolar los diferentes ambientes escolares de los Establecimientos Educativos Oficiales urbanos o rurales del Departamento del Quindío.</t>
  </si>
  <si>
    <t>0314 - 2 - 3.2.1.1.4.1.1.4.2201069.38111 - 20</t>
  </si>
  <si>
    <t>1404 - 2 - 3.2.1.1.4.1.1.4.2201069.38111 - 21</t>
  </si>
  <si>
    <t xml:space="preserve">Rendimientos Finacieros SGP-Educación </t>
  </si>
  <si>
    <t>Servicio de información para la gestión de la educación inicial y preescolar en condiciones de calidad</t>
  </si>
  <si>
    <t xml:space="preserve">Entidades territoriales qué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</si>
  <si>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</si>
  <si>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</si>
  <si>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 xml:space="preserve">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t>
  </si>
  <si>
    <t>Articular las instituciones prestadoras de servicios y la secretaria departamental para garantizar la prestación de un servicio de calidad y el   tránsito de los niños y niñas , en el nivel de preescolar de las instituciones educativas adscritas al departamento del Quindío</t>
  </si>
  <si>
    <t>* Implementar el sistema de información SIPI.</t>
  </si>
  <si>
    <t>0314 - 2 - 3.2.2.2.9.0.0.0.2201018.92102 - 20</t>
  </si>
  <si>
    <t>Claudia Oviedo</t>
  </si>
  <si>
    <t>Servicio de atención integral para la primera infancia</t>
  </si>
  <si>
    <t>Instituciones educativas oficiales que implementan en nivel preescolar en el marco de la atención integral</t>
  </si>
  <si>
    <t>Incrementar estrategias y procesos de atención a la primera infancia</t>
  </si>
  <si>
    <t>* Fortalecer estrategias que permitan una atención integral en el nivel de preescolar de los Establecimientos Educativos Oficiales urbanos o rurales adscritos a la Secretaría de Educación Departamental.</t>
  </si>
  <si>
    <t>0314 - 2 - 3.2.2.2.9.0.0.0.2201037.92102 - 20</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</si>
  <si>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</si>
  <si>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</si>
  <si>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</si>
  <si>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</si>
  <si>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</si>
  <si>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 xml:space="preserve"> 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</si>
  <si>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 Acompañamiento a los Establecimientos Educativos Oficiales urbanos o rurales para la presentación de las  pruebas externas y la medición de la calidad educativa de los estudiantes.</t>
  </si>
  <si>
    <t>0314 - 2 - 3.2.2.2.9.0.0.0.2201073.92102 - 20</t>
  </si>
  <si>
    <t xml:space="preserve">
20
189
25</t>
  </si>
  <si>
    <t xml:space="preserve">
Recurso Ordinario
Superávit Rendimientos Financieros S.G.P. Educación
SGP</t>
  </si>
  <si>
    <t>0314 - 2 - 3.2.2.2.9.0.0.0.2201073.92200 - 20</t>
  </si>
  <si>
    <t>0314 - 2 - 3.2.2.2.9.0.0.0.2201073.92310 - 20</t>
  </si>
  <si>
    <t>0314 - 2 - 3.2.2.2.9.0.0.0.2201073.92330 - 20</t>
  </si>
  <si>
    <t>1404 - 2 - 3.2.2.2.9.0.0.0.2201073.92330 - 189</t>
  </si>
  <si>
    <t>Superávit Rendimientos Financieros S.G.P. Educación</t>
  </si>
  <si>
    <t>Servicio de gestión de riesgos y desastres en establecimientos educativos</t>
  </si>
  <si>
    <t>Establecimientos educativos con acciones de gestión del riesgo implementadas</t>
  </si>
  <si>
    <t>* Fortalecimiento e implementación de acciones en el marco de la  prevención de riesgos  y proyectos ambientales escolares -PRAE- en los Establecimientos Educativos Oficiales urbanos o rurales adscritos a la Secretaría de Educación Departamental</t>
  </si>
  <si>
    <t>0314 - 2 - 3.2.2.2.9.0.0.0.2201068.92102 - 20</t>
  </si>
  <si>
    <t>0314 - 2 - 3.2.2.2.9.0.0.0.2201068.92200 - 20</t>
  </si>
  <si>
    <t>0314 - 2 - 3.2.2.2.9.0.0.0.2201068.92310 - 20</t>
  </si>
  <si>
    <t>0314 - 2 - 3.2.2.2.9.0.0.0.2201068.92330 - 20</t>
  </si>
  <si>
    <t>2201026</t>
  </si>
  <si>
    <t>Servicio de acondicionamiento de ambientes de aprendizaje</t>
  </si>
  <si>
    <t>Ambientes de aprendizaje en funcionamiento</t>
  </si>
  <si>
    <t>* Fortalecimiento de la gestión educativa mediante la dotación de material didáctico, pedagógico,  y tecnológico para los Establecimientos Educativos Oficiales urbanos o rurales adscritos a la Secretaría de Educación Departamental.</t>
  </si>
  <si>
    <t>1404 - 2 - 3.2.2.1.3.0.0.0.2201026.32210 - 25</t>
  </si>
  <si>
    <t>1404 - 2 - 3.2.2.1.3.0.0.0.2201026.38350 - 25</t>
  </si>
  <si>
    <t>1404 - 2 - 3.2.2.1.3.0.0.0.2201026.38440 - 25</t>
  </si>
  <si>
    <t>1404 - 2 - 3.2.1.1.4.1.1.4.2201026.38140 - 25</t>
  </si>
  <si>
    <t>1404 - 2 - 3.2.2.1.3.0.0.0.2201026.38590 - 25</t>
  </si>
  <si>
    <t>0314 - 2 - 3.2.2.1.3.0.0.0.2201026.32210 - 20</t>
  </si>
  <si>
    <t>0314 - 2 - 3.2.2.1.3.0.0.0.2201026.38350 - 20</t>
  </si>
  <si>
    <t>0314 - 2 - 3.2.2.1.3.0.0.0.2201026.38440 - 20</t>
  </si>
  <si>
    <t>0314 - 2 - 3.2.2.1.3.0.0.0.2201026.38590 - 20</t>
  </si>
  <si>
    <t>22010009</t>
  </si>
  <si>
    <t>Servicio de fortalecimiento a las capacidades de los docentes de educación inicial, preescolar, básica y media</t>
  </si>
  <si>
    <t>Docentes de educación inicial, preescolar, básica y media beneficiados con estrategias de mejoramiento de sus capacidades</t>
  </si>
  <si>
    <t>Docentes y agentes educativos beneficiarios de Servicio de fortalecimiento a sus capacidades de acuerdo a los referentes nacionales</t>
  </si>
  <si>
    <t>* Fortalecimiento de los procesos de formación de docentes y directivos docentes para el mejoramiento de la calidad educativa en los Establecimientos Educativos Oficiales urbanos o rurales adscritos a la Secretaría de Educación Departamental.</t>
  </si>
  <si>
    <t>0314 - 2 - 3.2.2.2.9.0.0.0.22010741.92102 - 20</t>
  </si>
  <si>
    <t>0314 - 2 - 3.2.2.2.9.0.0.0.22010741.92200 - 20</t>
  </si>
  <si>
    <t>0314 - 2 - 3.2.2.2.9.0.0.0.22010741.92310 - 20</t>
  </si>
  <si>
    <t>0314 - 2 - 3.2.2.2.9.0.0.0.22010741.92330 - 20</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</si>
  <si>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</si>
  <si>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</si>
  <si>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 Fortalecimiento de los procesos de formación de docentes de preescolar y agentes educativos  para el mejoramiento de la calidad educativa de los Establecimientos Educativos Oficiales urbanos o rurales adscritos a la Secretaría de Educación Departamental.</t>
  </si>
  <si>
    <t>0314 - 2 - 3.2.2.2.9.0.0.0.22010742.92102 - 20</t>
  </si>
  <si>
    <t>Servicio de articulación entre la educación media y en sector productivo.</t>
  </si>
  <si>
    <t xml:space="preserve">Programas y proyectos de educación pertinente articulados con el sector productivo </t>
  </si>
  <si>
    <t>Aumentar la preparación académica en términos de la ciencia, la tecnología e innovación desde el territorio</t>
  </si>
  <si>
    <t>* Fortalecimiento de procesos o desarrollo de estrategias que permitan la articulación entre los Establecimientos Educativos Oficiales urbanos o rurales adscritos y los sectores productivos del Departamento.</t>
  </si>
  <si>
    <t>0314 - 2 - 3.2.2.2.9.0.0.0.2201035.92330 - 20</t>
  </si>
  <si>
    <t>Servicios de asistencia técnica en innovación educativa en la educación inicial, preescolar, básica y media</t>
  </si>
  <si>
    <t>Instituciones educativas asistidas técnicamente en innovación educativa</t>
  </si>
  <si>
    <t>* Fortalecimiento e implementación de estrategias  y practicas pedagógicas innovadoras  en los Establecimientos Educativos Oficiales urbanos o rurales adscritos a la Secretaría de Educación Departamental.</t>
  </si>
  <si>
    <t>0314 - 2 - 3.2.2.2.9.0.0.0.2201046.92102 - 20</t>
  </si>
  <si>
    <t>0314 - 2 - 3.2.2.2.9.0.0.0.2201046.92200 - 20</t>
  </si>
  <si>
    <t>0314 - 2 - 3.2.2.2.9.0.0.0.2201046.92310 - 20</t>
  </si>
  <si>
    <t>0314 - 2 - 3.2.2.2.9.0.0.0.2201046.92330 - 20</t>
  </si>
  <si>
    <t>Servicio de fomento para la prevención de riesgos sociales en entornos escolares</t>
  </si>
  <si>
    <t>Entidades territoriales con estrategias para la prevención de riesgos sociales en los entornos escolares implementadas</t>
  </si>
  <si>
    <t>Mejorar modelos pedagógicos conductistas y tradicionales en los establecimientos educativos del Departamento</t>
  </si>
  <si>
    <t>* Fortalecer las estrategias para la atención y prevención de riesgos sociales de los niños, niñas, adolescentes y jóvenes en los Establecimientos Educativos Oficiales urbanos o rurales del Departamento del Quindío.</t>
  </si>
  <si>
    <t>0314 - 2 - 3.2.2.2.9.0.0.0.2201054.92102 - 20</t>
  </si>
  <si>
    <t>0314 - 2 - 3.2.2.2.9.0.0.0.2201054.92200 - 20</t>
  </si>
  <si>
    <t>0314 - 2 - 3.2.2.2.9.0.0.0.2201054.92310 - 20</t>
  </si>
  <si>
    <t>0314 - 2 - 3.2.2.2.9.0.0.0.2201054.92330 - 20</t>
  </si>
  <si>
    <t>Servicio de apoyo a proyectos pedagógicos productivos</t>
  </si>
  <si>
    <t>Proyectos apoyados</t>
  </si>
  <si>
    <t>* Fortalecimiento de proyectos pedagógicos productivos de los Establecimientos Educativos Oficiales urbanos o rurales adscritos a la Secretaría de Educación Departamental.</t>
  </si>
  <si>
    <t>0314 - 2 - 3.2.2.2.9.0.0.0.2201061.92330 - 20</t>
  </si>
  <si>
    <t>Servicio de orientación vocacional</t>
  </si>
  <si>
    <t>Estudiantes vinculados a procesos de orientación vocacional</t>
  </si>
  <si>
    <t>* Fortalecimiento e implementación de estrategias que permitan identificar las posibles orientaciones vocacionales de los estudiantes para el ingreso a la educacion técnica, tecnológica, profesional ó su vida laboral.</t>
  </si>
  <si>
    <t>0314 - 2 - 3.2.2.2.9.0.0.0.2201066.92330 - 20</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</si>
  <si>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</si>
  <si>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</si>
  <si>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</si>
  <si>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</si>
  <si>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</si>
  <si>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Adelantar los trámites pertinentes para el proceso de contratación del servicio de conectividad para los Establecimientos Educativos Oficiales urbanos o rurales del Departamento</t>
  </si>
  <si>
    <t>* Fortalecimiento e implementación de estrategias para el acceso a contenidos web con fines pedagógicos de los estudiantes en los Establecimientos Educativos Oficiales urbanos o rurales adscritos a la Secretaría de Educación Departmaental.</t>
  </si>
  <si>
    <t>0314 - 2 - 3.2.2.2.9.0.0.0.2201050.92102 - 20</t>
  </si>
  <si>
    <t>20
25</t>
  </si>
  <si>
    <t>Recurso Ordinario
SGP</t>
  </si>
  <si>
    <t>0/01/2021</t>
  </si>
  <si>
    <t>0314 - 2 - 3.2.2.2.9.0.0.0.2201050.92200 - 20</t>
  </si>
  <si>
    <t>0314 - 2 - 3.2.2.2.9.0.0.0.2201050.92310 - 20</t>
  </si>
  <si>
    <t>0314 - 2 - 3.2.2.2.9.0.0.0.2201050.92330 - 20</t>
  </si>
  <si>
    <t>Establecimientos educativos conectados a internet</t>
  </si>
  <si>
    <t>* Fortalecimiento de los servicios de conectividad de los Establecimientos Educativos Oficiales urbanos o rurales adscritos a la Secretaría de Educación Departamental.</t>
  </si>
  <si>
    <t>1404 - 2 - 3.2.2.2.9.0.0.0.2201050.92102 - 25</t>
  </si>
  <si>
    <t>1404 - 2 - 3.2.2.2.9.0.0.0.2201050.92200 - 25</t>
  </si>
  <si>
    <t>1404 - 2 - 3.2.2.2.9.0.0.0.2201050.92310 - 25</t>
  </si>
  <si>
    <t>1404 - 2 - 3.2.2.2.9.0.0.0.2201050.92330 - 25</t>
  </si>
  <si>
    <t>Documento para la planeación estratégica en TI</t>
  </si>
  <si>
    <t>Documentos de planeación</t>
  </si>
  <si>
    <t>Planes de Mejoramiento de los sistemas de información de las secretarías de educación implementados</t>
  </si>
  <si>
    <t>Documentos de planeación para la educación inicial, preescolar, básica y media emitidos</t>
  </si>
  <si>
    <t xml:space="preserve">Adquisición de infraestructura tecnológica  (Hardware y/o Software) para Establecimientos Educativos urbanos o rurales en el Nivel Central de la SEDQ </t>
  </si>
  <si>
    <t>* Diseño y puesta en marcha del Plan Estratégico de Tecnologías de la Información en la Secretaría de Educación Departamental del Quindío.</t>
  </si>
  <si>
    <t>0314 - 2 - 3.2.2.2.9.0.0.0.22010011.92102 - 20</t>
  </si>
  <si>
    <t>0314 - 2 - 3.2.2.2.9.0.0.0.22010011.92200 - 20</t>
  </si>
  <si>
    <t>0314 - 2 - 3.2.2.2.9.0.0.0.22010011.92310 - 20</t>
  </si>
  <si>
    <t>0314 - 2 - 3.2.2.2.9.0.0.0.22010011.92330 - 20</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</si>
  <si>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</si>
  <si>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</si>
  <si>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</si>
  <si>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 xml:space="preserve">Fortalecer la administración y seguridad de los documentos físicos y electrónicos, respaldando la integralidad, protección y acceso oportuno a la información </t>
  </si>
  <si>
    <t>0314 - 2 - 3.2.2.2.9.0.0.0.22010012.92102 - 20</t>
  </si>
  <si>
    <t>0314 - 2 - 3.2.2.2.9.0.0.0.22010012.92200 - 20</t>
  </si>
  <si>
    <t>0314 - 2 - 3.2.2.2.9.0.0.0.22010012.92310 - 20</t>
  </si>
  <si>
    <t>0314 - 2 - 3.2.2.2.9.0.0.0.22010012.92330 - 20</t>
  </si>
  <si>
    <t>Servicios de información en materia educativa</t>
  </si>
  <si>
    <t>Observatorio implementado</t>
  </si>
  <si>
    <t>Desarrollar estrategias de diálogo, reflexión y articulación entre la comunidad educativa del Departamento del Quindío y la sociedad civil entorno al mejoramiento de la calidad educativa</t>
  </si>
  <si>
    <t>* Implementar estrategias para la creación de un   Observatorio de Investigación, Innovación y Documentación Educativa del Departamento del Quindío y su articulación entre la comunidad educativa del Departamento del Quindío y la sociedad civil en torno al mejoramiento de la calidad con inclusión y equidad y el servicio educativo.</t>
  </si>
  <si>
    <t>0314 - 2 - 3.2.2.2.9.0.0.0.2201048.92102 - 20</t>
  </si>
  <si>
    <t>0314 - 2 - 3.2.2.2.9.0.0.0.2201048.92200 - 20</t>
  </si>
  <si>
    <t>0314 - 2 - 3.2.2.2.9.0.0.0.2201048.92310 - 20</t>
  </si>
  <si>
    <t>0314 - 2 - 3.2.2.2.9.0.0.0.2201048.92330 - 20</t>
  </si>
  <si>
    <t>.</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</si>
  <si>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</si>
  <si>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</si>
  <si>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</si>
  <si>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</si>
  <si>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</si>
  <si>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Aumentar el nivel lingüistico de los niños, niñas, jóvenes y docentes del Departamento</t>
  </si>
  <si>
    <t>* Fortalecimiento de estrategias que contribuyan al mejoramiento de las competencias comunicativas en idioma extranjero de los estudiantes de los Establecimientos Educativos Oficiales urbanos o rurales adscritos a la Secretaría de Educación Departamental.</t>
  </si>
  <si>
    <t>0314 - 2 - 3.2.2.2.9.0.0.0.22010341.92102 - 20</t>
  </si>
  <si>
    <t>0314 - 2 - 3.2.2.2.9.0.0.0.22010341.92200 - 20</t>
  </si>
  <si>
    <t>0314 - 2 - 3.2.2.2.9.0.0.0.22010341.92310 - 20</t>
  </si>
  <si>
    <t>0314 - 2 - 3.2.2.2.9.0.0.0.22010341.92330 - 20</t>
  </si>
  <si>
    <t>Servicios educativos de promoción del bilingüismo</t>
  </si>
  <si>
    <t>Instituciones educativas fortalecidas en competencias comunicativas en un segundo idioma</t>
  </si>
  <si>
    <t>* Fortalecimiento de estrategias que permitan la promoción del bilingüismo en los Establecimientos Educativos Oficiales urbanos o rurales adscritos a la Secretaría de Educación Departamental.</t>
  </si>
  <si>
    <t>0314 - 2 - 3.2.2.2.9.0.0.0.22010342.92102 - 20</t>
  </si>
  <si>
    <t>0314 - 2 - 3.2.2.2.9.0.0.0.22010342.92200 - 20</t>
  </si>
  <si>
    <t>0314 - 2 - 3.2.2.2.9.0.0.0.22010342.92310 - 20</t>
  </si>
  <si>
    <t>0314 - 2 - 3.2.2.2.9.0.0.0.22010342.92330 - 20</t>
  </si>
  <si>
    <t>Servicio educativo de promoción del bilingüismo para docentes</t>
  </si>
  <si>
    <t>Docentes beneficiados con estrategias de promoción del bilingüismo</t>
  </si>
  <si>
    <t>* Fortalecimiento de estrategias de formación a docentes vinculados a los Establecimientos Educativos Oficiales urbanos o rurales adscritos a la Secrtaría de Educación Departamental que permitan el mejoramiento de practicas pedagógicas de competencias comunicativas en idioma extranjero.</t>
  </si>
  <si>
    <t>0314 - 2 - 3.2.2.2.9.0.0.0.2201060.92102 - 20</t>
  </si>
  <si>
    <t>0314 - 2 - 3.2.2.2.9.0.0.0.2201060.92200 - 20</t>
  </si>
  <si>
    <t>0314 - 2 - 3.2.2.2.9.0.0.0.2201060.92310 - 20</t>
  </si>
  <si>
    <t>0314 - 2 - 3.2.2.2.9.0.0.0.2201060.92330 - 20</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</si>
  <si>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</si>
  <si>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</si>
  <si>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</si>
  <si>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</si>
  <si>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</si>
  <si>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 xml:space="preserve">Implementar un plan colectivo de asistencia técnica a los funcionarios docentes, directivos docentes y administrativos de la Secretaría de Educación Departamental, con el fin de fortalecer sus capacidades estratégicas, técnicas y personales </t>
  </si>
  <si>
    <t xml:space="preserve"> Implementar un plan colectivo de asistencia técnica a los funcionarios docentes, directivos docentes y administrativos de la Secretaría de Educación Departamental, con el fin de fortalecer sus capacidades estratégicas, técnicas y personales. </t>
  </si>
  <si>
    <t>0314 - 2 - 3.2.2.2.9.0.0.0.2201006.92102 - 20</t>
  </si>
  <si>
    <t>20
25
26
9
91
88
188
35
187
173</t>
  </si>
  <si>
    <t>Ordinario
SGP
SGP Educación 
Superávit SGP Educación 
Superávit Monopolio
Superávit Recurso Ordinario
Exigibles SGP
Monopolio
Superávit transferencias de la nación FOME 
Transferencias de la nación FOME</t>
  </si>
  <si>
    <t>Arturo Andrés Londoño</t>
  </si>
  <si>
    <t>0314 - 2 - 3.2.2.2.9.0.0.0.2201006.92200 - 20</t>
  </si>
  <si>
    <t>0314 - 2 - 3.2.2.2.9.0.0.0.2201006.92310 - 20</t>
  </si>
  <si>
    <t>0314 - 2 - 3.2.2.2.9.0.0.0.2201006.92330 - 20</t>
  </si>
  <si>
    <t>Servicio de monitoreo y seguimiento a la gestión del sector educativo</t>
  </si>
  <si>
    <t>Entidades territoriales con seguimiento y evaluación a la gestión.</t>
  </si>
  <si>
    <t xml:space="preserve">Realizar  sesiones en forma de talleres para el seguimiento y evaluación de la gestión institucional relacionada con las metas estratégicas para mejoramiento de la calidad con inclusión y equidad y del servicio educativo </t>
  </si>
  <si>
    <t>* Realizar alianzas estratégicas o pactos por la calidad de la educación entre las alcaldías, los Establecimientos Educativos Oficiales urbanos o rurales y la   Secretaria Departamental, para el fortalecimiento de la gestión y del servicio educativo, con   eficiencia y eficacia en el cumplimiento de las metas estratégicas del Plan Departamental de Desarrollo 2020-2023. Tú y yo somos Quindío.</t>
  </si>
  <si>
    <t>0314 - 2 - 3.2.2.2.9.0.0.0.2201015.92102 - 20</t>
  </si>
  <si>
    <t>0314 - 2 - 3.2.2.2.9.0.0.0.2201015.92200 - 20</t>
  </si>
  <si>
    <t>0314 - 2 - 3.2.2.2.9.0.0.0.2201015.92310 - 20</t>
  </si>
  <si>
    <t>0314 - 2 - 3.2.2.2.9.0.0.0.2201015.92330 - 20</t>
  </si>
  <si>
    <t>Servicios de atención psicosocial a estudiantes y docentes</t>
  </si>
  <si>
    <t xml:space="preserve">Personas atendidas </t>
  </si>
  <si>
    <t>* Implementar la asistencia psicosocial a estudiantes, docentes, directivos docentes y funcionarios administrativos de la Secretaría de Educación Departamental, con el fin de
mejorar la calidad de vida y el bienestar, tanto a nivel individual como colectivo.</t>
  </si>
  <si>
    <t>0314 - 2 - 3.2.2.2.9.0.0.0.2201042.92102 - 20</t>
  </si>
  <si>
    <t>0314 - 2 - 3.2.2.2.9.0.0.0.2201042.92200 - 20</t>
  </si>
  <si>
    <t>0314 - 2 - 3.2.2.2.9.0.0.0.2201042.92310 - 20</t>
  </si>
  <si>
    <t>0314 - 2 - 3.2.2.2.9.0.0.0.2201042.92330 - 20</t>
  </si>
  <si>
    <t>2201071</t>
  </si>
  <si>
    <t>Servicio Educativo</t>
  </si>
  <si>
    <t>220107100</t>
  </si>
  <si>
    <t>Establecimientos educativos en operación</t>
  </si>
  <si>
    <t>54</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</si>
  <si>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</si>
  <si>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1401 - 2 - 3.1.1.1.1.1.0.0.2201071.91121 - 25</t>
  </si>
  <si>
    <t>1401 - 2 - 3.1.1.1.1.2.0.0.2201071.91121 - 25</t>
  </si>
  <si>
    <t>1401 - 2 - 3.1.1.1.1.6.0.0.2201071.91121 - 25</t>
  </si>
  <si>
    <t>1401 - 2 - 3.1.1.1.1.7.0.0.2201071.91121 - 25</t>
  </si>
  <si>
    <t>1401 - 2 - 3.1.1.1.1.8.1.0.2201071.91121 - 25</t>
  </si>
  <si>
    <t>1401 - 2 - 3.1.1.1.1.8.2.0.2201071.91121 - 25</t>
  </si>
  <si>
    <t>1401 - 2 - 3.1.1.1.1.9.0.0.2201071.91121 - 25</t>
  </si>
  <si>
    <t>1401 - 2 - 3.1.1.2.1.0.0.0.2201071.91121 - 25</t>
  </si>
  <si>
    <t>1401 - 2 - 3.1.1.2.2.0.0.0.2201071.91121 - 25</t>
  </si>
  <si>
    <t>1401 - 2 - 3.1.1.2.3.0.0.0.2201071.91121 - 25</t>
  </si>
  <si>
    <t>1401 - 2 - 3.1.1.2.4.0.0.0.2201071.91121 - 25</t>
  </si>
  <si>
    <t>1401 - 2 - 3.1.1.2.5.0.0.0.2201071.91121 - 25</t>
  </si>
  <si>
    <t>1401 - 2 - 3.1.1.2.6.0.0.0.2201071.91121 - 25</t>
  </si>
  <si>
    <t>1401 - 2 - 3.1.1.2.7.0.0.0.2201071.91121 - 25</t>
  </si>
  <si>
    <t>1401 - 2 - 3.1.1.2.8.0.0.0.2201071.91121 - 25</t>
  </si>
  <si>
    <t>1401 - 2 - 3.1.1.2.9.0.0.0.2201071.91121 - 25</t>
  </si>
  <si>
    <t>1401 - 2 - 3.1.1.3.1.2.0.0.2201071.91121 - 25</t>
  </si>
  <si>
    <t>1401 - 2 - 3.1.1.3.1.3.0.0.2201071.91121 - 25</t>
  </si>
  <si>
    <t>1401 - 2 - 3.2.2.2.9.0.0.0.2201071.91121 - 25</t>
  </si>
  <si>
    <t>1401 - 2 - 3.2.2.2.10.0.0.0.2201071.91121 - 25</t>
  </si>
  <si>
    <t>1402 - 2 - 3.1.1.1.1.1.0.0.2201071.91121 - 25</t>
  </si>
  <si>
    <t>1402 - 2 - 3.1.1.1.1.2.0.0.2201071.91121 - 25</t>
  </si>
  <si>
    <t>1402 - 2 - 3.1.1.1.1.4.0.0.2201071.91121 - 25</t>
  </si>
  <si>
    <t>1402 - 2 - 3.1.1.1.1.5.0.0.2201071.91121 - 25</t>
  </si>
  <si>
    <t>1402 - 2 - 3.1.1.1.1.6.0.0.2201071.91121 - 25</t>
  </si>
  <si>
    <t>1402 - 2 - 3.1.1.1.1.8.1.0.2201071.91121 - 25</t>
  </si>
  <si>
    <t>1402 - 2 - 3.1.1.1.1.8.2.0.2201071.91121 - 25</t>
  </si>
  <si>
    <t>1402 - 2 - 3.1.1.2.2.0.0.0.2201071.91121 - 25</t>
  </si>
  <si>
    <t>1402 - 2 - 3.1.1.2.1.0.0.0.2201071.91121 - 25</t>
  </si>
  <si>
    <t>1402 - 2 - 3.1.1.2.3.0.0.0.2201071.91121 - 25</t>
  </si>
  <si>
    <t>1402 - 2 - 3.1.1.2.4.0.0.0.2201071.91121 - 25</t>
  </si>
  <si>
    <t>1402 - 2 - 3.1.1.2.6.0.0.0.2201071.91121 - 25</t>
  </si>
  <si>
    <t>1402 - 2 - 3.1.1.2.7.0.0.0.2201071.91121 - 25</t>
  </si>
  <si>
    <t>1402 - 2 - 3.1.1.2.8.0.0.0.2201071.91121 - 25</t>
  </si>
  <si>
    <t>1402 - 2 - 3.1.1.2.9.0.0.0.2201071.91121 - 25</t>
  </si>
  <si>
    <t>1402 - 2 - 3.2.2.1.3.0.0.0.2201071.91121 - 25</t>
  </si>
  <si>
    <t>1402 - 2 - 3.2.2.2.9.0.0.0.2201071.91121 - 25</t>
  </si>
  <si>
    <t>1402 - 2 - 3.2.2.2.10.0.0.0.2201071.91121 - 25</t>
  </si>
  <si>
    <t>1403 - 2 - 3.1.1.1.1.1.0.0.2201071.91121 - 25</t>
  </si>
  <si>
    <t>1403 - 2 - 3.1.1.1.1.2.0.0.2201071.91121 - 25</t>
  </si>
  <si>
    <t>1403 - 2 - 3.1.1.1.1.4.0.0.2201071.91121 - 25</t>
  </si>
  <si>
    <t>1403 - 2 - 3.1.1.1.1.6.0.0.2201071.91121 - 25</t>
  </si>
  <si>
    <t>1403 - 2 - 3.1.1.1.1.8.1.0.2201071.91121 - 25</t>
  </si>
  <si>
    <t>1403 - 2 - 3.1.1.1.1.8.2.0.2201071.91121 - 25</t>
  </si>
  <si>
    <t>1403 - 2 - 3.1.1.2.4.0.0.0.2201071.91121 - 25</t>
  </si>
  <si>
    <t>1403 - 2 - 3.1.1.2.6.0.0.0.2201071.91121 - 25</t>
  </si>
  <si>
    <t>1403 - 2 - 3.1.1.2.7.0.0.0.2201071.91121 - 25</t>
  </si>
  <si>
    <t>1403 - 2 - 3.1.1.2.8.0.0.0.2201071.91121 - 25</t>
  </si>
  <si>
    <t>1403 - 2 - 3.1.1.2.9.0.0.0.2201071.91121 - 25</t>
  </si>
  <si>
    <t>1403 - 2 - 3.2.2.2.9.0.0.0.2201071.91121 - 25</t>
  </si>
  <si>
    <t>1403 - 2 - 3.2.2.2.10.0.0.0.2201071.91121 - 25</t>
  </si>
  <si>
    <t>1403 - 2 - 3.1.1.2.1.0.0.0.2201071.91121 - 25</t>
  </si>
  <si>
    <t>1403 - 2 - 3.1.1.2.2.0.0.0.2201071.91121 - 25</t>
  </si>
  <si>
    <t>1403 - 2 - 3.1.1.2.3.0.0.0.2201071.91121 - 25</t>
  </si>
  <si>
    <t>1402 - 2 - 3.1.1.1.1.1.0.0.2201071.91121 - 26</t>
  </si>
  <si>
    <t xml:space="preserve">SGP Educación </t>
  </si>
  <si>
    <t>1402 - 2 - 3.1.1.2.1.0.0.0.2201071.91121 - 26</t>
  </si>
  <si>
    <t>1402 - 2 - 3.1.1.2.2.0.0.0.2201071.91121 - 26</t>
  </si>
  <si>
    <t>1402 - 2 - 3.1.1.2.3.0.0.0.2201071.91121 - 26</t>
  </si>
  <si>
    <t>1403 - 2 - 3.1.1.1.1.1.0.0.2201071.91121 - 26</t>
  </si>
  <si>
    <t>1403 - 2 - 3.1.1.2.1.0.0.0.2201071.91121 - 26</t>
  </si>
  <si>
    <t>1403 - 2 - 3.1.1.2.2.0.0.0.2201071.91121 - 26</t>
  </si>
  <si>
    <t>1403 - 2 - 3.1.1.2.3.0.0.0.2201071.91121 - 26</t>
  </si>
  <si>
    <t>1402 - 2 - 3.3.13.1.1.0.0.0.2201071.91121 - 09</t>
  </si>
  <si>
    <t xml:space="preserve">Superávit SGP Educación </t>
  </si>
  <si>
    <t>1402 - 2 - 3.3.13.1.1.0.0.0.2201071.91121 - 204</t>
  </si>
  <si>
    <t>Reintegros</t>
  </si>
  <si>
    <t>0314 - 2 - 3.2.2.2.9.0.0.0.2201071.91121 - 91</t>
  </si>
  <si>
    <t>Superávit Monopolio</t>
  </si>
  <si>
    <t>0314 - 2 - 3.2.2.2.9.0.0.0.2201071.91121 - 20</t>
  </si>
  <si>
    <t>0314 - 2 - 3.1.1.1.1.1.0.0.2201071.91121 - 88</t>
  </si>
  <si>
    <t>Realizar el pago oportuno de los gastos de personal, transferencias y todos aquellos afines a la operación de la prestación del servicio educativo, dirigidos al personal administrativo de la planta central de la Secretaria de Educación Departamental del Quindío.</t>
  </si>
  <si>
    <t>1400 - 2 - 3.1.1.1.1.1.0.0.2201071.91121 - 25</t>
  </si>
  <si>
    <t>1400 - 2 - 3.1.1.1.1.6.0.0.2201071.91121 - 25</t>
  </si>
  <si>
    <t>1400 - 2 - 3.1.1.1.1.7.0.0.2201071.91121 - 25</t>
  </si>
  <si>
    <t>1400 - 2 - 3.1.1.1.1.8.1.0.2201071.91121 - 25</t>
  </si>
  <si>
    <t>1400 - 2 - 3.1.1.1.1.8.2.0.2201071.91121 - 25</t>
  </si>
  <si>
    <t>1400 - 2 - 3.1.1.1.1.9.0.0.2201071.91121 - 25</t>
  </si>
  <si>
    <t>1400 - 2 - 3.1.1.2.1.0.0.0.2201071.91121 - 25</t>
  </si>
  <si>
    <t>1400 - 2 - 3.1.1.2.2.0.0.0.2201071.91121 - 25</t>
  </si>
  <si>
    <t>1400 - 2 - 3.1.1.2.3.0.0.0.2201071.91121 - 25</t>
  </si>
  <si>
    <t>1400 - 2 - 3.1.1.2.4.0.0.0.2201071.91121 - 25</t>
  </si>
  <si>
    <t>1400 - 2 - 3.1.1.2.5.0.0.0.2201071.91121 - 25</t>
  </si>
  <si>
    <t>1400 - 2 - 3.1.1.2.6.0.0.0.2201071.91121 - 25</t>
  </si>
  <si>
    <t>1400 - 2 - 3.1.1.2.7.0.0.0.2201071.91121 - 25</t>
  </si>
  <si>
    <t>1400 - 2 - 3.1.1.2.8.0.0.0.2201071.91121 - 25</t>
  </si>
  <si>
    <t>1400 - 2 - 3.1.1.2.9.0.0.0.2201071.91121 - 25</t>
  </si>
  <si>
    <t>1400 - 2 - 3.1.1.3.1.2.0.0.2201071.91121 - 25</t>
  </si>
  <si>
    <t>1400 - 2 - 3.1.1.3.1.3.0.0.2201071.91121 - 25</t>
  </si>
  <si>
    <t>1400 - 2 - 3.2.1.1.3.3.2.0.2201071.45250 - 25</t>
  </si>
  <si>
    <t>1400 - 2 - 3.2.2.1.3.0.0.0.2201071.91121 - 25</t>
  </si>
  <si>
    <t>1400 - 2 - 3.2.2.2.9.0.0.0.2201071.91121 - 25</t>
  </si>
  <si>
    <t>1400 - 2 - 3.2.2.2.10.0.0.0.2201071.91121 - 25</t>
  </si>
  <si>
    <t>1400 - 2 - 3.2.2.1.3.0.0.0.2201071.35130 - 188</t>
  </si>
  <si>
    <t>Exigibles SGP</t>
  </si>
  <si>
    <t>Prestación del Servicio de Aseo y Vigilancia para las Establecimientos Educativos Oficiales del Departamento del Quindío.</t>
  </si>
  <si>
    <t>0314 - 2 - 3.2.2.2.9.0.0.0.2201071.92102 - 35</t>
  </si>
  <si>
    <t>Monopolio</t>
  </si>
  <si>
    <t>0314 - 2 - 3.2.2.2.9.0.0.0.2201071.92200 - 35</t>
  </si>
  <si>
    <t>0314 - 2 - 3.2.2.2.9.0.0.0.2201071.92310 - 35</t>
  </si>
  <si>
    <t>0314 - 2 - 3.2.2.2.9.0.0.0.2201071.92330 - 35</t>
  </si>
  <si>
    <t>0314 - 2 - 3.2.2.2.9.0.0.0.2201071.92200 - 91</t>
  </si>
  <si>
    <t>Superávit monopolio</t>
  </si>
  <si>
    <t>0314 - 2 - 3.2.2.2.9.0.0.0.2201071.92102 - 20</t>
  </si>
  <si>
    <t>0314 - 2 - 3.2.2.2.9.0.0.0.2201071.92200 - 20</t>
  </si>
  <si>
    <t>0314 - 2 - 3.2.2.2.9.0.0.0.2201071.92310 - 20</t>
  </si>
  <si>
    <t>0314 - 2 - 3.2.2.2.9.0.0.0.2201071.92330 - 20</t>
  </si>
  <si>
    <t>0314 - 2 - 3.2.2.2.9.0.0.0.2201071.92200 - 88</t>
  </si>
  <si>
    <t>0314 - 2 - 3.2.2.2.9.0.0.0.2201071.92102 - 88</t>
  </si>
  <si>
    <t>0314 - 2 - 3.2.2.2.9.0.0.0.2201071.92310 - 88</t>
  </si>
  <si>
    <t>0314 - 2 - 3.2.2.2.9.0.0.0.2201071.92330 - 88</t>
  </si>
  <si>
    <t>Adquisición de bienes y servicios relacionados con bioseguridad, elementos de protección personal, adecuaciones y acciones necesarias para cumplir con las medidas de bioseguridad entre otros para el regreso gradual, progresivo y seguro a la presencialidad en los establecimientos educativos bajo la implementación del esquema de alternancia.</t>
  </si>
  <si>
    <t>1404 - 2 - 3.2.2.2.9.0.0.0.2201071.92102 - 187</t>
  </si>
  <si>
    <t xml:space="preserve">Superávit transferencias de la nación FOME </t>
  </si>
  <si>
    <t>1404 - 2 - 3.2.2.2.9.0.0.0.2201071.92200 - 187</t>
  </si>
  <si>
    <t>1404 - 2 - 3.2.2.2.9.0.0.0.2201071.92310 - 187</t>
  </si>
  <si>
    <t>1404 - 2 - 3.2.2.2.9.0.0.0.2201071.92330 - 187</t>
  </si>
  <si>
    <t>1404 - 2 - 3.2.2.2.9.0.0.0.2201071.92102 - 173</t>
  </si>
  <si>
    <t>Transferencias de la nación FOME</t>
  </si>
  <si>
    <t>1404 - 2 - 3.2.2.2.9.0.0.0.2201071.92200 - 173</t>
  </si>
  <si>
    <t>1404 - 2 - 3.2.2.2.9.0.0.0.2201071.92310 - 173</t>
  </si>
  <si>
    <t>1404 - 2 - 3.2.2.2.9.0.0.0.2201071.92330 - 173</t>
  </si>
  <si>
    <t>Calidad y fomento de la Educación "Tu y yo preparados para la educación superior"</t>
  </si>
  <si>
    <t>Servicio de apoyo para el acceso y la permanencia a la educación superior o terciaria</t>
  </si>
  <si>
    <t>2202006</t>
  </si>
  <si>
    <t>Estrategias o programas de  fomento para  acceso y  permanencia a la educación superior o terciaria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</si>
  <si>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</si>
  <si>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</si>
  <si>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</si>
  <si>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Fortalecer e implementar estrategias que permitan realizar la articulación efectiva entre el nivel de media de los Establecimientos Educativos Oficiales urbanos o rurales adscritos a la Secretaría de Educación Departamental y  la educación superior</t>
  </si>
  <si>
    <t xml:space="preserve">Fortalecimiento de estrategias que permitan el acceso y permanencia a la educación técnica, tecnológica o profesional de los estudiantes de los Establecimientos Educativos Oficiales urbanos o rurales adscritos a la Secretaría de Educación Departamental. </t>
  </si>
  <si>
    <t>0314 - 2 - 3.2.2.2.9.0.0.0.2202006.92330 - 20</t>
  </si>
  <si>
    <t>20
91
88</t>
  </si>
  <si>
    <t>Recurso Ordinario
Superávit Monopolio
Superávit Recurso Ordinario</t>
  </si>
  <si>
    <t>0314 - 2 - 3.2.2.2.9.0.0.0.2202006.92330 - 91</t>
  </si>
  <si>
    <t>0314 - 2 - 3.2.2.2.9.0.0.0.2202006.92330 - 88</t>
  </si>
  <si>
    <t>PRODUCTIVIDAD Y COMPETITIVIDAD</t>
  </si>
  <si>
    <t>Ciencia, Tecnolgía e Innovación</t>
  </si>
  <si>
    <t>Generación de una cultura qué valora y gestiona en conocimiento y la innovación</t>
  </si>
  <si>
    <t>Servicio para el fortalecimiento de capacidades institucionales para el fomento de vocación científica</t>
  </si>
  <si>
    <t>Instituciones educativas qué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</si>
  <si>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</si>
  <si>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</si>
  <si>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</si>
  <si>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Promover, implementar y evaluar virtual y presencialmente estrategias pedagógicas con metodología de proyecto investigativo en los Establecimientos Educativos Oficiales urbanos o rurales adscritos a la Secretaría de Educación Departamental</t>
  </si>
  <si>
    <t>Acompañamiento a los Establecimientos Educativos Oficiales urbanos o rurales para el fortalecimiento de una cultura que fomente  la CTeI y la investigación como estrategía pedagógica IEP.</t>
  </si>
  <si>
    <t>0314 - 2 - 3.2.2.2.9.0.0.0.3904006.92310 - 20</t>
  </si>
  <si>
    <t>0314 - 2 - 3.2.2.2.9.0.0.0.3904006.92330 - 20</t>
  </si>
  <si>
    <t>SEGUIMIENTO PLAN DE ACCIÓN 
SECRETARIA DE FAMILIA
A DICIEMBRE 31 DE 2021</t>
  </si>
  <si>
    <t>O8</t>
  </si>
  <si>
    <t xml:space="preserve">PROYECTO </t>
  </si>
  <si>
    <t>FECHA DE INICIO
(dd/mm/aaaa)</t>
  </si>
  <si>
    <t>META FISICA</t>
  </si>
  <si>
    <t>PESO DE LA META %</t>
  </si>
  <si>
    <t xml:space="preserve">VALOR PROYECTO (EN PESOS) </t>
  </si>
  <si>
    <t xml:space="preserve">VALOR ACTIVIDAD 
(EN PESOS) </t>
  </si>
  <si>
    <t>Adolescencia  (15 - 19 años)</t>
  </si>
  <si>
    <t>INCLUSION SOCIAL Y EQUIDAD</t>
  </si>
  <si>
    <t>Salud Pública, "Tú y yo con salud de calidad"</t>
  </si>
  <si>
    <t xml:space="preserve">Servicio de gestión del riesgo en temas de salud sexual y reproductiva </t>
  </si>
  <si>
    <t>Campañas de gestión del riesgo en temas de salud sexual y reproductiva implementadas.</t>
  </si>
  <si>
    <t xml:space="preserve"> 202000363-0011</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</si>
  <si>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</si>
  <si>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</si>
  <si>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*Campañas de prevención y promoción orientadas a la salud sexual y reproductiva y la salud mental
*Fomento de estrategias de prevención y mitigación del consumo de SPA</t>
  </si>
  <si>
    <t xml:space="preserve">Diseñar e implementar una estrategia de prevención del riesgo y promoción de la salud sexual y reproductiva con enfoque diferencial </t>
  </si>
  <si>
    <t>0316 - 2 - 3.2.2.2.9.0.0.0.19050212.91119 - 20</t>
  </si>
  <si>
    <t>LEIDY YOHANNA JARAMILLO SANTOFIMIO- DIRECTORA DESARROLLO HUMANO Y FAMILIA</t>
  </si>
  <si>
    <t>Diseñar e implementar campañas de promoción de la salud mental y arraigo por la vida</t>
  </si>
  <si>
    <t>Alianzas intersectoriales para la prevención y promoción de la salud sexual y reproductiva y salud mental</t>
  </si>
  <si>
    <t xml:space="preserve">Servicio de gestión del riesgo en temas de trastornos mentales </t>
  </si>
  <si>
    <t>Campañas de gestión del riesgo en temas de trastornos mentales implementadas</t>
  </si>
  <si>
    <t>Diseño, implementación y seguimiento de una estrategia de prevención y mitigación del consumo de SPA en el departamento del Quindío</t>
  </si>
  <si>
    <t>0316 - 2 - 3.2.2.2.9.0.0.0.1905022.91119 - 20</t>
  </si>
  <si>
    <t>Consolidación de redes de apoyo para la prevención y/o mitigación de consumo de SPA</t>
  </si>
  <si>
    <t>Pendón, plegables. Folletos, manillas, cartillas, etc.</t>
  </si>
  <si>
    <t>0316 - 2 - 3.2.2.1.3.0.0.0.1905022.32690 - 20</t>
  </si>
  <si>
    <t xml:space="preserve">Refrigerios y almuerzos </t>
  </si>
  <si>
    <t>0316 - 2 - 3.2.2.2.6.0.0.0.1905022.63391 - 20</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</si>
  <si>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</si>
  <si>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</si>
  <si>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</si>
  <si>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</si>
  <si>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</si>
  <si>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Alta articulación entre los entes gubernamentales y privados para realizar el seguimiento de la matriz de planificación de la política pública de juventud del depto.</t>
  </si>
  <si>
    <t>Desarrollo de actividades orientadas al aprovechamiento del tiempo libre fortaleciendo entornos protectores ( arte, cultura, deporte y recreación) como instrumentos de promoción y prevención en Barrios vulnerables en el Departamento del Quindío.</t>
  </si>
  <si>
    <t>0316 - 2 - 3.2.2.2.9.0.0.0.3301051.91119 - 20</t>
  </si>
  <si>
    <t>MANUEL ALEJANDRO PATIÑO BUITRAGO- JEFE DE JUVENTUD</t>
  </si>
  <si>
    <t>Inclusión social y Reconciliación</t>
  </si>
  <si>
    <t>Desarrollo Integral de Niños, Niñas, Adolescentes y sus Familias. "Tú y yo niños, niñas y adolescentes con desarrollo integral"</t>
  </si>
  <si>
    <t xml:space="preserve">Diseñar e implementar un modelo de atención integral en entornos protectores para la primera infancia </t>
  </si>
  <si>
    <t>Documentos de lineamientos técnicos</t>
  </si>
  <si>
    <t>Modelo de atención integral de entornos protectores implementado</t>
  </si>
  <si>
    <t>202000363-0099</t>
  </si>
  <si>
    <t>Diseño e implementación de un  Modelo de  atención integral a la primera infancia  a través de las Rutas Integrales de Atención  RIA en el Departamento del  Quindío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</si>
  <si>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</si>
  <si>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</si>
  <si>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</si>
  <si>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0316 - 2 - 3.2.2.2.9.0.0.0.41020351.91119 - 20</t>
  </si>
  <si>
    <t>NATALIA ALVAREZ RUALES- JEFE DE FAMILIA</t>
  </si>
  <si>
    <t>0316 - 2 - 3.2.2.2.9.0.0.0.41020351.91119 - 88</t>
  </si>
  <si>
    <t>Superávit Ordinario</t>
  </si>
  <si>
    <t xml:space="preserve">Implementar y realizar seguimiento a las rutas integrales de atención </t>
  </si>
  <si>
    <t xml:space="preserve">Servicio de atención integral a la primera infancia </t>
  </si>
  <si>
    <t xml:space="preserve">Numero de rutas integrales de atención  a la  primera infancia implementadas y con seguimiento </t>
  </si>
  <si>
    <t>Niños y niñas atendidos en Servicio integrales</t>
  </si>
  <si>
    <t>Prestar asistencia técnica a las Rutas Implementadas en los Municipios, para la adecuada implementación de la RIA.</t>
  </si>
  <si>
    <t>0316 - 2 - 3.2.2.2.9.0.0.0.41020011.91119 - 20</t>
  </si>
  <si>
    <t xml:space="preserve">Apoyar la socialización de las rutas integrales de atención, en marco de los comités y consejos que así lo requieran, del orden Departamental y municipal. </t>
  </si>
  <si>
    <t>0316 - 2 - 3.2.2.2.9.0.0.0.41020011.91119 - 88</t>
  </si>
  <si>
    <t>Apoyo en la Implementación y seguimiento de la ruta integral de  atención departamental.</t>
  </si>
  <si>
    <t xml:space="preserve">Implementar la  política pública para la protección, en fortalecimiento y en desarrollo integral de la familia Quindiana </t>
  </si>
  <si>
    <t xml:space="preserve">Servicio de promoción de temas de dinámica relacional y desarrollo autónomo </t>
  </si>
  <si>
    <t>Política Pública de Familia  implementada</t>
  </si>
  <si>
    <t>410204300</t>
  </si>
  <si>
    <t>Familias atendidas</t>
  </si>
  <si>
    <t>202000363-0100</t>
  </si>
  <si>
    <t xml:space="preserve">Implementación de la  política pública  de Familia para la  promoción  del desarrollo integral de la población del Departamento del Quindío. </t>
  </si>
  <si>
    <t>Implementar la política pública que garantice los derechos de las familias del departamento del Quindío.</t>
  </si>
  <si>
    <t xml:space="preserve">Aumentar espacios de atención, formación y reflexión, orientados al fortalecimiento de los entornos familiares, sociales y educativos.
Alto grado de tolerancia ante la diversidad de pensamientos y comportamientos al interior de las familias </t>
  </si>
  <si>
    <t>Apoyar con el seguimiento al Plan de Acción de la Política Publica  de Familia</t>
  </si>
  <si>
    <t>0316 - 2 - 3.2.2.2.9.0.0.0.41020432.91119 - 20</t>
  </si>
  <si>
    <t>Apoyar con el seguimiento,  monitoreo y evaluación de la política publica de familia</t>
  </si>
  <si>
    <t xml:space="preserve">Diseñar y desarrollar estrategias, programas y/o proyectos para la protección y fortalecimiento de las familias del departamento </t>
  </si>
  <si>
    <t xml:space="preserve">refrigerios y almuerzos </t>
  </si>
  <si>
    <t>0316 - 2 - 3.2.2.2.6.0.0.0.41020432.63391 - 20</t>
  </si>
  <si>
    <t>servicio de transporte</t>
  </si>
  <si>
    <t>0316 - 2 - 3.2.2.2.6.0.0.0.41020432.64119 - 20</t>
  </si>
  <si>
    <t>Revisar, ajustar e implementar  la política pública de primera infancia, infancia y adolescencia</t>
  </si>
  <si>
    <t xml:space="preserve">ND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</si>
  <si>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</si>
  <si>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</si>
  <si>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</si>
  <si>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 xml:space="preserve"> 202000363-0101</t>
  </si>
  <si>
    <t xml:space="preserve"> Revisión ,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</si>
  <si>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</si>
  <si>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Eficiencia en la articulación Interinstitucional que garantice un seguimiento efectivo del cumplimiento del plan de acción de la política publica de infancia y adolescencia</t>
  </si>
  <si>
    <t>Revisar y ajustar la Política Publica de primera infancia, infancia y adolescencia del departamento</t>
  </si>
  <si>
    <t>0316 - 2 - 3.2.2.2.9.0.0.0.41020352.91119 - 20</t>
  </si>
  <si>
    <t>Implementar  la política pública de primera infancia, infancia y adolescencia</t>
  </si>
  <si>
    <t>4102043</t>
  </si>
  <si>
    <t>Servicio de promoción de temas de dinámica relacional y desarrollo autónomo</t>
  </si>
  <si>
    <t xml:space="preserve">Política Pública de Primera Infancia, Infancia y Adolescencia implementada. </t>
  </si>
  <si>
    <t>Niños, niñas y adolescentes atendidos</t>
  </si>
  <si>
    <t>Apoyar con el seguimiento al Plan de Acción de la Política Publica  de primera infancia, infancia y adolescencia del departamento</t>
  </si>
  <si>
    <t>0316 - 2 - 3.2.2.2.9.0.0.0.41020431.91119 - 20</t>
  </si>
  <si>
    <t>Apoyo en los espacios de participación tales como: Consejo de Política Social, Comité Departamental e Interinstitucional  para la Primera Infancia, Infancia y Adolescencia y Familia, CIETI, Mesa de Participación de Niños, Niñas y Adolescentes</t>
  </si>
  <si>
    <t>Apoyo a programas que conlleven a la  implementación de la Política publica de primera infancia, infancia y adolescencia en el Departamento del Quindío</t>
  </si>
  <si>
    <t>0316 - 2 - 3.2.2.2.9.0.0.0.41020431.38560 - 20</t>
  </si>
  <si>
    <t>0316 - 2 - 3.2.2.1.3.0.0.0.41020431.38560 – 88</t>
  </si>
  <si>
    <t>0316 - 2 - 3.2.2.2.9.0.0.0.41020431.91119 - 88</t>
  </si>
  <si>
    <t>Brindar asistencia técnica a los municipios del departamento, que así lo requieran en temas relacionados con el seguimiento e implementación de la política publica de primera infancia, infancia y adolescencia del departamento</t>
  </si>
  <si>
    <t>Ejecución de medios (Radio, prensa, revista, televisión, portal web, redes sociales, ooh)</t>
  </si>
  <si>
    <t>0316 - 2 - 3.2.2.2.6.0.0.0.41020431.63391 - 20</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</si>
  <si>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</si>
  <si>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</si>
  <si>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</si>
  <si>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</si>
  <si>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</si>
  <si>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</si>
  <si>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</si>
  <si>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Revisión, ajuste e implementación de la Política Pública de Juventud</t>
  </si>
  <si>
    <t>0316 - 2 - 3.2.2.2.9.0.0.0.41020381.91119 - 20</t>
  </si>
  <si>
    <t>MANUEL ALEJANDRO PATIÑO BUITRAGO - JEFE DE JUVENTUD</t>
  </si>
  <si>
    <t xml:space="preserve">Seguimiento a los indicadores de cumplimiento del plan de acción de la política publica de juventud </t>
  </si>
  <si>
    <t>Fomento y fortalecimiento de organizaciones de base social para la participación y empoderamiento juvenil</t>
  </si>
  <si>
    <t xml:space="preserve">Dinamización de espacios para la participación juvenil </t>
  </si>
  <si>
    <t>0316 - 2 - 3.2.2.2.6.0.0.0.41020381.63391 - 20</t>
  </si>
  <si>
    <t xml:space="preserve">Ferretería, papelería e insumos entre otros </t>
  </si>
  <si>
    <t>0316 - 2 - 3.2.2.1.4.0.0.0.041020381.42999 - 20</t>
  </si>
  <si>
    <t>Volantes, pendones, afiches, manillas, etc.</t>
  </si>
  <si>
    <t>0316 - 2 - 3.2.2.1.3.0.0.0.41020381.32690 - 20</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</si>
  <si>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</si>
  <si>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</si>
  <si>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</si>
  <si>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</si>
  <si>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</si>
  <si>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 programa de acompañamiento familiar y comunitario con enfoque preventivo en los tipos de violencia en el Departamento del Quindío "TU Y YO COMPROMETIDOS CON LA FAMILIA" </t>
  </si>
  <si>
    <t xml:space="preserve">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</si>
  <si>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*Socialización, promoción e implementación, de las rutas integrales de atención en violencia intrafamiliar y de género en el departamento del Quindío
*Implementación de un programa de acompañamiento familiar para fortalecer vínculos familiares</t>
  </si>
  <si>
    <t>Articulación con Gremios (comerciantes, taxistas, Supermercados y Tenderos ) para la socialización, promoción e implementación de las Rutas Integrales de Atención en Violencia Intrafamiliar y de Género</t>
  </si>
  <si>
    <t>0316 - 2 - 3.2.2.2.9.0.0.0.4102042.91119 - 20</t>
  </si>
  <si>
    <t xml:space="preserve">Socialización y promoción de Rutas Integrales de Atención en Violencia Intrafamiliar y de Género </t>
  </si>
  <si>
    <t>0316 - 2 - 3.2.2.1.3.0.0.0.4102042.32690 - 20</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</si>
  <si>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</si>
  <si>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</si>
  <si>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</si>
  <si>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202000363-0033</t>
  </si>
  <si>
    <t xml:space="preserve"> Diseño e implementación de programa comunitario para la prevención de los derechos de niños, niñas y adolescentes y su desarrollo integral. "TU Y YO COMPROMETIDOS CON LOS SUEÑOS". </t>
  </si>
  <si>
    <t>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t>
  </si>
  <si>
    <t>*Fomento de estrategias y acciones de  promoción y prevención
*Desarrollo de programas para la garantía de derechos de los nna
*Estrategias de protección para  los NN implementadas</t>
  </si>
  <si>
    <t>Diseño de estrategia para la protección de los NN</t>
  </si>
  <si>
    <t>0316 - 2 - 3.2.2.2.9.0.0.0.41020012.91119 - 20</t>
  </si>
  <si>
    <t>Articulación interinstitucional para el desarrollo de la estrategia para la protección de los NN</t>
  </si>
  <si>
    <t xml:space="preserve">Implementación de estrategia de protección para los NN </t>
  </si>
  <si>
    <t>0316 - 2 - 3.2.2.2.9.0.0.0.41020012.91119 - 88</t>
  </si>
  <si>
    <t>Servicio de divulgación para la promoción y prevención de los derechos de los niños, niñas y adolescentes</t>
  </si>
  <si>
    <t xml:space="preserve">Servicios de promoción de los derechos de los niños, niñas, adolescentes y jóvenes </t>
  </si>
  <si>
    <t xml:space="preserve">Eventos de divulgación realizados </t>
  </si>
  <si>
    <t xml:space="preserve">Campañas de promoción realizadas </t>
  </si>
  <si>
    <t>Articulación interinstitucional para la promoción, prevención y garantía de Derechos de NNA.</t>
  </si>
  <si>
    <t>0316 - 2 - 3.2.2.2.9.0.0.0.4102046.91119 - 20</t>
  </si>
  <si>
    <t>Servicios dirigidos a la atención de niños, niñas, adolescentes y jóvenes, con enfoque pedagógico y restaurativo encaminados a la inclusión social</t>
  </si>
  <si>
    <t>202000363-0034</t>
  </si>
  <si>
    <t>Servicio de atención Post egreso de adolescentes y jóvenes, en los servicios de restablecimiento en la administración de justicia, con enfoque pedagógico y restaurativo encaminados a la inclusión social del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</si>
  <si>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</si>
  <si>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*Estrategias para la prevención del delito adolescente.
*Acciones orientadas a la promoción de egresos exitosos e inclusión de  jóvenes del SRPA 
*Procesos post egreso enfocados en la prevención de la reincidencia </t>
  </si>
  <si>
    <t>Realizar actividades de prevención para adolescentes y jóvenes en riesgo social y/o vinculados a la Ley de responsabilidad  penal</t>
  </si>
  <si>
    <t>0316 - 2 - 3.2.2.2.9.0.0.0.41020382.91119 - 20</t>
  </si>
  <si>
    <t>Desarrollo de actividades pedagógicas en la preparación para las familias de jóvenes vinculados y/o egresados en SRPA, con el propósito de fortalecer habilidades para la vida.</t>
  </si>
  <si>
    <t>Canalizar oferta público-privada para la inclusión de adolescentes egresados del SRPA</t>
  </si>
  <si>
    <t>Seguimiento a los procesos de coordinación del sistema de responsabilidad penal</t>
  </si>
  <si>
    <t>Fomento, seguimiento y evaluación de estrategias para la prevención de la reincidencia al SRPA</t>
  </si>
  <si>
    <t>Inclusión social y productiva para la población en situación de vulnerabilidad. "Tú y yo, población vulnerable incluida"</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</si>
  <si>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</si>
  <si>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</si>
  <si>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</si>
  <si>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</si>
  <si>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</si>
  <si>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 xml:space="preserve">Diseño e implementación, seguimiento y evaluación de estrategias para el fomento y fortalecimiento del emprendimiento y empleo juvenil </t>
  </si>
  <si>
    <t>0316 - 2 - 3.2.2.2.9.0.0.0.4103059.91119 - 20</t>
  </si>
  <si>
    <t>Servicio de gestión de oferta social para la población vulnerable</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</si>
  <si>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</si>
  <si>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</si>
  <si>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</si>
  <si>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</si>
  <si>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Existencia de planes de acompañamiento al ciudadano migrante del depto. del Quindío</t>
  </si>
  <si>
    <t>Formular e Implementar el Plan de Acompañamiento al Ciudadano Migrante en el Departamento del Quindío</t>
  </si>
  <si>
    <t>0316 - 2 - 3.2.2.2.9.0.0.0.41030523.91119 - 20</t>
  </si>
  <si>
    <t>CLAUDIA MILENA GIRALDO CARDENAS - JEFE DE POBLACIONES</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</si>
  <si>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</si>
  <si>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</si>
  <si>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</si>
  <si>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</si>
  <si>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</si>
  <si>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Focalización y fortalecimiento de proyectos productivos con enfoque familiar y/o  comunitario en el Departamento del Quindío </t>
  </si>
  <si>
    <t>0316 - 2 - 3.2.2.1.2.0.0.0.4103050.23999 - 20</t>
  </si>
  <si>
    <t>0316 - 2 - 3.2.2.2.9.0.0.0.4103050.91119 - 20</t>
  </si>
  <si>
    <t>Acompañamiento técnico a los proyectos productivos focalizados y fortalecidos en el Departamento del Quindío</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</si>
  <si>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</si>
  <si>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</si>
  <si>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</si>
  <si>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</si>
  <si>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</si>
  <si>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Fomentar y fortalecer la inclusión laboral y productiva de cuidadores, cuidadoras, PCD y sus Familias</t>
  </si>
  <si>
    <t>0316 - 2 - 3.2.2.2.9.0.0.0.4103058.91119 - 20</t>
  </si>
  <si>
    <t>LIZ BELCKA CASTRO JARAMILLO- DIRECTORA DESARROLLO HUMANO Y FAMILIA</t>
  </si>
  <si>
    <t>Fomentar el emprendimiento y el empleo para cuidadores y PCD en el Departamento</t>
  </si>
  <si>
    <t>0316 - 2 - 3.2.2.2.9.0.0.0.4103058.91119 - 88</t>
  </si>
  <si>
    <t>0316 - 2 - 3.2.2.1.4.0.0.0.4103058.42999 - 20</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</si>
  <si>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</si>
  <si>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</si>
  <si>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</si>
  <si>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</si>
  <si>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</si>
  <si>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</si>
  <si>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</si>
  <si>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 xml:space="preserve">*Formular e implementar los planes de vida de los cabildos indígenas del departamento del Quindío 
*Formular e implementar los planes de vida de los resguardos indígenas del departamento del Quindío </t>
  </si>
  <si>
    <t>Alianzas sociales y/o comunitarias con enfoque diferencial en los Cabildos  indígenas</t>
  </si>
  <si>
    <t>0316 - 2 - 3.2.2.2.9.0.0.0.41030601.91119 - 20</t>
  </si>
  <si>
    <t>BRIAN ARANGO TRUJILLO- DIRECTOR DE POBLACIONES</t>
  </si>
  <si>
    <t>Formulación e Implementación de los Planes de Vida de los Cabildos Indígenas</t>
  </si>
  <si>
    <t xml:space="preserve">Servicio de transporte </t>
  </si>
  <si>
    <t>0316 - 2 - 3.2.2.2.6.0.0.0.41030601.64119 - 20</t>
  </si>
  <si>
    <t xml:space="preserve">Apoyar la construcción e Implementación de los  Planes de vida de los resguardos indígenas  asentados en el Departamento del Quindío </t>
  </si>
  <si>
    <t xml:space="preserve">Planes de vida de los resguardos indígenas  construidos  e implementados </t>
  </si>
  <si>
    <t>Alianzas sociales y/o comunitarias con enfoque diferencial en los Resguardos indígenas</t>
  </si>
  <si>
    <t>0316 - 2 - 3.2.2.2.9.0.0.0.41030602.91119 - 20</t>
  </si>
  <si>
    <t>Formulación e Implementación de los Planes de Vida de los Resguardos Indígenas</t>
  </si>
  <si>
    <t>0316 - 2 - 3.2.2.2.6.0.0.0.41030602.64119 - 20</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</si>
  <si>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</si>
  <si>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</si>
  <si>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</si>
  <si>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</si>
  <si>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</si>
  <si>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*Formulación, implementación, seguimiento y evaluación de la Política Pública NARP 
*Implementar alianzas interinstitucionales para la atención integral con enfoque diferencial a la población afro descendiente del Departamento del</t>
  </si>
  <si>
    <t>Formulación e implementación de la Política Pública NARP en el Departamento del Quindío</t>
  </si>
  <si>
    <t>0316 - 2 - 3.2.2.2.9.0.0.0.41030521.91119 - 20</t>
  </si>
  <si>
    <t>0316 - 2 - 3.2.2.2.9.0.0.0.41030521.91119 - 88</t>
  </si>
  <si>
    <t>0316 - 2 - 3.2.2.2.6.0.0.0.41030521.63391 - 20</t>
  </si>
  <si>
    <t>Logística operativa</t>
  </si>
  <si>
    <t>0316 - 2 - 3.2.2.2.7.0.0.0.41030521.73290 - 88</t>
  </si>
  <si>
    <t>Atención integral de población en situación permanente de desprotección social y/o familiar "Tú y yo con atención integral"</t>
  </si>
  <si>
    <t>rubro</t>
  </si>
  <si>
    <t>Servicios de atención integral a población en condición de discapacidad</t>
  </si>
  <si>
    <t xml:space="preserve">Personas atendidas con servicios integrales de atención </t>
  </si>
  <si>
    <t>Personas con discapacidad atendidas con servicios integrales</t>
  </si>
  <si>
    <t>202000363-0035</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</si>
  <si>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</si>
  <si>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</si>
  <si>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</si>
  <si>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Fomentar y fortalecer un banco de ayudas Técnicas No Pos para personas con Discapacidad en el departamento del Quindío</t>
  </si>
  <si>
    <t>0316 - 2 - 3.2.2.2.9.0.0.0.4104020.91119 - 20</t>
  </si>
  <si>
    <t>LIZ BELCKA CASTRO JARAMILLO- DIRECTORA DE ADULTO MAYOR Y DISCAPACIDAD</t>
  </si>
  <si>
    <t xml:space="preserve">Estrategia de rehabilitación basada en la comunidad implementada en los municipios  </t>
  </si>
  <si>
    <t>Acompañamiento a  las personas con discapacidad,  familias y comunidad en la implementación del programa RBC</t>
  </si>
  <si>
    <t>0316 - 2 - 3.2.2.2.9.0.0.0.4104020.91119 - 88</t>
  </si>
  <si>
    <t>Realizar  capacitaciones en agentes comunitarios en RBC</t>
  </si>
  <si>
    <t>Conformación y fortalecimiento a las redes de apoyo de la estrategia RBC</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</si>
  <si>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</si>
  <si>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</si>
  <si>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</si>
  <si>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</si>
  <si>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202000363-0012</t>
  </si>
  <si>
    <t xml:space="preserve">Apoyo en  la articulación de la  oferta social para la población habitante de calle del departamento del Quindío  </t>
  </si>
  <si>
    <t>Articulación de oferta social para la población en situación de calle del departamento del Quindío</t>
  </si>
  <si>
    <t xml:space="preserve">Implementar alianzas interinstitucionales e Interadministrativas para la atención y el acompañamiento a la persona en situación de calle </t>
  </si>
  <si>
    <t>Articulación con entes territoriales e interinstitucionales para la oferta, atención y acompañamiento al habitante de calle</t>
  </si>
  <si>
    <t>0316 - 2 - 3.2.2.2.9.0.0.0.4104027.91119 - 20</t>
  </si>
  <si>
    <t>0316 - 2 - 3.2.2.2.6.0.0.0.4104027.63391 - 20</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</si>
  <si>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</si>
  <si>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</si>
  <si>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</si>
  <si>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</si>
  <si>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</si>
  <si>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</si>
  <si>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</si>
  <si>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 xml:space="preserve">Apoyar acciones que conlleven al conocimiento de la Ley 1276 del 2009: Nuevos Criterios de Atención Integral del Adulto  Mayor en los Centros Vida
</t>
  </si>
  <si>
    <t>Dinamización del Cabildo Departamental de Sabios del Quindío y asistencia técnica cabildos Municipales</t>
  </si>
  <si>
    <t>0316 - 2 - 3.2.2.2.9.0.0.0.4104015.91119 - 20</t>
  </si>
  <si>
    <t>Dinamización  del Consejo Departamental del  adulto mayor</t>
  </si>
  <si>
    <t xml:space="preserve">Realizar acompañamiento a los grupos de adultos mayores del depto, a través de deporte, cultura, recreación y motivación </t>
  </si>
  <si>
    <t>Celebraciones y eventos donde se resalte la importancia del rol del adulto mayor y su trayectoria de vida en la familia y la sociedad</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</si>
  <si>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</si>
  <si>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</si>
  <si>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</si>
  <si>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</si>
  <si>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Centros de Bienestar del Adulto Mayor (CBA) 30%</t>
  </si>
  <si>
    <t>0316 - 2 - 3.3.1.2.0.0.0.0.4104008.91119.13 - 06</t>
  </si>
  <si>
    <t>ESTAMPILLA PROADULTO MAYOR</t>
  </si>
  <si>
    <t>0316 - 2 - 3.3.1.2.0.0.0.0.4104008.91119.13 - 84</t>
  </si>
  <si>
    <t>SUPERAVIT ESTAMPILLA PRO-ADULTO MAYOR</t>
  </si>
  <si>
    <t>0316 - 2 - 3.3.1.2.0.0.0.0.4104008.91119.13 - 202</t>
  </si>
  <si>
    <t>REINTEGRO ESTAMPILLA PRO ADULTO MAYOR</t>
  </si>
  <si>
    <t>0316 - 2 - 3.3.1.2.0.0.0.0.4104008.91119.96 - 06</t>
  </si>
  <si>
    <t>0316 - 2 - 3.3.1.2.0.0.0.0.4104008.91119.96 - 84</t>
  </si>
  <si>
    <t>0316 - 2 - 3.3.1.2.0.0.0.0.4104008.91119.96 - 202</t>
  </si>
  <si>
    <t>0316 - 2 - 3.3.1.2.0.0.0.0.4104008.91119.167 - 06</t>
  </si>
  <si>
    <t>0316 - 2 - 3.3.1.2.0.0.0.0.4104008.91119.167 - 84</t>
  </si>
  <si>
    <t>0316 - 2 - 3.3.1.2.0.0.0.0.4104008.91119.167 - 202</t>
  </si>
  <si>
    <t>0316 - 2 - 3.3.1.2.0.0.0.0.4104008.91119.226 - 06</t>
  </si>
  <si>
    <t>0316 - 2 - 3.3.1.2.0.0.0.0.4104008.91119.226 - 84</t>
  </si>
  <si>
    <t>0316 - 2 - 3.3.1.2.0.0.0.0.4104008.91119.226 - 202</t>
  </si>
  <si>
    <t>0316 - 2 - 3.3.1.2.0.0.0.0.4104008.91119.233 - 06</t>
  </si>
  <si>
    <t>0316 - 2 - 3.3.1.2.0.0.0.0.4104008.91119.233 - 84</t>
  </si>
  <si>
    <t>0316 - 2 - 3.3.1.2.0.0.0.0.4104008.91119.233 - 202</t>
  </si>
  <si>
    <t>0316 - 2 - 3.3.1.2.0.0.0.0.4104008.91119.244 - 06</t>
  </si>
  <si>
    <t>0316 - 2 - 3.3.1.2.0.0.0.0.4104008.91119.244 - 84</t>
  </si>
  <si>
    <t>0316 - 2 - 3.3.1.2.0.0.0.0.4104008.91119.244 - 202</t>
  </si>
  <si>
    <t>0316 - 2 - 3.3.1.2.0.0.0.0.4104008.91119.284 - 06</t>
  </si>
  <si>
    <t>0316 - 2 - 3.3.1.2.0.0.0.0.4104008.91119.284 - 84</t>
  </si>
  <si>
    <t>0316 - 2 - 3.3.1.2.0.0.0.0.4104008.91119.284 - 202</t>
  </si>
  <si>
    <t>0316 - 2 - 3.3.1.2.0.0.0.0.4104008.91119.303 - 06</t>
  </si>
  <si>
    <t>0316 - 2 - 3.3.1.2.0.0.0.0.4104008.91119.303 - 84</t>
  </si>
  <si>
    <t>0316 - 2 - 3.3.1.2.0.0.0.0.4104008.91119.303 - 202</t>
  </si>
  <si>
    <t>0316 - 2 - 3.3.1.2.0.0.0.0.4104008.91119.372 - 06</t>
  </si>
  <si>
    <t>0316 - 2 - 3.3.1.2.0.0.0.0.4104008.91119.372 - 84</t>
  </si>
  <si>
    <t>0316 - 2 - 3.3.1.2.0.0.0.0.4104008.91119.372 - 202</t>
  </si>
  <si>
    <t>0316 - 2 - 3.3.1.2.0.0.0.0.4104008.91119.412 - 06</t>
  </si>
  <si>
    <t>0316 - 2 - 3.3.1.2.0.0.0.0.4104008.91119.412 - 84</t>
  </si>
  <si>
    <t>0316 - 2 - 3.3.1.2.0.0.0.0.4104008.91119.412 - 202</t>
  </si>
  <si>
    <t>0316 - 2 - 3.3.1.2.0.0.0.0.4104008.91119.470 - 06</t>
  </si>
  <si>
    <t>0316 - 2 - 3.3.1.2.0.0.0.0.4104008.91119.470 - 84</t>
  </si>
  <si>
    <t>0316 - 2 - 3.3.1.2.0.0.0.0.4104008.91119.470 - 202</t>
  </si>
  <si>
    <t>0316 - 2 - 3.3.1.2.0.0.0.0.4104008.91119.882 - 06</t>
  </si>
  <si>
    <t>0316 - 2 - 3.3.1.2.0.0.0.0.4104008.91119.882 - 84</t>
  </si>
  <si>
    <t>0316 - 2 - 3.3.1.2.0.0.0.0.4104008.91119.882 - 202</t>
  </si>
  <si>
    <t>CENTROS VIDA (cv) 70%</t>
  </si>
  <si>
    <t>Agricultura y desarrollo rural</t>
  </si>
  <si>
    <t>Inclusión productiva de pequeños productores rurales. "Tú y yo con oportunidades para el pequeño campesino"</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</si>
  <si>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</si>
  <si>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</si>
  <si>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</si>
  <si>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</si>
  <si>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</si>
  <si>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</si>
  <si>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*Articulación interinstitucional para la promoción, el empoderamiento y el fomento de organizaciones orientadas a la mujer.
*Fortalecer la articulación de organizaciones y procesos orientados al empoderamiento y la promoción de la mujer.</t>
  </si>
  <si>
    <t>Fomentar y realizar seguimiento a nuevas organizaciones con enfoque de Derechos para la mujer.</t>
  </si>
  <si>
    <t>0316 - 2 - 3.2.2.2.9.0.0.0.1702011.91119 - 20</t>
  </si>
  <si>
    <t>VALENTINA LOPEZ MADRID- JEFE DE LA MUJER Y LA EQUIDAD</t>
  </si>
  <si>
    <t>Articular y realizar seguimiento a las organizaciones existentes para fortalecer el empoderamiento de la Mujer.</t>
  </si>
  <si>
    <t>Trabajo</t>
  </si>
  <si>
    <t>Derechos fundamentales del trabajo y fortalecimiento del diálogo social. "Tú y yo con una niñez protegida"</t>
  </si>
  <si>
    <t>Servicio de educación informal para la prevención integral del trabajo infantil</t>
  </si>
  <si>
    <t>360400600</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</si>
  <si>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</si>
  <si>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</si>
  <si>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</si>
  <si>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Diseño e implementación, seguimiento y evaluación de una estrategia para la prevención de trabajo infantil</t>
  </si>
  <si>
    <t>0316 - 2 - 3.2.2.2.9.0.0.0.3604006.91119 - 20</t>
  </si>
  <si>
    <t>0316 - 2 - 3.2.2.2.9.0.0.0.3604006.91119 - 88</t>
  </si>
  <si>
    <t>Apoyar la implementación de la línea Nacional de Política Pública para la prevención y erradicación del trabajo infantil y la protección integral al adolescente trabajador y apoyar al CIETI.</t>
  </si>
  <si>
    <t>Diseño e implementación, seguimiento y evaluación de estrategias de divulgación de Rutas de Atención en casos de vulneración de Derechos de NNA</t>
  </si>
  <si>
    <t>Diseño e implementación de campañas</t>
  </si>
  <si>
    <t>LIDERAZGO GOBERNABILILIDAD Y TRANSPARENCIA</t>
  </si>
  <si>
    <t>Gobierno Territorial</t>
  </si>
  <si>
    <t>DN</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</si>
  <si>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</si>
  <si>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</si>
  <si>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</si>
  <si>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</si>
  <si>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</si>
  <si>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Desarrollar estrategias de liderazgo para la Promoción de la participación de la Mujer en escenarios sociales y políticos </t>
  </si>
  <si>
    <t>0316 - 2 - 3.2.2.2.9.0.0.0.45020016.91119 - 20</t>
  </si>
  <si>
    <t>VALENTINA LOPEZ MADRID- JEFE DE OFICINA DE LA MUJER Y LA EQUIDAD</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</si>
  <si>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</si>
  <si>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</si>
  <si>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</si>
  <si>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</si>
  <si>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</si>
  <si>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</si>
  <si>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</si>
  <si>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 xml:space="preserve">Apropiación jurídica  por parte de la población e institucionalidad sobre las rutas de atención existentes.
</t>
  </si>
  <si>
    <t>Implementación de la  Política Publica de Equidad de Género para la Mujer</t>
  </si>
  <si>
    <t>0316 - 2 - 3.2.2.2.9.0.0.0.45020382.91119 - 20</t>
  </si>
  <si>
    <t>Seguimiento al cumplimiento de los planes de acción de la Política Publica de  Equidad de Género para la mujer</t>
  </si>
  <si>
    <t>0316 - 2 - 3.2.2.1.3.0.0.0.45020382.32690 - 20</t>
  </si>
  <si>
    <t>Desarrollo de actividades de impacto para la promoción de derechos y movilización social</t>
  </si>
  <si>
    <t>Apoyo en la consolidación de espacios de participación a través de la socialización de la normatividad existente</t>
  </si>
  <si>
    <t>0316 - 2 - 3.2.2.2.6.0.0.0.45020382.63391 - 20</t>
  </si>
  <si>
    <t>Implementar  la política  pública de diversidad sexual e identidad de género</t>
  </si>
  <si>
    <t>Política pública de diversidad sexual e identidad de género implementada.</t>
  </si>
  <si>
    <t>Estrategias de promoción de la garantía de derechos</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</si>
  <si>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</si>
  <si>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</si>
  <si>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</si>
  <si>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Establecer políticas claras para la inclusión social de la población LGTBI
Altos espacios de atención, formación y reflexión, orientados al fortalecimiento de los entornos  sociales y educativos respecto a las personas con diversidad sexual</t>
  </si>
  <si>
    <t>Implementación y seguimiento al cumplimiento del plan de acción  de la política publica de diversidad sexual e identidad de genero</t>
  </si>
  <si>
    <t>0316 - 2 - 3.2.2.2.9.0.0.0.45020381.91119 - 20</t>
  </si>
  <si>
    <t>Desarrollar estrategias, programas y/o proyectos que promuevan la garantía de derechos a la población sexualmente diversa</t>
  </si>
  <si>
    <t>Desarrollo programas, campañas, talleres relacionados con la promoción de derechos de población LGTBI</t>
  </si>
  <si>
    <t>Diseñar e implementar, hacer seguimiento y evaluación a estrategias de formación para la disminución de todas las formas de discriminación por orientación sexual e identidad de género diverso</t>
  </si>
  <si>
    <t>Estrategias de Capacitación, fomento y sensibilización a personal de entidades públicos y privadas en la atención con enfoque diferencial y subdiferencial OSIGD/LGBTI para la inclusión, protección y promoción de las personas de estos sectores</t>
  </si>
  <si>
    <t>Pendón, plegables. Folletos, manillas, etc.</t>
  </si>
  <si>
    <t>0316 - 2 - 3.2.2.1.3.0.0.0.45020381.32690 - 20</t>
  </si>
  <si>
    <t>0316 - 2 - 3.2.2.2.6.0.0.0.45020381.63391 - 20</t>
  </si>
  <si>
    <t>Servicio de apoyo para la implementación de medidas en derechos humanos y derecho internacional humanitario</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</si>
  <si>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</si>
  <si>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</si>
  <si>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</si>
  <si>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</si>
  <si>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</si>
  <si>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 xml:space="preserve">Realizar articulación interinstitucional para la inclusión y promoción de la mujer en el ámbito económico, social y cultural </t>
  </si>
  <si>
    <t>0316 - 2 - 3.2.2.2.9.0.0.0.45020241.91119 - 20</t>
  </si>
  <si>
    <t xml:space="preserve">Brindar asistencias técnicas a las alianzas público - privadas para la promoción de la mujer en el ámbito económico, social y cultural </t>
  </si>
  <si>
    <t xml:space="preserve">Canalizar la oferta público-privada para la inclusión de la mujer </t>
  </si>
  <si>
    <t>Casa Refugio de la Mujer implementada</t>
  </si>
  <si>
    <t>202000363-0112</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</si>
  <si>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</si>
  <si>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*Articulación interinstitucional para la protección de la mujer.
*Fortalecer la articulación de organizaciones y procesos orientados a la protección de la mujer.</t>
  </si>
  <si>
    <t xml:space="preserve">Promover alianzas estratégicas para la creación y puesta en funcionamiento de la Casa Refugio para la protección de la Mujer </t>
  </si>
  <si>
    <t>0316 - 2 - 3.2.2.2.9.0.0.0.45020242.91119 - 20</t>
  </si>
  <si>
    <t>Articulación de base social y comunitario para la protección de la Mujer</t>
  </si>
  <si>
    <t>Realizar procesos continuos y formativos para el aumento de mujeres protegidas y protectoras.</t>
  </si>
  <si>
    <t>Promover acciones que conlleven a contribuir a la protección de la mujer de violencia de género.</t>
  </si>
  <si>
    <t>0316 - 2 - 3.2.2.2.9.0.0.0.45020242.91119 - 88</t>
  </si>
  <si>
    <t>Fortalecimiento a la gestión y dirección de la administración pública territorial "Quindío con una administración al servicio de la ciudadanía"</t>
  </si>
  <si>
    <t xml:space="preserve">Formular e implementar la política pública de adulto mayor </t>
  </si>
  <si>
    <t>4599019</t>
  </si>
  <si>
    <t xml:space="preserve">Documentos de planeación </t>
  </si>
  <si>
    <t xml:space="preserve">Política Pública de Adulto Mayor  formulada e implementada </t>
  </si>
  <si>
    <t>459901900</t>
  </si>
  <si>
    <t>Documentos de planeación realizados</t>
  </si>
  <si>
    <t>202000363-0150</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</si>
  <si>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</si>
  <si>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</si>
  <si>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Apoyar la elaboración, seguimiento y evaluación de los planes de acción de los municipios y depto. de la Política Publica de envejecimiento y vejez</t>
  </si>
  <si>
    <t>Formulación de la  política pública de Envejecimiento y vejez</t>
  </si>
  <si>
    <t>0316 - 2 - 3.2.2.2.9.0.0.0.45990192.91119 - 20</t>
  </si>
  <si>
    <t>LIZ BELCKA CASTRO JARAMILLO- DIRECTORA ADULTO MAYOR Y DISCAPACIDAD</t>
  </si>
  <si>
    <t>Desarrollar acciones que permitan garantizar el cumplimiento y reconocimiento de los derechos de las personas mayores.</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</si>
  <si>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</si>
  <si>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</si>
  <si>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</si>
  <si>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</si>
  <si>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Mejorar la articulación frente a la implementación de las políticas públicas de equidad y género</t>
  </si>
  <si>
    <t>Revisión y ajuste a la Política Pública de Equidad de Género para la Mujer</t>
  </si>
  <si>
    <t>0316 - 2 - 3.2.2.2.9.0.0.0.45990191.91119 - 20</t>
  </si>
  <si>
    <t>Revisar y ajustar    la política pública de  discapacidad</t>
  </si>
  <si>
    <t xml:space="preserve">Documento de Política Pública de  Discapacidad revisada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</si>
  <si>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</si>
  <si>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</si>
  <si>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</si>
  <si>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Generar procesos sociales orientados a la incidencia en la toma de decisiones públicas para la inclusión de las personas con discapacidad.</t>
  </si>
  <si>
    <t>Servicio de Intérpretes de lengua de señas que permita la inclusión y acceso de las personas con discapacidad.</t>
  </si>
  <si>
    <t>0316 - 2 - 3.2.2.2.9.0.0.0.45990193.91119 - 20</t>
  </si>
  <si>
    <t xml:space="preserve">Formación de cuidadores para el adecuado manejo de la Discapacidad a Cuidadoras, Cuidadores y Familias </t>
  </si>
  <si>
    <t>0316 - 2 - 3.2.2.2.9.0.0.0.45990193.91119 - 88</t>
  </si>
  <si>
    <t>Elaboración ,seguimiento y evaluación de los planes de acción de los municipios y depto. de la Política Publica de discapacidad.</t>
  </si>
  <si>
    <t>Asistencia técnica a los municipios para la adecuada apropiación de la Política Pública de Discapacidad</t>
  </si>
  <si>
    <t>Acciones y actividades para la implementacion de la Politica Publica de Discapacidad "Capacidad sin limites" del Departamento del Quindío</t>
  </si>
  <si>
    <t xml:space="preserve">Eventos de participación e integración de la población con discapacidad </t>
  </si>
  <si>
    <t>SEGUIMIENTO PLAN DE ACCIÓN 
SECRETARÍA DE PLANEACIÓN
A DICIEMBRE 31 DE 2021</t>
  </si>
  <si>
    <t>PLAN DE DESARROLLO DEPARTAMENTAL: PLAN DE DESARROLLO 2020 - 2023 "TÚ Y YO SOMOS QUINDIO"</t>
  </si>
  <si>
    <t>VALOR PROYECTO
(EN PESOS )</t>
  </si>
  <si>
    <t>VALOR ACTIVIDAD (EN PESOS)</t>
  </si>
  <si>
    <t>COMPROMISOS</t>
  </si>
  <si>
    <t>OBLIGACIONES</t>
  </si>
  <si>
    <t>PAGOS</t>
  </si>
  <si>
    <t>Gestión Territorial</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</si>
  <si>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</si>
  <si>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</si>
  <si>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</si>
  <si>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</si>
  <si>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</si>
  <si>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Facilitar la participación del Consejo Territorial de Planeación en eventos a nivel regional, nacional y departamental</t>
  </si>
  <si>
    <t>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</si>
  <si>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0305 - 2 - 3.2.2.2.6.0.0.0.45020014.63391 - 20</t>
  </si>
  <si>
    <t>Recursos Ordinarios</t>
  </si>
  <si>
    <t>Diego Fernando Acevedo Cardona
Jefe Desarrollo Territorial</t>
  </si>
  <si>
    <t>Secretario de Planeación Departamental</t>
  </si>
  <si>
    <t>0305 - 2 - 3.2.2.2.6.0.0.0.45020014.64118 - 20</t>
  </si>
  <si>
    <r>
      <t>XIV Encuentro CTP, traslados de ida y vuelta desde su lugar de origen Plaza de Bolívar del Municipio de Armenia hasta el Municipio de "</t>
    </r>
    <r>
      <rPr>
        <b/>
        <sz val="12"/>
        <color theme="1"/>
        <rFont val="Arial"/>
        <family val="2"/>
      </rPr>
      <t>SEDE</t>
    </r>
    <r>
      <rPr>
        <sz val="12"/>
        <rFont val="Arial"/>
        <family val="2"/>
      </rPr>
      <t xml:space="preserve">”, en los días que sean acordados por el contratante, a realizarse durante el mes de octubre /noviembre - Suministro de alimentación en el municipio sede, desayuno, almuerzo y cena, durante los días del encuentro - Servicio de alojamiento acomodación en habitaciones dobles en los días que sean acordados por el contratante. Mes de Junio para 20 personas. </t>
    </r>
  </si>
  <si>
    <t>0305 - 2 - 3.2.2.2.6.0.0.0.45020014.63111 - 20</t>
  </si>
  <si>
    <t>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</si>
  <si>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Adquisición de equipo de cómputo y muebles de oficina</t>
  </si>
  <si>
    <t>0305 - 2 - 3.2.1.1.4.1.1.2.45020014.38122 - 20</t>
  </si>
  <si>
    <t>0305 - 2 - 3.2.1.1.3.3.2.0.45020014.45221 - 20</t>
  </si>
  <si>
    <t xml:space="preserve">Scanner, cámara fotografía, grabadora, micrófonos inalámbricos. </t>
  </si>
  <si>
    <t>0305 - 2 - 3.2.1.1.3.3.2.0.45020014.45250 - 20</t>
  </si>
  <si>
    <t xml:space="preserve">Comunicaciones externas de interés público a través de medios radiales, prensa y televisivos. </t>
  </si>
  <si>
    <t>0305 - 2 - 3.2.2.2.9.0.0.0.45020014.91134 - 20</t>
  </si>
  <si>
    <t>Actualización y cargas permanente a la página Web y redes del Consejo Territorial</t>
  </si>
  <si>
    <t>0305 - 2 - 3.2.2.2.8.0.0.0.45020014.83132 - 20</t>
  </si>
  <si>
    <t>Suministro de material litográfico, papelería, impresos y publicaciones, entre otros.</t>
  </si>
  <si>
    <t>0305 - 2 - 3.2.2.1.3.0.0.0.45020014.32690 - 20</t>
  </si>
  <si>
    <t>Jornadas de educacíón no formal en Ordenamiento Territorial</t>
  </si>
  <si>
    <t>0305 - 2 - 3.2.2.2.9.0.0.0.45020014.91119 - 20</t>
  </si>
  <si>
    <t>Apoyo Administrativo Jurídico</t>
  </si>
  <si>
    <t>Material de apoyo logístico</t>
  </si>
  <si>
    <t>Adquisición de muebles de oficina (mesas y sillas sala de juntas)</t>
  </si>
  <si>
    <t>0305 - 2 - 3.2.1.1.4.1.1.2.4502001.38122 - 88</t>
  </si>
  <si>
    <t>Materiales y suministros (diseño e impresión cuadernos académicos)</t>
  </si>
  <si>
    <t>Eventos de Rendición Pública de Cuentas qué divulgan la gestión administrativa.</t>
  </si>
  <si>
    <t xml:space="preserve">Eventos de Rendición Públicas de Cuentas realizados. </t>
  </si>
  <si>
    <t>Rendicion de cuentas realizadas</t>
  </si>
  <si>
    <t>202000363-0043</t>
  </si>
  <si>
    <t xml:space="preserve"> Implementación  de eventos de Rendición Pública de Cuentas  de divulgación de gestión  de la Administración </t>
  </si>
  <si>
    <t>Incrementar la  participación de ciudadanos en los eventos de elección popular, a través  de la realización de la  Rendición Pública de Cuentas, con el propósito de generar un espacio de interlocución entre la sociedad civil y/o organizada.</t>
  </si>
  <si>
    <t>Aumentar los eventos de divulgación</t>
  </si>
  <si>
    <t xml:space="preserve"> Apoyo estructuración de instrumentos informativos (visual  y escrito) para la socialización  Informe de Gestión  vigencia 2020</t>
  </si>
  <si>
    <t xml:space="preserve">
0305 - 2 - 3.2.2.2.9.0.0.0.45020012.91119 - 20</t>
  </si>
  <si>
    <t>Martha Elena Giraldo Ramirez
Directora Técnica</t>
  </si>
  <si>
    <t>31/12/20121</t>
  </si>
  <si>
    <t xml:space="preserve">Apoyo en la organización logística del proceso de Rendición de Cuentas  en los municipios </t>
  </si>
  <si>
    <t xml:space="preserve"> Apoyo recolección de información  por líneas  estratégicas  (visual  y escrita) para la  estructuración del Informe de Gestión de la vigencia 2021 Sector Central (Secretarías)</t>
  </si>
  <si>
    <t xml:space="preserve"> Apoyo recolección de información  por líneas  estratégicas  (visual  y escrita) para la  estructuración del Informe de Gestión de la vigencia 2021  Entes Descentralizados </t>
  </si>
  <si>
    <t>Edición Informe de Gestión  vigencia 2020</t>
  </si>
  <si>
    <t>0305 - 2 - 3.2.2.1.3.0.0.0.45020012.32690 - 20</t>
  </si>
  <si>
    <t>Instrumentos de planificación para el ordenamiento y la gestión territorial departamental (Plan de Desarrollo Departamental PDD, Ordenamiento Territorial, Sistema de Información Geográfica, Mecanismos de Integración, Catastro multipropósito etc.).</t>
  </si>
  <si>
    <t xml:space="preserve">Instrumentos de planificación de ordenamiento y gestión territorial departamental implementados. </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</si>
  <si>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</si>
  <si>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</si>
  <si>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</si>
  <si>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Ajustar e Implementar las Políticas de Ordenamiento para el Departamento y la adopción de las mismas.</t>
  </si>
  <si>
    <t>Elaboración e implementación de instrumentos de planificación para  el  Ordenamiento y la Gestión Territorial Departamental en el área de Catastro Multipropósito  y Ordenamiento Territorial.</t>
  </si>
  <si>
    <t>0305 - 2 - 3.2.2.2.9.0.0.0.4599018.91114 - 20</t>
  </si>
  <si>
    <t>Elaboración e implementación de instrumentos de planificación para  el  Ordenamiento y la Gestión Territorial Departamental en el área directrices del Ordenamiento Territorial Departamental</t>
  </si>
  <si>
    <t xml:space="preserve">Elaboración de   instrumentos de planificación para  el  Ordenamiento y la Gestión Territorial Departamental para la implementación de Mecanismos de Integración </t>
  </si>
  <si>
    <t>Fortalecimiento de la plataforma SIG Institucional. Licencia software</t>
  </si>
  <si>
    <t>Implementación instrumentos de planificación para  el  Ordenamiento y la Gestión Territorial Departamental en el área de Sistemas de Información Geográfica fortalecimiento de la plataforma SIG-  Convenio IGAC</t>
  </si>
  <si>
    <t>Apoyo implementación  instrumentos de planificación para  el  Ordenamiento y la Gestión Territorial Departamental en el área de Sistemas de Información Geográfica fortalecimiento de la plataforma SIG. - Asistencia.</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</si>
  <si>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</si>
  <si>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</si>
  <si>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</si>
  <si>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</si>
  <si>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</si>
  <si>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</si>
  <si>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</si>
  <si>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Facilitar el acceso al mínimo vital de subsistencia por parte de la población vulnerable</t>
  </si>
  <si>
    <t>Recolección y análisis de la información para la actualización, generación de los boletines trimestrales (4), el informe anual del Departamento (1) y los demás análisis requeridos correspondientes a la vigencia 2020 (Informe de mercado laboral 2020 (1), saldo de deuda (1), infografías y notas informativas (12) , actualización y seguimiento indicadores de Desarrollo sostenible 2020 (1) compilación, fichas básicas municipales.2020</t>
  </si>
  <si>
    <t>0305 - 2 - 3.2.2.2.9.0.0.0.45990251.91114 - 20</t>
  </si>
  <si>
    <t>Apoyar la implementación  del Observatorio Económico  del Departamento: en la organización, actualización, operatividad de la información además de su publicación, difusión  y asistencia técnica.</t>
  </si>
  <si>
    <t>Actualización de los instrumentos (anuario estadístico, carta estadística e indicadores) de identificación, validación y cálculo de indicadores del observatorio departamental contenidos en las dos áreas temáticas abordadas (social y económica) para la vigencia 2020</t>
  </si>
  <si>
    <t>Banco de Programas y Proyectos del Departamento  con procesos de fortalecimiento.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</si>
  <si>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</si>
  <si>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</si>
  <si>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</si>
  <si>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</si>
  <si>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Fortalecer la asistencia a los entes territoriales para garantizar la presentación de proyectos</t>
  </si>
  <si>
    <t>Acompañamiento en la estructuración y formulación de proyectos para ser  financiados con recursos   del Sistema General de Regalías  SGR (documento técnico de soporte, presupuesto, Metodología General Ajustada  y  requisitos generales para la viabilización de proyectos)</t>
  </si>
  <si>
    <t>0305 - 2 - 3.2.2.2.9.0.0.0.45990252.91114 - 20</t>
  </si>
  <si>
    <t>Sandra Patricia Diaz Ordonez 
Jefe Banco de Programas y Proyectos
Norma Consuelo Mantilla Quintero
Profesional Universitario 
Luis Alberto Rincon Quintero
Asesor de Despacho</t>
  </si>
  <si>
    <t>Apoyo para la revision tecnica, viabilidad, priorización y aprobación de proyectos nuevos y ajustes  suceptibles de ser financiados con recursos del Sistema General de Regalias y acompañamiento en el cumplimiento de requisitos legales previos al inicio de la ejecucion de los proyectos SGR.</t>
  </si>
  <si>
    <t>Apoyo en la gestión técnica, registro y seguimiento en las plataformas del sistema General de Regalías  e informes   requeridos por las instancias de seguimiento y control,  acompañamiento a los ejercicios de planeación  conforme a la normatividad vigente.</t>
  </si>
  <si>
    <t>Apoyo y asistencia técnica a las  unidades ejecutoras para la realización de modificaciones y/o  ajustes a los proyectos de Inversión registrados y viabilizados para las vigencias  2020-2023, de acuerdo a los formatos y directrices del Manual Operativo del Banco de Programas y Proyectos del Departamento y su actualización en las  plataformas  SUIFP-TERRITORIO y demás dispuestas por el DNP.</t>
  </si>
  <si>
    <t>Apoyo técnico  y acompañamiento a las unidades ejecutoras para el Seguimiento a los Proyectos de Inversión del Banco de Proyectos nivel departamental en el  SISTEMA DE SEGUIMIENTO A PROYECTOS DE INVERSIÓN -SPI-, teniendo en cuenta la Ejecución de metas físicas y financieras, gestión y los anexos.</t>
  </si>
  <si>
    <t>Apoyo en el seguimiento, generación de informes  y actualización  de los instrumentos de planificación conforme al  avance y/o modificaciones presupuestales que   generen cambios en los proyectos de inversión.</t>
  </si>
  <si>
    <t>Apoyo y asistencia técnica para la realización de modificaciones y/o ajustes a los proyectos de Inversión de la Secretaria de Planeación Departamental, de acuerdo al Plan de Desarrollo 2020-2023, actualizando las plataformas, MGA, SUIIF  TERRITORIO y realizando la actualización de seguimiento en el  aplicativo SPI.</t>
  </si>
  <si>
    <t>Apoyo a los procesos de revisión, verificación de cumplimiento de requisitos generales y acompañamiento a los proyectos e iniciativas, presentados por formuladores ciudadanos u oficiales, a través de la MGA WEB o en forma física, susceptibles de ser financiados con recursos del orden departamental, regional, nacional e internacional, de acuerdo a los sectores de inversión y las unidades ejecutoras competentes, presentando los respectivos informes.</t>
  </si>
  <si>
    <t>Apoyar los procesos de revisión y análisis de actos administrativos y demás  información   financiera relacionada con la inversión del Departamento, así como el apoyo en la proyección, verificación y consolidación de la información  correspondiente a iniciativas y proyectos  del banco de programas y proyectos,  permitiendo garantizar  la disposición de la información de manera accesible, confiable y oportuna.</t>
  </si>
  <si>
    <t xml:space="preserve">Capacitación y asistencia técnica a las unidades ejecutoras de la administración departamental, en formulación,  estructuración metodológica, teoría de proyectos, gestión presupuestal de la inversión pública  y herramientas informáticas que soportan el ciclo de la inversión: MGA, SUIFP y SPI,  de acuerdo al Plan de Desarrollo 2020-2023. </t>
  </si>
  <si>
    <t>Apoyar los procesos de ajustes, actualización instrumentos de planificación, proyección certificados, cumplimiento de requisitos y demás documentos inherentes a la operatividad de los proyectos financiados con recursos del Sistema General de Regalías</t>
  </si>
  <si>
    <t>Adquisición de equipos para el fortalecimiento del área de bancos y proyectos</t>
  </si>
  <si>
    <t>0305 - 2 - 3.2.1.1.3.3.2.0.45990252.45221 - 20</t>
  </si>
  <si>
    <t>0305 - 2 - 3.2.1.1.3.3.2.0.45990252.45250 - 20</t>
  </si>
  <si>
    <t>0305 - 2 - 3.2.1.1.3.5.2.0.45990252.47694 - 20</t>
  </si>
  <si>
    <t xml:space="preserve">Entes territoriales  con servicio de asistencia técnica de los Instrumentos de Planificación para  en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</si>
  <si>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</si>
  <si>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</si>
  <si>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</si>
  <si>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</si>
  <si>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</si>
  <si>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</si>
  <si>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Aumento de asistencia a los entes municipales</t>
  </si>
  <si>
    <t xml:space="preserve">Capacitación, asistencia técnica seguimiento y/o evaluación actualización  Planes, Planes Básicos y Esquemas de Ordenamiento Territorial, en concordancia a lo dispuesto en el Decreto 1232 del 2020 </t>
  </si>
  <si>
    <t>0305 - 2 - 3.2.2.2.9.0.0.0.45990311.91114 - 20</t>
  </si>
  <si>
    <t>Martha Elena Giraldo Ramirez
Directora Técnica
Diego Fernando Acevedo Cardona
Jefe Desarrollo Territorial
Sandra Patricia Diaz Ordonez 
Jefe Banco de Programas y Proyectos</t>
  </si>
  <si>
    <t>Entes territoriales con servicio de asistencia  técnica del Modelo Integrado de Planeación y de Gestión MIPG</t>
  </si>
  <si>
    <t>Entes Territoriales con procesos de asistencia técnica realizadas.</t>
  </si>
  <si>
    <t xml:space="preserve">Capacitación, Diagnóstico y Asistencias Técnicas  Dimensiones  MIPG  Talento Humano, Direccionamiento Estratégico y Planeación, Gestión para Resultados con Valores, Evaluación de Resultados, Información y Comunicación, Gestión del Conocimiento y Control Interno </t>
  </si>
  <si>
    <t>0305 - 2 - 3.2.2.2.9.0.0.0.45990315.91114 - 20</t>
  </si>
  <si>
    <t>Entes territoriales  con servicio de asistencia técnica en la Medición del Desempeño Municipal.</t>
  </si>
  <si>
    <t>Asistencia técnica, seguimiento y/o evaluación Ranking Integral de Desempeño, identificación de inconsistencias del FUT, Evaluación de requisitos legales, viabilidad fiscal.</t>
  </si>
  <si>
    <t>0305 - 2 - 3.2.2.2.9.0.0.0.45990314.91114 - 20</t>
  </si>
  <si>
    <t xml:space="preserve">Entes territoriales  con servicio de asistencia técnica en el Sistema de Identificación de Potenciales Beneficiarios de Programas Sociales (SISBEN). </t>
  </si>
  <si>
    <r>
      <t>a)</t>
    </r>
    <r>
      <rPr>
        <sz val="12"/>
        <color rgb="FF212121"/>
        <rFont val="Arial"/>
        <family val="2"/>
      </rPr>
      <t xml:space="preserve"> Apoyar a los municipios en el reporte de información al Departamento Nacional de Planeación DNP. </t>
    </r>
    <r>
      <rPr>
        <b/>
        <sz val="12"/>
        <color rgb="FF212121"/>
        <rFont val="Arial"/>
        <family val="2"/>
      </rPr>
      <t>b)</t>
    </r>
    <r>
      <rPr>
        <sz val="12"/>
        <color rgb="FF212121"/>
        <rFont val="Arial"/>
        <family val="2"/>
      </rPr>
      <t xml:space="preserve"> Orientar la correcta aplicación de los lineamientos metodológicos implementados por el   DNP para la operación del Sistema de Identificación de Potenciales Beneficiarios - SISBÉN. </t>
    </r>
    <r>
      <rPr>
        <b/>
        <sz val="12"/>
        <color rgb="FF212121"/>
        <rFont val="Arial"/>
        <family val="2"/>
      </rPr>
      <t>c)</t>
    </r>
    <r>
      <rPr>
        <sz val="12"/>
        <color rgb="FF212121"/>
        <rFont val="Arial"/>
        <family val="2"/>
      </rPr>
      <t xml:space="preserve"> Llevar a cabo el seguimiento mensual al comportamiento de las bases de datos SISBÉN a partir de estadísticas obtenidas de las bases certificadas municipales. </t>
    </r>
    <r>
      <rPr>
        <b/>
        <sz val="12"/>
        <color rgb="FF212121"/>
        <rFont val="Arial"/>
        <family val="2"/>
      </rPr>
      <t xml:space="preserve">d) </t>
    </r>
    <r>
      <rPr>
        <sz val="12"/>
        <color rgb="FF212121"/>
        <rFont val="Arial"/>
        <family val="2"/>
      </rPr>
      <t xml:space="preserve">Coadyuvar en la Transferencia y gestión de conocimiento e información entre la nación y los municipios. </t>
    </r>
    <r>
      <rPr>
        <b/>
        <sz val="12"/>
        <color rgb="FF212121"/>
        <rFont val="Arial"/>
        <family val="2"/>
      </rPr>
      <t>e)</t>
    </r>
    <r>
      <rPr>
        <sz val="12"/>
        <color rgb="FF212121"/>
        <rFont val="Arial"/>
        <family val="2"/>
      </rPr>
      <t xml:space="preserve"> Indicar a los municipios los procedimientos que determine el DNP para la solución de inquietudes y casos particulares derivados de la aplicación del Sisbén como instrumento para la focalización</t>
    </r>
    <r>
      <rPr>
        <b/>
        <sz val="12"/>
        <color rgb="FF212121"/>
        <rFont val="Arial"/>
        <family val="2"/>
      </rPr>
      <t>. f)</t>
    </r>
    <r>
      <rPr>
        <sz val="12"/>
        <color rgb="FF212121"/>
        <rFont val="Arial"/>
        <family val="2"/>
      </rPr>
      <t xml:space="preserve"> Apoyar los procesos de validación y controles de calidad, mediante visitas a los diferentes entes territoriales municipales, conforme a la metodología e instrumentos que para tal fin adopte el DNP. </t>
    </r>
    <r>
      <rPr>
        <b/>
        <sz val="12"/>
        <color rgb="FF212121"/>
        <rFont val="Arial"/>
        <family val="2"/>
      </rPr>
      <t>g)</t>
    </r>
    <r>
      <rPr>
        <sz val="12"/>
        <color rgb="FF212121"/>
        <rFont val="Arial"/>
        <family val="2"/>
      </rPr>
      <t xml:space="preserve"> Velar por el correcto uso de la base de datos, su reserva y la información que esta contiene. </t>
    </r>
    <r>
      <rPr>
        <b/>
        <sz val="12"/>
        <color rgb="FF212121"/>
        <rFont val="Arial"/>
        <family val="2"/>
      </rPr>
      <t>h)</t>
    </r>
    <r>
      <rPr>
        <sz val="12"/>
        <color rgb="FF212121"/>
        <rFont val="Arial"/>
        <family val="2"/>
      </rPr>
      <t xml:space="preserve"> Apoyar el DNP en procesos de capacitación y retroalimentación en materia de procesos, procedimientos, ajustes metodológicos y herramientas tecnológicas asociadas con el Sisbén.</t>
    </r>
  </si>
  <si>
    <t>0305 - 2 - 3.2.2.2.9.0.0.0.45990313.91114 - 20</t>
  </si>
  <si>
    <t>Entes territoriales con servicio de asistencia técnica en la formulación, preparación, seguimiento y evaluación de las políticas públicas.</t>
  </si>
  <si>
    <t>Procesos de socialización a los  Entes Territoriales Municipales :   a) Políticas Públicas, Planes y Programas departamentales   Acto Administrativo por medio del cual se reglamenta el seguimiento y evaluación de las Políticas Públicas Departamentales.  Guía para la Gestión de Políticas Públicas en el Departamento Quindío   b) Seguimiento y evaluación de las políticas públicas y programas del orden Municipal,  en coordinación con las Secretarias Sectoriales responsables. c)  Formulación y/o ajustes de Políticas Públicas, Planes y Programas.  d)  Apoyar y brindar asistencia técnica a los Comités y Subcomités de Políticas Públicas, Planes y Programas   del orden municipal.</t>
  </si>
  <si>
    <t>0305 - 2 - 3.2.2.2.9.0.0.0.45990316.91114 - 20</t>
  </si>
  <si>
    <t xml:space="preserve">Entes territoriales  con servicio de asistencia técnica en Banco de Programas y Proyectos de Inversión Nacional (BPIN).  </t>
  </si>
  <si>
    <t>Capacitación, asistencia técnica, seguimiento y/o evaluación al banco de programas y proyectos de los entes territoriales</t>
  </si>
  <si>
    <t>0305 - 2 - 3.2.2.2.9.0.0.0.45990312.91114 - 20</t>
  </si>
  <si>
    <t xml:space="preserve">Sistema de Gestión implementado </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</si>
  <si>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</si>
  <si>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</si>
  <si>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</si>
  <si>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 xml:space="preserve">Incrementar la aplicabilidad de los componentes que integran las dimensiones y políticas del Modelo Integrado de Planeación y de Gestión MIPG en la Administración Departamental del Quindío.
</t>
  </si>
  <si>
    <t xml:space="preserve">Dimensión de Talento Humano  </t>
  </si>
  <si>
    <t>0305 - 2 - 3.2.2.2.9.0.0.0.45990232.91119 - 20</t>
  </si>
  <si>
    <t xml:space="preserve">Dimensión Direccionamiento Estratégico </t>
  </si>
  <si>
    <t xml:space="preserve">Dimensión Gestión para Resultados con Valores </t>
  </si>
  <si>
    <t xml:space="preserve">Dimensión Evaluación de Resultados </t>
  </si>
  <si>
    <t xml:space="preserve">Dimensión Información y Comunicación </t>
  </si>
  <si>
    <t xml:space="preserve">Dimensión Gestión del Conocimiento y la Innovación </t>
  </si>
  <si>
    <t xml:space="preserve">Dimensión de Control Interno  </t>
  </si>
  <si>
    <t xml:space="preserve">Política de Talento Humano  </t>
  </si>
  <si>
    <t xml:space="preserve">Política de  Integridad </t>
  </si>
  <si>
    <t xml:space="preserve">Planeación Institucional  </t>
  </si>
  <si>
    <t xml:space="preserve">Política Gestión Presupuestal y Eficiencia del Gasto Público </t>
  </si>
  <si>
    <t xml:space="preserve">Política Fortalecimiento Organizacional y Simplificación de Procesos  </t>
  </si>
  <si>
    <t xml:space="preserve">Política de Gobierno Digital  </t>
  </si>
  <si>
    <t xml:space="preserve">Política de Seguridad Digital  </t>
  </si>
  <si>
    <t xml:space="preserve">Política Defensa Jurídica </t>
  </si>
  <si>
    <t xml:space="preserve">Política  Transparencia, Acceso a la Información y Lucha Contra la Corrupción </t>
  </si>
  <si>
    <t xml:space="preserve">Política Servicio al Ciudadano  </t>
  </si>
  <si>
    <t xml:space="preserve">Política de Racionalización de Trámites  </t>
  </si>
  <si>
    <t xml:space="preserve">Política Participación Ciudadana en la Gestión  </t>
  </si>
  <si>
    <t xml:space="preserve">Política Mejora Normativa  </t>
  </si>
  <si>
    <t xml:space="preserve">Política de Seguimiento y Evaluación del Desempeño Institucional.  </t>
  </si>
  <si>
    <t xml:space="preserve">Política Gestión Documental  </t>
  </si>
  <si>
    <t xml:space="preserve">Política  Gestión de la Información Estadística  </t>
  </si>
  <si>
    <t xml:space="preserve">Política de Gestión del Conocimiento y la Innovación </t>
  </si>
  <si>
    <t xml:space="preserve">Política de Control Interno </t>
  </si>
  <si>
    <t>Dimensiones y Políticas  del  MIPG</t>
  </si>
  <si>
    <t>Realización procesos de autoevaluación MIPG</t>
  </si>
  <si>
    <t>LUIS ALBERTO RINCON QUINTERO</t>
  </si>
  <si>
    <t>Secretario de Planeación</t>
  </si>
  <si>
    <t>SEGUIMIENTO PLAN DE ACCIÓN
PLAN DE DESARROLLO 2020-2023 "TÚ Y YO SOMOS QUINDIO" 
 INSTITUTO DEPARTAMENTAL DE TRANSITO DEL QUINDÍO  
A DICIEMBRE 31 DE 2021</t>
  </si>
  <si>
    <t>VALOR (EN PESOS)</t>
  </si>
  <si>
    <t>Seguridad de Transporte. "Tú y yo seguros en la vía"</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</si>
  <si>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</si>
  <si>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</si>
  <si>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</si>
  <si>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</si>
  <si>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</si>
  <si>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</si>
  <si>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</si>
  <si>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</si>
  <si>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</si>
  <si>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2.3.5.02.09.2409009.91134</t>
  </si>
  <si>
    <t>Otros recursos (Propios de  IDTQ)</t>
  </si>
  <si>
    <t>Raul Augusto Perez Ospina</t>
  </si>
  <si>
    <t>Fernando Baena Villareal</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</si>
  <si>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</si>
  <si>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</si>
  <si>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</si>
  <si>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</si>
  <si>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Programa de formación cultural  de la seguridad en la vía implementado.</t>
  </si>
  <si>
    <t>2.3.5.02.09.2409022.91134</t>
  </si>
  <si>
    <t>Formular e Implementar un programa de control, prevención y atención del tránsito y en transporte en los municipios y vías de jurisdicción del IDTQ.</t>
  </si>
  <si>
    <t>Programa de control y atención del tránsito y en transporte formulado e implementado</t>
  </si>
  <si>
    <t>Programa de control y atención del tránsito y el transporte implementado</t>
  </si>
  <si>
    <t>2.3.5.02.09.2409014.91134</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</si>
  <si>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</si>
  <si>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</si>
  <si>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</si>
  <si>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</si>
  <si>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Programa de Señalización y Demarcación en los municipios y vías de jurisdicción del IDTQ Implementado</t>
  </si>
  <si>
    <t>2.3.5.02.09.2409039.91134</t>
  </si>
  <si>
    <t>SEGUIMIENTO PLAN DE ACCIÓN  DE LA SECRETARÍA DE AGRICULTURA, DESARROLLO RURAL Y MEDIO AMBIENTE  
A DICIEMBRE 31 DE 2021</t>
  </si>
  <si>
    <t>PLAN DE DESARROLLO DEPARTAMENTAL: Tú y Yo somos Quindío 2020-2023</t>
  </si>
  <si>
    <t>PROYECTOS</t>
  </si>
  <si>
    <t>Inclusión productiva de pequeños productores rurales. "Tú y yo con oportunidades para en pequeño campesino"</t>
  </si>
  <si>
    <t>Servicio de asesoría para el fortalecimiento de la asociatividad</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</si>
  <si>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</si>
  <si>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</si>
  <si>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</si>
  <si>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</si>
  <si>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Ejecutar procesos de planificación a los procesos de acompañamiento a las asociaciones</t>
  </si>
  <si>
    <t>Actividades de asesoría para el fortalecimiento de la asociatividad</t>
  </si>
  <si>
    <t>0312 - 2 - 3.2.2.2.9.0.0.0.1702011.91131 - 20</t>
  </si>
  <si>
    <t>Recurso ordinario</t>
  </si>
  <si>
    <t>20
195</t>
  </si>
  <si>
    <t>Recurso ordinario
Superavit reintegro recursos del crédito</t>
  </si>
  <si>
    <t>JUAN CAMILO TABARES ALZATE</t>
  </si>
  <si>
    <t>JULIO CESAR CORTES PULIDO</t>
  </si>
  <si>
    <t>0312 - 2 - 3.2.2.2.8.0.0.0.1702011.86119 - 20</t>
  </si>
  <si>
    <t>Servicio de apoyo financiero para proyectos productivos</t>
  </si>
  <si>
    <t>Proyectos productivos cofinanciados</t>
  </si>
  <si>
    <t>Realizar proceso de acompañamiento en la cofinanciación de proyectos productivos</t>
  </si>
  <si>
    <t>Convenios alianzas proyectos productivos</t>
  </si>
  <si>
    <t>0312 - 2 - 3.2.2.2.9.0.0.0.1702007.91138 - 20</t>
  </si>
  <si>
    <t>Servicio de apoyo financiero para en acceso a activos productivos y de comercialización</t>
  </si>
  <si>
    <t>Productores apoyados con activos productivos y de comercialización</t>
  </si>
  <si>
    <t>Disminuir las dificultades que enfrentan los productores agropecuarios para acceder adecuadamente a los mercados, y diseña esquemas de comercialización</t>
  </si>
  <si>
    <t>Convenios alianzas de apoyo financiero para el acceso a activos productivos y de comercialización</t>
  </si>
  <si>
    <t>0312 - 2 - 3.2.2.2.9.0.0.0.1702009.91138 - 20</t>
  </si>
  <si>
    <t>0312 - 2 - 3.2.2.2.9.0.0.0.1702009.91138 - 195</t>
  </si>
  <si>
    <t>Superavit reintegro recursos del crédito</t>
  </si>
  <si>
    <t>Servicio de apoyo para en fomento organizativo de la agricultura campesina, familiar y comunitaria</t>
  </si>
  <si>
    <t>170201700</t>
  </si>
  <si>
    <t>Productores agropecuarios apoyados</t>
  </si>
  <si>
    <t>202000363-0023</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</si>
  <si>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</si>
  <si>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</si>
  <si>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Estructurar y ejecutar proyectos integrales agropecuarios de seguridad y soberanía alimentaria de transferencia de innovaciones tecnológicas y provisión de metodologías de extensión rural (PDEA y PGAT municipal) a los productores.</t>
  </si>
  <si>
    <t>Apoyo técnico en el fomento organizativo de la Agricultura Campesina, Familiar y Comunitaria</t>
  </si>
  <si>
    <t>0312 - 2 - 3.2.2.2.9.0.0.0.1702017.91131 - 20</t>
  </si>
  <si>
    <t>Recurso ordinario
Superavit Recurso Ordinario</t>
  </si>
  <si>
    <t>LUIS ALBERTO GOMEZ ROJAS</t>
  </si>
  <si>
    <t>0312 - 2 - 3.2.2.2.9.0.0.0.1702017.91138 - 20</t>
  </si>
  <si>
    <t>0312 - 2 - 3.2.2.2.9.0.0.0.1702017.91131 - 88</t>
  </si>
  <si>
    <t>Superavit recurso ordinario</t>
  </si>
  <si>
    <t>Servicio de apoyo para en acceso a maquinaria y equipos</t>
  </si>
  <si>
    <t>170201400</t>
  </si>
  <si>
    <t>Productores beneficiados con acceso a maquinaria y equipo</t>
  </si>
  <si>
    <t>Formular e implementar proyectos integrales de Desarrollo Tecnológico y/o agro industriales, de dotación de
maquinaria y equipo,</t>
  </si>
  <si>
    <t>Adquisición de bienes o servicios y/o Convenio de cofinanciación alianzas productivas; para el servicio de apoyo para el acceso a maquinaria y equipos</t>
  </si>
  <si>
    <t>0312 - 2 - 3.2.2.2.9.0.0.0.1702014.91138 - 20</t>
  </si>
  <si>
    <t>Servicio de acompañamiento productivo y empresarial</t>
  </si>
  <si>
    <t>170202100</t>
  </si>
  <si>
    <t>Unidades productivas beneficiadas</t>
  </si>
  <si>
    <t>Formular e implementar programas y proyectos integrales de agro industria de extensión y asistencia técnica
agropecuaria, así como el fomento al crédito, a la infraestructura productiva</t>
  </si>
  <si>
    <t>Apoyo a la gestión para el acompañamiento productivo y empresarial</t>
  </si>
  <si>
    <t>0312 - 2 - 3.2.2.2.9.0.0.0.1702021.91131 - 20</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</si>
  <si>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</si>
  <si>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</si>
  <si>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</si>
  <si>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</si>
  <si>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</si>
  <si>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</si>
  <si>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Fortalecer la participación de los productores en los procesos de comercialización y de mercados campesinos</t>
  </si>
  <si>
    <t>Apoyo institucional a productores en la participación en mercados campesinos-Compra y/o adquisición de suministros</t>
  </si>
  <si>
    <t>0312 - 2 - 3.2.2.2.6.0.0.0.1702038.62429 - 20</t>
  </si>
  <si>
    <t xml:space="preserve">Recurso ordinario
Superavit reintegro recursos del crédito
</t>
  </si>
  <si>
    <t>0312 - 2 - 3.2.2.2.6.0.0.0.1702038.62429 - 195</t>
  </si>
  <si>
    <t>170203801</t>
  </si>
  <si>
    <t>Productores apoyados para la participación en mercados campesinos</t>
  </si>
  <si>
    <t>Acompañamiento a las organizaciones de productores formales</t>
  </si>
  <si>
    <t>170202301</t>
  </si>
  <si>
    <t>Planes de Desarrollo Agropecuario y Rural elaborados</t>
  </si>
  <si>
    <t>202000363-0022</t>
  </si>
  <si>
    <t>Implementación de procesos de extensión agropecuaria e inocuidad (estatus sanitario, BPA, BPG) alimentaria; en el Departamento del Quindío</t>
  </si>
  <si>
    <t>Formular e Implementar el Plan Departamental de Extensión Agropecuaria PDEA del departamento del Quindío;</t>
  </si>
  <si>
    <t>Formular e Implementar el Plan Departamental de Extensión Agropecuaria PDEA del departamento del Quindío</t>
  </si>
  <si>
    <t>0312 - 2 - 3.2.2.2.9.0.0.0.1702023.91131 - 20</t>
  </si>
  <si>
    <t>Servicios de acompañamiento en la implementación de planes de desarrollo agropecuario y rural</t>
  </si>
  <si>
    <t>170202400</t>
  </si>
  <si>
    <t>Planes de Desarrollo Agropecuario y Rural acompañados</t>
  </si>
  <si>
    <t>Estructurar y ejecutar proyectos integrales agropecuarios, de asistencia técnica y extensión agropecuaria municipales</t>
  </si>
  <si>
    <t>Servicios de acompañamiento en la implementación de Planes de desarrollo agropecuario y rural</t>
  </si>
  <si>
    <t>0312 - 2 - 3.2.2.2.9.0.0.0.1702024.91131 - 20</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</si>
  <si>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</si>
  <si>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</si>
  <si>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</si>
  <si>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</si>
  <si>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</si>
  <si>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</si>
  <si>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Aplicar de herramientas de planificación de programas y de proyectos programas y proyectos qué permitan en ajuste, fortalecimiento y la articulación interinstitucional pública, privada y académica</t>
  </si>
  <si>
    <t>Apoyo en la estructuración y formulación de proyectos de DESARROLLO RURAL E INCLUSIÓN PRODUCTIVA CAMPESINA</t>
  </si>
  <si>
    <t>0312 - 2 - 3.2.2.2.9.0.0.0.1702025.91131 - 20</t>
  </si>
  <si>
    <t>Servicios financieros y gestión del riesgo para las actividades agropecuarias y rurales. "Tú y yo con un campo protegido"</t>
  </si>
  <si>
    <t>Servicio de apoyo a la implementación de mecanismos y herramientas para en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</si>
  <si>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</si>
  <si>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</si>
  <si>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</si>
  <si>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</si>
  <si>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</si>
  <si>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Realizar acompañamiento técnico, económico a los productores en la prevención y mitigación de riesgos
naturales</t>
  </si>
  <si>
    <t>Acompañamiento técnico, económico a los productores en la prevención y mitigación de riesgos naturales</t>
  </si>
  <si>
    <t>0312 - 2 - 3.2.2.2.9.0.0.0.1703013.91138 - 20</t>
  </si>
  <si>
    <t>0312 - 2 - 3.2.2.2.9.0.0.0.1703013.91138 - 195</t>
  </si>
  <si>
    <t>Ordenamiento social y uso productivo del territorio rural. "Tú y yo con un campo planificado"</t>
  </si>
  <si>
    <t>170400203</t>
  </si>
  <si>
    <t>Documentos de lineamientos para en ordenamiento social y productivo elaborados</t>
  </si>
  <si>
    <t>202000363-0025</t>
  </si>
  <si>
    <t>Implementación de procesos de ordenamiento productivo y social territorial</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</si>
  <si>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</si>
  <si>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Formular e implementar el Plan de Ordenamiento Productivo Y Social De La Propiedad Rural (POPSPR)</t>
  </si>
  <si>
    <t>Apoyo coordinación puesta en marcha del plan de ordenamiento productivo y social de la propiedad rural</t>
  </si>
  <si>
    <t>0312 - 2 - 3.2.2.2.9.0.0.0.1704002.91131 - 20</t>
  </si>
  <si>
    <t>Servicio de apoyo para el fomento de la formalidad</t>
  </si>
  <si>
    <t>170401700</t>
  </si>
  <si>
    <t xml:space="preserve">Personas sensibilizadas en la formalización </t>
  </si>
  <si>
    <t>Formular e implementar programas y proyectos agropecuarios integrales, sostenibles, de reconversión productiva</t>
  </si>
  <si>
    <t>Acompañamiento en el proceso de formalización de la propiedad rural</t>
  </si>
  <si>
    <t>0312 - 2 - 3.2.2.2.9.0.0.0.1704017.91131 - 20</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</si>
  <si>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</si>
  <si>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</si>
  <si>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</si>
  <si>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</si>
  <si>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</si>
  <si>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</si>
  <si>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</si>
  <si>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Planificar estrategias productivas y empresariales del sector rural</t>
  </si>
  <si>
    <t>Apoyo financiero a eventos nacionales e internacionles</t>
  </si>
  <si>
    <t>0312 - 2 - 3.2.2.2.9.0.0.0.1706004.91138 - 20</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</si>
  <si>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</si>
  <si>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</si>
  <si>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</si>
  <si>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</si>
  <si>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</si>
  <si>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</si>
  <si>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</si>
  <si>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Realizar adecuados procesos de sanidad e inocuidad alimentaria</t>
  </si>
  <si>
    <t>Realizar alianzas en  procesos de  sanidad e inocuidad alimentaria</t>
  </si>
  <si>
    <t>0312 - 2 - 3.2.2.2.9.0.0.0.1707069.91138 - 20</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</si>
  <si>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</si>
  <si>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</si>
  <si>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</si>
  <si>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</si>
  <si>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</si>
  <si>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</si>
  <si>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Mejorar los procesos de planificación integrales de Desarrollo Tecnológico, agropecuarios y agroindustriales y
de desarrollo rural integral</t>
  </si>
  <si>
    <t>Apoyo coordinación puesta en marcha de proyectos de CTI</t>
  </si>
  <si>
    <t>0312 - 2 - 3.2.2.2.9.0.0.0.1708016.91131 - 20</t>
  </si>
  <si>
    <t>Servicio de información actualizado</t>
  </si>
  <si>
    <t>170805100</t>
  </si>
  <si>
    <t>Sistemas de información actualizados</t>
  </si>
  <si>
    <t>Apoyar la coordinación interinstitucional en investigación, transferencia y adopción de sistemas de información
tecnológica</t>
  </si>
  <si>
    <t>Apoyo coordinación puesta en marcha de proyecto de CTI en sistemas de
información y comunicación</t>
  </si>
  <si>
    <t>0312 - 2 - 3.2.2.2.9.0.0.0.1708051.91131 - 20</t>
  </si>
  <si>
    <t>Infraestructura productiva y comercialización. "Tú y yo con agro competitivo"</t>
  </si>
  <si>
    <t>Centros logísticos agropecuarios adecuados</t>
  </si>
  <si>
    <t>170901900</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</si>
  <si>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</si>
  <si>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</si>
  <si>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</si>
  <si>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Mejorar los centros logísticos agropecuarios</t>
  </si>
  <si>
    <t>Adquisición y suministro de equipos, insumos y licencias agroindutriales.</t>
  </si>
  <si>
    <t>0312 - 2 - 3.2.1.1.3.2.5.0.1709019.44516 - 20</t>
  </si>
  <si>
    <t>Infraestructura de pos cosecha adecuada</t>
  </si>
  <si>
    <t>170903400</t>
  </si>
  <si>
    <t>Mejorar la Infraestructura de pos cosecha</t>
  </si>
  <si>
    <t>Realización de acciones de diseño, acompañamiento para adecuación de infraestructura de pos cosecha</t>
  </si>
  <si>
    <t>0312 - 2 - 3.2.2.2.9.0.0.0.1709034.91131 - 20</t>
  </si>
  <si>
    <t>0312 - 2 - 3.2.2.2.9.0.0.0.1709034.91138 - 20</t>
  </si>
  <si>
    <t>Servicio de procesamiento de caña panelera</t>
  </si>
  <si>
    <t>170909300</t>
  </si>
  <si>
    <t>Trapiches paneleros con servicio de procesamiento de caña.</t>
  </si>
  <si>
    <t>Fortalecer y adecuar trapiches paneleros,</t>
  </si>
  <si>
    <t>Adquisición y suministro de equipos insumos y logística industriales de trapiches paneleros</t>
  </si>
  <si>
    <t>0312 - 2 - 3.2.1.1.3.2.5.0.1709093.44516 - 20</t>
  </si>
  <si>
    <t xml:space="preserve">Productividad y competitividad de las empresas colombianas. "Tú y yo con empresas competitivas" </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</si>
  <si>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</si>
  <si>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</si>
  <si>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</si>
  <si>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</si>
  <si>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</si>
  <si>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</si>
  <si>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Realizar acciones productividad y competitividad de las empresas colombianas</t>
  </si>
  <si>
    <t>Desarrollo de actividades de fomento de la cultura de asociatividad</t>
  </si>
  <si>
    <t>0312 - 2 - 3.2.2.2.9.0.0.0.3502017.91131 - 20</t>
  </si>
  <si>
    <t>JUAN CAMILO TABRES ALZATE</t>
  </si>
  <si>
    <t>Servicio de asistencia técnica para el desarrollo de iniciativas clústeres</t>
  </si>
  <si>
    <t>350200700</t>
  </si>
  <si>
    <t>Clústeres asistidos en la implementación de los planes de acción</t>
  </si>
  <si>
    <t>Desarrollo de acciones de capacitación, acompañamiento, asesoría, y seguimiento en competencias administrativas, organizacionales, mercados, extensión, planes de negocio</t>
  </si>
  <si>
    <t>0312 - 2 - 3.2.2.2.9.0.0.0.3502007.91119 - 20</t>
  </si>
  <si>
    <t>Ambiente y desarrollo sostenible</t>
  </si>
  <si>
    <t xml:space="preserve"> Fortalecimiento del desempeño ambiental de los sectores productivos. "Tú y yo guardianes de la biodiversidad. </t>
  </si>
  <si>
    <t>Documentos de lineamientos técnicos para mejorar la calidad ambiental de las áreas urbanas</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</si>
  <si>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</si>
  <si>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</si>
  <si>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</si>
  <si>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</si>
  <si>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Elaborar lineamientos técnicos para el mejoramiento de la calidad ambiental en áreas urbanas.</t>
  </si>
  <si>
    <t>Acciones para mejorar la calidad ambiental de las áreas urbanas</t>
  </si>
  <si>
    <t>0312 - 2 - 3.2.2.2.9.0.0.0.3201013.94900 - 20</t>
  </si>
  <si>
    <t>MIGUEL ANGEL MEJIA DIAZ</t>
  </si>
  <si>
    <t>Servicio de vigilancia de la calidad del aire</t>
  </si>
  <si>
    <t>Campaña de monitoreo de calidad del aire realizadas</t>
  </si>
  <si>
    <t>Realización de Campaña de monitoreo de calidad del aire realizadas</t>
  </si>
  <si>
    <t>0312 - 2 - 3.2.2.2.9.0.0.0.3201008.94900 - 20</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</si>
  <si>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</si>
  <si>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</si>
  <si>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</si>
  <si>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</si>
  <si>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</si>
  <si>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</si>
  <si>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</si>
  <si>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ripiaros y la  promoción y desarrollo de esquemas de pago por servicios ambientales qué incentiven  la preservación de áreas de importancia estratégica para la conservación del recurso hídrico en el departamento. </t>
  </si>
  <si>
    <t>Desarrollar actividades de protección de ecosistemas en procesos de restauración</t>
  </si>
  <si>
    <t>Desarrollo de actividades en servicios de restauración de ecosistemas</t>
  </si>
  <si>
    <t>0312 - 2 - 3.2.2.2.9.0.0.0.3202005.94900 - 20</t>
  </si>
  <si>
    <t>0312 - 2 - 3.2.2.2.6.0.0.0.3202005.64119 - 20</t>
  </si>
  <si>
    <t>0312 - 2 - 3.2.2.1.3.0.0.0.3202005.32690 - 20</t>
  </si>
  <si>
    <t>Servicio de recuperación de cuerpos de agua lénticos y lóticos</t>
  </si>
  <si>
    <t>Bosque ripario recuperado</t>
  </si>
  <si>
    <t>320203704</t>
  </si>
  <si>
    <t>Desarrollo de actividades de recuperación del Bosque ripario recuperado</t>
  </si>
  <si>
    <t>0312 - 2 - 3.2.2.2.9.0.0.0.32020371.94900 - 20</t>
  </si>
  <si>
    <t>Adquisición, mantenimiento y administración de áreas de importancia estratégica para la conservación y regulación del recurso hídrico.</t>
  </si>
  <si>
    <t xml:space="preserve">Número de Hectáreas intervenidas </t>
  </si>
  <si>
    <t>Extensión de cuerpos de agua recuperados</t>
  </si>
  <si>
    <t>Intervención de áreas de importancia estratégica para la conservación y regulación del recurso hídrico</t>
  </si>
  <si>
    <t>0312 - 2 - 3.2.2.2.9.0.0.0.32020372.94900 - 88</t>
  </si>
  <si>
    <t>0312 - 2 - 3.2.2.2.9.0.0.0.32020372.94900 - 20</t>
  </si>
  <si>
    <t>31/12/2021.</t>
  </si>
  <si>
    <t>0312 - 2 - 3.2.2.2.6.0.0.0.32020372.64119 - 20</t>
  </si>
  <si>
    <t>Servicio de transporte para el desplazamiento del personal en el desarrollo del proyecto generación y desarrollo de acciones para la conservación de las áreas de importancia estratégica hidrica en el Departamento del Quindío</t>
  </si>
  <si>
    <t>0312 - 2 - 3.2.2.2.6.0.0.0.032020372.64119 - 20</t>
  </si>
  <si>
    <t>Servicio apoyo financiero para la implementación de esquemas de pago por servicio ambientales</t>
  </si>
  <si>
    <t xml:space="preserve">Esquemas de Pago por Servicio ambientales implementados </t>
  </si>
  <si>
    <t>Esquemas de Pago por Servicio ambientales</t>
  </si>
  <si>
    <t>0312 - 2 - 3.2.2.2.9.0.0.0.3202043.94900 - 20</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</si>
  <si>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</si>
  <si>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</si>
  <si>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</si>
  <si>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</si>
  <si>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202000363-0028</t>
  </si>
  <si>
    <t xml:space="preserve">Apoyo a la generación de entornos  amigables para nuestros animales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</si>
  <si>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</si>
  <si>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Fortalecer el acompañamiento Departamental en Campañas para la fauna silvestre y Domestica</t>
  </si>
  <si>
    <t>Apoyo en asesoria y asistencia técnica en la formulación, estructuración e implementación de Estrategia para la protección y bienestar de los animales domésticos y silvestres adoptada</t>
  </si>
  <si>
    <t>0312 - 2 - 3.2.2.2.9.0.0.0.32020141.94900 - 20</t>
  </si>
  <si>
    <t>0312 - 2 - 3.2.2.2.6.0.0.0.32020141.63391 - 20</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</si>
  <si>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</si>
  <si>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</si>
  <si>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</si>
  <si>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</si>
  <si>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</si>
  <si>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Fortalecer las campañas educativas ambientales qué permitan la apropiación y sensibilización del patrimonio ambiental y en Paisaje Cultural Cafetero</t>
  </si>
  <si>
    <t>Servicios de educación informal conservación de la diversidad y de los servicios ecosistemicos</t>
  </si>
  <si>
    <t>0312 - 2 - 3.2.2.2.9.0.0.0.32020142.94900 - 20</t>
  </si>
  <si>
    <t>0312 - 2 - 3.2.2.1.3.0.0.0.32020142.32690 - 20</t>
  </si>
  <si>
    <t>0312 - 2 - 3.2.2.1.3.0.0.0.32020142.94900 - 20</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</si>
  <si>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</si>
  <si>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</si>
  <si>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</si>
  <si>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</si>
  <si>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</si>
  <si>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</si>
  <si>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</si>
  <si>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t>
  </si>
  <si>
    <t>Suministro de bienes y servios de apoyo en la implementación de proyectos de Emprendimientos Verdes.</t>
  </si>
  <si>
    <t>0312 - 2 - 3.2.2.2.9.0.0.0.3204012.94900 - 20</t>
  </si>
  <si>
    <t>3205009</t>
  </si>
  <si>
    <t>Barreras rompe vientos recuperadas</t>
  </si>
  <si>
    <t>320500900</t>
  </si>
  <si>
    <t>Barreras rompe vientos</t>
  </si>
  <si>
    <t>202000363-0030</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</si>
  <si>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</si>
  <si>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</si>
  <si>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Desarrollar eficientemente proceso de recuperación de barreras rompe vientos</t>
  </si>
  <si>
    <t>Desarrollar acciones de recuperación de Barreras rompe vientos</t>
  </si>
  <si>
    <t>0312 - 2 - 3.2.2.2.9.0.0.0.3205009.94900 - 20</t>
  </si>
  <si>
    <t>3205014</t>
  </si>
  <si>
    <t>Obras para el control de erosión</t>
  </si>
  <si>
    <t>320501400</t>
  </si>
  <si>
    <t xml:space="preserve">Área reforestada </t>
  </si>
  <si>
    <t>Desarrollar eficientemente obras para el control de erosión</t>
  </si>
  <si>
    <t>Desarrollar acciones de siembra de arboles donde hay erosión</t>
  </si>
  <si>
    <t>0312 - 2 - 3.2.2.2.9.0.0.0.3205014.94900 - 20</t>
  </si>
  <si>
    <t>Desarrollar eficientemente obras para estabilización de taludes</t>
  </si>
  <si>
    <t>Diseño de trinchos</t>
  </si>
  <si>
    <t>0312 - 2 - 3.2.2.2.9.0.0.0.3205010.94900 - 20</t>
  </si>
  <si>
    <t>Gestión del cambio climático para un desarrollo bajo en carbono y resiliente al clima. "Tú y yo preparados para en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</si>
  <si>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</si>
  <si>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</si>
  <si>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</si>
  <si>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</si>
  <si>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</si>
  <si>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</si>
  <si>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</si>
  <si>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Ejecutar eficientemente el programas de protección del patrimonio ambiental , en paisaje, la biodiversidad y sus servicios ecosistémicos</t>
  </si>
  <si>
    <t>Acciones de difusión de la información en gestión del cambio climático</t>
  </si>
  <si>
    <t>0312 - 2 - 3.2.2.2.9.0.0.0.3206005.94900 - 20</t>
  </si>
  <si>
    <t>Servicio de producción de plántulas en viveros</t>
  </si>
  <si>
    <t>320601400</t>
  </si>
  <si>
    <t>Plántulas producidas</t>
  </si>
  <si>
    <t>Apoyo a la producción de plántulas</t>
  </si>
  <si>
    <t>0312 - 2 - 3.2.2.2.9.0.0.0.3206014.94900 - 20</t>
  </si>
  <si>
    <t>Estufas ecoeficientes</t>
  </si>
  <si>
    <t>3206015</t>
  </si>
  <si>
    <t>320601500</t>
  </si>
  <si>
    <t>Estufas ecoeficientes instaladas y en operación</t>
  </si>
  <si>
    <t>Operatividad de la estufas ecoeficientes</t>
  </si>
  <si>
    <t>0312 - 2 - 3.2.1.1.3.1.4.0.3206015.43410 - 20</t>
  </si>
  <si>
    <t xml:space="preserve">F-PLA-07   </t>
  </si>
  <si>
    <t>PLAN DE DESARROLLO DEPARTAMENTAL: ¨TU Y YO SOMOS, QUINDIO¨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</si>
  <si>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</si>
  <si>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</si>
  <si>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</si>
  <si>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</si>
  <si>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</si>
  <si>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</si>
  <si>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Consolidar la Comisión Regional de Competitividad e Innovación del Quindío por medio de la articulación de sus actores (sector público, privado y academia), concertando cada año su plan de trabajo para emprender acciones que contribuyan a la implementación de la Agenda de Competitividad del departamento, propendiendo por un aumento en los niveles de competitividad del Quindío</t>
  </si>
  <si>
    <t>Apoyo para la ejecución del Plan de Acción de la Comisión Regional de Competitividad.</t>
  </si>
  <si>
    <t>0311 - 2 - 3.2.2.2.9.0.0.0.3502006.91119 - 20</t>
  </si>
  <si>
    <t xml:space="preserve">Recurso Ordinaro </t>
  </si>
  <si>
    <t>Nestor Iván Páez Tovar</t>
  </si>
  <si>
    <t>Secretario de Turismo Industria y Comercio</t>
  </si>
  <si>
    <t>Servicio de asistencia técnica para el desarrollo de iniciativas Clústers</t>
  </si>
  <si>
    <t>Asistir a las iniciativas clúster del departamento en la implementación de sus planes de acción, como una forma de fortalecer el sector productivo del departamento vinculando el sector público, el sector privado y la academia, propiciando sistemas productivos dinámicos, innovadores y sostenibles.</t>
  </si>
  <si>
    <t xml:space="preserve">Aunuar esfuerzos para desarrollar proyectos que incrememnten la competitividad, la innovacion y la productividad de los cluster en el Departamernto </t>
  </si>
  <si>
    <t>0311 - 2 - 3.2.2.2.9.0.0.0.3502007.91119 - 20</t>
  </si>
  <si>
    <t>0311 - 2 - 3.2.2.2.9.0.0.0.3502007.91138 - 20</t>
  </si>
  <si>
    <t>Apoyo para la implementaciòn  y ejecuciòn de los planes de acciòn de los clùsters</t>
  </si>
  <si>
    <t>Servicio de asistencia técnica a las Mipymes para el acceso a nuevos mercados</t>
  </si>
  <si>
    <t>350202200</t>
  </si>
  <si>
    <t>Empresas asistidas técnicamente</t>
  </si>
  <si>
    <t>202000363-0075</t>
  </si>
  <si>
    <t xml:space="preserve"> Fortalecimiento del sector empresarial  para el acceso a nuevos mercados en el departamento del Quindío</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</si>
  <si>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</si>
  <si>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Brindar acompañamiento a las Mipymes del departamento, brindando asistencia técnica y articulándonos a los programas del orden nacional en la materia, promoviendo el proceso de apertura de nuevos mercados a nivel regional, nacional e internacional.</t>
  </si>
  <si>
    <t>Apoyo a procesos y actividades direccionadas a promover el acceso a nuevos mercados  para las Mypymes del departamento</t>
  </si>
  <si>
    <t>0311 - 2 - 3.2.2.2.9.0.0.0.3502022.91138 - 20</t>
  </si>
  <si>
    <t xml:space="preserve">
Hernando Alonzo Arías García </t>
  </si>
  <si>
    <t>Aunar esfuerzos para desarrollar proyectos  y/o actividades direccionadas a promover el acceso a nuevos mercados  para las Mipymes del departamento</t>
  </si>
  <si>
    <t>0311 - 2 - 3.2.2.2.9.0.0.0.3502022.91119 - 20</t>
  </si>
  <si>
    <t>350204700</t>
  </si>
  <si>
    <t>Documentos de planeación elaborados</t>
  </si>
  <si>
    <t>Formular el Plan Exportador del Quindío, como un instrumento que permitirá fortalecer el sector exportador del departamento por medio de: la identificación de fortalezas del aparato productivo y la identificación de mercados potenciales para avanzar hacia la diversificación de la oferta exportadora; así mismo facilitará la articulación interinstitucional, la planeación y la estandarización de los procesos que permita aumentar los niveles de exportación.</t>
  </si>
  <si>
    <t>Elaboración de estudios, diagnósticos y/o investigación para la formulación del Plan de Internacionalización del departamento del Quindío.</t>
  </si>
  <si>
    <t>0311 - 2 - 3.2.2.2.9.0.0.0.3502047.91136 - 20</t>
  </si>
  <si>
    <t>350203900</t>
  </si>
  <si>
    <t>202000363-0076</t>
  </si>
  <si>
    <t xml:space="preserve"> Mejoramiento de la competitividad del  departamento como destino turístico  sostenible y de calidad .</t>
  </si>
  <si>
    <t>Fortalecer la coordinación interinstitucional</t>
  </si>
  <si>
    <t>0311 - 2 - 3.2.2.2.9.0.0.0.3502039.91119 - 20</t>
  </si>
  <si>
    <t>20
88</t>
  </si>
  <si>
    <t xml:space="preserve">
Recurso Ordinaro
Superávit Recurso Ordinario  </t>
  </si>
  <si>
    <t>Sandra Mantilla Q.
María Alejandra Berrio J.</t>
  </si>
  <si>
    <t>0311 - 2 - 3.2.2.2.9.0.0.0.3502039.91119 - 88</t>
  </si>
  <si>
    <t xml:space="preserve">Superávit Recurso Ordinario </t>
  </si>
  <si>
    <t>documentos de planeación elaborados</t>
  </si>
  <si>
    <t>0311 - 2 - 3.2.2.2.9.0.0.0.3502047.91119 - 20</t>
  </si>
  <si>
    <t>Estudios y/o diseños para proyectos de infraestructura turística</t>
  </si>
  <si>
    <t>Fortalecimiento de la infraestructura de soporte para la actividad turística</t>
  </si>
  <si>
    <t>0311 - 2 - 3.4.2.4.0.0.0.0.3502039.54129.884 - 20</t>
  </si>
  <si>
    <t>0311 - 2 - 3.4.2.4.0.0.0.0.3502039.54129.884 - 88</t>
  </si>
  <si>
    <t>Servicio de promoción turística</t>
  </si>
  <si>
    <t>Campañas realizadas</t>
  </si>
  <si>
    <t>202000363-0077</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</si>
  <si>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</si>
  <si>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</si>
  <si>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Diseñar campañas con participación de actores del sector turistico</t>
  </si>
  <si>
    <t>Apoyo a la promociòn nacional e internaciònal del departamento del Quindìo como destino turìstico</t>
  </si>
  <si>
    <t>0311 - 2 - 3.2.2.2.9.0.0.0.3502046.91136 - 52</t>
  </si>
  <si>
    <t>Turismo y Cultura 4%</t>
  </si>
  <si>
    <t xml:space="preserve">
20
88
52
94</t>
  </si>
  <si>
    <t xml:space="preserve">
Recurso Ordinario 
Superávit Recurso Ordinario 
Turismo y Cultura 4%
Superávit Turismo y Cultura 4%</t>
  </si>
  <si>
    <t>Sandra Mantilla Q
María Alejandra Berrio J</t>
  </si>
  <si>
    <t>05/03/021</t>
  </si>
  <si>
    <t>0311 - 2 - 3.2.2.2.9.0.0.0.3502046.91136 - 88</t>
  </si>
  <si>
    <t>0311 - 2 - 3.2.2.2.9.0.0.0.3502046.91136 - 94</t>
  </si>
  <si>
    <t>Superávit Turismo y Cultura 4%</t>
  </si>
  <si>
    <t xml:space="preserve">Fomación para el fortalecimiento empresarial del sector turismo y las estrategias de promoción </t>
  </si>
  <si>
    <t>0311 - 2 - 3.2.2.2.9.0.0.0.3502046.91136 - 20</t>
  </si>
  <si>
    <t>Logìstica y transporte para realizar  labores institucionales</t>
  </si>
  <si>
    <t>0311 - 2 - 3.2.1.1.3.3.2.0.3502046.45250 - 52</t>
  </si>
  <si>
    <t>0311 - 2 - 3.2.2.2.9.0.0.0.3502046.64119 - 52</t>
  </si>
  <si>
    <t>Servicios de catering para cubrir los diferentes eventos y actividades</t>
  </si>
  <si>
    <t>0311 - 2 - 3.2.2.2.9.0.0.0.3502046.63391 - 52</t>
  </si>
  <si>
    <t xml:space="preserve">Adquisición de equipos tecnologicos </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</si>
  <si>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</si>
  <si>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</si>
  <si>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</si>
  <si>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</si>
  <si>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</si>
  <si>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</si>
  <si>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</si>
  <si>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Crear un fondo para la financiación de emprendimientos en el departamento del Quindío, el cual permita inyectar capital y/o establecer alianzas con entidades financieras para ofrecer líneas de microcrédito accesibles.</t>
  </si>
  <si>
    <t>Aunar esfuerzos para desarrollar proyectos direccionados al financiamiento de planes de negocio</t>
  </si>
  <si>
    <t>0311 - 2 - 3.2.2.2.8.0.0.0.3602018.83117 - 20</t>
  </si>
  <si>
    <t xml:space="preserve">Hernando Alonzo Arías García </t>
  </si>
  <si>
    <t>Servicio de asesoría técnica para el emprendimiento.</t>
  </si>
  <si>
    <t>360203201</t>
  </si>
  <si>
    <t>Emprendimientos fortalecidos</t>
  </si>
  <si>
    <t>Promover el desarrollo del ecosistema de emprendimiento del departamento, por medio del fortalecimiento de la Red Regional de Emprendimiento, la articulación de sus actores y la creación de una ruta de emprendimiento e innovación, con el fin de aunar esfuerzos para la promoción y el desarrollo de emprendimientos competitivos y sostenibles</t>
  </si>
  <si>
    <t>Apoyo a procesos y actividades direccionadas a fortalecer las capacidades de los emprendedores del departamento</t>
  </si>
  <si>
    <t>0311 - 2 - 3.2.2.2.9.0.0.0.3602032.91138 - 20</t>
  </si>
  <si>
    <t>Aunar esfuerzos para desarrolar proyectos  a travès delos cuales se fortalezcan las capacidades de los emprendedores del departamento</t>
  </si>
  <si>
    <t>0311 - 2 - 3.2.2.2.9.0.0.0.3602032.91119 - 20</t>
  </si>
  <si>
    <t>Servicio de asistencia técnica para la generación y formalización del empleo</t>
  </si>
  <si>
    <t>Talleres de oferta institucional realizados</t>
  </si>
  <si>
    <t>Realizar en todos los municipios talleres de oferta institucional que permitan acercar a la comunidad la oferta de las diferentes entidades que hacen parte del Servicio Público de Empleo, por medio de un trabajo articulado entre el departamento, los municipios, el Sena, las cajas de compensación familiar y las agencias de empleo existentes en el territorio.</t>
  </si>
  <si>
    <t>Apoyo a procesos y actividades direccionadas a desarrollar talleres de oferta institucional del sector trabajo.</t>
  </si>
  <si>
    <t>0311 - 2 - 3.2.2.2.9.0.0.0.3602029.91119 - 20</t>
  </si>
  <si>
    <t>Logistica, impresiones maaterial  y refrigerios para adelantar los talleres de oferta institucional</t>
  </si>
  <si>
    <t>0311 - 2 - 3.2.2.2.9.0.0.0.3602029.63391 - 20</t>
  </si>
  <si>
    <t>Servicio de información y monitoreo del mercado de trabajo</t>
  </si>
  <si>
    <t>360203000</t>
  </si>
  <si>
    <t>Reportes realizados</t>
  </si>
  <si>
    <t>Fortalecer el Observatorio Regional de Mercado de Trabajo ORMET por medio de un convenio con el Ministerio de Trabajo, que permita hacer transferencia de conocimiento para que desde la gobernación se pueda brindar un servicio de información y monitoreo del mercado de trabajo en el departamento, cuyos reportes sirvan de insumo a las diferentes instancias y entidades que toman decisiones en materia de empleo.</t>
  </si>
  <si>
    <t>Apoyo a procesos y actividades direccionadas a fortalecer el observatorio regional del mercado de trabajo ORMET</t>
  </si>
  <si>
    <t>0311 - 2 - 3.2.2.2.9.0.0.0.3602030.91119 - 20</t>
  </si>
  <si>
    <t>Aunuar esfuerzos para fortalecer los procesos enmarcados en el mercado laboral del departamento</t>
  </si>
  <si>
    <t>Logistica, impresiones maaterial  y refrigerios para adelantar los procesos de monitoreo del mercado de tarabajo,</t>
  </si>
  <si>
    <t>0311 - 2 - 3.2.2.2.9.0.0.0.3602030.63391 - 20</t>
  </si>
  <si>
    <t xml:space="preserve">TOTAL: </t>
  </si>
  <si>
    <t>SEGUIMIENTO PLAN DE ACCIÓN 
SECRETARIA  DE TURISMO, INDUSTRIA Y COMERCIO
DICIEMBRE 31/2021</t>
  </si>
  <si>
    <t>LIDERAZGO, GOBERNABILIDAD Y TRANSPARENCIA</t>
  </si>
  <si>
    <t>SEGUIMIENTO PLAN DE ACCIÓN 
SECRETARIA DEL INTERIOR
 DICIEMBRE 31/2021</t>
  </si>
  <si>
    <t>Promoción al acceso a la justicia."Tú y yo con justicia"</t>
  </si>
  <si>
    <t>Servicio de asistencia técnica para la articulación de los operadores de los Servicios de justicia</t>
  </si>
  <si>
    <t>202000363-0060</t>
  </si>
  <si>
    <t>Implementación  de acciones con los Entes Municipales, para la reducción de los delitos en el Departamento del Quindio</t>
  </si>
  <si>
    <t>Disminuir los índice delitos  en el departamento del Quindío a través de procesos de asistencia Técnica y articulación  de acciones  con las Administraciones municipales .</t>
  </si>
  <si>
    <t>Articulación en la implementación de acciones de prevención y mitigación del delito.</t>
  </si>
  <si>
    <t xml:space="preserve">Generación y/o apoyo a programas de intervención social y/o de seguridad </t>
  </si>
  <si>
    <t>0309 - 2 - 3.2.2.2.9.0.0.0.12020041.91119 - 20</t>
  </si>
  <si>
    <t>César Augusto Jaramillo Durán</t>
  </si>
  <si>
    <t>Secretario del Interior</t>
  </si>
  <si>
    <t>0309 - 2 - 3.2.2.2.9.0.0.0.12020041.91119 - 88</t>
  </si>
  <si>
    <t xml:space="preserve">Superavit recurso ordinario </t>
  </si>
  <si>
    <t xml:space="preserve">Intervenciones Psicosociales y/o de formación productiva integrales en los cinco municipios focalizados </t>
  </si>
  <si>
    <t>Apoyo juridico  para intervenciones focalizadas en poblacion vulnerable</t>
  </si>
  <si>
    <t>Logistica operativa (alimentación, transporte, sonido, etc)</t>
  </si>
  <si>
    <t>0309 - 2 - 3.2.2.2.6.0.0.0.12020042.63391 - 20</t>
  </si>
  <si>
    <t>Servicios de material impresos, publicaciones y/o   comunicaciones de los programas de lasentidades estatales</t>
  </si>
  <si>
    <t>Implementación de programas ludicos,culturales y/o deportivos  para población vulnerable en areas focalizadas</t>
  </si>
  <si>
    <t>Seguimiento a la  ejecución de los objetivos del PISCC</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</si>
  <si>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</si>
  <si>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</si>
  <si>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</si>
  <si>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</si>
  <si>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</si>
  <si>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</si>
  <si>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Divulgar y capacitar en las comunidades en en la aplicación del código de convivencia ciudadana.</t>
  </si>
  <si>
    <t>Servicios de apoyo  y coordinación con los organismos de seguridad del departamento</t>
  </si>
  <si>
    <t>0309 - 2 - 3.2.2.2.9.0.0.0.1203002.91119 - 20</t>
  </si>
  <si>
    <t>0309 - 2 - 3.2.2.2.9.0.0.0.1203002.91119 - 88</t>
  </si>
  <si>
    <t>Servicios de apoyo psicosocial para resolucion de conflictos</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</si>
  <si>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</si>
  <si>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</si>
  <si>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</si>
  <si>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</si>
  <si>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</si>
  <si>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Disminuir los índices de delitos en el departamento del Quindío, a través de la implementación de  acciones de apoyo para  la  resocialización de las personas privadas de la libertad en las Instituciones  Penitenciarios del departamento del Quindío.</t>
  </si>
  <si>
    <t xml:space="preserve">Aumentar la oferta institucional
</t>
  </si>
  <si>
    <t>Servicios de apoyo psicosocial, ludico y formativo para personas privadas de la libertad</t>
  </si>
  <si>
    <t>0309 - 2 - 3.2.2.2.9.0.0.0.1206005.91119 - 20</t>
  </si>
  <si>
    <t>Programas de fortalecimiento del Sistema de Responsabilidad Penal para adolescentes</t>
  </si>
  <si>
    <t>0309 - 2 - 3.2.2.1.3.0.0.0.1206005.32690 - 20</t>
  </si>
  <si>
    <t>0309 - 2 - 3.2.2.2.6.0.0.0.1206005.63391 - 20</t>
  </si>
  <si>
    <t>Logistica operativa (alimentación, material impreso, otros)</t>
  </si>
  <si>
    <t xml:space="preserve">202000363-0063
</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</si>
  <si>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</si>
  <si>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</si>
  <si>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Generar conocimientos sobre los planes escolares de gestión del riesgo de desastres en las instituciones educativas</t>
  </si>
  <si>
    <t>Actualizacion de los planes escolares de gestion del riesgo</t>
  </si>
  <si>
    <t>0309 - 2 - 3.2.2.2.9.0.0.0.2201068.91119 - 20</t>
  </si>
  <si>
    <t>Cesar Augusto Jaramillo Duran</t>
  </si>
  <si>
    <t>0309 - 2 - 3.2.2.2.9.0.0.0.2201068.91119 - 88</t>
  </si>
  <si>
    <t>Apoyo en la Implementacion de los planes escolares de gestion del riesgo</t>
  </si>
  <si>
    <t>Formacion y capacitacion en Planes escolares de gestion del riesgo</t>
  </si>
  <si>
    <t xml:space="preserve">Inclusión social y Reconciliación </t>
  </si>
  <si>
    <t>Atención, asistencia y reparación integral a las víctimas. "Tú y yo con reparación integral"</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</si>
  <si>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</si>
  <si>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</si>
  <si>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</si>
  <si>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</si>
  <si>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</si>
  <si>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Realizar procesos de atención y ayuda humanitaria</t>
  </si>
  <si>
    <t>Socialización de rutas de protección a las victimas de los 12 municipios del Departamento.</t>
  </si>
  <si>
    <t>0309 - 2 - 3.2.2.2.9.0.0.0.4101023.91119 - 20</t>
  </si>
  <si>
    <t>Juana Camila Gomez Zamorano</t>
  </si>
  <si>
    <t xml:space="preserve">Secretarío del Interior </t>
  </si>
  <si>
    <t>0309 - 2 - 3.2.2.2.9.0.0.0.4101023.91119 - 88</t>
  </si>
  <si>
    <t>Apoyo a la educacion  de las victimas del conflicto</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</si>
  <si>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</si>
  <si>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</si>
  <si>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0309 - 2 - 3.2.2.2.6.0.0.0.4101023.63391 - 20</t>
  </si>
  <si>
    <t>0309 - 2 - 3.2.2.2.6.0.0.0.4101023.63391 - 88</t>
  </si>
  <si>
    <t>Realizar jornadas de prevencion a vulneraciones de DDHH y DIH a victimas en los 12 municipios del Departamento</t>
  </si>
  <si>
    <t>0309 - 2 - 3.2.2.1.3.0.0.0.4101023.38560 - 88</t>
  </si>
  <si>
    <t>Diligenciamiento de  RUSICST y Tablero PAT Departamental</t>
  </si>
  <si>
    <t xml:space="preserve">Brindar asistencia a los 12 municipios del Departamento para las aprobaciones y actualizaciones de los PAT municipales de manera armonica con el PAT departamental. </t>
  </si>
  <si>
    <t>Manejo de administracion de plataformas para la gestion de los procesos para poblacion victima del depto del Quindio</t>
  </si>
  <si>
    <t>0309 - 2 - 3.2.2.1.3.0.0.0.4101023.32690 - 20</t>
  </si>
  <si>
    <t>Apoyo a procesos de caracterización de los municipios, cuando sea requerido por èstos</t>
  </si>
  <si>
    <t>Servicio de ayuda y atención humanitaria</t>
  </si>
  <si>
    <t>Personas víctimas con ayuda humanitaria</t>
  </si>
  <si>
    <t>Prestar asistencia técnica en la generación de ingresos</t>
  </si>
  <si>
    <t>Concurrir, complementar y subsidiar los kits de ayuda  humanitaria inmediata en los 12 municipios del Quindio</t>
  </si>
  <si>
    <t>0309 - 2 - 3.2.2.2.9.0.0.0.4101025.91119 - 20</t>
  </si>
  <si>
    <t>0309 - 2 - 3.2.2.2.9.0.0.0.4101025.91119 - 88</t>
  </si>
  <si>
    <t xml:space="preserve">Apoyar los procesos de retorno y reubicación de las victimas del conflicto armado, en caso de ser requerido </t>
  </si>
  <si>
    <t>Logística y/o refrigerios</t>
  </si>
  <si>
    <t>Seguimiento a implementación  de la Herramienta de Gestión Local en los 12 municipios del Departamento</t>
  </si>
  <si>
    <t>Servicio de asistencia técnica para la participación de las víctimas</t>
  </si>
  <si>
    <t>Eventos de participación realizados</t>
  </si>
  <si>
    <t xml:space="preserve">Adecuada programación de las entregas </t>
  </si>
  <si>
    <t>Garantias para Sesiones comité ejecutivo y ética mesa de victimas.</t>
  </si>
  <si>
    <t>0309 - 2 - 3.2.2.2.9.0.0.0.4101038.91119 - 20</t>
  </si>
  <si>
    <t>Garantias para Sesiones plenario mesa departamental de  victimas</t>
  </si>
  <si>
    <t xml:space="preserve">Apoyo al Plan de Trabajo de la mesa Departamental de Victimas </t>
  </si>
  <si>
    <t>0309 - 2 - 3.2.2.1.3.0.0.0.4101038.32690 - 20</t>
  </si>
  <si>
    <t>0309 - 2 - 3.2.2.2.6.0.0.0.4101038.63391 - 20</t>
  </si>
  <si>
    <t>0309 - 2 - 3.2.2.2.9.0.0.0.4101038.91119 - 88</t>
  </si>
  <si>
    <t xml:space="preserve">Procesos de articulación asistencia y atención a los municipios y su población víctima Sesiones de Comites y Subcomites </t>
  </si>
  <si>
    <t>Garantias para representates de la mesa departamental de victimas para asistir a las Sesiones del  Comité Departamental de Justicia Transicional y sus respectivos subcomites</t>
  </si>
  <si>
    <t>Servicio de apoyo para la generación de ingresos</t>
  </si>
  <si>
    <t>Hogares con asistencia técnica para la generación de ingresos</t>
  </si>
  <si>
    <t xml:space="preserve">Seguimiento a los planes y alertas tempranas </t>
  </si>
  <si>
    <t>Apoyo a productividad de la población víctima</t>
  </si>
  <si>
    <t>0309 - 2 - 3.5.1.4.0.0.0.0.4101073.44516 - 20</t>
  </si>
  <si>
    <t>0309 - 2 - 3.5.1.4.0.0.0.0.4101073.44198 - 88</t>
  </si>
  <si>
    <t>0309 - 2 - 3.5.1.4.0.0.0.0.4101073.44198 - 20</t>
  </si>
  <si>
    <t>0309 - 2 - 3.5.1.4.0.0.0.0.4101073.44516 - 88</t>
  </si>
  <si>
    <t>0309 - 2 - 3.5.1.4.0.0.0.0.4101073.44611 - 88</t>
  </si>
  <si>
    <t>0309 - 2 - 3.5.1.4.0.0.0.0.4101073.44611 - 20</t>
  </si>
  <si>
    <t>Servicio de asistencia técnica para la realización de iniciativas de memoria histórica</t>
  </si>
  <si>
    <t>Iniciativas de memoria histórica asistidas técnicamente</t>
  </si>
  <si>
    <t xml:space="preserve">Establecer planes para generr oportunidades para beneficiar a las victimas </t>
  </si>
  <si>
    <t xml:space="preserve">Apoyo a iniciativas que aportan a la memoria historica del departamento </t>
  </si>
  <si>
    <t>0309 - 2 - 3.2.2.1.3.0.0.0.4101011.32690 - 20</t>
  </si>
  <si>
    <t>0309 - 2 - 3.2.2.2.9.0.0.0.4101011.91119 - 88</t>
  </si>
  <si>
    <t>Conmemoracion de fechas de memoria Historica dentro del ambito de la Ley de victimas y restitucion de tierras</t>
  </si>
  <si>
    <t>0309 - 2 - 3.2.2.2.9.0.0.0.4101011.91119 - 20</t>
  </si>
  <si>
    <t>0309 - 2 - 3.2.2.2.6.0.0.0.4101011.63391 - 20</t>
  </si>
  <si>
    <t>Apoyo a municipios priorizados para reparacion colectiva.</t>
  </si>
  <si>
    <t>Servicio de atención y asistencia para la población excombatiente del Departamento del Quindío</t>
  </si>
  <si>
    <t>Población excombatiente beneficiada</t>
  </si>
  <si>
    <t>Beneficiarios de la oferta social atendidos</t>
  </si>
  <si>
    <t>202000363-0065</t>
  </si>
  <si>
    <t xml:space="preserve">Asistencia, atención y capacitación  a la población  excombatiente en el  Departamento del Quindío. </t>
  </si>
  <si>
    <t xml:space="preserve">Aumentar la cobertura de la población excombatiente atendida con procesos de atención y asistencia en el departamento del Quindío. </t>
  </si>
  <si>
    <t xml:space="preserve">1.Brindar atención a excombatientes del Departamento del Quindío                 2.Brindar capacitación a los excombatientes del
Departamento del Quindío
</t>
  </si>
  <si>
    <t>Atención y asistencia a la poblacion excombatiente del depto</t>
  </si>
  <si>
    <t>0309 - 2 - 3.2.2.1.3.0.0.0.41030522.32690 - 20</t>
  </si>
  <si>
    <t xml:space="preserve">Secretaria del Interior </t>
  </si>
  <si>
    <t>0309 - 2 - 3.2.1.1.3.2.1.0.41030522.44198 - 20</t>
  </si>
  <si>
    <t>0309 - 2 - 3.2.2.2.9.0.0.0.41030522.91119 - 88</t>
  </si>
  <si>
    <t>Apoyo a la productividad de la poblacion excombatiente</t>
  </si>
  <si>
    <t>0309 - 2 - 3.2.2.2.9.0.0.0.41030522.91119 - 20</t>
  </si>
  <si>
    <t>0309 - 2 - 3.2.2.2.9.0.0.0.41030522.88901 - 20</t>
  </si>
  <si>
    <t>0309 - 2 - 3.2.2.1.4.0.0.0.41030522.44198 - 88</t>
  </si>
  <si>
    <t>0309 - 2 - 3.2.2.1.4.0.0.0.41030522.446 11 - 88</t>
  </si>
  <si>
    <t>Jornadas de reconciliacion de la poblacion excombatiente de la sociedad del depto</t>
  </si>
  <si>
    <t>0309 - 2 - 3.2.2.1.3.0.0.0.41030522.38560 - 88</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</si>
  <si>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</si>
  <si>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</si>
  <si>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</si>
  <si>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</si>
  <si>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 xml:space="preserve">Proyectos de convivencia y seguridad ciudadana apoyados financieramente </t>
  </si>
  <si>
    <t>202000363-0066</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</si>
  <si>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</si>
  <si>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</si>
  <si>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Mejorar la capacidad de respuesta de los organismos de seguridad y fuerzas armadas entorno a la convivencia
y seguridad en el departamento</t>
  </si>
  <si>
    <t xml:space="preserve">Financiación y/o coofinaciación de proyectos de móvilidad </t>
  </si>
  <si>
    <t>0309 - 2 - 3.2.1.1.3.7.1.0.4501029.49119 - 42</t>
  </si>
  <si>
    <t>Fondo de seguridad 5%</t>
  </si>
  <si>
    <t>Fondo de Seguridad 5%</t>
  </si>
  <si>
    <t xml:space="preserve">Secretario del Interior </t>
  </si>
  <si>
    <t>0309 - 2 - 3.2.1.1.3.7.7.1.4501029.49119 - 42</t>
  </si>
  <si>
    <t>0309 - 2 - 3.2.1.1.3.7.1.0.4501029.49119 - 92</t>
  </si>
  <si>
    <t xml:space="preserve">Superávit Fondo de Seguridad Ciudadana </t>
  </si>
  <si>
    <t>Suministro de combustible</t>
  </si>
  <si>
    <t>0309 - 2 - 3.2.2.1.3.0.0.0.4501029.33311 - 42</t>
  </si>
  <si>
    <t>Servicios de apoyo en procesos tecnológicos de seguridad en el departamento</t>
  </si>
  <si>
    <t>0309 - 2 - 3.2.2.2.9.0.0.0.4501029.91134 - 42</t>
  </si>
  <si>
    <t>0309 - 2 - 3.2.2.2.9.0.0.0.4501029.91134 - 92</t>
  </si>
  <si>
    <t>Servicios de apoyo para los procesos de adquisición de bienes y servicios con cargo a los organismos de seguridad del departamento</t>
  </si>
  <si>
    <t>0309 - 2 - 3.2.2.2.9.0.0.0.4501029.91119 - 42</t>
  </si>
  <si>
    <t>Servicios de orden social,  Control y Fiscalización de Sustancias Químicas y Estupefacientes en el departamento</t>
  </si>
  <si>
    <t>Pago fuentes humanas</t>
  </si>
  <si>
    <t>Adquisición de bienes y suministro, para material de intendencia y logística</t>
  </si>
  <si>
    <t>0309 - 2 - 3.2.2.1.3.0.0.0.4501029.32690 - 42</t>
  </si>
  <si>
    <t>Suminstro de Alimentación</t>
  </si>
  <si>
    <t>0309 - 2 - 3.2.2.2.6.0.0.0.4501029.63391 - 42</t>
  </si>
  <si>
    <t>Servicios de apoyo en estudios financieros y ecónomicos de los diferentes procesos para los organismos de seguridad</t>
  </si>
  <si>
    <t xml:space="preserve">Prestación de Servicios y/o suministro de logística, material de intendencia o demás programas y/o estrategias relacionados con los organismos de seguridad </t>
  </si>
  <si>
    <t>Financiación del proyecto de tecnología en seguridad</t>
  </si>
  <si>
    <t xml:space="preserve">Construcción, refacción y/o adecuación de guerniciones militares, estaciones de policía, centros carcelarios y/o centros transitorios de reclusión </t>
  </si>
  <si>
    <t>0309 - 2 - 3.2.2.2.5.0.0.0.4501029.54790 - 42</t>
  </si>
  <si>
    <t>0309 - 2 - 3.2.2.2.9.0.0.0.4501029.91119 - 92</t>
  </si>
  <si>
    <t>Seuperavit Fondo de seguridad 5%</t>
  </si>
  <si>
    <t>Servicio de asistencia tecnica</t>
  </si>
  <si>
    <t>Instancias territoriales de coordinación institucional asistidas y apoyadas</t>
  </si>
  <si>
    <t>Instancias territoriales asistidas técnicamente</t>
  </si>
  <si>
    <t>202000363-0068</t>
  </si>
  <si>
    <t xml:space="preserve">Fortalecimiento institucional de la entidades municipales para la cosolidación de la convivencia, el orden público  y la seguridad ciudadana  en el departamento del Quindío  </t>
  </si>
  <si>
    <t>Coordinar con las autoridades territoriales, la promoción y la inclusión de instrumentos de gestión para la
prevención, protección, atención y seguimiento de a conductas delictivas</t>
  </si>
  <si>
    <t>Servicios de apoyo en actividades de convivencia y seguridad ciudadana</t>
  </si>
  <si>
    <t>0309 - 2 - 3.2.2.2.9.0.0.0.4501001.91119 - 20</t>
  </si>
  <si>
    <t>0309 - 2 - 3.2.2.2.9.0.0.0.4501001.91119 - 88</t>
  </si>
  <si>
    <t>Servicios promocionales y publicitarios de promocion de la convivencia y seguridad ciudadana</t>
  </si>
  <si>
    <t>0309 - 2 - 3.2.2.2.6.0.0.0.4501001.63391 - 20</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</si>
  <si>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</si>
  <si>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</si>
  <si>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</si>
  <si>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</si>
  <si>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</si>
  <si>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Realizar estuios técnicos que determinen las condiciones de amenazas, vulnerabilidad y riesgo existente o futuros</t>
  </si>
  <si>
    <t xml:space="preserve">Realizar estudios de riesgo y análisis de vulnerabilidad en  los municipios del departamento </t>
  </si>
  <si>
    <t>0309 - 2 - 3.2.2.2.9.0.0.0.3205002.91119 - 20</t>
  </si>
  <si>
    <t>0309 - 2 - 3.2.2.2.9.0.0.0.3205002.91119 - 88</t>
  </si>
  <si>
    <t>Elaboracion de informe que recopile  las areas vulnerables  identificadas en las visitas tecnicas realizadas</t>
  </si>
  <si>
    <t>Gestión del riesgo de desastres y emergencias."Tú y yo preparados en gestión del riesgo"</t>
  </si>
  <si>
    <t>Servicio de educación informal</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</si>
  <si>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</si>
  <si>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</si>
  <si>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</si>
  <si>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Establecer estrategias educativas de resiliencia que garanticen la participación de las comunidades en los procesos de conocimiento reducción de riesgo y manejo de desastres en el Departamento del Quindío.</t>
  </si>
  <si>
    <t>Apoyo en formacion y capacitación de gestión del riesgo de desastres</t>
  </si>
  <si>
    <t>0309 - 2 - 3.2.2.2.9.0.0.0.4503002.91119 - 20</t>
  </si>
  <si>
    <t>0309 - 2 - 3.2.2.2.9.0.0.0.4503002.91119 - 88</t>
  </si>
  <si>
    <t>Impresos y material didactico</t>
  </si>
  <si>
    <t>0309 - 2 - 3.2.2.1.3.0.0.0.4503002.32690 - 88</t>
  </si>
  <si>
    <t>Logistica y refrigerios para la organización de foros, talleres, eventos y/o actividades</t>
  </si>
  <si>
    <t>0309 - 2 - 3.2.2.2.6.0.0.0.4503002.63391 - 20</t>
  </si>
  <si>
    <t>0309 - 2 - 3.2.2.2.6.0.0.0.4503002.63391 - 88</t>
  </si>
  <si>
    <t>Instancias territoriales asistidas</t>
  </si>
  <si>
    <t>Fortalecer la capacidad institucional del sistema departamental de gestión del riesgo de desastes del Departamento del Quindío</t>
  </si>
  <si>
    <t>Fortalecimiento de la red de comunicaciones de emergencias del departamento</t>
  </si>
  <si>
    <t>0309 - 2 - 3.2.1.1.3.5.2.0.4503003.47223 - 20</t>
  </si>
  <si>
    <t>0309 - 2 - 3.2.2.2.8.0.0.0.4503003.87155 - 88</t>
  </si>
  <si>
    <t>Apoyo en formación y capacitación de gestión del riesgo de desastres</t>
  </si>
  <si>
    <t>0309 - 2 - 3.2.2.2.9.0.0.0.4503003.91119 - 88</t>
  </si>
  <si>
    <t>Servicios para la Atención a PQRS y para el desarrollo de actividades y procesos de gestion del riesgo</t>
  </si>
  <si>
    <t>0309 - 2 - 3.2.2.2.9.0.0.0.4503003.91119 - 20</t>
  </si>
  <si>
    <t>0309 - 2 - 3.2.2.2.6.0.0.0.4503003.64112 - 20</t>
  </si>
  <si>
    <t>0309 - 2 - 3.2.2.2.6.0.0.0.4503003.91119 - 20</t>
  </si>
  <si>
    <t>Formacion y capacitacion en Gestión del Riesgo de Desastres al Sistema Departamental de Gestion del Riesgo de Desastres</t>
  </si>
  <si>
    <t>Apoyo y fortalecimiento a los Consejos Municipales de Gestión del Riesgo</t>
  </si>
  <si>
    <t>0309 - 2 - 3.2.2.2.7.0.0.0.4503003.72252 - 20</t>
  </si>
  <si>
    <t>0309 - 2 - 3.2.2.1.4.0.0.0.4503003.45221 - 88</t>
  </si>
  <si>
    <t>0309 - 2 - 3.2.1.1.3.5.2.0.4503003.47223 - 88</t>
  </si>
  <si>
    <t>0309 - 2 - 3.2.2.1.3.0.0.0.4503003.333 70 - 88</t>
  </si>
  <si>
    <t>Servicio de Transporte Terrestre</t>
  </si>
  <si>
    <t>0309 - 2 - 3.2.2.2.6.0.0.0.4503003.64112 - 88</t>
  </si>
  <si>
    <t>Apoyo y Fortalecimiento a las instituciones de socorro</t>
  </si>
  <si>
    <t>0309 - 2 - 3.2.2.2.8.0.0.0.4503003.86140 - 88</t>
  </si>
  <si>
    <t>ASuntos de orden público y seguridad</t>
  </si>
  <si>
    <t>0309 - 2 - 3.2.2.2.9.0.0.0.4503003.91290 - 88</t>
  </si>
  <si>
    <t>Apoyo con servicios de publicación y campañas de promocion para la difusion de los procesos de gestion del riesgo</t>
  </si>
  <si>
    <t>Apoyo y fortalecimiento al sistema de alertas tempranas en el departamento del QUindio</t>
  </si>
  <si>
    <t>0309 - 2 - 3.2.1.1.3.5.2.0.4503003.38999 - 20</t>
  </si>
  <si>
    <t>0309 - 2 - 3.2.2.1.4.0.0.0.4503003.46921 - 88</t>
  </si>
  <si>
    <t>Servicio de atención a emergencias y desastres</t>
  </si>
  <si>
    <t>Servicio de fortalecimiento a las salas de crisis territorial</t>
  </si>
  <si>
    <t>Centro de reserva  para la atención a emergencias y desastres dotado</t>
  </si>
  <si>
    <t>Organismos de atención de emergencias fortalecidos</t>
  </si>
  <si>
    <t>Dotar el centro de reserva con elementos de ayuda humanitaria con el propósito de contribuir a la seguridad, el bienestar, la calidad de vida de las personas y la atención de las emergencias en el Departamento del Quindío</t>
  </si>
  <si>
    <t xml:space="preserve">Apoyo para la entrega de ayuda humanitaria </t>
  </si>
  <si>
    <t>0309 - 2 - 3.2.2.2.9.0.0.0.4503016.91119 - 20</t>
  </si>
  <si>
    <t>0309 - 2 - 3.2.2.1.3.0.0.0.4503016.32690 - 20</t>
  </si>
  <si>
    <t>0309 - 2 - 3.2.2.2.9.0.0.0.4503016.91290 - 20</t>
  </si>
  <si>
    <t>0309 - 2 - 3.2.2.2.9.0.0.0.4503016.91119 - 88</t>
  </si>
  <si>
    <t>Suministro de Ayuda  Humanitaria</t>
  </si>
  <si>
    <t>0309 - 2 - 3.2.2.2.9.0.0.0.4503016.91290 - 88</t>
  </si>
  <si>
    <t>Medidas implementadas en cumplimiento de las obligaciones internacionales en materia de Derechos Humanos y Derecho Internacional Humanitario</t>
  </si>
  <si>
    <t>202000363-0067</t>
  </si>
  <si>
    <t>Aumentar la cobertura de asistencia a los municipios del departamento de Quindío en los procesos de la garantía y prevención de derechos humanos a través de la actualización, imlementación y socialización en Plan Integral para la prevención a la vulneración de los DDHH.</t>
  </si>
  <si>
    <t>Promocionar y orientar a las personas del departamento en la apropiación de la paz en el territorio.</t>
  </si>
  <si>
    <t>Papeleria impresa</t>
  </si>
  <si>
    <t>0309 - 2 - 3.2.2.1.3.0.0.0.4502024.32690 - 20</t>
  </si>
  <si>
    <t>Secretaria del Interiorr</t>
  </si>
  <si>
    <t>logistica y refrigerios</t>
  </si>
  <si>
    <t>0309 - 2 - 3.2.2.2.6.0.0.0.4502024.63391 - 20</t>
  </si>
  <si>
    <t xml:space="preserve">Actualización e implementación del plan integral de prevención de vulneración de DDHH  </t>
  </si>
  <si>
    <t>0309 - 2 - 3.2.2.2.9.0.0.0.4502024.91119 - 20</t>
  </si>
  <si>
    <t>0309 - 2 - 3.2.2.2.9.0.0.0.4502024.91119 - 88</t>
  </si>
  <si>
    <t>Realizar jornadas de socialización en rutas de protección en los 12 municipios del Departamento</t>
  </si>
  <si>
    <t>Foros, Actos Culturales, Actos Simbólicos Y Espacios Que Promuevan La Paz</t>
  </si>
  <si>
    <t>Realizar jornadas de  la  prevencion y sensibilizacion de los Derechos Humanos en los 12 municipios del Departamento</t>
  </si>
  <si>
    <t xml:space="preserve">Jornadas de prevención del delito de trata de personas  en los 12 municipios del Departamento </t>
  </si>
  <si>
    <t>Ayuda Humanitaria para victimas de trata de personas</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</si>
  <si>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</si>
  <si>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</si>
  <si>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</si>
  <si>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</si>
  <si>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 xml:space="preserve">Convicción de la comunidad  en los programas encaminados a brindar el acercamiento a las instituciones públicas
</t>
  </si>
  <si>
    <t>Servicios como apoyo a estrategías de participación</t>
  </si>
  <si>
    <t>0309 - 2 - 3.2.2.2.9.0.0.0.45020016.91119 - 20</t>
  </si>
  <si>
    <t>0309 - 2 - 3.2.2.2.9.0.0.0.45020016.91119 - 88</t>
  </si>
  <si>
    <t>Servicios de apoyo a la operatividad del consejo de participación ciudadana</t>
  </si>
  <si>
    <t>0309 - 2 - 3.2.1.1.3.3.2.0.45020016.45221 - 20</t>
  </si>
  <si>
    <t xml:space="preserve">Celebración semana de participación </t>
  </si>
  <si>
    <t>0309 - 2 - 3.2.2.2.9.0.0.0.45020016.96290 - 20</t>
  </si>
  <si>
    <t>Apoyo en la realización de eventos para el  fortalecimiento a la participación ciudadana y control social</t>
  </si>
  <si>
    <t>Apoyar las Iniciativas para la promoción de la participación femenina en escenarios sociales y políticos implementada.</t>
  </si>
  <si>
    <t>Servicios de logistica, transporte, regrigerios y material impreso y de publicidad relacionado</t>
  </si>
  <si>
    <t>0309 - 2 - 3.2.2.1.3.0.0.0.45020016.32690 - 20</t>
  </si>
  <si>
    <t>0309 - 2 - 3.2.2.2.6.0.0.0.45020016.63391 - 20</t>
  </si>
  <si>
    <t>Servicios de Apoyo para eventos de formación y capacitación.</t>
  </si>
  <si>
    <t xml:space="preserve">Apoyo a estrategías y/o programas de promoción y fortalecimiento de la participación ciudadana </t>
  </si>
  <si>
    <t>Servicios de comunicación, publicación y difusion de los mecanismos de participacion</t>
  </si>
  <si>
    <t xml:space="preserve">Adquisición de equipos tecnológicos y/o muebles logísticos para el mejoramiento de la atención al ciudadano
</t>
  </si>
  <si>
    <t>Servicio de apoyo a las estrategías de fortalecimiento a las veedurias ciudadanas</t>
  </si>
  <si>
    <t>Implementar la Política de Libertad Religiosa</t>
  </si>
  <si>
    <t>Política de Libertad Religiosa Implementado</t>
  </si>
  <si>
    <t>Estrategia de acompañamiento sobre capacidades democráticas y organizativas  implementada</t>
  </si>
  <si>
    <t>Servicios de apoyo para la operatividad  del comité de libertad religiosa</t>
  </si>
  <si>
    <t>0309 - 2 - 3.2.2.2.9.0.0.0.45020015.91119 - 20</t>
  </si>
  <si>
    <t>Desarrollar las actividades propias  de la implementación de la Política Pública de Libertad Religiosa, cultos y conciencia.</t>
  </si>
  <si>
    <t>Servicios de logistica, regrigerios y material impreso y de publicidad relacionado</t>
  </si>
  <si>
    <t>0309 - 2 - 3.2.2.1.3.0.0.0.45020015.32690 - 20</t>
  </si>
  <si>
    <t>0309 - 2 - 3.2.2.2.6.0.0.0.45020015.63391 - 20</t>
  </si>
  <si>
    <t>Fortalecimiento de los organismos  de acción comunal (OAC)  de los doce municipios del Departamento en lo relacionado a sus procesos formativos, participativos, de organización y  gestión.</t>
  </si>
  <si>
    <t xml:space="preserve">Servicio de promoción a la participación ciudadana </t>
  </si>
  <si>
    <t>Municipos con organismos de acción comunal fortalecidos.</t>
  </si>
  <si>
    <t xml:space="preserve">Iniciativas organizativas de participación ciudadana promovidas </t>
  </si>
  <si>
    <t>Servicios como apoyo al fortalecimiento de los organismos  comunales</t>
  </si>
  <si>
    <t>0309 - 2 - 3.2.2.2.9.0.0.0.45020013.91119 - 20</t>
  </si>
  <si>
    <t>0309 - 2 - 3.2.2.2.9.0.0.0.45020013.91119 - 88</t>
  </si>
  <si>
    <t xml:space="preserve">Apoyo a eventos de carácter municipal, departamental   nacional y   Celebración día comunal
</t>
  </si>
  <si>
    <t>0309 - 2 - 3.2.2.2.6.0.0.0.45020013.63391 - 20</t>
  </si>
  <si>
    <t>Desarrollo de actividades de formación y capacitación</t>
  </si>
  <si>
    <t xml:space="preserve">Material pedagogíco y/o .promocional </t>
  </si>
  <si>
    <t>Actividades de promoción, fortalecimiento, desarrollo de proyectos y participación de la Organización Comunal</t>
  </si>
  <si>
    <t xml:space="preserve">Formulación de la  Política Pública Departamental para la  Acción Comunal </t>
  </si>
  <si>
    <t>Una Política Pública formulada.</t>
  </si>
  <si>
    <t xml:space="preserve">Planes estratégicos elaborados </t>
  </si>
  <si>
    <t>Fortalecimiento en la estructuración de políticas, programas, legislación, proyectos sociales y desarrollo comunitario.</t>
  </si>
  <si>
    <t xml:space="preserve">Apoyo en la formulación de la  Política Pública Departamental para la  Acción Comunal </t>
  </si>
  <si>
    <t>0309 - 2 - 3.2.2.2.9.0.0.0.4502035.91119 - 20</t>
  </si>
  <si>
    <t>0309 - 2 - 3.2.2.2.9.0.0.0.4502035.91119 - 88</t>
  </si>
  <si>
    <t xml:space="preserve">Material pedagogíco y/o promocional </t>
  </si>
  <si>
    <t>0309 - 2 - 3.2.2.1.3.0.0.0.4502035.32690 - 20</t>
  </si>
  <si>
    <t xml:space="preserve">Servicios de Apoyo para eventos de formación, capacitación, formulación y/o implementación de la  política publica 
</t>
  </si>
  <si>
    <t>SEGUIMIENTO PLAN DE ACCIÓN 
SECRETARÍA  DE TECNOLOGÍAS DE LA INFORMACION Y LAS COMUNICACIONES 
DICIEMBRE 31/2021</t>
  </si>
  <si>
    <t>PLAN DE DESARROLLO DEPARTAMENTAL: TU Y YO SOMO QUNDIO</t>
  </si>
  <si>
    <t>PORYECTO</t>
  </si>
  <si>
    <t>Tecnologías de la información y las comunicaciones</t>
  </si>
  <si>
    <t>Facilitar el acceso y uso de las Tecnologías de la Información y las Comunicaciones en todo el departamento del Quindio. "Tú y yo somos ciudadanos TIC"</t>
  </si>
  <si>
    <t>Servicio de acceso y uso de tecnologías de la información y las comunicaciones</t>
  </si>
  <si>
    <t>Centros de acceso comunitario en zonas urbanas funcionando</t>
  </si>
  <si>
    <t>202000363-0038</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</si>
  <si>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</si>
  <si>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</si>
  <si>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Ofrecer puntos de acceso comunitario a las Tecnologías de la Información y lasComunicaciones en los diferentes sectores urbanos del Departamento del Quindío.</t>
  </si>
  <si>
    <t>Apoyo técnico y/o profesional en la sostenibilidad de los centros de acceso comunitario en el departamento del Quindío</t>
  </si>
  <si>
    <t>0324 - 2 - 3.2.2.2.8.0.0.0.2301024.84290 - 20</t>
  </si>
  <si>
    <t xml:space="preserve">20
</t>
  </si>
  <si>
    <t>Carlos Arturo Caicedo Gallego
Bryan Johann Aránzazu</t>
  </si>
  <si>
    <t>Secretaria TIC</t>
  </si>
  <si>
    <t>Garantizar el servicio de conectividad en los centros de acceso comunitario en el departamento del Quindio.</t>
  </si>
  <si>
    <t>0324 - 2 - 3.2.2.2.8.0.0.0.2301024.84222 - 20</t>
  </si>
  <si>
    <t>Mantenimiento de mobiliario, equipos y locaciones de los centros de acceso comunitario en el departamento del Quindio.</t>
  </si>
  <si>
    <t>0324 - 2 - 3.2.2.2.8.0.0.0.2301024.83132 - 20</t>
  </si>
  <si>
    <t>Soluciones de conectividad en instituciones públicas instaladas</t>
  </si>
  <si>
    <t>Apoyo técnico y/o profesional en la estructuracion, direccionamiento y transición del protocolo IPV6 en instituciones públicas en el departamento del Quindío.</t>
  </si>
  <si>
    <t>Adquisición de equipos de infraestructura tecnológica que permitan la modernizacion, con el fin de apoyar la transicion hacia el protocolo IPV6 en instituciones publicas del departamento del Quindío.</t>
  </si>
  <si>
    <t>0324 - 2 - 3.2.1.1.3.3.2.0.2301024.45250 - 20</t>
  </si>
  <si>
    <t>0324 - 2 - 3.2.1.1.3.3.2.0.2301024.45261 - 20</t>
  </si>
  <si>
    <t>Modernización tecnológica del edificio de la Gobernación</t>
  </si>
  <si>
    <t>0324 - 2 - 3.2.1.1.3.3.2.0.2301024.45250 - 88</t>
  </si>
  <si>
    <t>Servicio de acceso Zonas Wifi</t>
  </si>
  <si>
    <t>Servicio de acceso zonas digitales</t>
  </si>
  <si>
    <t>Zonas Wifi en áreas rurales instaladas</t>
  </si>
  <si>
    <t>Zonas digitales en áreas rurales con redes terrestres instaladas</t>
  </si>
  <si>
    <t>Ofrecer el servicio de zonas de conectividad de internet en los diferentes sectoresrurales de los municipios del Departamento del Quindío.</t>
  </si>
  <si>
    <t>Apoyo técnico y/o profesional en la caracterización y/o diseño para priorizar las zonas wifi rurales en el departamento del Quindío.</t>
  </si>
  <si>
    <t>0324 - 2 - 3.2.2.2.8.0.0.0.2301079.83132 - 20</t>
  </si>
  <si>
    <t>Adquisición e implantación de infraestructura tecnológica necesaria para la puesta en funcionamiento de las zonas wifi.</t>
  </si>
  <si>
    <t>0324 - 2 - 3.2.2.2.8.0.0.0.2301079.83159 - 20</t>
  </si>
  <si>
    <t>Apoyo técnico y/o profesional en la sensibilización del uso responsable de las zonas wifi.</t>
  </si>
  <si>
    <t>Servicio de apoyo en tecnologías de la información y las comunicaciones para la educación básica, primaria y secundaria</t>
  </si>
  <si>
    <t>Relación de estudiantes por terminal de cómputo en sedes educativas oficiales</t>
  </si>
  <si>
    <t>Promover el uso de las Tecnologías de la Información y las Comunicaciones en laeducación básica, primaria y secundaria.</t>
  </si>
  <si>
    <t>Adquisición de terminales de computo</t>
  </si>
  <si>
    <t>0324 - 2 - 3.2.2.2.8.0.0.0.2301062.83159 - 20</t>
  </si>
  <si>
    <t>Servicio de educación para el trabajo en temas de uso pedagógico de tecnologías de la información y las comunicaciones.</t>
  </si>
  <si>
    <t>Docentes formados en uso pedagógico de tecnologías de la información y las comunicaciones.</t>
  </si>
  <si>
    <t>Asistencia y apropiación tecnológica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</si>
  <si>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</si>
  <si>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 xml:space="preserve">Formar docentes en uso pedagógico de las Tecnologías de la Información y las Comunicaciones en el Departamento del Quindío.
</t>
  </si>
  <si>
    <t>Apoyo técnico y/o profesional para la creación de estrategias de capacitación que permitan la formación de docentes en tecnologías de la información y las comunicaciones.</t>
  </si>
  <si>
    <t>0324 - 2 - 3.2.2.2.8.0.0.0.2301035.83132 - 20</t>
  </si>
  <si>
    <t xml:space="preserve">Ordinario 
Superávit Recurso Ordinario </t>
  </si>
  <si>
    <t>Bryan Johann Aránzazu</t>
  </si>
  <si>
    <t>Servicio de asistencia técnica para proyectos en Tecnologías de la Información y las Comunicaciones</t>
  </si>
  <si>
    <t>Municipios asistidos en diseño, implementación, ejecución y/ o liquidación  de proyectos</t>
  </si>
  <si>
    <t>Asistir técnicamente en el diseño, implementación y/o ejecución de proyectos de TI enlos diferentes municipios del Departamento del Quindío</t>
  </si>
  <si>
    <t>Apoyo técnico y/o profesional en el acompañamiento a los diferentes Municipios en la formulación, ejecución y liquidación de planes y/o proyectos TI.</t>
  </si>
  <si>
    <t>0324 - 2 - 3.2.2.2.8.0.0.0.2301015.83132 - 20</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</si>
  <si>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</si>
  <si>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</si>
  <si>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</si>
  <si>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Apoyo técnico y/o profesional para la capacitación de personas en tecnologías de la información y las comunicaciones.</t>
  </si>
  <si>
    <t>0324 - 2 - 3.2.2.2.8.0.0.0.2301030.83132 - 20</t>
  </si>
  <si>
    <t>0324 - 2 - 3.2.2.2.8.0.0.0.2301030.83132 - 88</t>
  </si>
  <si>
    <t>Desarrollo de convenios con instituciones publicas y/o privadas para el fortalecimiento de procesos de formación TI en el departamento del Quindío.</t>
  </si>
  <si>
    <t xml:space="preserve"> Documentos de planeación</t>
  </si>
  <si>
    <t>Elaborar documentos de planeación con el fin de llevar acabo el desarrollo de aplicaciones, contenidos digitales y apropiación de las TIC.</t>
  </si>
  <si>
    <t>Apoyo técnico y/o profesional en la elaboración de planes, estrategias, programas de tecnologías de la información y las comunicaciones.</t>
  </si>
  <si>
    <t>0324 - 2 - 3.2.2.2.8.0.0.0.2301004.83132 - 20</t>
  </si>
  <si>
    <t>Servicio de telecomunicaciones para el envío de alertas tempranas a la población.</t>
  </si>
  <si>
    <t xml:space="preserve">Disponibilidad del servicio  de telecomunicaciones para el envío de alertas tempranas a la población. </t>
  </si>
  <si>
    <t xml:space="preserve">Implementar plataforma de apoyo en el envío de alertas tempranas en salud,educación, secretaria Interior y Familia </t>
  </si>
  <si>
    <t xml:space="preserve"> Diseño y/o Adquisición para el desarrollo de infraestructura tecnológica necesaria para la implementación de un sistema de alertas tempranas en el departamento del Quindío.</t>
  </si>
  <si>
    <t>0324 - 2 - 3.2.2.2.8.0.0.0.2301042.83159 - 20</t>
  </si>
  <si>
    <t>Servicio técnico y/o profesional en la implantación, seguimiento, sensibilización y puesta en funcionamiento de un sistema de alertas tempranas en el departamento del Quindío</t>
  </si>
  <si>
    <t>0324 - 2 - 3.2.2.2.8.0.0.0.2301042.83132 - 20</t>
  </si>
  <si>
    <t>Fomento del desarrollo de aplicaciones, software y contenidos para impulsar la apropiación de las Tecnologías de la Información y las Comunicaciones (TIC) "Quindío paraiso empresarial TIC-Quindío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</si>
  <si>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</si>
  <si>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</si>
  <si>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</si>
  <si>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</si>
  <si>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Apoyar en asesoría y/o asistencia técnica a las empresas relacionadas con la industriaTI en el Departamento del Quindío.</t>
  </si>
  <si>
    <t>Apoyo profesional en la asistencia tecnica a empresas relacionadas con la industria TI del departamento</t>
  </si>
  <si>
    <t>0324 - 2 - 3.2.2.2.8.0.0.0.2302022.83132 - 20</t>
  </si>
  <si>
    <t>Servicio de promoción de la industria de tecnologías de la información</t>
  </si>
  <si>
    <t xml:space="preserve">Eventos para  promoción  de productos y Servicio de la industria TI realizados </t>
  </si>
  <si>
    <t>Apoyar en la creación de ferias o eventos de TI en el Departamento del Quindío.</t>
  </si>
  <si>
    <t>Apoyo tecnico y/o profesional en el diseño y realización de evento o ferias tecnológicas en el departamento del Quindío</t>
  </si>
  <si>
    <t>0324 - 2 - 3.2.2.2.8.0.0.0.2302042.83132 - 20</t>
  </si>
  <si>
    <t>Logística operativa (alimentación, transporte, sonido, materialpublicitario, entre otros) para la organización de foros, talleres, eventos y/o actividades</t>
  </si>
  <si>
    <t>0324 - 2 - 3.2.2.2.8.0.0.0.2302042.85962 - 20</t>
  </si>
  <si>
    <t>Servicio de educación informal en Teletrabajo</t>
  </si>
  <si>
    <t xml:space="preserve">Personas y/o entidades (públicas y privadas) de la comunidad capacitadas en teletrabajo </t>
  </si>
  <si>
    <t>Capacitar personas y/o entidades (públicas y privadas) de la comunidad en la modalidad de teletrabajo a travésde las TIC.</t>
  </si>
  <si>
    <t>Apoyo tecnico y/o profesional en el diseño, formación e implementación de una estrategia para la adopción del teletrabajo en el departamento del Quindío</t>
  </si>
  <si>
    <t>0324 - 2 - 3.2.2.2.8.0.0.0.2302058.83132 - 20</t>
  </si>
  <si>
    <t>Servicio de asistencia técnica a emprendedores y empresas</t>
  </si>
  <si>
    <t>Emprendedores y empresas asistidas técnicamente</t>
  </si>
  <si>
    <t>Asistir técnicamente por medio de las TIC, a empresas y emprendedores en el Departamento del Quindío.</t>
  </si>
  <si>
    <t>Apoyo tecnico y/o profesional en la asistencia tecnica a emprendedores y empresas a traves de las tecnologias de la información</t>
  </si>
  <si>
    <t>0324 - 2 - 3.2.2.2.8.0.0.0.2302021.83132 - 20</t>
  </si>
  <si>
    <t>Servicio de educación informal para aumentar la calidad y cantidad de talento humano para la industria TI</t>
  </si>
  <si>
    <t>Personas capacitadas en programas informales de Tecnologías de la Información</t>
  </si>
  <si>
    <t>Capacitar personas y empresas a través de educación informal en competencias de TIen el Departamento del Quindío.</t>
  </si>
  <si>
    <t>Apoyo tecnico y/o profesional en la formación de personas con competencias TI en el departamento del Quindío</t>
  </si>
  <si>
    <t>0324 - 2 - 3.2.2.2.8.0.0.0.2302068.83132 - 20</t>
  </si>
  <si>
    <t>Desarrollos digitales</t>
  </si>
  <si>
    <t>Productos digitales desarrollados</t>
  </si>
  <si>
    <t>202000363-0141</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</si>
  <si>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</si>
  <si>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</si>
  <si>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Desarrollar productos digitales a través de las Tecnologías de la Información y las Comunicaciones en el Departamento del Quindío.</t>
  </si>
  <si>
    <t>Apoyo técnico y/o profesional en la creación y/o desarrollo de productos digitales</t>
  </si>
  <si>
    <t>0324 - 2 - 3.2.2.2.8.0.0.0.2302003.83132 - 20</t>
  </si>
  <si>
    <t>Adquisiciòn  de productos digitales</t>
  </si>
  <si>
    <t>Servicio de educación informal para la implementación de la estrategia de gobierno digital</t>
  </si>
  <si>
    <t>Personas capacitadas para la implementación de la Estrategia de Gobierno digital</t>
  </si>
  <si>
    <t>Capacitar personas y/o profesionales con el fin de llevar a cabo la implementación de la estrategia de gobierno digital.</t>
  </si>
  <si>
    <t>Apoyo tecnico y/o profesional para brindar capacitaciones informales de la estrategia de gobierno digital</t>
  </si>
  <si>
    <t>0324 - 2 - 3.2.2.2.8.0.0.0.2302033.83132 - 20</t>
  </si>
  <si>
    <t>Servicio de educación informal en Gestión TI y en Seguridad y Privacidad de la Información</t>
  </si>
  <si>
    <t>Personas capacitadas en Gestión TI y en Seguridad y Privacidad de la Información</t>
  </si>
  <si>
    <t>Capacitar personas en gestión TI y seguridad y privacidad de la información.</t>
  </si>
  <si>
    <t>Apoyo técnico y/o profesional para brindar capacitaciones en gestión TI y seguridad y privacidad de la información</t>
  </si>
  <si>
    <t>0324 - 2 - 3.2.2.2.8.0.0.0.2302066.83132 - 20</t>
  </si>
  <si>
    <t>Documentos de evaluación</t>
  </si>
  <si>
    <t>Documentos de evaluación de programas enfocados en generar competencias TIC</t>
  </si>
  <si>
    <t>Generar documentos de evaluación de programas enfocados a generar competencias TIC.</t>
  </si>
  <si>
    <t>Apoyo técnico y/o profesional que genere la documentación y planificación necesaria entorno a generar competencias TIC en el departamento del Quindío</t>
  </si>
  <si>
    <t>0324 - 2 - 3.2.2.2.8.0.0.0.2302004.83132 - 20</t>
  </si>
  <si>
    <t>Documentos metodológicos</t>
  </si>
  <si>
    <t>Documento metodológico del modelo de acompañamiento para la implementación de la Estrategia de Gobierno digital elaborado</t>
  </si>
  <si>
    <t>Crear documentos metodológicos que permita el acompañamiento a la implementación de la estrategia de gobierno digital.</t>
  </si>
  <si>
    <t>Apoyo profesional al diseño y planificación de los documentos metodologicos del modelo de acompañamiento para la implementación de la Estrategia de Gobierno digital.</t>
  </si>
  <si>
    <t>0324 - 2 - 3.2.2.2.8.0.0.0.2302007.83132 - 20</t>
  </si>
  <si>
    <t>Elaborar documentos técnicos con el fin de llevar acabo el desarrollo de aplicaciones, contenidos digitales y apropiación de las TIC en el Departamento del Quindío.</t>
  </si>
  <si>
    <t>Apoyo tecnico y/o profesional en la elaboración de lineamientos tecnicos de gobierno digital del departamento del Quindío</t>
  </si>
  <si>
    <t>0324 - 2 - 3.2.2.2.8.0.0.0.2302083.83132 - 20</t>
  </si>
  <si>
    <t xml:space="preserve">Desarrollo tecnológico e innovación para el crecimiento empresarial </t>
  </si>
  <si>
    <t>Servicio de apoyo para la transferencia de conocimiento y tecnología</t>
  </si>
  <si>
    <t>Nuevas tecnologías adoptadas</t>
  </si>
  <si>
    <t>202000363-0140</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</si>
  <si>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</si>
  <si>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</si>
  <si>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Realizar la transformación digital de las empresas de la región con la apropiación de herramientas, que permitan ser competitivos en los diferentes sectores del departamento</t>
  </si>
  <si>
    <t>Apoyo tecnico y/o profesional en el seguimiento y/o mantenimiento de productos digitales</t>
  </si>
  <si>
    <t>0324 - 2 - 3.2.2.2.8.0.0.0.3903005.83132 - 20</t>
  </si>
  <si>
    <t>Start up generadas</t>
  </si>
  <si>
    <t>Apoyo técnico, profesional y/o institucional en la creación de estrategias para la implementacion de Satart up</t>
  </si>
  <si>
    <t>Conocimiento tecnológico adquirido</t>
  </si>
  <si>
    <t>Apoyo técnico, profesional y/o institucional de estrategias que permitan generar conocimiento tecnológico</t>
  </si>
  <si>
    <t>0324 - 2 - 3.2.2.2.8.0.0.0.3903005.83117 - 20</t>
  </si>
  <si>
    <t>Generación de una cultura que valora y gestiona el conocimiento y la innovación.</t>
  </si>
  <si>
    <t>Servicios de comunicación con enfoque en ciencia tecnología y sociedad</t>
  </si>
  <si>
    <t>Juguetes, juegos o videojuegos para la comunicación de la ciencia, tecnología e innovación producidos</t>
  </si>
  <si>
    <t>202000363-0040</t>
  </si>
  <si>
    <t xml:space="preserve">Implementación  y  divulgación de la estrategia    "Quindío innovador y competitivo"   </t>
  </si>
  <si>
    <t>Incrementar  los  emprendimientos y/o empresas de base tecnológica a través de la implementación de una estrategia de  promoción de la  cultura  de la innovación  y gestión del  conocimiento</t>
  </si>
  <si>
    <t>Implementar un ecosistema empresarial TIC que fortalezca la industria y venta de servicios de base tecnológica en el Departamento del Quindío.</t>
  </si>
  <si>
    <t>Apoyo técnico y/o profesional en la elaboración, construcción y/o sensibilización de servicios con base tecnológica en el Departamento del Quindío.</t>
  </si>
  <si>
    <t>0324 - 2 - 3.2.2.2.8.0.0.0.3904018.83132 - 20</t>
  </si>
  <si>
    <t>Adquisición de materiales didacticos de robotica</t>
  </si>
  <si>
    <t>0324 - 2 - 3.2.2.2.8.0.0.0.3904018.88759 - 20</t>
  </si>
  <si>
    <t xml:space="preserve">                                                                                                                                                                                                                                                                                                                                                                                                                                                                                                                                                                                                                                                                                                                                                </t>
  </si>
  <si>
    <t>SEGUIMIENTO PLAN DE ACCIÓN 
SECRETARIA DE SALUD
A  DICIEMBRE 31 DE 2021</t>
  </si>
  <si>
    <t>PLAN DE DESARROLLO DEPARTAMENTAL: TÚ Y YO SOMOS QUINDÍO 2020-2023</t>
  </si>
  <si>
    <t>VALOR ACTIVIDADES
(EN PESOS )</t>
  </si>
  <si>
    <t xml:space="preserve"> INCLUSION SOCIAL Y EQUIDAD</t>
  </si>
  <si>
    <t xml:space="preserve">Inspección, vigilancia y control. "Tú y yo con salud certificada" </t>
  </si>
  <si>
    <t>Servicio de concepto sanitario</t>
  </si>
  <si>
    <t>Servicio de registro sanitario</t>
  </si>
  <si>
    <t>Conceptos sanitarios expedidos</t>
  </si>
  <si>
    <t>Registros sanitarios expedidos</t>
  </si>
  <si>
    <t>202000363-0116</t>
  </si>
  <si>
    <t>Fortalecimiento de la autoridad sanitaria en en Departamento del Quindío</t>
  </si>
  <si>
    <t>Consolidar y desarrollar el sistema de vigilancia en salud pública integrado al sistema de vigilancia de control sanitario e inspección, vigilancia y control del sistema de salud</t>
  </si>
  <si>
    <t>Incrementar la cobertura en acciones de inspección, vigilancia y control</t>
  </si>
  <si>
    <t>Seguimiento a los objetos de inspección, vigilancia y control a objetos de interés sanitario con criterio de riesgo alto generadores de residuos peligrosos con riesgo biológico en los municipios de competencia departamental.</t>
  </si>
  <si>
    <t>1803 - 2 - 3.2.2.2.9.0.0.0.1903009.91122 - 61</t>
  </si>
  <si>
    <t>SGP Salud Pública</t>
  </si>
  <si>
    <t>61 - 63</t>
  </si>
  <si>
    <t>SGP SALUD PUBLICA - FONDO DE ESTUPEFACIENTES</t>
  </si>
  <si>
    <t>LILIANA VALDES MEJÍA - DIRECTORA PVC</t>
  </si>
  <si>
    <t>Yenny Alexandra Trujillo Alzate
Secretaria de Salud</t>
  </si>
  <si>
    <t>Generar  espacios  intersectoriales  para  la  gestión integral  de la salud ambiental, a través de consejo territorial de salud ambiental COTSA y sus mesas técnicas</t>
  </si>
  <si>
    <t xml:space="preserve">Seguimiento a los objetos de inspección vigilancia y control de las condiciones de seguridad,  higiénico sanitarias y ambientales a los objetos de interés comercial general y en saneamiento básico como  establecimientos de vivienda Transitoria,  comercio en general </t>
  </si>
  <si>
    <t>Servicio de información de vigilancia epidemiológica</t>
  </si>
  <si>
    <t>Informes de evento generados en la vigencia</t>
  </si>
  <si>
    <t>Activar y Mantener 100 COVECOM en 12  municipios del Departamento.</t>
  </si>
  <si>
    <t>1803 - 2 - 3.2.2.2.9.0.0.0.1903031.91122 - 61</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</si>
  <si>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</si>
  <si>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12 municipios del Departamento del Quindío.</t>
  </si>
  <si>
    <t>Servicio de asistencia técnica en inspección, vigilancia y control</t>
  </si>
  <si>
    <t>Asistencias técnica en Inspección, Vigilancia y Control realizadas</t>
  </si>
  <si>
    <t>Visitas de seguimiento y asistencia técnica a sistemas potabilización de agua y fuentes de abastecimiento</t>
  </si>
  <si>
    <t>1803 - 2 - 3.2.2.2.9.0.0.0.1903023.91122 - 61</t>
  </si>
  <si>
    <t>Generar  espacios  intersectoriales  para  la  construcción y actualización de los mapas de riesgo de calidad de agua de consumo humano  de acuerdo a la Resolución 4716 de 2010)</t>
  </si>
  <si>
    <t xml:space="preserve">Realizar análisis de la persistencia y aparición de factores de riesgo en las fuentes abastecedoras con el fin de generar la actualización anual de los mapas de riesgo de calidad de agua para consumo humano
</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</si>
  <si>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</si>
  <si>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</si>
  <si>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</si>
  <si>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</si>
  <si>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Realizar seguimiento a los objetos de interés sanitario a los objetos de interés sanitario relacionados con las sustancias químicas.</t>
  </si>
  <si>
    <t>1803 - 2 - 3.2.2.2.9.0.0.0.1903050.91122 - 61</t>
  </si>
  <si>
    <t>Realizar seguimiento en la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</si>
  <si>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(metales, plaguicidas, solventes, otras sustancias  y gases) generada por el Sistema de Vigilancia y fuentes externas.</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</si>
  <si>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</si>
  <si>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</si>
  <si>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</si>
  <si>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</si>
  <si>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Municipios categorías 4,5 y 6 que formulen y ejecuten real y efectivamente acciones de promoción, prevención, vigilancia  y control de vectores y zoonosis  realizados</t>
  </si>
  <si>
    <t>Articular los sistemas de vigilancia relacionados al control sanitario</t>
  </si>
  <si>
    <t>Realizar acciones de seguimientos a objetos de Inspección, Vigilancia y Control de establecimientos cosméticos y afines en el Departamento del Quindío.</t>
  </si>
  <si>
    <t>1803 - 2 - 3.2.2.2.9.0.0.0.19030381.91122 - 61</t>
  </si>
  <si>
    <t>Implementar sistema de información que permita programar y priorizar las acciones de Inspección, Vigilancia y Control con enfoque de riesgo en establecimientos cosméticos y afines en el Departamento del Quindío.</t>
  </si>
  <si>
    <t>Realizar seguimiento a los objetos de inspección  vigilancia y control para verificar las condiciones técnicas, higiénico sanitarias locativas y de calidad a los establecimientos farmacéuticos en los 12 municipios del departamento del Quindío.</t>
  </si>
  <si>
    <t>1803 - 2 - 3.2.2.2.9.0.0.0.19030381.91122 - 63</t>
  </si>
  <si>
    <t>Fondo de Estuperfacientes</t>
  </si>
  <si>
    <t>1803 - 2 - 3.2.2.2.9.0.0.0.19030381.91122 - 99</t>
  </si>
  <si>
    <t xml:space="preserve">Desarrollo de acciones de apoyo legal en la aplicación del modelo IVC y PAGO DE REGENTES DE NOMINA </t>
  </si>
  <si>
    <t xml:space="preserve">Suministrar medicamentos de programas de control especial - monopolio del estado a los establecimientos farmacéuticos autorizados o IPS´s que lo requieran. </t>
  </si>
  <si>
    <t>1803 - 2 - 3.2.2.1.3.0.0.0.19030381.35261 - 63</t>
  </si>
  <si>
    <t>Realizar seguimiento a los eventos que se presenten por intoxicaciones por sustancias químicas (medicamentos ) de los vasos notificados al Sivigila por las unidades notificadoras municipales</t>
  </si>
  <si>
    <t>Dotación de equipos de computación y tecnología que contribuyan en la  Implementación del modelo operativo de Inspección, Vigilancia y Control IVC sanitario.</t>
  </si>
  <si>
    <t>1803 - 2 - 3.2.2.1.4.0.0.0.19030381.45250 - 99</t>
  </si>
  <si>
    <t>Realizar visitas de acompañamiento a las instituciones o establecimientos farmacéuticos para la destrucción de medicamentos de control especial y monopolio del estado cuando estos lo requieran</t>
  </si>
  <si>
    <t>Realizar visitas a Establecimientos Farmacéuticos de acuerdo a los productos notificados por el Programa delegaciones INVIMA  en los 12 municipios del Departamento del Quindío.</t>
  </si>
  <si>
    <t xml:space="preserve">Adquirir recetarios y, los medicamentos monopolio del estado con el fondo nacional de estupefacientes de conformidad  con los índices de consumo </t>
  </si>
  <si>
    <t>1803 - 2 - 3.2.2.1.3.0.0.0.19030381.35261 - 99</t>
  </si>
  <si>
    <t xml:space="preserve">Adquirir recetarios para el  monopolio del estado con el fondo nacional de estupefacientes de conformidad  con los índices de consumo </t>
  </si>
  <si>
    <t>1803 - 2 - 3.2.2.1.3.0.0.0.19030381.91122 - 63</t>
  </si>
  <si>
    <t>Municipios categorías 4, 5 y 6 qué formulen y ejecuten real y efectivamente acciones de promoción, prevención, vigilancia y control de vectores y zoonosis realizados</t>
  </si>
  <si>
    <t>Realizar  acciones de intervención comunitaria  en el marco de la implementación de las estrategias de gestión integral para mitigar las contingencias y daños producidos por enfermedades transmisibles, zoonosis y vectores.</t>
  </si>
  <si>
    <t>1803 - 2 - 3.2.2.2.9.0.0.0.19030382.91122 - 61</t>
  </si>
  <si>
    <t>Servicio de evaluación, aprobación y seguimiento de planes de gestión integral del riesgo</t>
  </si>
  <si>
    <t>Informes de evaluación, aprobación y seguimiento de Planes de Gestión Integral de Riesgo realizados</t>
  </si>
  <si>
    <t xml:space="preserve">Revisión de planes de gestión integral de residuos generados en atención en salud y otras actividades PGIRASA en los municipios de competencia departamental </t>
  </si>
  <si>
    <t>1803 - 2 - 3.2.2.2.9.0.0.0.1903027.91122 - 61</t>
  </si>
  <si>
    <t>Servicio de inspección, vigilancia y control</t>
  </si>
  <si>
    <t>visitas realizadas</t>
  </si>
  <si>
    <t xml:space="preserve">Realizar seguimiento a los objetos de inspección  vigilancia y control  de las  condiciones   higiénico sanitarias , locativas y de  manejo y uso  de los productos químicos peligrosos  en   los establecimientos de alto riesgo ubicados en los 11  municipios  de competencia departamental </t>
  </si>
  <si>
    <t>1803 - 2 - 3.2.2.2.9.0.0.0.19030111.91122 - 61</t>
  </si>
  <si>
    <t xml:space="preserve">Realizar seguimiento a los objetos inspección  vigilancia y control   de las condiciones sanitarias y protocolos de bioseguridad en los establecimientos  con actividad económica de estética ornamental , salas de belleza y peluquerías </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</si>
  <si>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</si>
  <si>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</si>
  <si>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</si>
  <si>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</si>
  <si>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Fortalecer los deberes y derechos de las poblaciones especiales</t>
  </si>
  <si>
    <t>Realizar acciones de atención psicosocial a victimas del conflicto armado en municipios de competencia departamental</t>
  </si>
  <si>
    <t>1803 - 2 - 3.2.2.2.9.0.0.0.1903001.9122 - 61</t>
  </si>
  <si>
    <t>SGP SALUD PUBLICA</t>
  </si>
  <si>
    <t xml:space="preserve">Realizar asistencia técnica en la implementación del protocolo de atención integral en salud con enfoque psicosocial </t>
  </si>
  <si>
    <t>Realizar el cargue trimestral de la información sobre la atención psicosocial a las Victimas en el aplicativo del PAPSIVI.</t>
  </si>
  <si>
    <t>Brindar capacitaciones en Deberes y Derechos en Salud a las poblaciones vulnerables.</t>
  </si>
  <si>
    <t>Servicio de adopción y seguimiento de acciones y medidas especiales</t>
  </si>
  <si>
    <t>Acciones y medidas especiales ejecutadas</t>
  </si>
  <si>
    <t>Implementar programas de participación social en salud de las poblaciones especiales</t>
  </si>
  <si>
    <t>Brindar capacitación en registro de localización y caracterización de personas con discapacidad en los 12 municipios.</t>
  </si>
  <si>
    <t>1803 - 2 - 3.2.2.2.9.0.0.0.1903015.91122 - 61</t>
  </si>
  <si>
    <t>Brindar apoyo en el monitoreo de las metas del registro de localización y caracterización de personas con discapacidad en los 12 municipios.</t>
  </si>
  <si>
    <t xml:space="preserve">Brindar asistencia técnica sobre la resolución 113 de 2020  y el proceso de certificación de discapacidad en los 12 municipios del Departamento. </t>
  </si>
  <si>
    <t>Realizar visitas de asistencia, seguimiento y verificación de acceso, accesibilidad, red de servicios contratada, referencia y contrarreferencia en la prestación de servicios de salud a las personas con discapacidad en la EAPB.</t>
  </si>
  <si>
    <t>Realizar capacitaciones en deberes y derechos en salud a la ´población vulnerable con enfoque diferencial.</t>
  </si>
  <si>
    <t>Realizar seguimiento a las EAPB para el cumplimiento de la Circular 016 del 2014 (exención de copagos y cuotas moderadoras) y la Circular 010 del 2015 (atención integral de salud para personas con discapacidad), resolución 1904 (salud sexual y reproductiva PcD), eliminación de barreras en salud y Resolución 113 de 2020</t>
  </si>
  <si>
    <t>Apoyar la realización de intervenciones concernientes a la promoción de practicas claves en la estrategia AIEPI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</si>
  <si>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</si>
  <si>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</si>
  <si>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Capacitar en deberes y derechos en salud a la población en condición de vulnerabilidad (Etnias, victimas, niñas niños adolescentes, personas mayores, población LGTBI, personas con discapacidad, habitante de calle).</t>
  </si>
  <si>
    <t>Acciones de asistencia técnica en la verificación en la capacidad de atención de personas mayores en los centros de bienestar del anciano CVA y centros vida CD</t>
  </si>
  <si>
    <t xml:space="preserve">Realizar acciones de promoción y prevención en salud a la población LGBTI del departamento </t>
  </si>
  <si>
    <t>Sensibilización  Prevención sobre el delito de trata de personas en los  municipios del Departamento,</t>
  </si>
  <si>
    <t>Servicio de análisis de laboratorio</t>
  </si>
  <si>
    <t>Análisis realizados</t>
  </si>
  <si>
    <t>202000363-0118</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</si>
  <si>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</si>
  <si>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</si>
  <si>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Incrementar las acciones para apoyar la Vigilancia en salud publica y la Vigilancia y Control Sanitario</t>
  </si>
  <si>
    <t xml:space="preserve">Compra de reactivos, insumos y medios </t>
  </si>
  <si>
    <t>1803 - 2 - 3.2.2.2.8.0.0.0.1903012.87154 - 61</t>
  </si>
  <si>
    <t>61  - 88 - 184</t>
  </si>
  <si>
    <t>SGP SALUD PUBLICA (61 - 88) Superavit Resolución 626 de 2020 COVID- 19 (184)</t>
  </si>
  <si>
    <t>1803 - 2 - 3.2.2.1.3.0.0.0.1903012.35442 - 61</t>
  </si>
  <si>
    <t>Compra de equipos de laboratorio</t>
  </si>
  <si>
    <t>1803 - 2 - 3.2.1.1.3.6.1.0.1903012.48150 - 61</t>
  </si>
  <si>
    <t>1803 - 2 - 3.2.1.1.3.6.1.0.1903012.48150 - 184</t>
  </si>
  <si>
    <t>Superàvit Resolucion 626 de 2020 COVID-19</t>
  </si>
  <si>
    <t>0318 - 2 - 3.2.2.2.9.0.0.0.001903012.48150 - 88</t>
  </si>
  <si>
    <t>Realizar análisis de muestras de alimentos, aguas, bebidas alcohólicas  que llegan al laboratorio en cumplimiento de la programación y las muestras para ETAS Y  vigilancia que lleguen al laboratorio</t>
  </si>
  <si>
    <t>1803 - 2 - 3.2.2.2.9.0.0.0.1903012.93195 - 61</t>
  </si>
  <si>
    <t>Realizar análisis de muestras para la vigilancia de enfermedades de interés en salud publica enviados por los laboratorios de la red.</t>
  </si>
  <si>
    <t>Realizar evaluación externa indirecta de citologías de cuello uterino a los laboratorios de la red</t>
  </si>
  <si>
    <t>Realizar la vigilancia entomológica en los municipios del departamento del Quindío.</t>
  </si>
  <si>
    <t>Servicio de auditoría y visitas inspectivas</t>
  </si>
  <si>
    <t>Auditorías y visitas inspectivas realizadas</t>
  </si>
  <si>
    <t>Ejecutar el sistema de gestión de calidad y aseguramiento de metrología en el laboratorio de salud publica.</t>
  </si>
  <si>
    <t>1803 - 2 - 3.2.2.2.9.0.0.0.1903016.91122 - 61</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</si>
  <si>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</si>
  <si>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</si>
  <si>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Informes de los resultados obtenidos en la vigilancia sanitaria </t>
  </si>
  <si>
    <t xml:space="preserve">Realizar el mantenimiento preventivo y correctivo de los equipos de laboratorio.  </t>
  </si>
  <si>
    <t>1803 - 2 - 3.2.2.2.9.0.0.0.19030112.91122 - 61</t>
  </si>
  <si>
    <t>Realizar la calibración de los equipos del laboratorio</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</si>
  <si>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</si>
  <si>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</si>
  <si>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</si>
  <si>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</si>
  <si>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Fortalecer los procesos territoriales en afiliación y atención al SGSS</t>
  </si>
  <si>
    <t xml:space="preserve">Verificar el cumplimiento de oportunidad en el reporte de información financiera mediante la circular única </t>
  </si>
  <si>
    <t>0318 - 2 - 3.2.2.2.9.0.0.0.1903034.91122 - 20</t>
  </si>
  <si>
    <t>N/A</t>
  </si>
  <si>
    <t>ELAYNE LOAIZA JURADO - DIRECTORA CPS</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</si>
  <si>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</si>
  <si>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</si>
  <si>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</si>
  <si>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</si>
  <si>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</si>
  <si>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</si>
  <si>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</si>
  <si>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Incrementar el aseguramiento en los estándares establecidos en el sistema de habilitación</t>
  </si>
  <si>
    <t>Verificación de los requisitos de habilitación</t>
  </si>
  <si>
    <t>0318 - 2 - 3.2.2.2.9.0.0.0.1903045.91122 - 20</t>
  </si>
  <si>
    <t>Realizar capacitación del recurso humano de las ESES, IPS y EPS Tema del PAMEC, indicadores de calidad y circular 012 de 2016</t>
  </si>
  <si>
    <t>0318 - 2 - 3.2.2.2.9.0.0.0.1903001.91122 - 20</t>
  </si>
  <si>
    <t>Servicio de certificaciones en buenas prácticas</t>
  </si>
  <si>
    <t>Certificaciones expedidas</t>
  </si>
  <si>
    <t>Evaluación del PAMEC en su condición de compradores de servicios de salud para población pobre no afiliada, mediante  auditoría externa a los prestadores.</t>
  </si>
  <si>
    <t>0318 - 2 - 3.2.2.2.9.0.0.0.1903010.91122 - 20</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</si>
  <si>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</si>
  <si>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</si>
  <si>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Realizar un plan de asistencia técnica para el seguimiento y monitoreo del PAMEC en la IPS y EAPBS públicas del Departamento. </t>
  </si>
  <si>
    <t>Seguimiento y evaluación al cumplimiento de los planes de mejoramiento y estandarización de procesos  de habilitación de las EAPB.</t>
  </si>
  <si>
    <t>0318 - 2 - 3.2.2.2.9.0.0.0.1903011.91122 - 20</t>
  </si>
  <si>
    <t>Evaluar la calidad del dato y el análisis  de los indicadores de calidad remitidos al Ministerio de Salud y de la circular externa 012 de 2016 (Superintendencia Nacional de Salud), en todas las  ESES, EPS e IPS del departamento.</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</si>
  <si>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</si>
  <si>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</si>
  <si>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</si>
  <si>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</si>
  <si>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</si>
  <si>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 xml:space="preserve">Incrementar la operatividad e integración de los procesos administrativos misionales y estratégicos de la secretaria de salud
</t>
  </si>
  <si>
    <t>Definir mecanismos para la gestión de la información en la S.D.S</t>
  </si>
  <si>
    <t>1804 - 2 - 3.2.2.2.9.0.0.0.1903047.91122 - 72</t>
  </si>
  <si>
    <t>Rentas cedidas subcuenta otros gastos en salud</t>
  </si>
  <si>
    <t>ELEANA ANDREA CAICEDO ARIAS - DIRECTORA GEAS</t>
  </si>
  <si>
    <t>Servicio del ejercicio del procedimiento administrativo sancionatorio</t>
  </si>
  <si>
    <t xml:space="preserve">Procesos con aplicación del procedimiento administrativo sancionatorio tramitados </t>
  </si>
  <si>
    <t>Apoyar procedimiento administrativo sancionatorio por no cumplimiento de compromisos pactados en la autoevaluación obligatoria de la prestación del servicio de salud a toda la red prestadora de servicios de salud y sujetos objeto de vigilancia sanitaria.</t>
  </si>
  <si>
    <t>1804 - 2 - 3.2.2.2.9.0.0.0.1903019.91122 - 72</t>
  </si>
  <si>
    <t>Servicio de gestión de peticiones, quejas, reclamos y denuncias</t>
  </si>
  <si>
    <t>Preguntas Quejas Reclamos y Denuncias Gestionadas</t>
  </si>
  <si>
    <t>Establecer mecanismos eficientes de respuesta al usuario</t>
  </si>
  <si>
    <t>1804 - 2 - 3.2.2.2.9.0.0.0.1903028.91122 - 72</t>
  </si>
  <si>
    <t>Servicio de implementación de estrategias para el fortalecimiento del control social en salud</t>
  </si>
  <si>
    <t>Estrategias para el fortalecimiento del control social en salud implementadas</t>
  </si>
  <si>
    <t>Realizar seguimiento a los diferentes instrumentos de planificación de la S.D.S</t>
  </si>
  <si>
    <t>1804 - 2 - 3.2.2.2.9.0.0.0.1903025.91122 - 72</t>
  </si>
  <si>
    <t>Realizar actividades de planeación para la S.D.S aplicando los lineamientos normativos vigentes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</si>
  <si>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</si>
  <si>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</si>
  <si>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</si>
  <si>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Aprovechamiento biológico y consumo de  alimentos inocuos  en el Departamento del Quindío </t>
  </si>
  <si>
    <t>Disminuir o mantener la proporción de niños menores de 5 años en riesgo de desnutrición moderada o severa aguda</t>
  </si>
  <si>
    <t>Fortalecer la atención integral en poblaciones con alta vulnerabilidad</t>
  </si>
  <si>
    <t>Articular acciones de información, educación y comunicación, relacionada con la manipulación adecuada de alimentos</t>
  </si>
  <si>
    <t>1803 - 2 - 3.2.2.2.9.0.0.0.1905028.91122 - 61</t>
  </si>
  <si>
    <t>LILIANA VALDES MEJIA  - DIRECTORA PVC</t>
  </si>
  <si>
    <t>Realizar acciones de inspección vigilancia y control en establecimientos gastronómicos del departamento del Quindío.</t>
  </si>
  <si>
    <t>Vigilancia sanitaria en establecimientos de alimentos, relacionados con enfermedades transmitidas por alimentos (ETA), en los municipios de competencia del Departamento.</t>
  </si>
  <si>
    <t>Implementar sistema de información que permita programar y priorizar las acciones de Inspección, Vigilancia y Control con enfoque de riesgo en alimentos y bebidas.</t>
  </si>
  <si>
    <t>Servicios de promoción de la salud y prevención de riesgos asociados a condiciones no transmisibles</t>
  </si>
  <si>
    <t>Campañas de promoción de la salud y prevención de riesgos asociados a condiciones no transmisibles implementadas</t>
  </si>
  <si>
    <t>Incrementar los adecuados hábitos de consumo de alimentos y comercialización formal de alimentos y bebidas</t>
  </si>
  <si>
    <t>Realizar acompañamiento en la concertación intersectorial para la formulación de planes, proyectos y lineamiento que permitan el desarrollo del componente de seguridad alimentaria y nutricional de consumo y aprovechamiento biológico.</t>
  </si>
  <si>
    <t>1803 - 2 - 3.2.2.2.9.0.0.0.19050315.91122 - 61</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</si>
  <si>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</si>
  <si>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la Resolución 2465/2016 y Resolución 2350/2020</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</si>
  <si>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</si>
  <si>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</si>
  <si>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</si>
  <si>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</si>
  <si>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</si>
  <si>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</si>
  <si>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Implementar la adecuada asistencia en promoción y educación de riesgos sanitarios y ambientales</t>
  </si>
  <si>
    <t>Fortalecer las  capacidades  en  la comunidad   expuestas a sustancias químicas  en  prácticas de prevención y atención de eventos con productos químicos peligrosos</t>
  </si>
  <si>
    <t>1803 - 2 - 3.2.2.2.9.0.0.0.1905019.91122 - 61</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</si>
  <si>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</si>
  <si>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</si>
  <si>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</si>
  <si>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</si>
  <si>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Realizar seguimiento semestral  a las coberturas de las actividades de PEDT en el marco de las intervenciones de las RIAS, así como el seguimiento a la gestión del riesgo individual en salud.</t>
  </si>
  <si>
    <t>1803 - 2 - 3.2.2.2.9.0.0.0.19050311.91122 - 61</t>
  </si>
  <si>
    <t>Realizar acciones de fortalecimiento en la intervenciones de protección especifica y detección temprana con los diferentes actores del sistema (EAPB,IPS,PLANES LOCALES DE SALUD )</t>
  </si>
  <si>
    <t>Formular en Plan de Fortalecimiento de Capacidades en Salud Ambiental en coordinación con el Consejo Territorial de Salud Ambiental COTSA</t>
  </si>
  <si>
    <t xml:space="preserve"> Plan de Fortalecimiento de Capacidades en Salud Ambiental FORMULADO </t>
  </si>
  <si>
    <t>Planes de salud pública elaborados</t>
  </si>
  <si>
    <t>Incrementar una adecuada gestión intersectorial en el cumplimiento de proceso de hábitos saludables</t>
  </si>
  <si>
    <t xml:space="preserve">Elaborar el plan de fortalecimiento de capacidades en salud ambiental con que involucre  la fase de  diagnostico  , implementación , autoevaluación, evaluación  y el seguimiento a la gestión integral de la salud ambiental en el  periodo 2020-2023 </t>
  </si>
  <si>
    <t>1803 - 2 - 3.2.2.2.9.0.0.0.19050154.91122 - 61</t>
  </si>
  <si>
    <t>Realizar anualmente  seguimiento  y monitoreo   al plan sectorial  de fortalecimiento de capacidades en salud ambiental, en  cumplimiento  Resolución 3496 de 2019.</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</si>
  <si>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</si>
  <si>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</si>
  <si>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</si>
  <si>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</si>
  <si>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Definir los procesos que permitan evaluar la tendencia de los eventos de interés en salud pública asociados a la contaminación del aire e identificar sus factores determinantes</t>
  </si>
  <si>
    <t>1803 - 2 - 3.2.2.2.9.0.0.0.19050242.91122 - 61</t>
  </si>
  <si>
    <t>Consolidar la información de los eventos de interés en salud pública asociada a contaminación atmosférica</t>
  </si>
  <si>
    <t>Mantener  en 11 municipios de competencia departamental la vigilancia en los sistemas de potabilización, mediante la  de la aplicación de buenas practicas sanitarias y reporte de muestras de agua potable.</t>
  </si>
  <si>
    <t>Realizar análisis de la persistencia y aparición de factores de riesgo en las fuentes abastecedoras con el fin de generar la actualización anual de los mapas de riesgo de calidad de agua para consumo humano</t>
  </si>
  <si>
    <t>Formulación e implementación del Plan Departamental en Salud Ambiental de adaptación al cambio climático.</t>
  </si>
  <si>
    <t>Plan Departamental en Salud Ambiental de adaptación al cambio climático implementado</t>
  </si>
  <si>
    <t xml:space="preserve">Definición de situación actual del departamento en salud ambiental por problemáticas por cambio climático </t>
  </si>
  <si>
    <t>1803 - 2 - 3.2.2.2.9.0.0.0.19050155.91122 - 61</t>
  </si>
  <si>
    <t>Generar  espacios  intersectoriales para la implementación del plan de adaptación de cambio Climático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</si>
  <si>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</si>
  <si>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</si>
  <si>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Implementación de la estrategia de entornos saludables en el marco de los entornos de vivienda y comunitario  con el abordaje integral de políticas, normas y el fortalecimiento de los factores protectores por medio de buenas practicas apropiadas por la familia, el individuo y la comunidad para su cuidado.</t>
  </si>
  <si>
    <t>1803 - 2 - 3.2.2.2.9.0.0.0.19050243.91122 - 61</t>
  </si>
  <si>
    <t>Implementación de la estrategia entornos educativos saludables con la aplicación de políticas, normas y procedimientos que permitan el mejoramiento de las condiciones sanitarias, ambientales y sociales.</t>
  </si>
  <si>
    <t xml:space="preserve">Desarrollar acciones de intervención en el entorno comunitario   en la identificación y caracterización de riesgos  ambiental asociados a las sustancias químicas  en el marco de la estrategia COVECOM </t>
  </si>
  <si>
    <t xml:space="preserve">Implementación de la estrategia de movilidad saludable, segura y sostenible </t>
  </si>
  <si>
    <t>Personas atendidas con campañas de gestión del riesgo para abordar situaciones de salud relacionadas con condiciones ambientales</t>
  </si>
  <si>
    <t>Educación y comunicación en la promoción de conocimientos, practicas y hábitos para la circulación y el transito seguro en la vía publica.</t>
  </si>
  <si>
    <t>1803 - 2 - 3.2.2.2.9.0.0.0.19050241.91122 - 61</t>
  </si>
  <si>
    <t xml:space="preserve">Intervención en los entornos de vivienda, educativo y comunitario con caracterización y análisis de actores involucrados, y factores de riesgo asociados a las comunidades en cuanto a  movilidad. </t>
  </si>
  <si>
    <t>202000363-0124</t>
  </si>
  <si>
    <t>Fortalecimiento de acciones propias a los derechos sexuales y reproductivos en el Departamento del Quindío.</t>
  </si>
  <si>
    <t>Disminuir de los eventos de interés en salud pública relacionados con la salud sexual y reproductiva en especial de la mortalidad materna</t>
  </si>
  <si>
    <t xml:space="preserve">Aumentar la eficiencia en la garantía de atención integral a la población en salud sexual y reproductiva
</t>
  </si>
  <si>
    <t>Desarrollar el plan de acción  del Comité Departamental consultivo intersectorial e interinstitucional para el abordaje integral de las violencias de género y violencias sexuales en niños, niñas y adolescentes</t>
  </si>
  <si>
    <t>1803 - 2 - 3.2.2.2.9.0.0.0.19050212.91122 - 61</t>
  </si>
  <si>
    <t xml:space="preserve">Desarrollar el plan de acción  del Comité departamental de sexualidad, derechos sexuales y reproductivos y realizar asistencia técnica en los 12 municipios </t>
  </si>
  <si>
    <t>Realizar acciones encaminadas a la creación, fortalecimiento y seguimiento de los programas servicios de salud  amigables para adolescente y jóvenes</t>
  </si>
  <si>
    <t xml:space="preserve">Capacitar niñas, niños, adolescentes y jóvenes en las instituciones educativas para que cuenten con una educación sexual, basada en el ejercicio de derechos humanos, sexuales y reproductivos, desde un enfoque de género y diferencial. </t>
  </si>
  <si>
    <t>Realizar acciones para el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</si>
  <si>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</si>
  <si>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Realizar acciones encaminadas al fortalecimiento y  seguimiento de los programas servicios de salud  amigables para adolescente y jóvenes en las ESE e IPS</t>
  </si>
  <si>
    <t xml:space="preserve">Realizar acciones para el acompañamiento, capacitación y disminución del riesgo del parto en casa asistido  por parteras </t>
  </si>
  <si>
    <t>Realizar seguimiento a las IPS y centros de atención en la  gestión del riesgo en salud a personas que se inyectan drogas, en la estrategia de acceso universal a la prevención y atención integral en IT-VIH/SIDA</t>
  </si>
  <si>
    <t>Desarrollar el  Plan de acción del subcomité departamental de promoción y prevención de las ITS-VIH/SIDA.</t>
  </si>
  <si>
    <t>Realizar asistencia técnica de los  eventos en salud publica por VIH, transmisión materno infantil VIH y HEPATITIS VIRALES y el acceso universal a la terapia antirretroviral ARV</t>
  </si>
  <si>
    <t>Realizar acciones encaminadas ha aumentar significativamente el porcentaje de uso de condón en la última relación sexual con pareja ocasional en las poblaciones en contextos de mayor vulnerabilidad.</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</si>
  <si>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</si>
  <si>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</si>
  <si>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</si>
  <si>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 xml:space="preserve">Realizar seguimiento y control a la realización del TSH neonatal  por parte de los Aseguradores y Prestadores , a todos los recién nacidos institucionalizados y no institucionalizados en el departamento del Quindío. </t>
  </si>
  <si>
    <t>1803 - 2 - 3.2.2.2.9.0.0.0.19050211.91122 - 61</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</si>
  <si>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</si>
  <si>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</si>
  <si>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IPS del departamento del Quindío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</si>
  <si>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</si>
  <si>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</si>
  <si>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</si>
  <si>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</si>
  <si>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</si>
  <si>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</si>
  <si>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</si>
  <si>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</si>
  <si>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</si>
  <si>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</si>
  <si>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</si>
  <si>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Disminuir los trastornos mentales y del  comportamiento en la población del departamento del Quindío</t>
  </si>
  <si>
    <t xml:space="preserve">Seguimiento a la gestión del riesgo en los casos notificados por el SIVIGILA </t>
  </si>
  <si>
    <t>1803 - 2 - 3.2.2.2.9.0.0.0.1905020.91122 - 61</t>
  </si>
  <si>
    <t>Apoyar el desarrollo de formaciones o capacitaciones a las instituciones que así lo requieran</t>
  </si>
  <si>
    <t>Operativizar el comité departamental de drogas con énfasis en reducción del consumo de sustancias psicoactivas</t>
  </si>
  <si>
    <t>Implementación de Dispositivos Comunitarios en Salud; Zonas de Orientación Escolar en los municipios de Armenia, Calarcá, Circasia, La Tebaida, Montenegro y Quimbaya; Generación de capacidad técnica mediante el entrenamiento en la guía MhGap dirigida a proveedores de servicios de salud de los 12 municipios del Departamento del Quindío vinculados a las IPS de Primer Nivel y compra de insumos necesarios (papelería, servicios de catering y refrigerios).</t>
  </si>
  <si>
    <t>1803 - 2 - 3.2.2.2.9.0.0.0.1905020.91122 - 203</t>
  </si>
  <si>
    <t>Realizar acciones de vigilancia  a las EAPB e IPS frente a los servicios de atención para usuarios consumidores de Sustancias Psicoactivas</t>
  </si>
  <si>
    <t>Establecer lineamientos de planificación en la Atención primaria en Salud Mental (APS) en todos los municipios Quindiano
.</t>
  </si>
  <si>
    <t>Formación y capacitación al personal de las IPS, EPS, Planes locales de Salud y entidades que desarrollan acciones encaminadas a la atención primaria en salud mental con énfasis en MH - GAP.</t>
  </si>
  <si>
    <t>1803 - 2 - 3.2.2.2.9.0.0.0.1905022.91122 - 61</t>
  </si>
  <si>
    <t>Seguimiento a la gestión del riesgo en los casos notificados por el SIVIGILA a las entidades con competencia en la dimensión de convivencia social y salud mental (EAPBS - Planes Locales Salud - Comisarias de Familia - ICBF)</t>
  </si>
  <si>
    <t>Seguimiento a la gestión del riesgo en los casos notificados por el SIVIGILA, REAPS, y linea de atención en salud mental a las entidades con competencia en la dimensión de convivencia social y salud mental (EAPBS - Planes Locales Salud - Comisarias de Familia - ICBF)</t>
  </si>
  <si>
    <t xml:space="preserve">Apoyar el desarrollo de formaciones o capacitaciones a las instituciones que así lo requieran de competencia directa de la dimensión de Convivencia Social y Salud Mental </t>
  </si>
  <si>
    <t>Realizar acciones de vigilancia  a las EAPB e IPS frente a los servicios de atención en salud mental</t>
  </si>
  <si>
    <t>Adaptar e implementar la política pública de salud mental para el Departamento del Quindío</t>
  </si>
  <si>
    <t xml:space="preserve">Política pública en Salud Mental adaptada e Implementada  </t>
  </si>
  <si>
    <t xml:space="preserve">
190501501</t>
  </si>
  <si>
    <t>Articular las políticas públicas de reducción de la oferta y reducción de la demanda de sustancias psicoactivas licitas e ilícitas.</t>
  </si>
  <si>
    <t xml:space="preserve">Asesoría y asistencia Técnica para la formulación e implementación el los doce (12) municipios del Plan Integral de Drogas. (Plan Departamental de la Reducción del Consumo de Sustancias Psicoactivas SPA), en el marco de la política publica de salud mental </t>
  </si>
  <si>
    <t>1803 - 2 - 3.2.2.2.9.0.0.0.19050151.91122 - 61</t>
  </si>
  <si>
    <t xml:space="preserve">Realizar formulación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</si>
  <si>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</si>
  <si>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</si>
  <si>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salud mental y convivencia social con las instituciones del SGSSS</t>
  </si>
  <si>
    <t>Acompañamiento en la implementación de las Rutas de atención integral en sustancias psicoactivas con las instituciones del SGSSS</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</si>
  <si>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</si>
  <si>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</si>
  <si>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</si>
  <si>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</si>
  <si>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</si>
  <si>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Aumentar estilos de vida saludables en la población del departamento del Quindío</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</si>
  <si>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t>
  </si>
  <si>
    <t>1803 - 2 - 3.2.2.2.9.0.0.0.1905023.91122 - 61</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</si>
  <si>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</si>
  <si>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en la implementación de  la estrategia 4x4 en los 11 municipios de competencia departamental y hacer el respectivo seguimiento.</t>
  </si>
  <si>
    <t>Realizar monitoreo y  seguimiento  en  Implementación de  las  rutas  integrales  de  atención en salud a las ESE`s.</t>
  </si>
  <si>
    <t>Realizar asistencia técnica a los Planes Locales de Salud en la gestión intersectorial para la promoción de estilos de vida saludables (alimentación saludable, actividad física, alcohol y cigarrillo) en los diferentes entornos educativo, laboral y comunitario y la implementación de la estrategia "CERS" ciudades entornos ruralistas saludables.</t>
  </si>
  <si>
    <t>Aumentar detección e identificación temprana de enfermedades crónicas</t>
  </si>
  <si>
    <t>Verificar el nivel de cumplimiento  de la ley 1335 de 2009 enfocada en espacios libres de humo</t>
  </si>
  <si>
    <t>1803 - 2 - 3.2.2.2.9.0.0.0.19050313.91122 - 61</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</si>
  <si>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</si>
  <si>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t>
  </si>
  <si>
    <t>Cuartos fríos adecuados</t>
  </si>
  <si>
    <t>202000363-0127</t>
  </si>
  <si>
    <t>Fortalecimiento de acciones de promoción, prevención y protección específica para la población infantil en el Departamento del Quindío.</t>
  </si>
  <si>
    <t>Reducir la exposición a condiciones y factores de riesgo ambientales, sanitarios y biológicos, de las contingencias y daños producidos por las enfermedades transmisibles</t>
  </si>
  <si>
    <t>Implementar una estrategia que permita garantizar el adecuado funcionamiento de la red de frío para el almacenamiento de los biológicos del Programa ampliado de inmunización (PAI).</t>
  </si>
  <si>
    <t>Realizar acciones de apoyo para la suficiencia y disponibilidad, con oportunidad y calidad, de los insumos, biológicos y red de frío en todo el territorio.</t>
  </si>
  <si>
    <t>1803 - 2 - 3.2.2.2.9.0.0.0.1905012.91122 - 61</t>
  </si>
  <si>
    <t>Brindar asistencia técnica que garantice la cadena de frio, el manejo de biológicos y los demás insumos del programa PAI</t>
  </si>
  <si>
    <t>Realizar la consolidación de la información generada por el Programa Ampliado de Inmunizaciones</t>
  </si>
  <si>
    <t>Adquirir distribuir y garantizar el suministro oportuno de los biológicos del Plan Ampliado e Inmunizaciones (PAI).</t>
  </si>
  <si>
    <t>1803 - 2 - 3.2.2.2.9.0.0.0.1905012.91122 - 98</t>
  </si>
  <si>
    <t>SUPERAVIT SGP SALUD PUBLICA</t>
  </si>
  <si>
    <t>Adquirir equipos que permitan garantizar el almacenamiento adecuado de los biológicos del Plan Ampliado e Inmunizaciones (PAI).</t>
  </si>
  <si>
    <t>1803 - 2 - 3.2.2.1.4.0.0.0.1905012.43912 - 98</t>
  </si>
  <si>
    <t>Adquisición de equipos de tecnología y computación para la dotación de cuartos fríos.</t>
  </si>
  <si>
    <t>1803 - 2 - 3.2.2.1.4.0.0.0.1905012.45250 - 98</t>
  </si>
  <si>
    <t>Realizar asistencia técnica y seguimiento a los municipios en la implementación y ejecución del sistema de información nominal del PAI.</t>
  </si>
  <si>
    <t>Servicio de gestión del riesgo para enfermedades emergentes, reemergentes y desatendidas</t>
  </si>
  <si>
    <t>Campañas de gestión del riesgo para enfermedades emergentes, reemergentes y desatendidas implementadas.</t>
  </si>
  <si>
    <t>Incrementar la adherencia a guías y protocolos para la prevención y control de las enfermedades inmunoprevenibles</t>
  </si>
  <si>
    <t>Realizar asistencia técnica, seguimiento, vigilancia y control del Programa IRA - SARS COVID-19, en EAPB</t>
  </si>
  <si>
    <t>1803 - 2 - 3.2.2.2.9.0.0.0.19050262.91122 - 61</t>
  </si>
  <si>
    <t>Realizar asistencia técnica, seguimiento, vigilancia y control del Programa IRA - SARS COVID-19, en planes locales de salud</t>
  </si>
  <si>
    <t>Realizar asistencia técnica, seguimiento, vigilancia y control del Programa IRA - SARS COVID-19, en IPS</t>
  </si>
  <si>
    <t>Realizar asistencia técnica, seguimiento, vigilancia y control del Programa GEOLMINTIASIS, en ESE`s y Planes locales de salud</t>
  </si>
  <si>
    <t>Seguimiento de los Eventos de mortalidad menor de 5 años</t>
  </si>
  <si>
    <t>Participar en los procesos verificación y cumplimiento de las Rutas Integrales de Atenciones – RIA para el curso de vida de primera infancia.</t>
  </si>
  <si>
    <t>Servicio de gestión del riesgo para enfermedades inmunoprevenibles</t>
  </si>
  <si>
    <t>Campañas de gestión del riesgo para enfermedades inmunoprevenibles  implementadas</t>
  </si>
  <si>
    <t>Realizar asistencia técnica, seguimiento, vigilancia y control del Programa Ampliado de Inmunizaciones en EAPB</t>
  </si>
  <si>
    <t>1803 - 2 - 3.2.2.2.9.0.0.0.1905027.91122 - 61</t>
  </si>
  <si>
    <t>Realizar asistencia técnica, seguimiento, vigilancia y control del Programa Ampliado de Inmunizaciones en planes locales de salud</t>
  </si>
  <si>
    <t>Realizar asistencia técnica, seguimiento, vigilancia y control del Programa Ampliado de Inmunizaciones en planes locales de salud en IPS</t>
  </si>
  <si>
    <t>Seguimiento de los Eventos Supuestamente Atribuidos a la Vacunación o Inmunización (ESAVI)</t>
  </si>
  <si>
    <t>Formulación e implementación del plan departamental en salud Ambiental de adaptación al cambio climático.</t>
  </si>
  <si>
    <t xml:space="preserve">
1905015</t>
  </si>
  <si>
    <t xml:space="preserve">
190501500</t>
  </si>
  <si>
    <t>202000363-0128</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</si>
  <si>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</si>
  <si>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</si>
  <si>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Disminuir la propagación e intensificación de la transmisión endemo-epidemicas de las ETV</t>
  </si>
  <si>
    <t xml:space="preserve">Promover a nivel comunitario la tenencia responsable de animales de compañía y la promoción de la vacunación antirrábica. </t>
  </si>
  <si>
    <t>1803 - 2 - 3.2.2.2.9.0.0.0.19050156.91122 - 61</t>
  </si>
  <si>
    <t>61  - 111 - 20</t>
  </si>
  <si>
    <t xml:space="preserve">SGP SALUD PUBLICA - Res. 781/15 Prev. y Control Enfermedades por Vectores - Recurso Ordinario </t>
  </si>
  <si>
    <t>Analizar mensualmente el comportamiento de los eventos de zoonosis y retroalimentar al área de IVC para garantizar la calidad en la atención de los casos reportados.</t>
  </si>
  <si>
    <t>Atender el 100% de los brotes y contingencias por  Zoonosis en los municipios de categoría 4, 5 y 6 del Departamento del Quindío.</t>
  </si>
  <si>
    <t>Realizar asistencia técnica a los equipos a los equipos de los planes locales de salud en los cuatro municipios hiperendémicos para la adopción, adaptación y  desarrollo de la EGI- ZOONOSIS.</t>
  </si>
  <si>
    <t>Seguimiento a los reportes de población de perros y gatos en las áreas urbana y rural en municipios de categoría 4, 5 y 6 del departamento del Quindío.</t>
  </si>
  <si>
    <t>Realizar el monitoreo y evaluación a las acciones de gestión del riesgo, adherencia a guías y protocolos en las EAPB y Empresas Sociales del Estado que conduzcan a mejorar la calidad en la atención integral de pacientes con Zoonosis.</t>
  </si>
  <si>
    <t>Disminuir en la propagación e intensificación de enfermedades transmisibles</t>
  </si>
  <si>
    <t>Realizar el monitoreo y evaluación a las acciones de gestión del riesgo, adherencia a guías y protocolos en las EAPB y Empresas Sociales del Estado</t>
  </si>
  <si>
    <t>1803 - 2 - 3.2.2.2.9.0.0.0.19050261.91122 - 61</t>
  </si>
  <si>
    <t>0318 - 2 - 3.2.2.2.9.0.0.0.19050264.91122 - 20</t>
  </si>
  <si>
    <t>1803 - 2 - 3.2.2.2.9.0.0.0.1905026.91122 - 111</t>
  </si>
  <si>
    <t xml:space="preserve">Res. 781/15 Prev. y Ccontrol Enfermedades por Vect </t>
  </si>
  <si>
    <t>Realizar inspección vigilancia y control de focos de reproducción de vectores en establecimientos de interés sanitarios.</t>
  </si>
  <si>
    <t>Realizar jornadas de movilización y participación  social y comunitaria para generar cambios conductuales frente a  la eliminación de criaderos de vectores Dengue, Chikunguña y Zika en apoyo a la estrategia COMBI en los municipios hiperendémicos.</t>
  </si>
  <si>
    <t>Campañas de adecuación al entorno.</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</si>
  <si>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</si>
  <si>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</si>
  <si>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</si>
  <si>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Coordinar acciones para la gestión intersectorial</t>
  </si>
  <si>
    <t>Brindar asistencia técnica, seguimiento y apoyo al programa de tuberculosis y lepra dirigida a: Planes Locales de Salud, Ips publicas y Privadas, EAPB, laboratorios adscritos a la red publica y privada, diferentes actores del sistema del departamento del Quindío.</t>
  </si>
  <si>
    <t>1803 - 2 - 3.2.2.2.9.0.0.0.1905014.91122 - 61</t>
  </si>
  <si>
    <t>61 - 113 - 114</t>
  </si>
  <si>
    <t>SGP SALUD PUBLICA - Res. 1029/16 Camp y Ccontrol Anti Tuberculosis Quindío - Res.1030/2016 Campaña Control Lepra Quindío</t>
  </si>
  <si>
    <t>Servicio de gestión del riesgo para enfermedades emergentes, reemergentes y desatendidas.</t>
  </si>
  <si>
    <t>Implementar campañas de prevención y atención integral en afectados por tuberculosis</t>
  </si>
  <si>
    <t>Realizar asistencia técnica y capacitaciones al personal asistencial de las IPS en el programa de tuberculosis y lepra en el departamento.</t>
  </si>
  <si>
    <t>1803 - 2 - 3.2.2.2.9.0.0.0.1905026.91122 - 113</t>
  </si>
  <si>
    <t>Res. 1029/16 Camp y Ccontrol Anti Tuberculosis Quindìo</t>
  </si>
  <si>
    <t>1803 - 2 - 3.2.2.2.9.0.0.0.1905026.91122 - 114</t>
  </si>
  <si>
    <t>Res.1030/2016 Campaña Control Lepra Quindìo</t>
  </si>
  <si>
    <t>Realizar los "CERCET" Comité Evaluador  Regional de Casos Especiales de Tuberculosis.</t>
  </si>
  <si>
    <t>Acompañar la vigilancia de cumplimiento a guías, lineamientos y protocolos  en tuberculosis y lepra</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</si>
  <si>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</si>
  <si>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</si>
  <si>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</si>
  <si>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Realizar análisis y estudio de casos de mortalidad por tuberculosis</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</si>
  <si>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</si>
  <si>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202000363-0130</t>
  </si>
  <si>
    <t xml:space="preserve">Implementación de acciones para la contención de la pandemia Tú y Yo contra COVID </t>
  </si>
  <si>
    <t>Eficiente gestión integral del riesgo en eventos de interés en salud pública, ante la pandemia por COVID-19.</t>
  </si>
  <si>
    <t>Disponer de una gran oferta de capacidad técnica y humana, que provea de habilidades resolutivas en cuidados intermedios, altos e intensivos, de la red hospitalaria publica departamental.</t>
  </si>
  <si>
    <t>Fortalecimiento tecnológico del Centro Administrativo Departamental para mejorar los procesos de Vigilancia en salud publica.</t>
  </si>
  <si>
    <t>0318 - 2 - 3.2.2.2.9.0.0.0.19050263.91122 - 20</t>
  </si>
  <si>
    <t>20 - 88</t>
  </si>
  <si>
    <t>RECURSO ORDINARIO -SUPERAVIT RECURSO ORDINARIO</t>
  </si>
  <si>
    <t>Fortalecimiento del talento Humano para la verificación del cumplimiento de lineamientos expedidos para la emergencia</t>
  </si>
  <si>
    <t>Fortalecimiento de apoyo logístico, tecnológico, adquisición de equipos y mantenimiento para el afianzamiento de los procesos de Vigilancia, PRASS y vacunación.</t>
  </si>
  <si>
    <t>0318 - 2 - 3.2.2.2.9.0.0.0.19050263.91122 - 88</t>
  </si>
  <si>
    <t>Servicios de atención en salud pública en situaciones de emergencias y desastres</t>
  </si>
  <si>
    <t>Personas en capacidad de ser atendidas</t>
  </si>
  <si>
    <t>202000363-0131</t>
  </si>
  <si>
    <t xml:space="preserve"> Prevención, preparación, contingencia, mitigación y superación de emergencias y contingencias por eventos relacionados con la salud pública en el Departamento del Quindío.</t>
  </si>
  <si>
    <t>Coordinar acciones  para la gestión integral  del riesgo en  situaciones de emergencias y desastres  en las IPS y autoridad sanitaria del departamento</t>
  </si>
  <si>
    <t>Incrementar la Seguridad y capacidad de respuesta hospitalaria en momentos de emergencias y desastres</t>
  </si>
  <si>
    <t xml:space="preserve">Realizar verificación de la aplicación de protocolos y planes de emergencia hospitalaria a las eses publicas </t>
  </si>
  <si>
    <t>1803 - 2 - 3.2.2.2.9.0.0.0.1905030.91122 - 61</t>
  </si>
  <si>
    <t xml:space="preserve">Realizar seguimiento a factores de riesgo en las fuentes abastecedoras como tanques de abastecimiento de agua y manejo de residuos solidos en eventos de emergencias y desastres </t>
  </si>
  <si>
    <t>Servicio de gestión del riesgo para abordar situaciones prevalentes de origen laboral</t>
  </si>
  <si>
    <t>Campañas de gestión del riesgo para abordar situaciones prevalentes de origen laboral implementadas</t>
  </si>
  <si>
    <t>202000363-0132</t>
  </si>
  <si>
    <t xml:space="preserve">Prevención vigilancia y control de eventos en el ámbito laboral en el Departamento del Quindío.  </t>
  </si>
  <si>
    <t xml:space="preserve">Disminuir los eventos de origen laboral en los trabajadores del sector formal del Departamento del Quindío </t>
  </si>
  <si>
    <t>Incrementar la presencia de los entes de control para verificar el cumplimiento de las normas relacionadas con la seguridad y Salud en el Trabajo.</t>
  </si>
  <si>
    <t>Capacitar en prevención de riesgos laborales a las empresas del Sector económico con más alto índice de accidentalidad.</t>
  </si>
  <si>
    <t>1803 - 2 - 3.2.2.2.9.0.0.0.1905025.91122 - 61</t>
  </si>
  <si>
    <t xml:space="preserve">Realizar la Identificación, caracterización y capacitación de las mujeres trabajadoras y población informal del sector agrícola de los municipios  de Calarcá, Montenegro, Quimbaya, La Tebaida, Circasia, Salento y Filandia. </t>
  </si>
  <si>
    <t>Realizar asistencia técnica  a ESE`s, para verificar el cumplimiento del Sistema de Gestión de la Seguridad y Salud en el Trabajo.</t>
  </si>
  <si>
    <t xml:space="preserve">Expedir las licencias y asistencias técnicas en Seguridad y Salud en el Trabajo. </t>
  </si>
  <si>
    <t>Realizar jornada de sensibilización a los Empleadores  del  sector  Comercio y/o Turismo para fomentar la afiliación al SGRL a sus empleados conforme a ley 1562 del 2012 y decreto  1072 de 2015, en los municipio de 4ta, 5ta y 6ta categoría, del departamento del Quindío.</t>
  </si>
  <si>
    <t>Realizar asistencia técnica  a los prestadores de primer nivel, para verificar el cumplimiento del Sistema de Gestión de la Seguridad y Salud en el Trabajo.</t>
  </si>
  <si>
    <t xml:space="preserve">Documentos de planeación en epidemiología y demografía elaborados </t>
  </si>
  <si>
    <t>202000363-0133</t>
  </si>
  <si>
    <t xml:space="preserve"> Fortalecimiento del sistema de vigilancia en salud pública en el Departamento del Quindío</t>
  </si>
  <si>
    <t xml:space="preserve">Aumentar los índices de cumplimiento en los indicadores de calidad, cobertura y  oportunidad del sistema de vigilancia en salud pública departamental </t>
  </si>
  <si>
    <t>Incrementar el conocimiento de la operación del Sistema de Vigilancia en Salud Pública por parte del personal de la red notificadora y municipios del Departamento del Quindío</t>
  </si>
  <si>
    <t>Actualización del Análisis de Situación de Salud "ASIS"  del Departamento del Quindío.</t>
  </si>
  <si>
    <t>1803 - 2 - 3.2.2.2.9.0.0.0.19050152.91122 - 61</t>
  </si>
  <si>
    <t>Generación de informes epidemiológicos según lineamientos de Prevención, Vigilancia y Control del Nivel Nacional</t>
  </si>
  <si>
    <t>Apoyo en los procesos relacionados con las Estadísticas Vitales , seguimiento y monitoreo del cumplimiento de los indicadores de cobertura, proceso y calidad.</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</si>
  <si>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</si>
  <si>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</si>
  <si>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</si>
  <si>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</si>
  <si>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</si>
  <si>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</si>
  <si>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Investigación epidemiológica de casos y búsqueda de contactos</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</si>
  <si>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</si>
  <si>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</si>
  <si>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</si>
  <si>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</si>
  <si>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</si>
  <si>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</si>
  <si>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</si>
  <si>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</si>
  <si>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</si>
  <si>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Aumentar la capacidad de respuesta ante una emergencia en salud del departamento del Quindío</t>
  </si>
  <si>
    <t>Regular y coordinar la prestación de servicios de urgencias y emergencias en salud en el departamento.</t>
  </si>
  <si>
    <t>0318 - 2 - 3.2.2.2.9.0.0.0.1905009.91122 - 20</t>
  </si>
  <si>
    <t xml:space="preserve">20 - 88 </t>
  </si>
  <si>
    <t>0318 - 2 - 3.2.2.2.9.0.0.0.1905009.91122 - 88</t>
  </si>
  <si>
    <t>Realizar asistencia técnica a los prestadores de servicios de salud.</t>
  </si>
  <si>
    <t>Adquisición y 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</si>
  <si>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</si>
  <si>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</si>
  <si>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Reporte de información en tiempo real sobre la capacidad resolutiva del servicio en salud.</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</si>
  <si>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</si>
  <si>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</si>
  <si>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</si>
  <si>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Aumentar la cobertura de las acciones de intervenciones colectivas</t>
  </si>
  <si>
    <t>Realizar intervenciones de manera integrada e integral en los diferentes entornos definidos en la norma</t>
  </si>
  <si>
    <t>1803 - 2 - 3.2.2.2.9.0.0.0.19050314.91122 - 61</t>
  </si>
  <si>
    <t xml:space="preserve">61 - 98 </t>
  </si>
  <si>
    <t>SGP SALUD PUBLICA - SUPERAVIT SGP SALUD PUBLICA</t>
  </si>
  <si>
    <t>1803 - 2 - 3.2.2.2.9.0.0.0.19050314.91122 - 98</t>
  </si>
  <si>
    <t>Superávit SGP salud pública</t>
  </si>
  <si>
    <t>Realizar auditoria al desarrollo de las intervenciones colectivas y establecer acciones de mejoramiento</t>
  </si>
  <si>
    <t>Realizar intervenciones de vacunación antirrábica</t>
  </si>
  <si>
    <t>Realizar la caracterización de caninos y felinos</t>
  </si>
  <si>
    <t>Ejecutar intervenciones de Prevención y Control de las Enfermedades trasmisibles (geohelmitiasis)</t>
  </si>
  <si>
    <t>Ejecutar las acciones de la estrategia COMBI en municipios hiperendémicos para enfermedades vectoriales</t>
  </si>
  <si>
    <t xml:space="preserve">Realizar acciones, intervenciones y procedimientos colectivos </t>
  </si>
  <si>
    <t xml:space="preserve">Realizar acciones, intervenciones y procedimientos colectivos en fomento de la actividad física y la dieta sana </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</si>
  <si>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</si>
  <si>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</si>
  <si>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</si>
  <si>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</si>
  <si>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</si>
  <si>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Aumentar índices en los procesos de afiliación de la población en el Departamento</t>
  </si>
  <si>
    <t>Realizar acciones de promoción en las afiliaciones de la población en el sistema general de seguridad social en salud</t>
  </si>
  <si>
    <t>ADRES SIN SITUACION DE FONDOS</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</si>
  <si>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</si>
  <si>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</si>
  <si>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</si>
  <si>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</si>
  <si>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Gestión de recursos para cofinanciación de la afiliación a los municipios y lugares de afiliación. </t>
  </si>
  <si>
    <t>1801 - 2 - 3.3.1.2.0.0.0.0.19060232.91122.13 - 154</t>
  </si>
  <si>
    <t>Adres sin situación de fondos</t>
  </si>
  <si>
    <t>1801 - 2 - 3.3.1.2.0.0.0.0.19060232.91122.96 - 154</t>
  </si>
  <si>
    <t>1801 - 2 - 3.3.1.2.0.0.0.0.19060232.91122.167 - 154</t>
  </si>
  <si>
    <t>1801 - 2 - 3.3.1.2.0.0.0.0.19060232.91122.226 - 154</t>
  </si>
  <si>
    <t>1801 - 2 - 3.3.1.2.0.0.0.0.19060232.91122.233 - 154</t>
  </si>
  <si>
    <t>1801 - 2 - 3.3.1.2.0.0.0.0.19060232.91122.244 - 154</t>
  </si>
  <si>
    <t>1801 - 2 - 3.3.1.2.0.0.0.0.19060232.91122.284 - 154</t>
  </si>
  <si>
    <t>1801 - 2 - 3.3.1.2.0.0.0.0.19060232.91122.303 - 154</t>
  </si>
  <si>
    <t>1801 - 2 - 3.3.1.2.0.0.0.0.19060232.91122.372 - 154</t>
  </si>
  <si>
    <t>1801 - 2 - 3.3.1.2.0.0.0.0.19060232.91122.412 - 154</t>
  </si>
  <si>
    <t>1801 - 2 - 3.3.1.2.0.0.0.0.19060232.91122.470 - 154</t>
  </si>
  <si>
    <t>1801 - 2 - 3.3.1.2.0.0.0.0.19060232.91122.882 - 154</t>
  </si>
  <si>
    <t>Realizar auditorias a los procesos de régimen subsidiado en los 12 municipios, de acuerdo a lo establecido en la Circular 006 de 2011.</t>
  </si>
  <si>
    <t>Servicio de apoyo con tecnologías para prestación de servicios en salud</t>
  </si>
  <si>
    <t>Población inimputable atendida</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</si>
  <si>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</si>
  <si>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</si>
  <si>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</si>
  <si>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Incrementar el financiamiento en el sector salud del Departamento del Quindío.</t>
  </si>
  <si>
    <t>Realizar acciones para garantizar la prestación de los servicios de salud a la población Inimputable y PPNA</t>
  </si>
  <si>
    <t>1802 - 2 - 3.2.2.2.9.0.0.0.19060231.91122 - 110</t>
  </si>
  <si>
    <t>Res.  971/2016 Programa Inimputables</t>
  </si>
  <si>
    <t>35 - 58 - 110 - 155 - 171</t>
  </si>
  <si>
    <t>RECURSOS DESTINADOS DEL MONOPOLIO - RENTAS CEDIDAS SALUD - RES. 971/2016/2016 PROGRAMA INIMPUTABLES - IVA CEDIDO SOBRE LICORES ART. 32 LEY 1816 - SUBSIDIO A LA OFERTA</t>
  </si>
  <si>
    <t>0318 - 2 - 3.2.2.2.9.0.0.0.1906023.91122 - 20</t>
  </si>
  <si>
    <t>1804 - 2 - 3.2.2.2.9.0.0.0.19060231.91122 - 155</t>
  </si>
  <si>
    <t>IVA Cedido sobre Licores Art. 32 Ley 1816</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</si>
  <si>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</si>
  <si>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</si>
  <si>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</si>
  <si>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</si>
  <si>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Realizar el seguimiento, supervisión y los actos administrativos para la transferencia de los recursos mediante el cumplimiento de metas</t>
  </si>
  <si>
    <t>0318 - 2 - 3.3.5.9.45.0.0.0.19060252.71344 - 35</t>
  </si>
  <si>
    <t>Recursos destinados del Monopolio</t>
  </si>
  <si>
    <t>1802 - 2 - 3.3.5.9.45.0.0.0.019060252.91122 - 171</t>
  </si>
  <si>
    <t>Subsidio a la oferta</t>
  </si>
  <si>
    <t>Servicios de reconocimientos de deuda</t>
  </si>
  <si>
    <t>Porcentaje de recursos pagados</t>
  </si>
  <si>
    <t>Realizar los pagos de los servicios y tecnologías NO UPC del Régimen Subsidiado.</t>
  </si>
  <si>
    <t>1802 - 2 - 3.3.5.9.45.0.0.0.19060252.71344 - 58</t>
  </si>
  <si>
    <t>Rentas Cedidas Salud</t>
  </si>
  <si>
    <t>1802 - 2 - 3.3.5.9.45.0.0.0.19060251.71344 - 58</t>
  </si>
  <si>
    <t>0318 - 2 - 3.3.5.9.45.0.0.0.19060251.91122 - 91</t>
  </si>
  <si>
    <t>SUPERÁVIT MONOPOLIO DESTINADO</t>
  </si>
  <si>
    <t>1801 - 2 - 3.3.5.9.45.0.0.0.19060251.91122 - 191</t>
  </si>
  <si>
    <t>SUPERÁVIT RENTAS CEDIDAS SUBCUENTA RÉGIMEN SUBSIDIADO</t>
  </si>
  <si>
    <t>1802 - 2 - 3.3.5.9.45.0.0.0.19060251.91122 - 97</t>
  </si>
  <si>
    <t>SUPERÁVIT SGP SALUD PRESTACION DE SERVICIOS</t>
  </si>
  <si>
    <t>1802 - 2 - 3.3.5.9.45.0.0.0.19060251.91122 - 192</t>
  </si>
  <si>
    <t xml:space="preserve">SUPERÁVIT SGP SUBSIDIO DE LA OFERTA </t>
  </si>
  <si>
    <t>1802 - 2 - 3.3.5.9.45.0.0.0.19060251.91122 - 193</t>
  </si>
  <si>
    <t>SUPERÁVIT RENTAS CEDIDAS PRESTACIÓN DE SERVICIOS</t>
  </si>
  <si>
    <t>1802 - 2 - 3.3.5.9.45.0.0.0.19060251.91122 - 194</t>
  </si>
  <si>
    <t>SUPERÁVIT EXCEDENTES APORTES PATRONALES E.S.E DEL DPTO.</t>
  </si>
  <si>
    <t>1804 - 2 - 3.3.5.9.45.0.0.0.19060251.91122 - 96</t>
  </si>
  <si>
    <t>SUPERAVIT RENTAS CEDIDAS SALUD</t>
  </si>
  <si>
    <t>1802 - 2 - 3.3.5.9.45.0.0.0.19060251.91122 - 96</t>
  </si>
  <si>
    <t>1802 - 2 - 3.3.5.9.45.0.0.0.19060251.71344 - 96</t>
  </si>
  <si>
    <t>0318 - 2 - 3.3.5.9.45.0.0.0.19060251.71344 - 88</t>
  </si>
  <si>
    <t>SUPERAVIT RECURSO ORDINARIO</t>
  </si>
  <si>
    <t>0318 - 2 - 3.3.5.9.45.0.0.0.19060251.91122 - 35</t>
  </si>
  <si>
    <t>MONOPOLIO</t>
  </si>
  <si>
    <t>1802 - 2 - 3.3.5.9.45.0.0.0.19060251.91122 - 174</t>
  </si>
  <si>
    <t>PUNTO FINAL</t>
  </si>
  <si>
    <t>0318 - 2 - 3.3.5.9.45.0.0.0.19060251.91122 - 88</t>
  </si>
  <si>
    <t>Servicio de asistencia técnica a Instituciones prestadoras de servicios de salud</t>
  </si>
  <si>
    <t>Instituciones Prestadoras de Servicios de salud asistidas técnicamente</t>
  </si>
  <si>
    <t>202000363-0138</t>
  </si>
  <si>
    <t>FortalecimientoN301+R270:R302+R256:R302+N301+R270:R302+N301+R270:R302+N301+R270:R302+R244:R302+N301+R270+R13:R302</t>
  </si>
  <si>
    <t>Aumento en la calidad del proceso de reporte, vigilancia y control del manejo de los recursos de salud en el Departamento del Quindío</t>
  </si>
  <si>
    <t>Incrementar los procesos de asistencia Técnica en instituciones prestadoras de salud del departamento.</t>
  </si>
  <si>
    <t>Seguimiento y apoyo al proceso financiero de las IPS publicas</t>
  </si>
  <si>
    <t>0318 - 2 - 3.2.2.2.9.0.0.0.1906029.91122 - 20</t>
  </si>
  <si>
    <t>RECURSOS ORDINARIO</t>
  </si>
  <si>
    <t>Realizar gestión de cartera de acuerdo con lo estipulado en la circular conjunta 030 del 2013</t>
  </si>
  <si>
    <t xml:space="preserve">Dar apoyo a las ESE del departamento para garantizar la continuidad en la prestación de servicios de salud </t>
  </si>
  <si>
    <t>Seguimiento a los programas de saneamiento fiscal y financiero.</t>
  </si>
  <si>
    <t>Seguimiento al proceso de saneamiento de aportes patronales</t>
  </si>
  <si>
    <t xml:space="preserve">Transferencia de recursos a las empresas sociales del estado del departamento </t>
  </si>
  <si>
    <t>1804 - 2 - 3.2.2.2.9.0.0.0.1906029.91122 - 198</t>
  </si>
  <si>
    <t>Superavit fondo de salvamento y grant para la salud fonsaet</t>
  </si>
  <si>
    <t>0318 - 2 - 3.2.2.2.9.0.0.0.1906029.91122 - 88</t>
  </si>
  <si>
    <t>Superàvit Recurso Ordinario</t>
  </si>
  <si>
    <t>1804 - 2 - 3.2.2.2.9.0.0.0.1906029.91122 - 180</t>
  </si>
  <si>
    <t>ministerio de salud res. 1616 de 2020 discapacidad</t>
  </si>
  <si>
    <t>Apoyo al seguimiento de afiliaciones al régimen contributivo del Sistema General de Seguridad Social de las personas con capacidad de pago</t>
  </si>
  <si>
    <t>0318 - 2 - 3.2.2.2.9.0.0.0.1906032.91122 - 20</t>
  </si>
  <si>
    <t>Hospitales de primer nivel de atención dotados</t>
  </si>
  <si>
    <t>Aumentar la eficiencia en recursos para la prestación de servicios de salud en el departamento</t>
  </si>
  <si>
    <t>Dotación a los Hospitales de primer nivel de atención dotados</t>
  </si>
  <si>
    <t>0318 - 2 - 3.2.1.1.3.6.1.0.1906005.48150 - 20</t>
  </si>
  <si>
    <t>Servicio de apoyo a la prestación del servicio de transporte de pacientes</t>
  </si>
  <si>
    <t>Entidades de la red pública en salud apoyadas en la adquisición de ambulancias</t>
  </si>
  <si>
    <t>Dotación ambulancias para la prestación del servicio de transporte de pacientes</t>
  </si>
  <si>
    <t>0318 - 2 - 3.2.1.1.3.7.1.0.1906022.49113 - 20</t>
  </si>
  <si>
    <t>Pacientes atendidos</t>
  </si>
  <si>
    <t>Pacientes atendidos con medicamentos en salud financiados con cargo a los recursos de la UPC del Régimen Subsidiado</t>
  </si>
  <si>
    <t>Dotación en servicio de apoyo con tecnologías para prestación de servicios en salud</t>
  </si>
  <si>
    <t>0318 - 2 - 3.2.2.2.9.0.0.0.19060231.91122 - 20</t>
  </si>
  <si>
    <t>0314 - 2 - 3.1.1.1.1.8.1.0.2201071.91121 - 20</t>
  </si>
  <si>
    <t>Asistencia técnica a pacientes en calamidad pública</t>
  </si>
  <si>
    <t>SEGUIMIENTO PLAN DE ACCIÓN 
INDEPORTES
A DICIEMBRE 31 DE 2021</t>
  </si>
  <si>
    <t>VALOR ACTIVIDAD
(EN PESOS )</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</si>
  <si>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</si>
  <si>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</si>
  <si>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</si>
  <si>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</si>
  <si>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Desarrollar estrategias para acceso de niños, niñas, adolescentes y jóvenes a procesos de formación deportiva y espacios recreativos en el Departamento del Quindío</t>
  </si>
  <si>
    <t>Transferencia ley 1289  para el Apoyo al deporte escolar en los municipios del Departamento del Quindío</t>
  </si>
  <si>
    <t>2.3.2.02.02.009.4301007_5</t>
  </si>
  <si>
    <t>30 % CIGARRILLO</t>
  </si>
  <si>
    <t xml:space="preserve">ROSEMBERG RIVERA RUIZ </t>
  </si>
  <si>
    <t>ROSEMBERG RIVERA RUIZ</t>
  </si>
  <si>
    <t>2.3.2.02.02.009.4301007_25</t>
  </si>
  <si>
    <t>CIGARRILLOS 30% R.B 2020</t>
  </si>
  <si>
    <t>Brindar apoyo y/o seguimiento  a los procesos de formación promoviendo y fortaleciendo hacia el deporte competitivo "escuelas deportivas" como herramienta de convivencia y paz en el departamento</t>
  </si>
  <si>
    <t>2.3.2.02.02.009.4301007_7</t>
  </si>
  <si>
    <t>MINISTERIO</t>
  </si>
  <si>
    <t>2.3.2.02.02.009.4301007_28</t>
  </si>
  <si>
    <t xml:space="preserve">TASA PRODEPORTE </t>
  </si>
  <si>
    <t>2.3.2.02.02.009.4301007_12</t>
  </si>
  <si>
    <t>Dotación y/o implementación  al programa escuelas deportivas,  Generando una cultura deportiva en la comunidad mediante procesos formativos dirigidos a niños, niñas, adolescentes y jóvenes.</t>
  </si>
  <si>
    <t>2.3.2.01.01.004.01.03.4301007_12</t>
  </si>
  <si>
    <t>Servicio de promoción de la actividad física, la recreación y el deporte</t>
  </si>
  <si>
    <t>Municipios vinculados al programa Supérate-Intercolegiados</t>
  </si>
  <si>
    <t>Promover a los  niños, niñas, adolescentes y jóvenes para realizar actividades físicas y deportivas</t>
  </si>
  <si>
    <t>Brindar apoyo y Acompañamiento al fomento y promoción del programa supérate -Intercolegiados en sus diferentes fases departamental y nacional.</t>
  </si>
  <si>
    <t>2.3.2.02.02.009.4301037_12</t>
  </si>
  <si>
    <t>2.3.2.02.02.009.4301037_7</t>
  </si>
  <si>
    <t>2.3.2.02.02.009.4301037_24</t>
  </si>
  <si>
    <t>CIGARRILLOS 70% R.B 2020</t>
  </si>
  <si>
    <t>Adquisición de bienes y servicios  al programa supérate -Intercolegiados  con el fin generar espacios para el aprovechamiento adecuado del tiempo libre</t>
  </si>
  <si>
    <t>2.3.2.02.01.003.4301037_12</t>
  </si>
  <si>
    <t>Dotación y/o implantación deportiva para promoción al programa supérate -Intercolegiados.</t>
  </si>
  <si>
    <t>2.3.2.02.01.003.4301037_21</t>
  </si>
  <si>
    <t>RB IPOCONSUMO</t>
  </si>
  <si>
    <t>2.3.2.02.01.003.4301037_22</t>
  </si>
  <si>
    <t>MONOPOLIO RB DPTO</t>
  </si>
  <si>
    <t>Municipios implementando  programas de recreación, actividad física y deporte social comunitario</t>
  </si>
  <si>
    <t>Crear nuevos programas de actividad física y hábitos saludables de vida</t>
  </si>
  <si>
    <t>Brindar apoyo y/o seguimiento a los programas de recreación, actividad física y deporte social comunitario</t>
  </si>
  <si>
    <t>2.3.2.02.02.009.4301037_4</t>
  </si>
  <si>
    <t>ICLD</t>
  </si>
  <si>
    <t>2.3.2.02.02.009.4301037_28</t>
  </si>
  <si>
    <t>TASA PRODEPORTE</t>
  </si>
  <si>
    <t>2.3.2.02.02.009.4301037_21</t>
  </si>
  <si>
    <t>IPOCONSUMO R.B 2020</t>
  </si>
  <si>
    <t>2.3.2.02.02.009.4301037_3</t>
  </si>
  <si>
    <t>IPOCONSUMO</t>
  </si>
  <si>
    <t xml:space="preserve">Dotación y/o implementación para el Fomento a la recreación, la actividad física y el deporte. </t>
  </si>
  <si>
    <t>2.3.2.02.01.003.4301037_9</t>
  </si>
  <si>
    <t>RENDIMIENTOS FINANCIEROS</t>
  </si>
  <si>
    <t>2.3.2.02.01.003.4301037_3</t>
  </si>
  <si>
    <t>Adquisición de bienes y servicios  a los programas de recreación, actividad física y deporte social comunitario</t>
  </si>
  <si>
    <t>2.3.2.01.01.004.01.03.4301037_12</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</si>
  <si>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</si>
  <si>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</si>
  <si>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</si>
  <si>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</si>
  <si>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Crear nuevos instrumentos de planificación para la formulación de la política publica</t>
  </si>
  <si>
    <t>Formulación, implementación y seguimiento a la política pública para el desarrollo y acceso al deporte, la recreación, la actividad física, la educación física y el uso adecuado del tiempo libre</t>
  </si>
  <si>
    <t>2.3.2.02.02.009.4301006_3</t>
  </si>
  <si>
    <t>2.3.2.02.02.009.4301006_12</t>
  </si>
  <si>
    <t>Servicios Logísticos, alimentos (Almuerzos y refrigerios) y/o suministro de papelería</t>
  </si>
  <si>
    <t>2.3.2.02.01.003.4301006_3</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</si>
  <si>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</si>
  <si>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</si>
  <si>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</si>
  <si>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 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</si>
  <si>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</si>
  <si>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Mejorar el rendimiento deportivo  y competitivo en los  deportistas de alto nivel competitivo y con proyección a altos logros</t>
  </si>
  <si>
    <t>Apoyo a los deportistas con proyección a altos logros</t>
  </si>
  <si>
    <t>2.3.2.02.02.009.4302075_4</t>
  </si>
  <si>
    <t>DAVID ROJAS</t>
  </si>
  <si>
    <t>2.3.2.02.02.009.4302075_28</t>
  </si>
  <si>
    <t>2.3.2.02.02.009.4302075_22</t>
  </si>
  <si>
    <t>MONOPOLIO R.B 2020</t>
  </si>
  <si>
    <t>2.3.2.02.02.009.4302075_21</t>
  </si>
  <si>
    <t>2.3.2.02.02.009.4302075_3</t>
  </si>
  <si>
    <t>Brindar asistencia  técnica, administrativa, jurídica, biomédica,   y/o metodológica a los procesos deportivos y/o  ligas  del departamento del Quindío.</t>
  </si>
  <si>
    <t>2.3.2.02.02.009.4302075_24</t>
  </si>
  <si>
    <t>2.3.2.02.02.009.4302075_26</t>
  </si>
  <si>
    <t>2.3.2.02.02.009.4302075_12</t>
  </si>
  <si>
    <t>Dotación y/o implementación deportiva para el desarrollo del deporte  con proyección a altos logros.</t>
  </si>
  <si>
    <t>2.3.2.01.01.004.01.03.4302075_4</t>
  </si>
  <si>
    <t>2,3,2,02,01,003,4302075_26</t>
  </si>
  <si>
    <t>2.3.2.02.01.003.4302075_28</t>
  </si>
  <si>
    <t>2.3.2.01.01.004.01.03.4302075_23</t>
  </si>
  <si>
    <t xml:space="preserve"> 1% ICLD R.B 2020</t>
  </si>
  <si>
    <t>2.3.2.02.01.003.4302075_12</t>
  </si>
  <si>
    <t>Aunar esfuerzos administrativos, técnicos, financieros y/o logísticos, para el fomento y la masificación del deporte en el departamento del Quindío</t>
  </si>
  <si>
    <t>2.3.2.02.01.003.4302075_3</t>
  </si>
  <si>
    <t xml:space="preserve">Campañas de publicidad y promoción para el posicionamiento del deporte competitivo y de altos logros </t>
  </si>
  <si>
    <t>2.3.2.02.02.009.4302075_23</t>
  </si>
  <si>
    <t>Adquisición de bienes y/o servicios para el fortalecimiento del deporte competitivo y de altos logros</t>
  </si>
  <si>
    <t>2.3.2.02.02.007.4302075_24</t>
  </si>
  <si>
    <t>CIGARILLOS 70% R.B 2020</t>
  </si>
  <si>
    <t>2.3.2.02.02.007.4302075_23</t>
  </si>
  <si>
    <t>2.3.2.02.02.007.4302075_26</t>
  </si>
  <si>
    <t>Servicio de organización de eventos deportivos de alto rendimiento</t>
  </si>
  <si>
    <t>Juegos Deportivos Realizados</t>
  </si>
  <si>
    <t>Eventos deportivos de alto rendimiento con sede en Colombia realizados</t>
  </si>
  <si>
    <t xml:space="preserve">Desarrollo de los  XXII JUEGOS DEPORTIVOS NACIONALES Y VI JUEGOS PARANACIONALES   2023 en el Departamento </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</si>
  <si>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</si>
  <si>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Aumentar la asignación de recursos para el deporte formativo y competitivo</t>
  </si>
  <si>
    <t xml:space="preserve">Seguimiento y evaluación a los   procesos deportivos con proyección a altos logros y el estado de la infraestructura deportiva y/o recreativa con miras al desarrollo de los  XXII juegos deportivos nacionales y VI juegos Paranacionales   2023 </t>
  </si>
  <si>
    <t>2.3.2.02.02.009.4302004_4</t>
  </si>
  <si>
    <t>Lanzamiento de los  XXII JUEGOS DEPORTIVOS NACIONALES Y VI JUEGOS PARANACIONALES   2023</t>
  </si>
  <si>
    <t>2.3.2.02.02.009.4302004_23</t>
  </si>
  <si>
    <t>SEGUIMIENTO PLAN DE ACCIÓN 
PROYECTA EMPRESA PARA EL DESARROLLO TERRITORIAL
A DICIEMBRE 31 DE 2021</t>
  </si>
  <si>
    <t>1 de 1</t>
  </si>
  <si>
    <t>Fomento a la recreación la actividad física y el deporte para desarrollar entornos de convivencia y paz "Tú y yo en la recreación y en deporte"</t>
  </si>
  <si>
    <t xml:space="preserve">Infraestructura  deportiva y/o recreativa con procesos   constructivos   y/o mejorados y/o ampliados y/o mantenidos y/o  reforzados </t>
  </si>
  <si>
    <t xml:space="preserve">Infraestructura   deportiva y/o recreativa construida y/o mejorada y/o ampliada y/o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</si>
  <si>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</si>
  <si>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</si>
  <si>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</si>
  <si>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Realizar programas de recreación actividad física y deporte social y comunitario en el Departamento del Quindío.</t>
  </si>
  <si>
    <t>Mejoramiento y/o construcción y/o adecuación de escenarios deportivos en el departamento del Quindío.</t>
  </si>
  <si>
    <t>2.3.2.02.02.005.4301004.54</t>
  </si>
  <si>
    <t>Jorge Ivan Duque Jimenez</t>
  </si>
  <si>
    <t xml:space="preserve"> Pablo César Herrera Correa </t>
  </si>
  <si>
    <t>Realizar Infraestructuras  deportivas y/o recreativas.</t>
  </si>
  <si>
    <t>Apoyo para el fortalecimiento del componente y asistencia técnica a nivel departamental.</t>
  </si>
  <si>
    <t>2.3.2.02.02.008.4301004.83</t>
  </si>
  <si>
    <t>Calidad cobertura y fortalecimiento de la educación inicial prescolar básica y media." Tú y yo con educación y de calidad"</t>
  </si>
  <si>
    <t>Infraestructura de Instituciones Educativas con procesos constructivos mejorados ampliados mantenidos y/o reforzados.</t>
  </si>
  <si>
    <t>Infraestructura de Instituciones Educativas construida mejorada ampliada mantenida y/o reforzada.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</si>
  <si>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</si>
  <si>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</si>
  <si>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</si>
  <si>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Construir infraestructura educativa en el departamento del Quindío en pro de mejorar las condiciones de la población</t>
  </si>
  <si>
    <t xml:space="preserve">Mejoramiento y/o rehabilitación y/o construcción de obras de infraestructura educativa en el departamento del Quindío. </t>
  </si>
  <si>
    <t>2.3.2.02.02.005.2201062.54</t>
  </si>
  <si>
    <t>Mejorar y/o reforzar y/o realizar mantenimiento a la infraestructura educativa existente en los municipios del departamento del Quindío.</t>
  </si>
  <si>
    <t xml:space="preserve">Apoyo para el fortalecimiento de componente y asistencia técnica a nivel departamental </t>
  </si>
  <si>
    <t>2.3.2.02.02.008.2201062.83</t>
  </si>
  <si>
    <t xml:space="preserve">TERRITORIO AMBIENTE Y DESARROLLO SOSTENIBLE </t>
  </si>
  <si>
    <t>Infraestructura   vial  con procesos  de construcción mejoramiento ampliación mantenimiento y/o  reforzamiento.</t>
  </si>
  <si>
    <t xml:space="preserve">Infraestructura  vial    construida mejorada ampliada  mantenida y/o  reforzada </t>
  </si>
  <si>
    <t>202000363-0144</t>
  </si>
  <si>
    <t xml:space="preserve">  Mantenimiento de obras complementarias a la infraestructura vial en el Departamento del Quindío </t>
  </si>
  <si>
    <t>Incrementar en índice de competitividad  en el sector de infraestructura vial    a través de obras físicas complementarias garantizando condiciones de eficiencia seguridad y confort a los a sus usuarios</t>
  </si>
  <si>
    <t>Mejorar y rehabilitar la malla vial del departamento del Quindío y mejorar así las condiciones de movilidad.</t>
  </si>
  <si>
    <t>Mejoramiento y/o mantenimiento y/o construcción de obras de infraestructura vial en el departamento del Quindío</t>
  </si>
  <si>
    <t>2.3.2.02.02.005.2402041.54</t>
  </si>
  <si>
    <t>Impuesto al Registro</t>
  </si>
  <si>
    <t>Construir vías en pro de la interconexión entre los municipios y veredas del departamento mejorando la accesibilidad de las poblaciones alejadas del departamento</t>
  </si>
  <si>
    <t xml:space="preserve">Apoyo para el fortalecimiento del componente y asistencia técnica a nivel departamental. </t>
  </si>
  <si>
    <t>2.3.2.02.02.008.2402041.82</t>
  </si>
  <si>
    <t>2.3.2.02.02.008.2402041.83</t>
  </si>
  <si>
    <t xml:space="preserve">                                                        -  </t>
  </si>
  <si>
    <t xml:space="preserve">Servicio de asistencia técnica y jurídica en saneamiento y titulación de predios </t>
  </si>
  <si>
    <t>Entidades territoriales asistidas técnica y jurídicamente</t>
  </si>
  <si>
    <t>202000363-0145</t>
  </si>
  <si>
    <t xml:space="preserve"> 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</si>
  <si>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</si>
  <si>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Asistir técnicamente a las entidades</t>
  </si>
  <si>
    <t>2.3.2.02.02.005.4001001.54</t>
  </si>
  <si>
    <t>Estampilla Pro Desarroll</t>
  </si>
  <si>
    <t xml:space="preserve">Viviendas de Interés Prioritario urbanas construidas </t>
  </si>
  <si>
    <t>Viviendas de Interés Prioritario urbanas construidas</t>
  </si>
  <si>
    <t>2.3.2.02.02.005.4001017.54</t>
  </si>
  <si>
    <t>2.3.2.02.02.008.4001017.82</t>
  </si>
  <si>
    <t>2.3.2.02.02.008.4001017.83</t>
  </si>
  <si>
    <t xml:space="preserve">Viviendas de Interés Prioritario urbanas mejoradas </t>
  </si>
  <si>
    <t>Viviendas de Interés Prioritario urbanas mejoradas</t>
  </si>
  <si>
    <t>2.3.2.02.02.005.4001018.54</t>
  </si>
  <si>
    <t>2.3.2.02.02.008.4001018.83</t>
  </si>
  <si>
    <t>Estudios de preinversión e inversión</t>
  </si>
  <si>
    <t>Realizar programación de asistencias técnicas a la entidades territoriales</t>
  </si>
  <si>
    <t>2.3.2.02.02.005.4001030.54</t>
  </si>
  <si>
    <t>Servicio de apoyo financiero para adquisición de vivienda</t>
  </si>
  <si>
    <t>Equipamientos construidos</t>
  </si>
  <si>
    <t>Equipamientos mejorados mantenidos y/o construidos</t>
  </si>
  <si>
    <t>2.3.2.02.02.005.4001031.54</t>
  </si>
  <si>
    <t>Impuesto al Registr</t>
  </si>
  <si>
    <t>2.3.2.02.02.008.4001031.82</t>
  </si>
  <si>
    <t>2.3.2.02.02.008.4001031.83</t>
  </si>
  <si>
    <t>Viviendas de Interés Social urbanas construidas</t>
  </si>
  <si>
    <t>2.3.2.02.02.005.4001014.54</t>
  </si>
  <si>
    <t>2.3.2.02.02.008.4001014.83</t>
  </si>
  <si>
    <t>2.3.2.02.02.005.4001015.54</t>
  </si>
  <si>
    <t>2.3.2.02.02.008.4001015.83</t>
  </si>
  <si>
    <t>Adquisicion de bienes y/o servicios  para el fortalecimiento y desarrollo de los procesos de formación deportiva</t>
  </si>
  <si>
    <t>2.3.2.02.01.003.4301007_28</t>
  </si>
  <si>
    <t>2.3.2.01.01.004.01.03.4301007_28</t>
  </si>
  <si>
    <t>2.3.2.02.01.003.4301007_7</t>
  </si>
  <si>
    <t>2.3.2.01.01.004.01.03.4301007_7</t>
  </si>
  <si>
    <t>2.3.2.02.01.003.4301037_7</t>
  </si>
  <si>
    <t>2.3.2.01.01.004.01.03.4301037_7</t>
  </si>
  <si>
    <t>2.3.2.02.01.003.4301037_28</t>
  </si>
  <si>
    <t>2.3.2.01.01.004.01.03.4301037_28</t>
  </si>
  <si>
    <t>2.3.2.01.01.004.01.03.4302075_28</t>
  </si>
  <si>
    <t>Suministro de suplementos ergonormicos y/o alimentos para los deportistas elites y con proyección a altos logros con el fin de fortelecer y/o mejhorar su rendimiento deportivo</t>
  </si>
  <si>
    <t>2.3.2.02.02.007.4302075_28</t>
  </si>
  <si>
    <t>CIGARRILLOS 70% R.B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</si>
</sst>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quot;$&quot;\ #,##0"/>
    <numFmt numFmtId="166" formatCode="0.0"/>
    <numFmt numFmtId="167" formatCode="_(* #,##0.00_);_(* \(#,##0.00\);_(* &quot;-&quot;??_);_(@_)"/>
    <numFmt numFmtId="168" formatCode="_(&quot;$&quot;\ * #,##0.00_);_(&quot;$&quot;\ * \(#,##0.00\);_(&quot;$&quot;\ * &quot;-&quot;??_);_(@_)"/>
    <numFmt numFmtId="169" formatCode="_ [$€-2]\ * #,##0.00_ ;_ [$€-2]\ * \-#,##0.00_ ;_ [$€-2]\ * &quot;-&quot;??_ "/>
    <numFmt numFmtId="170" formatCode="00"/>
    <numFmt numFmtId="171" formatCode="_(&quot;$&quot;\ * #,##0_);_(&quot;$&quot;\ * \(#,##0\);_(&quot;$&quot;\ * &quot;-&quot;_);_(@_)"/>
    <numFmt numFmtId="172" formatCode="dd/mm/yy;@"/>
    <numFmt numFmtId="173" formatCode="#,##0.00_ ;\-#,##0.00\ "/>
    <numFmt numFmtId="174" formatCode="_([$$-240A]\ * #,##0.00_);_([$$-240A]\ * \(#,##0.00\);_([$$-240A]\ * &quot;-&quot;??_);_(@_)"/>
    <numFmt numFmtId="175" formatCode="&quot;$&quot;#,##0.00"/>
    <numFmt numFmtId="176" formatCode="&quot;$&quot;\ #,##0.00"/>
    <numFmt numFmtId="177" formatCode="_-* #,##0.00_-;\-* #,##0.00_-;_-* &quot;-&quot;_-;_-@_-"/>
    <numFmt numFmtId="178" formatCode="0.0%"/>
    <numFmt numFmtId="179" formatCode="_(&quot;$&quot;\ * #,##0.000_);_(&quot;$&quot;\ * \(#,##0.000\);_(&quot;$&quot;\ * &quot;-&quot;??_);_(@_)"/>
    <numFmt numFmtId="180" formatCode="d/mm/yyyy;@"/>
    <numFmt numFmtId="181" formatCode="&quot;$&quot;\ #,##0.00_);[Red]\(&quot;$&quot;\ #,##0.00\)"/>
    <numFmt numFmtId="182" formatCode="_-&quot;XDR&quot;* #,##0.00_-;\-&quot;XDR&quot;* #,##0.00_-;_-&quot;XDR&quot;* &quot;-&quot;??_-;_-@_-"/>
    <numFmt numFmtId="183" formatCode="#,##0;[Red]#,##0"/>
    <numFmt numFmtId="184" formatCode="_-[$$-409]* #,##0.00_ ;_-[$$-409]* \-#,##0.00\ ;_-[$$-409]* &quot;-&quot;??_ ;_-@_ "/>
    <numFmt numFmtId="185" formatCode="#,##0.00_);\-#,##0.00"/>
    <numFmt numFmtId="186" formatCode="_(* #,##0.000000_);_(* \(#,##0.000000\);_(* &quot;-&quot;??_);_(@_)"/>
    <numFmt numFmtId="187" formatCode="_-* #,##0.000_-;\-* #,##0.000_-;_-* &quot;-&quot;_-;_-@_-"/>
  </numFmts>
  <fonts count="45"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color theme="1"/>
      <name val="Calibri"/>
      <family val="2"/>
      <scheme val="minor"/>
    </font>
    <font>
      <b/>
      <sz val="12"/>
      <name val="Arial"/>
      <family val="2"/>
    </font>
    <font>
      <sz val="12"/>
      <color rgb="FF000000"/>
      <name val="Arial"/>
      <family val="2"/>
    </font>
    <font>
      <sz val="12"/>
      <name val="Arial"/>
      <family val="2"/>
    </font>
    <font>
      <b/>
      <sz val="11"/>
      <color indexed="8"/>
      <name val="Arial"/>
      <family val="2"/>
    </font>
    <font>
      <sz val="11"/>
      <color indexed="8"/>
      <name val="Calibri"/>
      <family val="2"/>
    </font>
    <font>
      <b/>
      <sz val="10"/>
      <name val="Arial"/>
      <family val="2"/>
    </font>
    <font>
      <b/>
      <sz val="9"/>
      <name val="Calibri"/>
      <family val="2"/>
      <scheme val="minor"/>
    </font>
    <font>
      <b/>
      <sz val="12"/>
      <color rgb="FF000000"/>
      <name val="Arial"/>
      <family val="2"/>
    </font>
    <font>
      <sz val="14"/>
      <color theme="1"/>
      <name val="Arial"/>
      <family val="2"/>
    </font>
    <font>
      <b/>
      <sz val="10"/>
      <color theme="1"/>
      <name val="Arial"/>
      <family val="2"/>
    </font>
    <font>
      <b/>
      <sz val="14"/>
      <color theme="1"/>
      <name val="Arial"/>
      <family val="2"/>
    </font>
    <font>
      <sz val="10"/>
      <color theme="1"/>
      <name val="Arial"/>
      <family val="2"/>
    </font>
    <font>
      <b/>
      <sz val="10"/>
      <color indexed="8"/>
      <name val="Arial"/>
      <family val="2"/>
    </font>
    <font>
      <b/>
      <sz val="11"/>
      <color theme="1"/>
      <name val="Arial"/>
      <family val="2"/>
    </font>
    <font>
      <b/>
      <sz val="11"/>
      <name val="Arial"/>
      <family val="2"/>
    </font>
    <font>
      <b/>
      <sz val="11"/>
      <color rgb="FF6F6F6E"/>
      <name val="Calibri"/>
      <family val="2"/>
      <scheme val="minor"/>
    </font>
    <font>
      <sz val="11"/>
      <name val="Calibri"/>
      <family val="2"/>
      <scheme val="minor"/>
    </font>
    <font>
      <sz val="12"/>
      <color rgb="FF444444"/>
      <name val="Arial"/>
      <family val="2"/>
    </font>
    <font>
      <sz val="11"/>
      <name val="Arial"/>
      <family val="2"/>
    </font>
    <font>
      <sz val="11"/>
      <color rgb="FF9C0006"/>
      <name val="Calibri"/>
      <family val="2"/>
      <scheme val="minor"/>
    </font>
    <font>
      <b/>
      <sz val="12"/>
      <color rgb="FFFF0000"/>
      <name val="Arial"/>
      <family val="2"/>
    </font>
    <font>
      <b/>
      <u/>
      <sz val="12"/>
      <color theme="1"/>
      <name val="Arial"/>
      <family val="2"/>
    </font>
    <font>
      <b/>
      <sz val="12"/>
      <color indexed="8"/>
      <name val="Arial"/>
      <family val="2"/>
    </font>
    <font>
      <sz val="10"/>
      <color rgb="FF000000"/>
      <name val="Calibri"/>
      <family val="2"/>
    </font>
    <font>
      <sz val="16"/>
      <color theme="1"/>
      <name val="Arial"/>
      <family val="2"/>
    </font>
    <font>
      <sz val="10"/>
      <name val="Arial"/>
      <family val="2"/>
    </font>
    <font>
      <b/>
      <sz val="12"/>
      <color rgb="FF212121"/>
      <name val="Arial"/>
      <family val="2"/>
    </font>
    <font>
      <sz val="12"/>
      <color rgb="FF212121"/>
      <name val="Arial"/>
      <family val="2"/>
    </font>
    <font>
      <b/>
      <sz val="11"/>
      <color rgb="FF000000"/>
      <name val="Arial"/>
      <family val="2"/>
    </font>
    <font>
      <sz val="10"/>
      <color indexed="8"/>
      <name val="Times New Roman"/>
      <family val="1"/>
    </font>
    <font>
      <sz val="11"/>
      <color rgb="FF000000"/>
      <name val="Arial"/>
      <family val="2"/>
    </font>
    <font>
      <sz val="11"/>
      <color theme="1"/>
      <name val="Arial"/>
      <family val="2"/>
    </font>
    <font>
      <sz val="12"/>
      <color rgb="FF333333"/>
      <name val="Arial"/>
      <family val="2"/>
    </font>
    <font>
      <b/>
      <sz val="12"/>
      <color theme="0"/>
      <name val="Calibri"/>
      <family val="2"/>
      <scheme val="minor"/>
    </font>
    <font>
      <sz val="11"/>
      <color rgb="FF000000"/>
      <name val="Calibri"/>
      <family val="2"/>
    </font>
    <font>
      <b/>
      <sz val="9"/>
      <color indexed="81"/>
      <name val="Tahoma"/>
      <family val="2"/>
    </font>
    <font>
      <sz val="9"/>
      <color indexed="81"/>
      <name val="Tahoma"/>
      <family val="2"/>
    </font>
    <font>
      <sz val="12"/>
      <color indexed="8"/>
      <name val="Calibri"/>
      <family val="2"/>
      <scheme val="minor"/>
    </font>
    <font>
      <sz val="12"/>
      <color indexed="8"/>
      <name val="Arial"/>
      <family val="2"/>
    </font>
    <font>
      <sz val="12"/>
      <color rgb="FFFF0000"/>
      <name val="Arial"/>
      <family val="2"/>
    </font>
  </fonts>
  <fills count="29">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0"/>
        <bgColor rgb="FF000000"/>
      </patternFill>
    </fill>
    <fill>
      <patternFill patternType="solid">
        <fgColor rgb="FF00B0F0"/>
        <bgColor indexed="64"/>
      </patternFill>
    </fill>
    <fill>
      <patternFill patternType="solid">
        <fgColor rgb="FFFFFFFF"/>
        <bgColor rgb="FF000000"/>
      </patternFill>
    </fill>
    <fill>
      <patternFill patternType="solid">
        <fgColor rgb="FF00B0F0"/>
        <bgColor rgb="FF000000"/>
      </patternFill>
    </fill>
    <fill>
      <patternFill patternType="solid">
        <fgColor rgb="FFFFFFFF"/>
        <bgColor indexed="64"/>
      </patternFill>
    </fill>
    <fill>
      <patternFill patternType="solid">
        <fgColor rgb="FFACB9CA"/>
        <bgColor indexed="64"/>
      </patternFill>
    </fill>
    <fill>
      <patternFill patternType="solid">
        <fgColor rgb="FFFFD96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B4C6E7"/>
        <bgColor indexed="64"/>
      </patternFill>
    </fill>
    <fill>
      <patternFill patternType="solid">
        <fgColor rgb="FFECECEC"/>
        <bgColor indexed="64"/>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rgb="FFACB9CA"/>
        <bgColor rgb="FF000000"/>
      </patternFill>
    </fill>
    <fill>
      <patternFill patternType="solid">
        <fgColor rgb="FFBDD7EE"/>
        <bgColor indexed="64"/>
      </patternFill>
    </fill>
    <fill>
      <patternFill patternType="solid">
        <fgColor theme="6" tint="0.39997558519241921"/>
        <bgColor indexed="64"/>
      </patternFill>
    </fill>
    <fill>
      <patternFill patternType="solid">
        <fgColor rgb="FFFFC00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8" tint="0.59999389629810485"/>
        <bgColor rgb="FF000000"/>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indexed="64"/>
      </bottom>
      <diagonal/>
    </border>
    <border>
      <left/>
      <right style="thin">
        <color rgb="FF000000"/>
      </right>
      <top/>
      <bottom/>
      <diagonal/>
    </border>
    <border>
      <left style="thin">
        <color rgb="FF000000"/>
      </left>
      <right/>
      <top style="thin">
        <color indexed="64"/>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indexed="64"/>
      </right>
      <top style="thin">
        <color indexed="64"/>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diagonal/>
    </border>
    <border>
      <left style="thin">
        <color indexed="64"/>
      </left>
      <right style="thin">
        <color rgb="FF000000"/>
      </right>
      <top style="thin">
        <color indexed="64"/>
      </top>
      <bottom/>
      <diagonal/>
    </border>
    <border>
      <left style="thin">
        <color rgb="FF522B57"/>
      </left>
      <right style="thin">
        <color rgb="FF522B57"/>
      </right>
      <top style="thin">
        <color rgb="FF522B57"/>
      </top>
      <bottom style="thin">
        <color rgb="FF522B57"/>
      </bottom>
      <diagonal/>
    </border>
    <border>
      <left style="thin">
        <color rgb="FF000000"/>
      </left>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top/>
      <bottom style="thin">
        <color rgb="FF000000"/>
      </bottom>
      <diagonal/>
    </border>
    <border>
      <left style="thin">
        <color rgb="FF000000"/>
      </left>
      <right style="thin">
        <color indexed="64"/>
      </right>
      <top/>
      <bottom/>
      <diagonal/>
    </border>
    <border>
      <left style="thin">
        <color indexed="64"/>
      </left>
      <right style="thin">
        <color rgb="FF000000"/>
      </right>
      <top style="thin">
        <color rgb="FF000000"/>
      </top>
      <bottom/>
      <diagonal/>
    </border>
    <border>
      <left/>
      <right/>
      <top style="thin">
        <color theme="4" tint="0.79998168889431442"/>
      </top>
      <bottom style="thin">
        <color theme="4" tint="0.79998168889431442"/>
      </bottom>
      <diagonal/>
    </border>
    <border>
      <left style="thin">
        <color rgb="FF000000"/>
      </left>
      <right style="thin">
        <color indexed="64"/>
      </right>
      <top/>
      <bottom style="thin">
        <color rgb="FF000000"/>
      </bottom>
      <diagonal/>
    </border>
    <border>
      <left/>
      <right style="thin">
        <color rgb="FF000000"/>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auto="1"/>
      </left>
      <right style="thin">
        <color rgb="FF000000"/>
      </right>
      <top style="thin">
        <color indexed="64"/>
      </top>
      <bottom style="thin">
        <color indexed="64"/>
      </bottom>
      <diagonal/>
    </border>
    <border>
      <left style="thin">
        <color auto="1"/>
      </left>
      <right style="thin">
        <color rgb="FF000000"/>
      </right>
      <top style="thin">
        <color indexed="64"/>
      </top>
      <bottom style="thin">
        <color rgb="FF000000"/>
      </bottom>
      <diagonal/>
    </border>
    <border>
      <left style="thin">
        <color indexed="64"/>
      </left>
      <right style="medium">
        <color indexed="64"/>
      </right>
      <top style="thin">
        <color indexed="64"/>
      </top>
      <bottom style="thin">
        <color indexed="64"/>
      </bottom>
      <diagonal/>
    </border>
    <border>
      <left/>
      <right style="thin">
        <color rgb="FF000000"/>
      </right>
      <top style="thin">
        <color auto="1"/>
      </top>
      <bottom style="thin">
        <color indexed="64"/>
      </bottom>
      <diagonal/>
    </border>
    <border>
      <left/>
      <right style="thin">
        <color auto="1"/>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rgb="FF000000"/>
      </top>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right style="thin">
        <color auto="1"/>
      </right>
      <top style="thin">
        <color rgb="FF000000"/>
      </top>
      <bottom style="thin">
        <color auto="1"/>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auto="1"/>
      </top>
      <bottom style="thin">
        <color rgb="FF000000"/>
      </bottom>
      <diagonal/>
    </border>
    <border>
      <left style="thin">
        <color indexed="64"/>
      </left>
      <right style="medium">
        <color indexed="64"/>
      </right>
      <top style="medium">
        <color indexed="64"/>
      </top>
      <bottom style="thin">
        <color indexed="64"/>
      </bottom>
      <diagonal/>
    </border>
    <border>
      <left style="thin">
        <color rgb="FF000000"/>
      </left>
      <right/>
      <top style="thin">
        <color rgb="FF000000"/>
      </top>
      <bottom style="thick">
        <color rgb="FF000000"/>
      </bottom>
      <diagonal/>
    </border>
    <border>
      <left style="thin">
        <color rgb="FF000000"/>
      </left>
      <right/>
      <top/>
      <bottom style="thick">
        <color rgb="FF000000"/>
      </bottom>
      <diagonal/>
    </border>
    <border>
      <left style="thin">
        <color rgb="FF000000"/>
      </left>
      <right/>
      <top style="thick">
        <color rgb="FF000000"/>
      </top>
      <bottom style="thin">
        <color rgb="FF000000"/>
      </bottom>
      <diagonal/>
    </border>
    <border>
      <left style="thin">
        <color indexed="64"/>
      </left>
      <right style="thin">
        <color indexed="64"/>
      </right>
      <top/>
      <bottom style="medium">
        <color indexed="64"/>
      </bottom>
      <diagonal/>
    </border>
  </borders>
  <cellStyleXfs count="30">
    <xf numFmtId="0" fontId="0" fillId="0" borderId="0"/>
    <xf numFmtId="168" fontId="1" fillId="0" borderId="0" applyFont="0" applyFill="0" applyBorder="0" applyAlignment="0" applyProtection="0"/>
    <xf numFmtId="9" fontId="1" fillId="0" borderId="0" applyFont="0" applyFill="0" applyBorder="0" applyAlignment="0" applyProtection="0"/>
    <xf numFmtId="0" fontId="1" fillId="0" borderId="0"/>
    <xf numFmtId="9" fontId="9" fillId="0" borderId="0" applyFont="0" applyFill="0" applyBorder="0" applyAlignment="0" applyProtection="0"/>
    <xf numFmtId="169" fontId="1" fillId="0" borderId="0"/>
    <xf numFmtId="43" fontId="1"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4" fontId="20" fillId="15" borderId="47">
      <alignment horizontal="center" vertical="center" wrapText="1"/>
    </xf>
    <xf numFmtId="167" fontId="1" fillId="0" borderId="0" applyFont="0" applyFill="0" applyBorder="0" applyAlignment="0" applyProtection="0"/>
    <xf numFmtId="0" fontId="20" fillId="15" borderId="47">
      <alignment horizontal="center" vertical="center" wrapText="1"/>
    </xf>
    <xf numFmtId="0" fontId="24" fillId="16" borderId="0" applyNumberFormat="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30" fillId="0" borderId="0"/>
    <xf numFmtId="168" fontId="1" fillId="0" borderId="0" applyFont="0" applyFill="0" applyBorder="0" applyAlignment="0" applyProtection="0"/>
    <xf numFmtId="18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30" fillId="0" borderId="0"/>
    <xf numFmtId="0" fontId="30" fillId="0" borderId="0"/>
    <xf numFmtId="0" fontId="39" fillId="0" borderId="0"/>
    <xf numFmtId="168" fontId="1" fillId="0" borderId="0" applyFont="0" applyFill="0" applyBorder="0" applyAlignment="0" applyProtection="0"/>
    <xf numFmtId="0" fontId="1" fillId="0" borderId="0"/>
    <xf numFmtId="167" fontId="9" fillId="0" borderId="0" applyFont="0" applyFill="0" applyBorder="0" applyAlignment="0" applyProtection="0"/>
    <xf numFmtId="167" fontId="1" fillId="0" borderId="0" applyFont="0" applyFill="0" applyBorder="0" applyAlignment="0" applyProtection="0"/>
  </cellStyleXfs>
  <cellXfs count="4987">
    <xf numFmtId="0" fontId="0" fillId="0" borderId="0" xfId="0"/>
    <xf numFmtId="0" fontId="2" fillId="0" borderId="0" xfId="0" applyFont="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Fill="1" applyAlignment="1">
      <alignment horizontal="center" vertical="center"/>
    </xf>
    <xf numFmtId="0" fontId="2" fillId="2" borderId="0" xfId="0" applyFont="1" applyFill="1" applyAlignment="1">
      <alignment horizontal="center" vertical="center"/>
    </xf>
    <xf numFmtId="1" fontId="2" fillId="2" borderId="0" xfId="0" applyNumberFormat="1" applyFont="1" applyFill="1" applyAlignment="1">
      <alignment horizontal="center" vertical="center"/>
    </xf>
    <xf numFmtId="165" fontId="2" fillId="2" borderId="0" xfId="0" applyNumberFormat="1" applyFont="1" applyFill="1" applyAlignment="1">
      <alignment horizontal="center" vertical="center"/>
    </xf>
    <xf numFmtId="0" fontId="2" fillId="2" borderId="0" xfId="0" applyFont="1" applyFill="1" applyAlignment="1">
      <alignment horizontal="justify" vertical="center"/>
    </xf>
    <xf numFmtId="165" fontId="2" fillId="2" borderId="0" xfId="0" applyNumberFormat="1" applyFont="1" applyFill="1" applyAlignment="1">
      <alignment horizontal="justify" vertical="center"/>
    </xf>
    <xf numFmtId="166"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justify" vertical="center"/>
    </xf>
    <xf numFmtId="1" fontId="2" fillId="0" borderId="0" xfId="0" applyNumberFormat="1" applyFont="1" applyAlignment="1">
      <alignment horizontal="center" vertical="center"/>
    </xf>
    <xf numFmtId="0" fontId="2" fillId="2" borderId="0" xfId="0" applyFont="1" applyFill="1" applyBorder="1" applyAlignment="1">
      <alignment horizontal="justify" vertical="center"/>
    </xf>
    <xf numFmtId="0" fontId="2" fillId="0" borderId="0" xfId="0" applyFont="1" applyBorder="1" applyAlignment="1">
      <alignment horizontal="center" vertical="center"/>
    </xf>
    <xf numFmtId="0" fontId="2" fillId="0" borderId="0" xfId="0" applyFont="1" applyBorder="1" applyAlignment="1">
      <alignment horizontal="justify" vertical="center"/>
    </xf>
    <xf numFmtId="167" fontId="2" fillId="2" borderId="0" xfId="0" applyNumberFormat="1" applyFont="1" applyFill="1" applyAlignment="1">
      <alignment horizontal="center" vertical="center"/>
    </xf>
    <xf numFmtId="165" fontId="2" fillId="2" borderId="0" xfId="0" applyNumberFormat="1" applyFont="1" applyFill="1" applyBorder="1" applyAlignment="1">
      <alignment horizontal="center" vertical="center"/>
    </xf>
    <xf numFmtId="166" fontId="2" fillId="2" borderId="0" xfId="0" applyNumberFormat="1" applyFont="1" applyFill="1" applyBorder="1" applyAlignment="1">
      <alignment horizontal="justify" vertical="center"/>
    </xf>
    <xf numFmtId="166"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167" fontId="2" fillId="0" borderId="0" xfId="0" applyNumberFormat="1" applyFont="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center" vertical="center"/>
    </xf>
    <xf numFmtId="167" fontId="3" fillId="4" borderId="1" xfId="1" applyNumberFormat="1" applyFont="1" applyFill="1" applyBorder="1" applyAlignment="1">
      <alignment horizontal="center" vertical="center"/>
    </xf>
    <xf numFmtId="0" fontId="3" fillId="4" borderId="1" xfId="1"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67" fontId="3" fillId="4" borderId="1" xfId="0" applyNumberFormat="1" applyFont="1" applyFill="1" applyBorder="1" applyAlignment="1">
      <alignment horizontal="center" vertical="center"/>
    </xf>
    <xf numFmtId="0" fontId="3" fillId="4" borderId="1" xfId="0" applyFont="1" applyFill="1" applyBorder="1" applyAlignment="1">
      <alignment horizontal="justify" vertical="center"/>
    </xf>
    <xf numFmtId="0" fontId="2" fillId="4" borderId="1" xfId="0" applyFont="1" applyFill="1" applyBorder="1" applyAlignment="1">
      <alignment horizontal="justify" vertical="center"/>
    </xf>
    <xf numFmtId="166" fontId="2" fillId="4" borderId="1" xfId="0" applyNumberFormat="1" applyFont="1" applyFill="1" applyBorder="1" applyAlignment="1">
      <alignment horizontal="center" vertical="center"/>
    </xf>
    <xf numFmtId="0" fontId="2" fillId="4" borderId="2" xfId="0" applyFont="1" applyFill="1" applyBorder="1" applyAlignment="1">
      <alignment horizontal="justify" vertical="center" wrapText="1"/>
    </xf>
    <xf numFmtId="0" fontId="3"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6" fillId="0" borderId="5" xfId="0" applyFont="1" applyBorder="1" applyAlignment="1">
      <alignment horizontal="left" vertical="center" wrapText="1"/>
    </xf>
    <xf numFmtId="167" fontId="2" fillId="2" borderId="1" xfId="1"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6" fillId="2" borderId="5" xfId="0" applyFont="1" applyFill="1" applyBorder="1" applyAlignment="1">
      <alignment horizontal="left" vertical="center" wrapText="1"/>
    </xf>
    <xf numFmtId="167" fontId="2" fillId="2" borderId="1" xfId="1" applyNumberFormat="1" applyFont="1" applyFill="1" applyBorder="1" applyAlignment="1">
      <alignment horizontal="center" vertical="center"/>
    </xf>
    <xf numFmtId="1" fontId="3" fillId="6" borderId="1" xfId="0" applyNumberFormat="1" applyFont="1" applyFill="1" applyBorder="1" applyAlignment="1">
      <alignment horizontal="center" vertical="center" textRotation="180" wrapText="1"/>
    </xf>
    <xf numFmtId="9" fontId="3" fillId="6" borderId="1" xfId="2" applyFont="1" applyFill="1" applyBorder="1" applyAlignment="1">
      <alignment horizontal="center" vertical="center" textRotation="180" wrapText="1"/>
    </xf>
    <xf numFmtId="167" fontId="3" fillId="6" borderId="1" xfId="1" applyNumberFormat="1" applyFont="1" applyFill="1" applyBorder="1" applyAlignment="1">
      <alignment horizontal="center" vertical="center" textRotation="180" wrapText="1"/>
    </xf>
    <xf numFmtId="0" fontId="2" fillId="6" borderId="1" xfId="0"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0" fontId="2" fillId="6" borderId="1" xfId="0" applyFont="1" applyFill="1" applyBorder="1" applyAlignment="1">
      <alignment horizontal="left" vertical="center" wrapText="1"/>
    </xf>
    <xf numFmtId="167" fontId="2" fillId="6" borderId="1" xfId="0" applyNumberFormat="1" applyFont="1" applyFill="1" applyBorder="1" applyAlignment="1">
      <alignment horizontal="center" vertical="center" wrapText="1"/>
    </xf>
    <xf numFmtId="0" fontId="2" fillId="6" borderId="1" xfId="0" applyFont="1" applyFill="1" applyBorder="1" applyAlignment="1">
      <alignment horizontal="justify" vertical="center" wrapText="1"/>
    </xf>
    <xf numFmtId="167" fontId="2" fillId="6" borderId="1" xfId="1" applyNumberFormat="1" applyFont="1" applyFill="1" applyBorder="1" applyAlignment="1">
      <alignment horizontal="center" vertical="center" wrapText="1"/>
    </xf>
    <xf numFmtId="9" fontId="2" fillId="6" borderId="1" xfId="2" applyFont="1" applyFill="1" applyBorder="1" applyAlignment="1">
      <alignment horizontal="center" vertical="center" wrapText="1"/>
    </xf>
    <xf numFmtId="0" fontId="2" fillId="6" borderId="16" xfId="0" applyFont="1" applyFill="1" applyBorder="1" applyAlignment="1">
      <alignment horizontal="justify" vertical="center" wrapText="1"/>
    </xf>
    <xf numFmtId="0" fontId="7" fillId="6" borderId="16"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5" fillId="6" borderId="19" xfId="0" applyFont="1" applyFill="1" applyBorder="1" applyAlignment="1">
      <alignment horizontal="center" vertical="center"/>
    </xf>
    <xf numFmtId="0" fontId="6" fillId="7" borderId="1" xfId="0" applyFont="1" applyFill="1" applyBorder="1" applyAlignment="1">
      <alignment horizontal="justify" vertical="center" wrapText="1"/>
    </xf>
    <xf numFmtId="14" fontId="6" fillId="5" borderId="12"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6" fillId="5" borderId="1" xfId="0" applyFont="1" applyFill="1" applyBorder="1" applyAlignment="1">
      <alignment horizontal="justify" vertical="center" wrapText="1"/>
    </xf>
    <xf numFmtId="9" fontId="6" fillId="5" borderId="1" xfId="2" applyFont="1" applyFill="1" applyBorder="1" applyAlignment="1">
      <alignment horizontal="center" vertical="center" wrapText="1"/>
    </xf>
    <xf numFmtId="167" fontId="6" fillId="5" borderId="1" xfId="1"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7" fontId="7" fillId="2" borderId="1" xfId="1" applyNumberFormat="1" applyFont="1" applyFill="1" applyBorder="1" applyAlignment="1">
      <alignment horizontal="center" vertical="center"/>
    </xf>
    <xf numFmtId="0" fontId="6" fillId="0" borderId="1" xfId="0" applyFont="1" applyFill="1" applyBorder="1" applyAlignment="1">
      <alignment horizontal="justify" vertical="center" wrapText="1"/>
    </xf>
    <xf numFmtId="9" fontId="2" fillId="2" borderId="1" xfId="2" applyNumberFormat="1" applyFont="1" applyFill="1" applyBorder="1" applyAlignment="1">
      <alignment horizontal="center" vertical="center"/>
    </xf>
    <xf numFmtId="0" fontId="6" fillId="7" borderId="2" xfId="0" applyFont="1" applyFill="1" applyBorder="1" applyAlignment="1">
      <alignment horizontal="justify" vertical="center"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7" fillId="7" borderId="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7" fillId="2" borderId="5" xfId="0" applyFont="1" applyFill="1" applyBorder="1" applyAlignment="1">
      <alignment horizontal="left" vertical="center" wrapText="1"/>
    </xf>
    <xf numFmtId="167" fontId="7" fillId="2" borderId="1" xfId="1" applyNumberFormat="1" applyFont="1" applyFill="1" applyBorder="1" applyAlignment="1">
      <alignment horizontal="center" vertical="center" wrapText="1"/>
    </xf>
    <xf numFmtId="167" fontId="7" fillId="0" borderId="1" xfId="1"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3" fillId="6" borderId="29" xfId="0" applyFont="1" applyFill="1" applyBorder="1" applyAlignment="1">
      <alignment horizontal="center" vertical="center"/>
    </xf>
    <xf numFmtId="164" fontId="3" fillId="6" borderId="30" xfId="0" applyNumberFormat="1" applyFont="1" applyFill="1" applyBorder="1" applyAlignment="1">
      <alignment horizontal="center" vertical="center"/>
    </xf>
    <xf numFmtId="0" fontId="3" fillId="6" borderId="30" xfId="0" applyFont="1" applyFill="1" applyBorder="1" applyAlignment="1">
      <alignment horizontal="center" vertical="center"/>
    </xf>
    <xf numFmtId="1" fontId="3" fillId="6" borderId="30" xfId="0" applyNumberFormat="1" applyFont="1" applyFill="1" applyBorder="1" applyAlignment="1">
      <alignment horizontal="center" vertical="center"/>
    </xf>
    <xf numFmtId="165" fontId="3" fillId="6" borderId="30" xfId="0" applyNumberFormat="1" applyFont="1" applyFill="1" applyBorder="1" applyAlignment="1">
      <alignment horizontal="center" vertical="center"/>
    </xf>
    <xf numFmtId="0" fontId="3" fillId="6" borderId="30" xfId="0" applyFont="1" applyFill="1" applyBorder="1" applyAlignment="1">
      <alignment horizontal="justify" vertical="center"/>
    </xf>
    <xf numFmtId="166" fontId="3" fillId="6" borderId="30" xfId="0" applyNumberFormat="1" applyFont="1" applyFill="1" applyBorder="1" applyAlignment="1">
      <alignment horizontal="center" vertical="center"/>
    </xf>
    <xf numFmtId="0" fontId="3" fillId="6" borderId="16" xfId="0" applyFont="1" applyFill="1" applyBorder="1" applyAlignment="1">
      <alignment horizontal="justify" vertical="center" wrapText="1"/>
    </xf>
    <xf numFmtId="0" fontId="3" fillId="6" borderId="16" xfId="0" applyFont="1" applyFill="1" applyBorder="1" applyAlignment="1">
      <alignment horizontal="left" vertical="center"/>
    </xf>
    <xf numFmtId="0" fontId="3" fillId="6" borderId="30" xfId="0" applyFont="1" applyFill="1" applyBorder="1" applyAlignment="1">
      <alignment horizontal="left" vertical="center"/>
    </xf>
    <xf numFmtId="0" fontId="5" fillId="6" borderId="30" xfId="0" applyFont="1" applyFill="1" applyBorder="1" applyAlignment="1">
      <alignment horizontal="justify" vertical="center"/>
    </xf>
    <xf numFmtId="0" fontId="5" fillId="6" borderId="30" xfId="0" applyFont="1" applyFill="1" applyBorder="1" applyAlignment="1">
      <alignment horizontal="left" vertical="center"/>
    </xf>
    <xf numFmtId="0" fontId="5" fillId="6" borderId="31" xfId="0" applyFont="1" applyFill="1" applyBorder="1" applyAlignment="1">
      <alignment horizontal="left" vertical="center"/>
    </xf>
    <xf numFmtId="0" fontId="5" fillId="8" borderId="17"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wrapText="1"/>
    </xf>
    <xf numFmtId="0" fontId="2" fillId="9" borderId="0" xfId="0" applyFont="1" applyFill="1" applyBorder="1" applyAlignment="1">
      <alignment horizontal="center" vertical="center"/>
    </xf>
    <xf numFmtId="0" fontId="2" fillId="9" borderId="0" xfId="0" applyFont="1" applyFill="1" applyAlignment="1">
      <alignment horizontal="center" vertical="center"/>
    </xf>
    <xf numFmtId="164" fontId="3" fillId="10" borderId="29" xfId="0" applyNumberFormat="1" applyFont="1" applyFill="1" applyBorder="1" applyAlignment="1">
      <alignment horizontal="center" vertical="center"/>
    </xf>
    <xf numFmtId="164" fontId="3" fillId="10" borderId="30" xfId="0" applyNumberFormat="1" applyFont="1" applyFill="1" applyBorder="1" applyAlignment="1">
      <alignment horizontal="center" vertical="center"/>
    </xf>
    <xf numFmtId="0" fontId="3" fillId="10" borderId="30" xfId="0" applyFont="1" applyFill="1" applyBorder="1" applyAlignment="1">
      <alignment horizontal="center" vertical="center"/>
    </xf>
    <xf numFmtId="1" fontId="3" fillId="10" borderId="30" xfId="0" applyNumberFormat="1" applyFont="1" applyFill="1" applyBorder="1" applyAlignment="1">
      <alignment horizontal="center" vertical="center"/>
    </xf>
    <xf numFmtId="165" fontId="3" fillId="10" borderId="30" xfId="0" applyNumberFormat="1" applyFont="1" applyFill="1" applyBorder="1" applyAlignment="1">
      <alignment horizontal="center" vertical="center"/>
    </xf>
    <xf numFmtId="0" fontId="3" fillId="10" borderId="30" xfId="0" applyFont="1" applyFill="1" applyBorder="1" applyAlignment="1">
      <alignment horizontal="justify" vertical="center"/>
    </xf>
    <xf numFmtId="165" fontId="3" fillId="10" borderId="30" xfId="0" applyNumberFormat="1" applyFont="1" applyFill="1" applyBorder="1" applyAlignment="1">
      <alignment horizontal="justify" vertical="center"/>
    </xf>
    <xf numFmtId="166" fontId="3" fillId="10" borderId="30" xfId="0" applyNumberFormat="1" applyFont="1" applyFill="1" applyBorder="1" applyAlignment="1">
      <alignment horizontal="center" vertical="center"/>
    </xf>
    <xf numFmtId="0" fontId="3" fillId="10" borderId="30" xfId="0" applyFont="1" applyFill="1" applyBorder="1" applyAlignment="1">
      <alignment horizontal="center" vertical="center" wrapText="1"/>
    </xf>
    <xf numFmtId="0" fontId="5" fillId="10" borderId="29" xfId="0" applyFont="1" applyFill="1" applyBorder="1" applyAlignment="1">
      <alignment horizontal="center" vertical="center" wrapText="1"/>
    </xf>
    <xf numFmtId="0" fontId="5" fillId="9" borderId="28" xfId="0" applyFont="1" applyFill="1" applyBorder="1" applyAlignment="1">
      <alignment horizontal="center" vertical="center"/>
    </xf>
    <xf numFmtId="0" fontId="5" fillId="9" borderId="13" xfId="0" applyFont="1" applyFill="1" applyBorder="1" applyAlignment="1">
      <alignment horizontal="center" vertical="center" wrapText="1"/>
    </xf>
    <xf numFmtId="164" fontId="3" fillId="11" borderId="22" xfId="0" applyNumberFormat="1" applyFont="1" applyFill="1" applyBorder="1" applyAlignment="1">
      <alignment horizontal="center" vertical="center"/>
    </xf>
    <xf numFmtId="164" fontId="3" fillId="11" borderId="0" xfId="0" applyNumberFormat="1" applyFont="1" applyFill="1" applyBorder="1" applyAlignment="1">
      <alignment horizontal="center" vertical="center"/>
    </xf>
    <xf numFmtId="0" fontId="3" fillId="11" borderId="0" xfId="0" applyFont="1" applyFill="1" applyBorder="1" applyAlignment="1">
      <alignment horizontal="center" vertical="center"/>
    </xf>
    <xf numFmtId="1" fontId="3" fillId="11" borderId="0" xfId="0" applyNumberFormat="1" applyFont="1" applyFill="1" applyBorder="1" applyAlignment="1">
      <alignment horizontal="center" vertical="center"/>
    </xf>
    <xf numFmtId="165" fontId="3" fillId="11" borderId="0" xfId="0" applyNumberFormat="1" applyFont="1" applyFill="1" applyBorder="1" applyAlignment="1">
      <alignment horizontal="center" vertical="center"/>
    </xf>
    <xf numFmtId="0" fontId="3" fillId="11" borderId="0" xfId="0" applyFont="1" applyFill="1" applyBorder="1" applyAlignment="1">
      <alignment horizontal="justify" vertical="center"/>
    </xf>
    <xf numFmtId="165" fontId="3" fillId="11" borderId="0" xfId="0" applyNumberFormat="1" applyFont="1" applyFill="1" applyBorder="1" applyAlignment="1">
      <alignment horizontal="justify" vertical="center"/>
    </xf>
    <xf numFmtId="166" fontId="3" fillId="11" borderId="0" xfId="0" applyNumberFormat="1" applyFont="1" applyFill="1" applyBorder="1" applyAlignment="1">
      <alignment horizontal="center" vertical="center"/>
    </xf>
    <xf numFmtId="0" fontId="3" fillId="11" borderId="0" xfId="0" applyFont="1" applyFill="1" applyBorder="1" applyAlignment="1">
      <alignment horizontal="center" vertical="center" wrapText="1"/>
    </xf>
    <xf numFmtId="0" fontId="5" fillId="11" borderId="20" xfId="0" applyFont="1" applyFill="1" applyBorder="1" applyAlignment="1">
      <alignment horizontal="center" vertical="center" wrapText="1"/>
    </xf>
    <xf numFmtId="164" fontId="3" fillId="12" borderId="1" xfId="0" applyNumberFormat="1"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1" fontId="3" fillId="12" borderId="1" xfId="0" applyNumberFormat="1" applyFont="1" applyFill="1" applyBorder="1" applyAlignment="1">
      <alignment horizontal="center" vertical="center" wrapText="1"/>
    </xf>
    <xf numFmtId="165" fontId="3" fillId="13" borderId="1" xfId="0" applyNumberFormat="1" applyFont="1" applyFill="1" applyBorder="1" applyAlignment="1">
      <alignment horizontal="center" vertical="center" wrapText="1"/>
    </xf>
    <xf numFmtId="0" fontId="8" fillId="13" borderId="10"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2"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xf>
    <xf numFmtId="0" fontId="3" fillId="0" borderId="1" xfId="0"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lignment horizontal="center" vertical="center"/>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4"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8" fillId="13"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0" xfId="0" applyFont="1" applyFill="1" applyBorder="1" applyAlignment="1">
      <alignment horizontal="justify" vertical="center" wrapText="1"/>
    </xf>
    <xf numFmtId="0" fontId="3" fillId="2" borderId="0" xfId="0" applyFont="1" applyFill="1" applyAlignment="1">
      <alignment horizontal="center" vertical="center"/>
    </xf>
    <xf numFmtId="0" fontId="3" fillId="0" borderId="1" xfId="0" applyFont="1" applyFill="1" applyBorder="1" applyAlignment="1">
      <alignment horizontal="center" vertical="center"/>
    </xf>
    <xf numFmtId="170" fontId="7" fillId="0" borderId="1" xfId="0" applyNumberFormat="1" applyFont="1" applyFill="1" applyBorder="1" applyAlignment="1">
      <alignment horizontal="left" vertical="center"/>
    </xf>
    <xf numFmtId="0" fontId="3" fillId="0" borderId="11" xfId="0" applyFont="1" applyBorder="1" applyAlignment="1">
      <alignment horizontal="center" vertical="center"/>
    </xf>
    <xf numFmtId="0" fontId="3" fillId="0" borderId="0" xfId="0" applyFont="1" applyFill="1" applyBorder="1" applyAlignment="1">
      <alignment horizontal="center" vertical="center"/>
    </xf>
    <xf numFmtId="0" fontId="3" fillId="14" borderId="1" xfId="0" applyFont="1" applyFill="1" applyBorder="1" applyAlignment="1">
      <alignment horizontal="center" vertical="center"/>
    </xf>
    <xf numFmtId="165" fontId="3" fillId="13" borderId="1" xfId="0" applyNumberFormat="1" applyFont="1" applyFill="1" applyBorder="1" applyAlignment="1">
      <alignment vertical="center" wrapText="1"/>
    </xf>
    <xf numFmtId="0" fontId="5" fillId="11" borderId="1" xfId="0" applyNumberFormat="1" applyFont="1" applyFill="1" applyBorder="1" applyAlignment="1">
      <alignment horizontal="center" vertical="center" wrapText="1"/>
    </xf>
    <xf numFmtId="0" fontId="3" fillId="11" borderId="1" xfId="0" applyFont="1" applyFill="1" applyBorder="1" applyAlignment="1">
      <alignment horizontal="justify" vertical="center"/>
    </xf>
    <xf numFmtId="0" fontId="3" fillId="11" borderId="1" xfId="0" applyFont="1" applyFill="1" applyBorder="1" applyAlignment="1">
      <alignment horizontal="center" vertical="center"/>
    </xf>
    <xf numFmtId="0" fontId="3" fillId="11" borderId="2" xfId="0" applyFont="1" applyFill="1" applyBorder="1" applyAlignment="1">
      <alignment horizontal="justify" vertical="center"/>
    </xf>
    <xf numFmtId="0" fontId="3" fillId="11" borderId="1" xfId="0" applyFont="1" applyFill="1" applyBorder="1" applyAlignment="1">
      <alignment horizontal="center" vertical="center" wrapText="1"/>
    </xf>
    <xf numFmtId="166" fontId="3" fillId="11" borderId="1" xfId="0" applyNumberFormat="1" applyFont="1" applyFill="1" applyBorder="1" applyAlignment="1">
      <alignment horizontal="center" vertical="center"/>
    </xf>
    <xf numFmtId="165" fontId="3" fillId="11" borderId="1" xfId="0" applyNumberFormat="1" applyFont="1" applyFill="1" applyBorder="1" applyAlignment="1">
      <alignment horizontal="justify" vertical="center"/>
    </xf>
    <xf numFmtId="165" fontId="3" fillId="11" borderId="1" xfId="0" applyNumberFormat="1" applyFont="1" applyFill="1" applyBorder="1" applyAlignment="1">
      <alignment horizontal="center" vertical="center"/>
    </xf>
    <xf numFmtId="1" fontId="3" fillId="11" borderId="1" xfId="0" applyNumberFormat="1" applyFont="1" applyFill="1" applyBorder="1" applyAlignment="1">
      <alignment horizontal="justify" vertical="center"/>
    </xf>
    <xf numFmtId="164" fontId="3" fillId="11" borderId="1" xfId="0" applyNumberFormat="1" applyFont="1" applyFill="1" applyBorder="1" applyAlignment="1">
      <alignment horizontal="center" vertical="center"/>
    </xf>
    <xf numFmtId="0" fontId="5"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xf>
    <xf numFmtId="0" fontId="5" fillId="10" borderId="22" xfId="0" applyFont="1" applyFill="1" applyBorder="1" applyAlignment="1">
      <alignment horizontal="center"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justify" vertical="center"/>
    </xf>
    <xf numFmtId="0" fontId="3" fillId="10" borderId="1" xfId="0" applyFont="1" applyFill="1" applyBorder="1" applyAlignment="1">
      <alignment horizontal="center" vertical="center"/>
    </xf>
    <xf numFmtId="0" fontId="3" fillId="10" borderId="1" xfId="0" applyFont="1" applyFill="1" applyBorder="1" applyAlignment="1">
      <alignment horizontal="justify" vertical="center"/>
    </xf>
    <xf numFmtId="0" fontId="3" fillId="10" borderId="1" xfId="0" applyFont="1" applyFill="1" applyBorder="1" applyAlignment="1">
      <alignment horizontal="center" vertical="center" wrapText="1"/>
    </xf>
    <xf numFmtId="166" fontId="3" fillId="10" borderId="1" xfId="0" applyNumberFormat="1" applyFont="1" applyFill="1" applyBorder="1" applyAlignment="1">
      <alignment horizontal="center" vertical="center"/>
    </xf>
    <xf numFmtId="165" fontId="3" fillId="10" borderId="1" xfId="0" applyNumberFormat="1" applyFont="1" applyFill="1" applyBorder="1" applyAlignment="1">
      <alignment horizontal="justify" vertical="center"/>
    </xf>
    <xf numFmtId="165" fontId="3" fillId="10" borderId="1" xfId="0" applyNumberFormat="1" applyFont="1" applyFill="1" applyBorder="1" applyAlignment="1">
      <alignment horizontal="center" vertical="center"/>
    </xf>
    <xf numFmtId="1" fontId="3" fillId="10" borderId="1" xfId="0" applyNumberFormat="1" applyFont="1" applyFill="1" applyBorder="1" applyAlignment="1">
      <alignment horizontal="justify" vertical="center"/>
    </xf>
    <xf numFmtId="164" fontId="3" fillId="10" borderId="1" xfId="0" applyNumberFormat="1" applyFont="1" applyFill="1" applyBorder="1" applyAlignment="1">
      <alignment horizontal="center" vertical="center"/>
    </xf>
    <xf numFmtId="0" fontId="5" fillId="0" borderId="37" xfId="0" applyFont="1" applyBorder="1" applyAlignment="1">
      <alignment horizontal="center" vertical="center" wrapText="1"/>
    </xf>
    <xf numFmtId="0" fontId="5" fillId="6" borderId="29" xfId="0" applyFont="1" applyFill="1" applyBorder="1" applyAlignment="1">
      <alignment horizontal="center" vertical="center"/>
    </xf>
    <xf numFmtId="0" fontId="12" fillId="6" borderId="12"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justify" vertical="center" wrapText="1"/>
    </xf>
    <xf numFmtId="166" fontId="3" fillId="6" borderId="1" xfId="0" applyNumberFormat="1" applyFont="1" applyFill="1" applyBorder="1" applyAlignment="1">
      <alignment horizontal="center" vertical="center"/>
    </xf>
    <xf numFmtId="165" fontId="3" fillId="6" borderId="1" xfId="0" applyNumberFormat="1" applyFont="1" applyFill="1" applyBorder="1" applyAlignment="1">
      <alignment horizontal="center" vertical="center"/>
    </xf>
    <xf numFmtId="0" fontId="3" fillId="6" borderId="1" xfId="0" applyFont="1" applyFill="1" applyBorder="1" applyAlignment="1">
      <alignment horizontal="justify" vertical="center"/>
    </xf>
    <xf numFmtId="1" fontId="3" fillId="6" borderId="1" xfId="0" applyNumberFormat="1" applyFont="1" applyFill="1" applyBorder="1" applyAlignment="1">
      <alignment horizontal="center" vertical="center"/>
    </xf>
    <xf numFmtId="164" fontId="3" fillId="6" borderId="1"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37" xfId="0" applyFont="1" applyBorder="1" applyAlignment="1">
      <alignment horizontal="center" vertical="center"/>
    </xf>
    <xf numFmtId="43" fontId="6" fillId="0" borderId="1" xfId="0" applyNumberFormat="1" applyFont="1" applyFill="1" applyBorder="1" applyAlignment="1">
      <alignment horizontal="center" vertical="center" wrapText="1"/>
    </xf>
    <xf numFmtId="167" fontId="7" fillId="2" borderId="1" xfId="1" applyNumberFormat="1" applyFont="1" applyFill="1" applyBorder="1" applyAlignment="1" applyProtection="1">
      <alignment horizontal="center" vertical="center"/>
      <protection locked="0"/>
    </xf>
    <xf numFmtId="0" fontId="6" fillId="0" borderId="19" xfId="0" applyFont="1" applyBorder="1" applyAlignment="1">
      <alignment horizontal="center" vertical="center" wrapText="1"/>
    </xf>
    <xf numFmtId="0" fontId="2" fillId="0" borderId="1" xfId="6" applyNumberFormat="1" applyFont="1" applyFill="1" applyBorder="1" applyAlignment="1">
      <alignment horizontal="center" vertical="center"/>
    </xf>
    <xf numFmtId="169" fontId="7" fillId="0" borderId="1" xfId="5" applyFont="1" applyFill="1" applyBorder="1" applyAlignment="1">
      <alignment horizontal="justify" vertical="center" wrapText="1"/>
    </xf>
    <xf numFmtId="0" fontId="5" fillId="0" borderId="0" xfId="0" applyFont="1" applyFill="1" applyBorder="1" applyAlignment="1">
      <alignment horizontal="center" vertical="center"/>
    </xf>
    <xf numFmtId="43" fontId="6" fillId="2" borderId="1" xfId="0" applyNumberFormat="1" applyFont="1" applyFill="1" applyBorder="1" applyAlignment="1">
      <alignment horizontal="center" vertical="center" wrapText="1"/>
    </xf>
    <xf numFmtId="43" fontId="7" fillId="2" borderId="1" xfId="0" applyNumberFormat="1" applyFont="1" applyFill="1" applyBorder="1" applyAlignment="1">
      <alignment horizontal="center" vertical="center" wrapText="1"/>
    </xf>
    <xf numFmtId="0" fontId="2" fillId="2" borderId="1" xfId="6" applyNumberFormat="1" applyFont="1" applyFill="1" applyBorder="1" applyAlignment="1">
      <alignment horizontal="center" vertical="center"/>
    </xf>
    <xf numFmtId="0" fontId="6" fillId="0" borderId="16" xfId="0" applyFont="1" applyBorder="1" applyAlignment="1">
      <alignment horizontal="center" vertical="center" wrapText="1"/>
    </xf>
    <xf numFmtId="167" fontId="7" fillId="2" borderId="4" xfId="1" applyNumberFormat="1" applyFont="1" applyFill="1" applyBorder="1" applyAlignment="1" applyProtection="1">
      <alignment horizontal="center" vertical="center"/>
      <protection locked="0"/>
    </xf>
    <xf numFmtId="169" fontId="7" fillId="0" borderId="1" xfId="5" applyFont="1" applyBorder="1" applyAlignment="1">
      <alignment horizontal="justify" vertical="center" wrapText="1"/>
    </xf>
    <xf numFmtId="0" fontId="5" fillId="0" borderId="7" xfId="0" applyFont="1" applyFill="1" applyBorder="1" applyAlignment="1">
      <alignment horizontal="center" vertical="center"/>
    </xf>
    <xf numFmtId="43" fontId="6" fillId="5" borderId="0" xfId="0" applyNumberFormat="1" applyFont="1" applyFill="1" applyAlignment="1">
      <alignment horizontal="center" vertical="center" wrapText="1"/>
    </xf>
    <xf numFmtId="43" fontId="6" fillId="2" borderId="19" xfId="0"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169" fontId="7" fillId="2" borderId="1" xfId="5" applyFont="1" applyFill="1" applyBorder="1" applyAlignment="1">
      <alignment horizontal="justify" vertical="center" wrapText="1"/>
    </xf>
    <xf numFmtId="0" fontId="5" fillId="4" borderId="36" xfId="0" applyNumberFormat="1" applyFont="1" applyFill="1" applyBorder="1" applyAlignment="1">
      <alignment horizontal="center" vertical="center"/>
    </xf>
    <xf numFmtId="0" fontId="5" fillId="4" borderId="36"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6" xfId="0" applyFont="1" applyFill="1" applyBorder="1" applyAlignment="1">
      <alignment horizontal="justify" vertical="center"/>
    </xf>
    <xf numFmtId="0" fontId="2" fillId="4" borderId="1" xfId="0" applyFont="1" applyFill="1" applyBorder="1" applyAlignment="1">
      <alignment horizontal="justify" vertical="center" wrapText="1"/>
    </xf>
    <xf numFmtId="4" fontId="3" fillId="4" borderId="1" xfId="0" applyNumberFormat="1" applyFont="1" applyFill="1" applyBorder="1" applyAlignment="1">
      <alignment horizontal="center" vertical="center"/>
    </xf>
    <xf numFmtId="4" fontId="3" fillId="4" borderId="1" xfId="0" applyNumberFormat="1" applyFont="1" applyFill="1" applyBorder="1" applyAlignment="1">
      <alignment horizontal="justify" vertical="center"/>
    </xf>
    <xf numFmtId="1" fontId="2" fillId="2" borderId="0" xfId="0" applyNumberFormat="1" applyFont="1" applyFill="1" applyAlignment="1">
      <alignment horizontal="justify" vertical="center"/>
    </xf>
    <xf numFmtId="168" fontId="4" fillId="3" borderId="1" xfId="1" applyFont="1" applyFill="1" applyBorder="1"/>
    <xf numFmtId="168" fontId="4" fillId="3" borderId="0" xfId="1" applyFont="1" applyFill="1"/>
    <xf numFmtId="167" fontId="13" fillId="2" borderId="0" xfId="0" applyNumberFormat="1" applyFont="1" applyFill="1" applyAlignment="1">
      <alignment horizontal="center" vertical="center"/>
    </xf>
    <xf numFmtId="0" fontId="13" fillId="2" borderId="0" xfId="0" applyFont="1" applyFill="1" applyAlignment="1">
      <alignment horizontal="center" vertical="center"/>
    </xf>
    <xf numFmtId="0" fontId="2" fillId="0" borderId="38" xfId="0" applyFont="1" applyBorder="1" applyAlignment="1">
      <alignment horizontal="center" vertical="center"/>
    </xf>
    <xf numFmtId="0" fontId="2" fillId="0" borderId="38" xfId="0" applyFont="1" applyBorder="1" applyAlignment="1">
      <alignment horizontal="justify" vertical="center"/>
    </xf>
    <xf numFmtId="166" fontId="2" fillId="2" borderId="0" xfId="0" applyNumberFormat="1" applyFont="1" applyFill="1" applyAlignment="1">
      <alignment horizontal="justify" vertical="center"/>
    </xf>
    <xf numFmtId="0" fontId="5" fillId="0" borderId="1" xfId="0" applyFont="1" applyBorder="1" applyAlignment="1">
      <alignment horizontal="center" vertical="center"/>
    </xf>
    <xf numFmtId="49" fontId="7" fillId="0" borderId="1" xfId="0" applyNumberFormat="1" applyFont="1" applyBorder="1" applyAlignment="1">
      <alignment horizontal="left" vertical="center"/>
    </xf>
    <xf numFmtId="0" fontId="7" fillId="0" borderId="1" xfId="0" applyFont="1" applyBorder="1" applyAlignment="1">
      <alignment horizontal="left" vertical="center" wrapText="1"/>
    </xf>
    <xf numFmtId="3" fontId="5" fillId="0" borderId="1" xfId="0" applyNumberFormat="1" applyFont="1" applyBorder="1" applyAlignment="1">
      <alignment horizontal="center" vertical="center" wrapText="1"/>
    </xf>
    <xf numFmtId="0" fontId="3" fillId="0" borderId="36" xfId="0" applyFont="1" applyBorder="1" applyAlignment="1">
      <alignment horizontal="center" vertical="center"/>
    </xf>
    <xf numFmtId="0" fontId="3" fillId="0" borderId="36" xfId="0" applyFont="1" applyBorder="1" applyAlignment="1">
      <alignment horizontal="justify" vertical="center"/>
    </xf>
    <xf numFmtId="0" fontId="5" fillId="0" borderId="32"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1" fontId="3" fillId="11" borderId="9" xfId="0" applyNumberFormat="1" applyFont="1" applyFill="1" applyBorder="1" applyAlignment="1">
      <alignment horizontal="center" vertical="center" wrapText="1"/>
    </xf>
    <xf numFmtId="0" fontId="5" fillId="11" borderId="23" xfId="0" applyFont="1" applyFill="1" applyBorder="1" applyAlignment="1">
      <alignment horizontal="left" vertical="center"/>
    </xf>
    <xf numFmtId="0" fontId="5" fillId="11" borderId="37" xfId="0" applyFont="1" applyFill="1" applyBorder="1" applyAlignment="1">
      <alignment horizontal="left" vertical="center"/>
    </xf>
    <xf numFmtId="0" fontId="3" fillId="11" borderId="30" xfId="0" applyFont="1" applyFill="1" applyBorder="1" applyAlignment="1">
      <alignment horizontal="justify" vertical="center"/>
    </xf>
    <xf numFmtId="0" fontId="3" fillId="11" borderId="30" xfId="0" applyFont="1" applyFill="1" applyBorder="1" applyAlignment="1">
      <alignment horizontal="center" vertical="center"/>
    </xf>
    <xf numFmtId="166" fontId="3" fillId="11" borderId="30" xfId="0" applyNumberFormat="1" applyFont="1" applyFill="1" applyBorder="1" applyAlignment="1">
      <alignment horizontal="center" vertical="center"/>
    </xf>
    <xf numFmtId="165" fontId="3" fillId="11" borderId="30" xfId="0" applyNumberFormat="1" applyFont="1" applyFill="1" applyBorder="1" applyAlignment="1">
      <alignment horizontal="center" vertical="center"/>
    </xf>
    <xf numFmtId="0" fontId="2" fillId="11" borderId="30" xfId="0" applyFont="1" applyFill="1" applyBorder="1" applyAlignment="1">
      <alignment horizontal="justify" vertical="center"/>
    </xf>
    <xf numFmtId="1" fontId="3" fillId="11" borderId="30" xfId="0" applyNumberFormat="1" applyFont="1" applyFill="1" applyBorder="1" applyAlignment="1">
      <alignment horizontal="center" vertical="center"/>
    </xf>
    <xf numFmtId="0" fontId="3" fillId="11" borderId="22" xfId="0" applyFont="1" applyFill="1" applyBorder="1" applyAlignment="1">
      <alignment horizontal="center" vertical="center"/>
    </xf>
    <xf numFmtId="1" fontId="3" fillId="0" borderId="13" xfId="0" applyNumberFormat="1" applyFont="1" applyFill="1" applyBorder="1" applyAlignment="1">
      <alignment horizontal="center" vertical="center" wrapText="1"/>
    </xf>
    <xf numFmtId="0" fontId="5" fillId="0" borderId="28" xfId="0" applyFont="1" applyFill="1" applyBorder="1" applyAlignment="1">
      <alignment horizontal="center" vertical="center"/>
    </xf>
    <xf numFmtId="0" fontId="2" fillId="10" borderId="30" xfId="0" applyFont="1" applyFill="1" applyBorder="1" applyAlignment="1">
      <alignment horizontal="justify" vertical="center"/>
    </xf>
    <xf numFmtId="0" fontId="3" fillId="10" borderId="29" xfId="0" applyFont="1" applyFill="1" applyBorder="1" applyAlignment="1">
      <alignment horizontal="center" vertical="center"/>
    </xf>
    <xf numFmtId="1" fontId="3" fillId="0" borderId="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1" fontId="3" fillId="2" borderId="28" xfId="0" applyNumberFormat="1"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6" borderId="16" xfId="0" applyFont="1" applyFill="1" applyBorder="1" applyAlignment="1">
      <alignment horizontal="justify" vertical="center"/>
    </xf>
    <xf numFmtId="0" fontId="7" fillId="6" borderId="16" xfId="0" applyFont="1" applyFill="1" applyBorder="1" applyAlignment="1">
      <alignment horizontal="justify" vertical="center"/>
    </xf>
    <xf numFmtId="0" fontId="5" fillId="6" borderId="30" xfId="0" applyFont="1" applyFill="1" applyBorder="1" applyAlignment="1">
      <alignment horizontal="center" vertical="center"/>
    </xf>
    <xf numFmtId="1" fontId="3" fillId="2" borderId="6"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167" fontId="7" fillId="2" borderId="1" xfId="7" applyNumberFormat="1" applyFont="1" applyFill="1" applyBorder="1" applyAlignment="1">
      <alignment horizontal="center" vertical="center"/>
    </xf>
    <xf numFmtId="167" fontId="7" fillId="2" borderId="1" xfId="7" applyFont="1" applyFill="1" applyBorder="1" applyAlignment="1" applyProtection="1">
      <alignment horizontal="right" vertical="center"/>
      <protection locked="0"/>
    </xf>
    <xf numFmtId="0" fontId="6" fillId="2" borderId="16" xfId="0" applyFont="1" applyFill="1" applyBorder="1" applyAlignment="1">
      <alignment horizontal="center" vertical="center" wrapText="1"/>
    </xf>
    <xf numFmtId="167" fontId="7" fillId="2" borderId="12" xfId="7" applyNumberFormat="1" applyFont="1" applyFill="1" applyBorder="1" applyAlignment="1">
      <alignment horizontal="center" vertical="center"/>
    </xf>
    <xf numFmtId="0" fontId="6" fillId="2" borderId="30" xfId="0" applyFont="1" applyFill="1" applyBorder="1" applyAlignment="1">
      <alignment horizontal="center" vertical="center" wrapText="1"/>
    </xf>
    <xf numFmtId="0" fontId="5" fillId="0" borderId="0" xfId="0" applyFont="1" applyBorder="1" applyAlignment="1">
      <alignment horizontal="center" vertical="center" wrapText="1"/>
    </xf>
    <xf numFmtId="167" fontId="7" fillId="2" borderId="1" xfId="0" applyNumberFormat="1" applyFont="1" applyFill="1" applyBorder="1" applyAlignment="1">
      <alignment horizontal="center" vertical="center"/>
    </xf>
    <xf numFmtId="0" fontId="7" fillId="0" borderId="1" xfId="7" applyNumberFormat="1" applyFont="1" applyFill="1" applyBorder="1" applyAlignment="1">
      <alignment horizontal="center" vertical="center"/>
    </xf>
    <xf numFmtId="167" fontId="7" fillId="2" borderId="1" xfId="7" applyFont="1" applyFill="1" applyBorder="1" applyAlignment="1">
      <alignment horizontal="center" vertical="center" wrapText="1"/>
    </xf>
    <xf numFmtId="167" fontId="7" fillId="2" borderId="5" xfId="7" applyFont="1" applyFill="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0" fontId="5" fillId="0" borderId="0" xfId="0" applyFont="1" applyAlignment="1">
      <alignment horizontal="center" vertical="center" wrapText="1"/>
    </xf>
    <xf numFmtId="0" fontId="5" fillId="6" borderId="2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7" xfId="0" applyFont="1" applyFill="1" applyBorder="1" applyAlignment="1">
      <alignment horizontal="justify" vertical="center" wrapText="1"/>
    </xf>
    <xf numFmtId="0" fontId="5" fillId="6" borderId="17" xfId="0" applyFont="1" applyFill="1" applyBorder="1" applyAlignment="1">
      <alignment horizontal="justify" vertical="center"/>
    </xf>
    <xf numFmtId="0" fontId="5" fillId="6" borderId="1" xfId="0" applyFont="1" applyFill="1" applyBorder="1" applyAlignment="1">
      <alignment horizontal="center" vertical="center" wrapText="1"/>
    </xf>
    <xf numFmtId="167" fontId="7" fillId="6" borderId="1" xfId="0" applyNumberFormat="1" applyFont="1" applyFill="1" applyBorder="1" applyAlignment="1">
      <alignment horizontal="justify" vertical="center"/>
    </xf>
    <xf numFmtId="167" fontId="5" fillId="6" borderId="1" xfId="0" applyNumberFormat="1" applyFont="1" applyFill="1" applyBorder="1" applyAlignment="1">
      <alignment horizontal="justify" vertical="center"/>
    </xf>
    <xf numFmtId="167" fontId="5" fillId="6" borderId="1" xfId="0" applyNumberFormat="1" applyFont="1" applyFill="1" applyBorder="1" applyAlignment="1">
      <alignment horizontal="center" vertical="center"/>
    </xf>
    <xf numFmtId="0" fontId="7" fillId="6" borderId="1" xfId="0" applyFont="1" applyFill="1" applyBorder="1" applyAlignment="1">
      <alignment horizontal="center" vertical="center"/>
    </xf>
    <xf numFmtId="167" fontId="5" fillId="6" borderId="1" xfId="0" applyNumberFormat="1" applyFont="1" applyFill="1" applyBorder="1" applyAlignment="1">
      <alignment horizontal="center" vertical="center" wrapText="1"/>
    </xf>
    <xf numFmtId="167" fontId="5" fillId="6" borderId="1" xfId="1" applyNumberFormat="1" applyFont="1" applyFill="1" applyBorder="1" applyAlignment="1">
      <alignment horizontal="center" vertical="center"/>
    </xf>
    <xf numFmtId="9" fontId="5" fillId="6" borderId="1" xfId="2" applyFont="1" applyFill="1" applyBorder="1" applyAlignment="1">
      <alignment horizontal="center" vertical="center"/>
    </xf>
    <xf numFmtId="167" fontId="7" fillId="0" borderId="18" xfId="0" applyNumberFormat="1" applyFont="1" applyBorder="1" applyAlignment="1">
      <alignment horizontal="justify" vertical="center" wrapText="1"/>
    </xf>
    <xf numFmtId="167" fontId="7" fillId="0" borderId="4" xfId="0" applyNumberFormat="1" applyFont="1" applyFill="1" applyBorder="1" applyAlignment="1">
      <alignment horizontal="center" vertical="center"/>
    </xf>
    <xf numFmtId="167" fontId="7" fillId="2" borderId="4" xfId="0" applyNumberFormat="1" applyFont="1" applyFill="1" applyBorder="1" applyAlignment="1">
      <alignment horizontal="center" vertical="center"/>
    </xf>
    <xf numFmtId="0" fontId="6" fillId="0" borderId="39" xfId="0" applyFont="1" applyFill="1" applyBorder="1" applyAlignment="1">
      <alignment horizontal="center" vertical="center" wrapText="1"/>
    </xf>
    <xf numFmtId="0" fontId="7" fillId="0" borderId="39" xfId="0" applyFont="1" applyBorder="1" applyAlignment="1">
      <alignment horizontal="center" vertical="center"/>
    </xf>
    <xf numFmtId="167" fontId="7" fillId="0" borderId="15" xfId="0" applyNumberFormat="1" applyFont="1" applyBorder="1" applyAlignment="1">
      <alignment horizontal="center" vertical="center" wrapText="1"/>
    </xf>
    <xf numFmtId="0" fontId="5" fillId="0" borderId="7" xfId="0" applyFont="1" applyBorder="1" applyAlignment="1">
      <alignment horizontal="center" vertical="center"/>
    </xf>
    <xf numFmtId="167" fontId="7" fillId="0" borderId="31" xfId="7" applyFont="1" applyFill="1" applyBorder="1" applyAlignment="1">
      <alignment horizontal="justify" vertical="center"/>
    </xf>
    <xf numFmtId="167" fontId="7" fillId="0" borderId="1" xfId="0" applyNumberFormat="1" applyFont="1" applyFill="1" applyBorder="1" applyAlignment="1">
      <alignment horizontal="center" vertical="center"/>
    </xf>
    <xf numFmtId="0" fontId="6" fillId="0" borderId="29" xfId="0" applyFont="1" applyFill="1" applyBorder="1" applyAlignment="1">
      <alignment horizontal="center" vertical="center" wrapText="1"/>
    </xf>
    <xf numFmtId="0" fontId="7" fillId="0" borderId="29" xfId="0" applyFont="1" applyBorder="1" applyAlignment="1">
      <alignment horizontal="center" vertical="center"/>
    </xf>
    <xf numFmtId="167" fontId="7" fillId="0" borderId="9" xfId="0" applyNumberFormat="1" applyFont="1" applyBorder="1" applyAlignment="1">
      <alignment horizontal="center" vertical="center" wrapText="1"/>
    </xf>
    <xf numFmtId="0" fontId="3" fillId="4" borderId="2" xfId="0" applyFont="1" applyFill="1" applyBorder="1" applyAlignment="1">
      <alignment horizontal="center" vertical="center"/>
    </xf>
    <xf numFmtId="41" fontId="3" fillId="4" borderId="36" xfId="9" applyNumberFormat="1" applyFont="1" applyFill="1" applyBorder="1" applyAlignment="1">
      <alignment vertical="center"/>
    </xf>
    <xf numFmtId="167" fontId="3" fillId="4" borderId="1" xfId="9" applyNumberFormat="1" applyFont="1" applyFill="1" applyBorder="1" applyAlignment="1">
      <alignment horizontal="center" vertical="center"/>
    </xf>
    <xf numFmtId="0" fontId="3" fillId="4" borderId="32" xfId="0" applyFont="1" applyFill="1" applyBorder="1" applyAlignment="1">
      <alignment horizontal="center" vertical="center"/>
    </xf>
    <xf numFmtId="0" fontId="14" fillId="0" borderId="1" xfId="3" applyFont="1" applyFill="1" applyBorder="1" applyAlignment="1">
      <alignment horizontal="center" vertical="center"/>
    </xf>
    <xf numFmtId="170" fontId="16" fillId="0" borderId="1" xfId="3" applyNumberFormat="1" applyFont="1" applyFill="1" applyBorder="1" applyAlignment="1">
      <alignment horizontal="left" vertical="center"/>
    </xf>
    <xf numFmtId="14" fontId="16" fillId="0" borderId="1" xfId="0" applyNumberFormat="1" applyFont="1" applyFill="1" applyBorder="1" applyAlignment="1">
      <alignment horizontal="left" vertical="center" wrapText="1"/>
    </xf>
    <xf numFmtId="0" fontId="14" fillId="0" borderId="12" xfId="3" applyFont="1" applyFill="1" applyBorder="1" applyAlignment="1">
      <alignment horizontal="center" vertical="center"/>
    </xf>
    <xf numFmtId="3" fontId="17" fillId="0" borderId="12" xfId="3" applyNumberFormat="1" applyFont="1" applyFill="1" applyBorder="1" applyAlignment="1">
      <alignment horizontal="center" vertical="center" wrapText="1"/>
    </xf>
    <xf numFmtId="4" fontId="3" fillId="0" borderId="38" xfId="0" applyNumberFormat="1" applyFont="1" applyBorder="1" applyAlignment="1">
      <alignment horizontal="center" vertical="center"/>
    </xf>
    <xf numFmtId="0" fontId="3" fillId="12" borderId="2" xfId="0" applyFont="1" applyFill="1" applyBorder="1" applyAlignment="1">
      <alignment horizontal="center" vertical="center" wrapText="1"/>
    </xf>
    <xf numFmtId="4" fontId="3" fillId="12" borderId="1" xfId="0" applyNumberFormat="1" applyFont="1" applyFill="1" applyBorder="1" applyAlignment="1">
      <alignment horizontal="center" vertical="center" wrapText="1"/>
    </xf>
    <xf numFmtId="165" fontId="3" fillId="12" borderId="1" xfId="3" applyNumberFormat="1"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9" fillId="12" borderId="1" xfId="0" applyFont="1" applyFill="1" applyBorder="1" applyAlignment="1">
      <alignment horizontal="center" vertical="center" wrapText="1"/>
    </xf>
    <xf numFmtId="172" fontId="18" fillId="12" borderId="1" xfId="0" applyNumberFormat="1" applyFont="1" applyFill="1" applyBorder="1" applyAlignment="1">
      <alignment horizontal="center" vertical="center" wrapText="1"/>
    </xf>
    <xf numFmtId="172" fontId="19" fillId="12" borderId="1" xfId="0" applyNumberFormat="1" applyFont="1" applyFill="1" applyBorder="1" applyAlignment="1">
      <alignment horizontal="center" vertical="center" wrapText="1"/>
    </xf>
    <xf numFmtId="1" fontId="3" fillId="11" borderId="8" xfId="0" applyNumberFormat="1" applyFont="1" applyFill="1" applyBorder="1" applyAlignment="1">
      <alignment horizontal="center" vertical="center" wrapText="1"/>
    </xf>
    <xf numFmtId="4" fontId="3" fillId="11" borderId="0" xfId="0" applyNumberFormat="1" applyFont="1" applyFill="1" applyBorder="1" applyAlignment="1">
      <alignment horizontal="center" vertical="center"/>
    </xf>
    <xf numFmtId="164" fontId="3" fillId="11" borderId="30" xfId="0" applyNumberFormat="1" applyFont="1" applyFill="1" applyBorder="1" applyAlignment="1">
      <alignment horizontal="center" vertical="center"/>
    </xf>
    <xf numFmtId="0" fontId="3" fillId="11" borderId="29" xfId="0" applyFont="1" applyFill="1" applyBorder="1" applyAlignment="1">
      <alignment horizontal="center" vertical="center"/>
    </xf>
    <xf numFmtId="0" fontId="3" fillId="0" borderId="28" xfId="0" applyFont="1" applyFill="1" applyBorder="1" applyAlignment="1">
      <alignment horizontal="center" vertical="center"/>
    </xf>
    <xf numFmtId="0" fontId="3" fillId="10" borderId="16" xfId="0" applyFont="1" applyFill="1" applyBorder="1" applyAlignment="1">
      <alignment horizontal="center" vertical="center"/>
    </xf>
    <xf numFmtId="166" fontId="3" fillId="10" borderId="16" xfId="0" applyNumberFormat="1" applyFont="1" applyFill="1" applyBorder="1" applyAlignment="1">
      <alignment horizontal="center" vertical="center"/>
    </xf>
    <xf numFmtId="165" fontId="3" fillId="10" borderId="16" xfId="0" applyNumberFormat="1" applyFont="1" applyFill="1" applyBorder="1" applyAlignment="1">
      <alignment horizontal="center" vertical="center"/>
    </xf>
    <xf numFmtId="4" fontId="3" fillId="10" borderId="16" xfId="0" applyNumberFormat="1" applyFont="1" applyFill="1" applyBorder="1" applyAlignment="1">
      <alignment horizontal="center" vertical="center"/>
    </xf>
    <xf numFmtId="1" fontId="3" fillId="10" borderId="16" xfId="0" applyNumberFormat="1" applyFont="1" applyFill="1" applyBorder="1" applyAlignment="1">
      <alignment horizontal="center" vertical="center"/>
    </xf>
    <xf numFmtId="164" fontId="3" fillId="10" borderId="16" xfId="0" applyNumberFormat="1" applyFont="1" applyFill="1" applyBorder="1" applyAlignment="1">
      <alignment horizontal="center" vertical="center"/>
    </xf>
    <xf numFmtId="0" fontId="3" fillId="10" borderId="19" xfId="0" applyFont="1" applyFill="1" applyBorder="1" applyAlignment="1">
      <alignment horizontal="center" vertical="center"/>
    </xf>
    <xf numFmtId="1" fontId="3" fillId="6" borderId="19" xfId="0" applyNumberFormat="1" applyFont="1" applyFill="1" applyBorder="1" applyAlignment="1">
      <alignment horizontal="center" vertical="center" wrapText="1" indent="1"/>
    </xf>
    <xf numFmtId="0" fontId="3" fillId="6" borderId="43" xfId="0" applyFont="1" applyFill="1" applyBorder="1" applyAlignment="1">
      <alignment horizontal="left" vertical="center"/>
    </xf>
    <xf numFmtId="0" fontId="3" fillId="6" borderId="44" xfId="0" applyFont="1" applyFill="1" applyBorder="1" applyAlignment="1">
      <alignment horizontal="left" vertical="center"/>
    </xf>
    <xf numFmtId="0" fontId="3" fillId="6" borderId="0" xfId="0" applyFont="1" applyFill="1" applyBorder="1" applyAlignment="1">
      <alignment horizontal="center" vertical="center"/>
    </xf>
    <xf numFmtId="166" fontId="3" fillId="6" borderId="38" xfId="0" applyNumberFormat="1" applyFont="1" applyFill="1" applyBorder="1" applyAlignment="1">
      <alignment horizontal="center" vertical="center"/>
    </xf>
    <xf numFmtId="165" fontId="3" fillId="6" borderId="38" xfId="0" applyNumberFormat="1" applyFont="1" applyFill="1" applyBorder="1" applyAlignment="1">
      <alignment horizontal="center" vertical="center"/>
    </xf>
    <xf numFmtId="0" fontId="3" fillId="6" borderId="38" xfId="0" applyFont="1" applyFill="1" applyBorder="1" applyAlignment="1">
      <alignment horizontal="center" vertical="center"/>
    </xf>
    <xf numFmtId="4" fontId="3" fillId="6" borderId="38" xfId="0" applyNumberFormat="1" applyFont="1" applyFill="1" applyBorder="1" applyAlignment="1">
      <alignment horizontal="center" vertical="center"/>
    </xf>
    <xf numFmtId="1" fontId="3" fillId="6" borderId="38" xfId="0" applyNumberFormat="1" applyFont="1" applyFill="1" applyBorder="1" applyAlignment="1">
      <alignment horizontal="center" vertical="center"/>
    </xf>
    <xf numFmtId="164" fontId="3" fillId="6" borderId="38" xfId="0" applyNumberFormat="1" applyFont="1" applyFill="1" applyBorder="1" applyAlignment="1">
      <alignment horizontal="center" vertical="center"/>
    </xf>
    <xf numFmtId="0" fontId="3" fillId="6" borderId="10" xfId="0" applyFont="1" applyFill="1" applyBorder="1" applyAlignment="1">
      <alignment horizontal="center" vertical="center"/>
    </xf>
    <xf numFmtId="0" fontId="2" fillId="0" borderId="0" xfId="0" applyFont="1" applyFill="1" applyBorder="1" applyAlignment="1">
      <alignment horizontal="center" vertical="center" wrapText="1"/>
    </xf>
    <xf numFmtId="43" fontId="2" fillId="0" borderId="1" xfId="10" applyFont="1" applyFill="1" applyBorder="1" applyAlignment="1">
      <alignment horizontal="center" vertical="center" wrapText="1"/>
    </xf>
    <xf numFmtId="43" fontId="2" fillId="0" borderId="1" xfId="10" applyFont="1" applyFill="1" applyBorder="1" applyAlignment="1">
      <alignment horizontal="center" vertical="center"/>
    </xf>
    <xf numFmtId="1" fontId="2" fillId="0" borderId="7"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32"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7" xfId="0" applyFont="1" applyFill="1" applyBorder="1" applyAlignment="1">
      <alignment horizontal="justify" vertical="center" wrapText="1"/>
    </xf>
    <xf numFmtId="0" fontId="6" fillId="0" borderId="22"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1" fontId="2" fillId="0" borderId="2" xfId="0" applyNumberFormat="1" applyFont="1" applyFill="1" applyBorder="1" applyAlignment="1">
      <alignment horizontal="center" vertical="center" wrapText="1"/>
    </xf>
    <xf numFmtId="1" fontId="2" fillId="0" borderId="38" xfId="0" applyNumberFormat="1" applyFont="1" applyFill="1" applyBorder="1" applyAlignment="1">
      <alignment horizontal="center" vertical="center" wrapText="1"/>
    </xf>
    <xf numFmtId="0" fontId="2" fillId="0" borderId="36" xfId="0" applyFont="1" applyFill="1" applyBorder="1" applyAlignment="1">
      <alignment horizontal="justify" vertical="center" wrapText="1"/>
    </xf>
    <xf numFmtId="0" fontId="6" fillId="0" borderId="19" xfId="0" applyFont="1" applyFill="1" applyBorder="1" applyAlignment="1">
      <alignment horizontal="center" vertical="center" wrapText="1"/>
    </xf>
    <xf numFmtId="1" fontId="2" fillId="0" borderId="32" xfId="0" applyNumberFormat="1" applyFont="1" applyFill="1" applyBorder="1" applyAlignment="1">
      <alignment horizontal="center" vertical="center" wrapText="1"/>
    </xf>
    <xf numFmtId="1" fontId="2" fillId="0" borderId="36"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justify" vertical="center" wrapText="1"/>
    </xf>
    <xf numFmtId="10" fontId="2" fillId="0" borderId="4" xfId="2" applyNumberFormat="1" applyFont="1" applyFill="1" applyBorder="1" applyAlignment="1">
      <alignment horizontal="center" vertical="center" wrapText="1"/>
    </xf>
    <xf numFmtId="3" fontId="2" fillId="0" borderId="15" xfId="0" applyNumberFormat="1" applyFont="1" applyFill="1" applyBorder="1" applyAlignment="1">
      <alignment horizontal="justify" vertical="center" wrapText="1"/>
    </xf>
    <xf numFmtId="0" fontId="7" fillId="0" borderId="5" xfId="0" applyFont="1" applyFill="1" applyBorder="1" applyAlignment="1">
      <alignment horizontal="center" vertical="center" wrapText="1"/>
    </xf>
    <xf numFmtId="0" fontId="2" fillId="0" borderId="32" xfId="0" applyFont="1" applyFill="1" applyBorder="1" applyAlignment="1">
      <alignment vertical="center" wrapText="1"/>
    </xf>
    <xf numFmtId="0" fontId="7" fillId="0" borderId="40" xfId="0" applyFont="1" applyFill="1" applyBorder="1" applyAlignment="1">
      <alignment vertical="center" wrapText="1"/>
    </xf>
    <xf numFmtId="0" fontId="7" fillId="0" borderId="40" xfId="0" applyFont="1" applyFill="1" applyBorder="1" applyAlignment="1">
      <alignment horizontal="center" vertical="center" wrapText="1"/>
    </xf>
    <xf numFmtId="10" fontId="2" fillId="0" borderId="1" xfId="2" applyNumberFormat="1" applyFont="1" applyFill="1" applyBorder="1" applyAlignment="1">
      <alignment horizontal="center" vertical="center" wrapText="1"/>
    </xf>
    <xf numFmtId="3" fontId="2" fillId="0" borderId="5" xfId="0" applyNumberFormat="1" applyFont="1" applyFill="1" applyBorder="1" applyAlignment="1">
      <alignment horizontal="justify" vertical="center" wrapText="1"/>
    </xf>
    <xf numFmtId="0" fontId="7" fillId="0" borderId="9" xfId="10" applyNumberFormat="1" applyFont="1" applyFill="1" applyBorder="1" applyAlignment="1">
      <alignment horizontal="center" vertical="center" wrapText="1"/>
    </xf>
    <xf numFmtId="0" fontId="2" fillId="0" borderId="28" xfId="0" applyFont="1" applyFill="1" applyBorder="1" applyAlignment="1">
      <alignment vertical="center" wrapText="1"/>
    </xf>
    <xf numFmtId="0" fontId="7" fillId="0" borderId="31" xfId="0" applyFont="1" applyFill="1" applyBorder="1" applyAlignment="1">
      <alignment vertical="center" wrapText="1"/>
    </xf>
    <xf numFmtId="0" fontId="7" fillId="0" borderId="31" xfId="10" applyNumberFormat="1" applyFont="1" applyFill="1" applyBorder="1" applyAlignment="1">
      <alignment horizontal="center" vertical="center" wrapText="1"/>
    </xf>
    <xf numFmtId="10" fontId="2" fillId="0" borderId="12" xfId="2" applyNumberFormat="1" applyFont="1" applyFill="1" applyBorder="1" applyAlignment="1">
      <alignment horizontal="center" vertical="center" wrapText="1"/>
    </xf>
    <xf numFmtId="43" fontId="6" fillId="0" borderId="1" xfId="1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Font="1" applyFill="1" applyBorder="1" applyAlignment="1">
      <alignment horizontal="justify" vertical="center" wrapText="1"/>
    </xf>
    <xf numFmtId="0" fontId="2" fillId="0" borderId="31" xfId="0" applyFont="1" applyFill="1" applyBorder="1" applyAlignment="1">
      <alignment horizontal="justify" vertical="center" wrapText="1"/>
    </xf>
    <xf numFmtId="43" fontId="6" fillId="0" borderId="1" xfId="10" applyFont="1" applyFill="1" applyBorder="1" applyAlignment="1">
      <alignment horizontal="center" vertical="center" wrapText="1"/>
    </xf>
    <xf numFmtId="1" fontId="2" fillId="0" borderId="37" xfId="0" applyNumberFormat="1" applyFont="1" applyFill="1" applyBorder="1" applyAlignment="1">
      <alignment horizontal="center" vertical="center" wrapText="1"/>
    </xf>
    <xf numFmtId="0" fontId="2" fillId="0" borderId="40" xfId="0" applyFont="1" applyFill="1" applyBorder="1" applyAlignment="1">
      <alignment horizontal="justify" vertical="center" wrapText="1"/>
    </xf>
    <xf numFmtId="1" fontId="2" fillId="0" borderId="19"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1" fontId="2" fillId="0" borderId="30"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44" xfId="0" applyFont="1" applyFill="1" applyBorder="1" applyAlignment="1">
      <alignment vertical="center"/>
    </xf>
    <xf numFmtId="0" fontId="3" fillId="6" borderId="44" xfId="0" applyFont="1" applyFill="1" applyBorder="1" applyAlignment="1">
      <alignment horizontal="center" vertical="center"/>
    </xf>
    <xf numFmtId="0" fontId="3" fillId="6" borderId="44" xfId="0" applyFont="1" applyFill="1" applyBorder="1" applyAlignment="1">
      <alignment horizontal="left" vertical="center" wrapText="1"/>
    </xf>
    <xf numFmtId="0" fontId="3" fillId="6" borderId="44" xfId="0" applyFont="1" applyFill="1" applyBorder="1" applyAlignment="1">
      <alignment vertical="center" wrapText="1"/>
    </xf>
    <xf numFmtId="0" fontId="3" fillId="6" borderId="17" xfId="0" applyFont="1" applyFill="1" applyBorder="1" applyAlignment="1">
      <alignment horizontal="center" vertical="center" wrapText="1"/>
    </xf>
    <xf numFmtId="0" fontId="3" fillId="6" borderId="17" xfId="0" applyFont="1" applyFill="1" applyBorder="1" applyAlignment="1">
      <alignment horizontal="justify" vertical="center" wrapText="1"/>
    </xf>
    <xf numFmtId="43" fontId="3" fillId="6" borderId="17" xfId="10" applyFont="1" applyFill="1" applyBorder="1" applyAlignment="1">
      <alignment horizontal="center" vertical="center" wrapText="1"/>
    </xf>
    <xf numFmtId="0" fontId="3" fillId="6" borderId="0" xfId="0" applyFont="1" applyFill="1" applyBorder="1" applyAlignment="1">
      <alignment horizontal="center" vertical="center" wrapText="1"/>
    </xf>
    <xf numFmtId="43" fontId="3" fillId="6" borderId="42" xfId="1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8" xfId="0" applyFont="1" applyFill="1" applyBorder="1" applyAlignment="1">
      <alignment horizontal="center" vertical="center" wrapText="1"/>
    </xf>
    <xf numFmtId="0" fontId="2" fillId="0" borderId="20" xfId="0" applyFont="1" applyFill="1" applyBorder="1" applyAlignment="1">
      <alignment horizontal="center" vertical="center" wrapText="1"/>
    </xf>
    <xf numFmtId="9" fontId="2" fillId="0" borderId="4" xfId="2" applyFont="1" applyFill="1" applyBorder="1" applyAlignment="1">
      <alignment horizontal="center" vertical="center" wrapText="1"/>
    </xf>
    <xf numFmtId="3" fontId="2" fillId="0" borderId="18"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43" fontId="2" fillId="0" borderId="4" xfId="10" applyFont="1" applyFill="1" applyBorder="1" applyAlignment="1">
      <alignment horizontal="center" vertical="center" wrapText="1"/>
    </xf>
    <xf numFmtId="43" fontId="2" fillId="0" borderId="11" xfId="10" applyFont="1" applyFill="1" applyBorder="1" applyAlignment="1">
      <alignment horizontal="center" vertical="center" wrapText="1"/>
    </xf>
    <xf numFmtId="0" fontId="6" fillId="0" borderId="5"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43" fontId="2" fillId="0" borderId="2" xfId="10"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4" borderId="38" xfId="0" applyFont="1" applyFill="1" applyBorder="1" applyAlignment="1">
      <alignment horizontal="center" vertical="center"/>
    </xf>
    <xf numFmtId="166" fontId="3" fillId="4" borderId="38" xfId="0" applyNumberFormat="1" applyFont="1" applyFill="1" applyBorder="1" applyAlignment="1">
      <alignment horizontal="center" vertical="center"/>
    </xf>
    <xf numFmtId="4" fontId="3" fillId="4" borderId="38" xfId="0" applyNumberFormat="1" applyFont="1" applyFill="1" applyBorder="1" applyAlignment="1">
      <alignment horizontal="center" vertical="center"/>
    </xf>
    <xf numFmtId="43" fontId="3" fillId="4" borderId="1" xfId="10" applyFont="1" applyFill="1" applyBorder="1" applyAlignment="1">
      <alignment horizontal="center" vertical="center"/>
    </xf>
    <xf numFmtId="1" fontId="3" fillId="4" borderId="38" xfId="0" applyNumberFormat="1" applyFont="1" applyFill="1" applyBorder="1" applyAlignment="1">
      <alignment horizontal="center" vertical="center"/>
    </xf>
    <xf numFmtId="9" fontId="3" fillId="4" borderId="1" xfId="2" applyFont="1" applyFill="1" applyBorder="1" applyAlignment="1">
      <alignment horizontal="center" vertical="center"/>
    </xf>
    <xf numFmtId="164" fontId="3" fillId="4" borderId="38" xfId="0" applyNumberFormat="1" applyFont="1" applyFill="1" applyBorder="1" applyAlignment="1">
      <alignment horizontal="center" vertical="center"/>
    </xf>
    <xf numFmtId="0" fontId="3" fillId="4" borderId="10" xfId="0" applyFont="1" applyFill="1" applyBorder="1" applyAlignment="1">
      <alignment horizontal="center" vertical="center"/>
    </xf>
    <xf numFmtId="4" fontId="2" fillId="2" borderId="0" xfId="0" applyNumberFormat="1" applyFont="1" applyFill="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10" fillId="13"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2" borderId="1" xfId="0" applyFont="1" applyFill="1" applyBorder="1" applyAlignment="1">
      <alignment horizontal="justify" vertical="center" wrapText="1"/>
    </xf>
    <xf numFmtId="167" fontId="7" fillId="2" borderId="1" xfId="1" applyNumberFormat="1" applyFont="1" applyFill="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2" fillId="0" borderId="7" xfId="0" applyFont="1" applyBorder="1" applyAlignment="1">
      <alignment horizontal="center" vertical="center"/>
    </xf>
    <xf numFmtId="0" fontId="6" fillId="0" borderId="6" xfId="0" applyFont="1" applyFill="1" applyBorder="1" applyAlignment="1">
      <alignment horizontal="justify" vertical="center" wrapText="1"/>
    </xf>
    <xf numFmtId="0" fontId="3" fillId="2" borderId="0" xfId="0" applyFont="1" applyFill="1" applyBorder="1" applyAlignment="1">
      <alignment horizontal="center" vertical="center"/>
    </xf>
    <xf numFmtId="0" fontId="3" fillId="14" borderId="1" xfId="0" applyFont="1" applyFill="1" applyBorder="1" applyAlignment="1">
      <alignment horizontal="center" vertical="center"/>
    </xf>
    <xf numFmtId="164" fontId="3" fillId="12" borderId="1" xfId="0" applyNumberFormat="1" applyFont="1" applyFill="1" applyBorder="1" applyAlignment="1">
      <alignment horizontal="center" vertical="center" wrapText="1"/>
    </xf>
    <xf numFmtId="0" fontId="7" fillId="0" borderId="40" xfId="0" applyFont="1" applyFill="1" applyBorder="1" applyAlignment="1">
      <alignment horizontal="justify" vertical="center" wrapText="1"/>
    </xf>
    <xf numFmtId="164"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justify" vertical="center" wrapText="1"/>
    </xf>
    <xf numFmtId="9" fontId="2" fillId="2" borderId="1" xfId="2"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3" fontId="2" fillId="0" borderId="1" xfId="0" applyNumberFormat="1" applyFont="1" applyBorder="1" applyAlignment="1">
      <alignment horizontal="justify" vertical="center" wrapText="1"/>
    </xf>
    <xf numFmtId="164" fontId="2" fillId="2" borderId="4"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9" fontId="3" fillId="0" borderId="38" xfId="2" applyFont="1" applyBorder="1" applyAlignment="1">
      <alignment horizontal="center" vertical="center"/>
    </xf>
    <xf numFmtId="0" fontId="3" fillId="0" borderId="38" xfId="0" applyFont="1" applyBorder="1" applyAlignment="1">
      <alignment horizontal="justify" vertical="center"/>
    </xf>
    <xf numFmtId="0" fontId="3" fillId="0" borderId="10" xfId="0" applyFont="1" applyBorder="1" applyAlignment="1">
      <alignment horizontal="justify" vertical="center"/>
    </xf>
    <xf numFmtId="0" fontId="10" fillId="13" borderId="4" xfId="0" applyFont="1" applyFill="1" applyBorder="1" applyAlignment="1">
      <alignment horizontal="justify" vertical="center" wrapText="1"/>
    </xf>
    <xf numFmtId="1" fontId="3" fillId="11" borderId="1" xfId="0" applyNumberFormat="1" applyFont="1" applyFill="1" applyBorder="1" applyAlignment="1">
      <alignment horizontal="center" vertical="center" wrapText="1"/>
    </xf>
    <xf numFmtId="1" fontId="3" fillId="11" borderId="1" xfId="0" applyNumberFormat="1" applyFont="1" applyFill="1" applyBorder="1" applyAlignment="1">
      <alignment horizontal="center" vertical="center"/>
    </xf>
    <xf numFmtId="9" fontId="3" fillId="11" borderId="1" xfId="2" applyFont="1" applyFill="1" applyBorder="1" applyAlignment="1">
      <alignment horizontal="center" vertical="center"/>
    </xf>
    <xf numFmtId="166" fontId="3" fillId="10" borderId="0" xfId="0" applyNumberFormat="1" applyFont="1" applyFill="1" applyBorder="1" applyAlignment="1">
      <alignment horizontal="center" vertical="center"/>
    </xf>
    <xf numFmtId="165" fontId="3" fillId="10" borderId="0" xfId="0" applyNumberFormat="1" applyFont="1" applyFill="1" applyBorder="1" applyAlignment="1">
      <alignment horizontal="center" vertical="center"/>
    </xf>
    <xf numFmtId="1" fontId="3" fillId="10" borderId="0" xfId="0" applyNumberFormat="1" applyFont="1" applyFill="1" applyBorder="1" applyAlignment="1">
      <alignment horizontal="center" vertical="center"/>
    </xf>
    <xf numFmtId="9" fontId="3" fillId="10" borderId="0" xfId="2" applyFont="1" applyFill="1" applyBorder="1" applyAlignment="1">
      <alignment horizontal="center" vertical="center"/>
    </xf>
    <xf numFmtId="164" fontId="3" fillId="10" borderId="0" xfId="0" applyNumberFormat="1" applyFont="1" applyFill="1" applyBorder="1" applyAlignment="1">
      <alignment horizontal="center" vertical="center"/>
    </xf>
    <xf numFmtId="0" fontId="3" fillId="10" borderId="22" xfId="0" applyFont="1" applyFill="1" applyBorder="1" applyAlignment="1">
      <alignment horizontal="justify" vertical="center"/>
    </xf>
    <xf numFmtId="9" fontId="3" fillId="6" borderId="30" xfId="2" applyFont="1" applyFill="1" applyBorder="1" applyAlignment="1">
      <alignment horizontal="center" vertical="center"/>
    </xf>
    <xf numFmtId="0" fontId="3" fillId="6" borderId="29" xfId="0" applyFont="1" applyFill="1" applyBorder="1" applyAlignment="1">
      <alignment horizontal="justify" vertical="center"/>
    </xf>
    <xf numFmtId="167" fontId="7" fillId="0" borderId="1" xfId="1" applyNumberFormat="1" applyFont="1" applyFill="1" applyBorder="1" applyAlignment="1">
      <alignment horizontal="center" vertical="center" wrapText="1"/>
    </xf>
    <xf numFmtId="0" fontId="6" fillId="2" borderId="19" xfId="0" applyFont="1" applyFill="1" applyBorder="1" applyAlignment="1">
      <alignment horizontal="center" vertical="center" wrapText="1"/>
    </xf>
    <xf numFmtId="0" fontId="2" fillId="0" borderId="1" xfId="3" applyFont="1" applyFill="1" applyBorder="1" applyAlignment="1">
      <alignment horizontal="justify" vertical="center" wrapText="1"/>
    </xf>
    <xf numFmtId="167" fontId="2" fillId="0" borderId="1" xfId="1" applyNumberFormat="1" applyFont="1" applyFill="1" applyBorder="1" applyAlignment="1">
      <alignment horizontal="center" vertical="center"/>
    </xf>
    <xf numFmtId="0" fontId="2" fillId="2" borderId="1" xfId="0" applyFont="1" applyFill="1" applyBorder="1" applyAlignment="1">
      <alignment horizontal="center" vertical="center"/>
    </xf>
    <xf numFmtId="0" fontId="5" fillId="10" borderId="1" xfId="0" applyFont="1" applyFill="1" applyBorder="1" applyAlignment="1">
      <alignment horizontal="center" vertical="center" wrapText="1"/>
    </xf>
    <xf numFmtId="0" fontId="7" fillId="10" borderId="1" xfId="12" applyNumberFormat="1" applyFont="1" applyFill="1" applyBorder="1" applyAlignment="1">
      <alignment horizontal="center" vertical="center" wrapText="1"/>
    </xf>
    <xf numFmtId="0" fontId="7" fillId="10" borderId="1" xfId="12" applyNumberFormat="1" applyFont="1" applyFill="1" applyBorder="1" applyAlignment="1">
      <alignment horizontal="justify" vertical="center" wrapText="1"/>
    </xf>
    <xf numFmtId="0" fontId="2" fillId="10" borderId="1" xfId="0" applyFont="1" applyFill="1" applyBorder="1" applyAlignment="1">
      <alignment horizontal="center" vertical="center" wrapText="1"/>
    </xf>
    <xf numFmtId="2" fontId="2" fillId="10" borderId="1" xfId="0" applyNumberFormat="1" applyFont="1" applyFill="1" applyBorder="1" applyAlignment="1">
      <alignment horizontal="center" vertical="center" wrapText="1"/>
    </xf>
    <xf numFmtId="0" fontId="2" fillId="10" borderId="1" xfId="0" applyFont="1" applyFill="1" applyBorder="1" applyAlignment="1">
      <alignment horizontal="justify" vertical="center" wrapText="1"/>
    </xf>
    <xf numFmtId="9" fontId="2" fillId="10" borderId="1" xfId="2" applyFont="1" applyFill="1" applyBorder="1" applyAlignment="1">
      <alignment horizontal="center" vertical="center" wrapText="1"/>
    </xf>
    <xf numFmtId="167" fontId="7" fillId="10" borderId="1" xfId="13" applyFont="1" applyFill="1" applyBorder="1" applyAlignment="1">
      <alignment horizontal="center" vertical="center" wrapText="1"/>
    </xf>
    <xf numFmtId="3" fontId="2" fillId="10" borderId="1" xfId="0" applyNumberFormat="1" applyFont="1" applyFill="1" applyBorder="1" applyAlignment="1">
      <alignment horizontal="justify" vertical="center" wrapText="1"/>
    </xf>
    <xf numFmtId="0" fontId="2" fillId="10" borderId="1" xfId="3" applyFont="1" applyFill="1" applyBorder="1" applyAlignment="1">
      <alignment horizontal="justify" vertical="center" wrapText="1"/>
    </xf>
    <xf numFmtId="167" fontId="2" fillId="10" borderId="1" xfId="1" applyNumberFormat="1" applyFont="1" applyFill="1" applyBorder="1" applyAlignment="1">
      <alignment horizontal="center" vertical="center"/>
    </xf>
    <xf numFmtId="0" fontId="2" fillId="10" borderId="0" xfId="0" applyFont="1" applyFill="1" applyBorder="1" applyAlignment="1">
      <alignment horizontal="center" vertical="center" wrapText="1"/>
    </xf>
    <xf numFmtId="1" fontId="2" fillId="10" borderId="1" xfId="0" applyNumberFormat="1" applyFont="1" applyFill="1" applyBorder="1" applyAlignment="1">
      <alignment horizontal="center" vertical="center" wrapText="1"/>
    </xf>
    <xf numFmtId="3" fontId="2" fillId="10" borderId="1" xfId="0" applyNumberFormat="1" applyFont="1" applyFill="1" applyBorder="1" applyAlignment="1">
      <alignment horizontal="center" vertical="center"/>
    </xf>
    <xf numFmtId="9" fontId="2" fillId="10" borderId="1" xfId="2" applyFont="1" applyFill="1" applyBorder="1" applyAlignment="1">
      <alignment horizontal="center" vertical="center"/>
    </xf>
    <xf numFmtId="3" fontId="2" fillId="10" borderId="1" xfId="0" applyNumberFormat="1" applyFont="1" applyFill="1" applyBorder="1" applyAlignment="1">
      <alignment horizontal="justify" vertical="center"/>
    </xf>
    <xf numFmtId="164" fontId="2" fillId="10" borderId="1" xfId="0" applyNumberFormat="1" applyFont="1" applyFill="1" applyBorder="1" applyAlignment="1">
      <alignment horizontal="center" vertical="center" wrapText="1"/>
    </xf>
    <xf numFmtId="2" fontId="3" fillId="6" borderId="1" xfId="0" applyNumberFormat="1" applyFont="1" applyFill="1" applyBorder="1" applyAlignment="1">
      <alignment horizontal="center" vertical="center"/>
    </xf>
    <xf numFmtId="167" fontId="2" fillId="6" borderId="1" xfId="1" applyNumberFormat="1" applyFont="1" applyFill="1" applyBorder="1" applyAlignment="1">
      <alignment horizontal="center" vertical="center"/>
    </xf>
    <xf numFmtId="9" fontId="3" fillId="6" borderId="1" xfId="2" applyFont="1" applyFill="1" applyBorder="1" applyAlignment="1">
      <alignment horizontal="center" vertical="center"/>
    </xf>
    <xf numFmtId="0" fontId="2" fillId="0" borderId="1" xfId="3" applyFont="1" applyBorder="1" applyAlignment="1">
      <alignment horizontal="justify" vertical="center" wrapText="1"/>
    </xf>
    <xf numFmtId="0" fontId="7" fillId="10" borderId="1" xfId="14" applyNumberFormat="1" applyFont="1" applyFill="1" applyBorder="1" applyAlignment="1">
      <alignment horizontal="center" vertical="center" wrapText="1"/>
    </xf>
    <xf numFmtId="0" fontId="7" fillId="10" borderId="1" xfId="14" applyFont="1" applyFill="1" applyBorder="1" applyAlignment="1">
      <alignment horizontal="justify" vertical="center" wrapText="1"/>
    </xf>
    <xf numFmtId="0" fontId="7" fillId="10" borderId="1" xfId="14" applyFont="1" applyFill="1" applyBorder="1" applyAlignment="1">
      <alignment horizontal="center" vertical="center" wrapText="1"/>
    </xf>
    <xf numFmtId="165" fontId="2" fillId="10" borderId="1" xfId="0" applyNumberFormat="1" applyFont="1" applyFill="1" applyBorder="1" applyAlignment="1">
      <alignment horizontal="center" vertical="center" wrapText="1"/>
    </xf>
    <xf numFmtId="0" fontId="2" fillId="10" borderId="1" xfId="0" applyFont="1" applyFill="1" applyBorder="1" applyAlignment="1">
      <alignment horizontal="justify" vertical="center"/>
    </xf>
    <xf numFmtId="0" fontId="3" fillId="6" borderId="1" xfId="0" applyFont="1" applyFill="1" applyBorder="1" applyAlignment="1">
      <alignment horizontal="left" vertical="center"/>
    </xf>
    <xf numFmtId="2" fontId="3" fillId="6" borderId="1" xfId="0" applyNumberFormat="1" applyFont="1" applyFill="1" applyBorder="1" applyAlignment="1">
      <alignment horizontal="left" vertical="center"/>
    </xf>
    <xf numFmtId="0" fontId="6" fillId="0" borderId="5" xfId="0" applyFont="1" applyFill="1" applyBorder="1" applyAlignment="1">
      <alignment horizontal="justify" vertical="center" wrapText="1"/>
    </xf>
    <xf numFmtId="0" fontId="7" fillId="10" borderId="1" xfId="0" applyFont="1" applyFill="1" applyBorder="1" applyAlignment="1">
      <alignment horizontal="justify" vertical="center" wrapText="1"/>
    </xf>
    <xf numFmtId="164" fontId="2" fillId="10" borderId="1" xfId="0" applyNumberFormat="1" applyFont="1" applyFill="1" applyBorder="1" applyAlignment="1">
      <alignment horizontal="justify" vertical="center" wrapText="1"/>
    </xf>
    <xf numFmtId="0" fontId="3" fillId="6" borderId="1" xfId="0" applyFont="1" applyFill="1" applyBorder="1" applyAlignment="1">
      <alignment vertical="center"/>
    </xf>
    <xf numFmtId="0" fontId="6" fillId="2" borderId="29" xfId="0" applyFont="1" applyFill="1" applyBorder="1" applyAlignment="1">
      <alignment horizontal="center" vertical="center" wrapText="1"/>
    </xf>
    <xf numFmtId="0" fontId="7" fillId="2" borderId="5" xfId="0" applyFont="1" applyFill="1" applyBorder="1" applyAlignment="1">
      <alignment horizontal="justify" vertical="center" wrapText="1"/>
    </xf>
    <xf numFmtId="1" fontId="3" fillId="11" borderId="20" xfId="0" applyNumberFormat="1" applyFont="1" applyFill="1" applyBorder="1" applyAlignment="1">
      <alignment horizontal="center" vertical="center" wrapText="1"/>
    </xf>
    <xf numFmtId="2" fontId="3" fillId="11" borderId="1" xfId="0" applyNumberFormat="1" applyFont="1" applyFill="1" applyBorder="1" applyAlignment="1">
      <alignment horizontal="center" vertical="center"/>
    </xf>
    <xf numFmtId="167" fontId="3" fillId="11" borderId="1" xfId="1" applyNumberFormat="1" applyFont="1" applyFill="1" applyBorder="1" applyAlignment="1">
      <alignment horizontal="center" vertical="center"/>
    </xf>
    <xf numFmtId="167" fontId="2" fillId="11" borderId="1" xfId="1" applyNumberFormat="1" applyFont="1" applyFill="1" applyBorder="1" applyAlignment="1">
      <alignment horizontal="center" vertical="center"/>
    </xf>
    <xf numFmtId="2" fontId="3" fillId="10" borderId="1" xfId="0" applyNumberFormat="1" applyFont="1" applyFill="1" applyBorder="1" applyAlignment="1">
      <alignment horizontal="center" vertical="center"/>
    </xf>
    <xf numFmtId="167" fontId="3" fillId="10" borderId="1" xfId="1" applyNumberFormat="1" applyFont="1" applyFill="1" applyBorder="1" applyAlignment="1">
      <alignment horizontal="center" vertical="center"/>
    </xf>
    <xf numFmtId="1" fontId="3" fillId="10" borderId="1" xfId="0" applyNumberFormat="1" applyFont="1" applyFill="1" applyBorder="1" applyAlignment="1">
      <alignment horizontal="center" vertical="center"/>
    </xf>
    <xf numFmtId="9" fontId="3" fillId="10" borderId="1" xfId="2" applyFont="1" applyFill="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3" fillId="6" borderId="32" xfId="0" applyFont="1" applyFill="1" applyBorder="1" applyAlignment="1">
      <alignment horizontal="center" vertical="center" wrapText="1"/>
    </xf>
    <xf numFmtId="167" fontId="3" fillId="6" borderId="1" xfId="1" applyNumberFormat="1" applyFont="1" applyFill="1" applyBorder="1" applyAlignment="1">
      <alignment horizontal="center" vertical="center"/>
    </xf>
    <xf numFmtId="0" fontId="2" fillId="0" borderId="6" xfId="0" applyFont="1" applyBorder="1" applyAlignment="1">
      <alignment horizontal="center" vertical="center"/>
    </xf>
    <xf numFmtId="0" fontId="3" fillId="0" borderId="13" xfId="0" applyFont="1" applyFill="1" applyBorder="1" applyAlignment="1">
      <alignment vertical="center" wrapText="1"/>
    </xf>
    <xf numFmtId="0" fontId="2" fillId="0" borderId="28" xfId="0" applyFont="1" applyBorder="1" applyAlignment="1">
      <alignment vertical="center" wrapText="1"/>
    </xf>
    <xf numFmtId="175" fontId="7" fillId="0" borderId="1" xfId="0" applyNumberFormat="1" applyFont="1" applyFill="1" applyBorder="1" applyAlignment="1">
      <alignment horizontal="justify" vertical="center" wrapText="1"/>
    </xf>
    <xf numFmtId="0" fontId="6" fillId="2" borderId="5" xfId="0" applyFont="1" applyFill="1" applyBorder="1" applyAlignment="1">
      <alignment horizontal="center" vertical="center" wrapText="1"/>
    </xf>
    <xf numFmtId="0" fontId="3" fillId="0" borderId="6" xfId="0" applyFont="1" applyFill="1" applyBorder="1" applyAlignment="1">
      <alignment vertical="center" wrapText="1"/>
    </xf>
    <xf numFmtId="0" fontId="2" fillId="0" borderId="7" xfId="0" applyFont="1" applyBorder="1" applyAlignment="1">
      <alignment vertical="center" wrapText="1"/>
    </xf>
    <xf numFmtId="0" fontId="7" fillId="5" borderId="1" xfId="0" applyFont="1" applyFill="1" applyBorder="1" applyAlignment="1">
      <alignment horizontal="center" vertical="center" wrapText="1"/>
    </xf>
    <xf numFmtId="175" fontId="7" fillId="2" borderId="3" xfId="0" applyNumberFormat="1"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5" borderId="32" xfId="0" applyFont="1" applyFill="1" applyBorder="1" applyAlignment="1">
      <alignment horizontal="center" vertical="center" wrapText="1"/>
    </xf>
    <xf numFmtId="175" fontId="7" fillId="2" borderId="2" xfId="0" applyNumberFormat="1" applyFont="1" applyFill="1" applyBorder="1" applyAlignment="1">
      <alignment horizontal="justify"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vertical="center"/>
    </xf>
    <xf numFmtId="0" fontId="5" fillId="2" borderId="11" xfId="0" applyFont="1" applyFill="1" applyBorder="1" applyAlignment="1">
      <alignment vertical="center"/>
    </xf>
    <xf numFmtId="0" fontId="7" fillId="2" borderId="4" xfId="0" applyFont="1" applyFill="1" applyBorder="1" applyAlignment="1">
      <alignment horizontal="center" vertical="center"/>
    </xf>
    <xf numFmtId="0" fontId="7" fillId="2" borderId="4" xfId="0" applyFont="1" applyFill="1" applyBorder="1" applyAlignment="1">
      <alignment horizontal="justify" vertical="center" wrapText="1"/>
    </xf>
    <xf numFmtId="0" fontId="7" fillId="2" borderId="4" xfId="0" applyFont="1" applyFill="1" applyBorder="1" applyAlignment="1">
      <alignment horizontal="justify" vertical="center"/>
    </xf>
    <xf numFmtId="0" fontId="7" fillId="2" borderId="1" xfId="0" applyFont="1" applyFill="1" applyBorder="1" applyAlignment="1">
      <alignment horizontal="center" vertical="center"/>
    </xf>
    <xf numFmtId="0" fontId="7" fillId="2" borderId="1" xfId="0" applyFont="1" applyFill="1" applyBorder="1" applyAlignment="1">
      <alignment horizontal="justify"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justify" vertical="center"/>
    </xf>
    <xf numFmtId="0" fontId="2" fillId="2" borderId="1" xfId="0" applyFont="1" applyFill="1" applyBorder="1" applyAlignment="1">
      <alignment horizontal="justify" vertical="center" wrapText="1"/>
    </xf>
    <xf numFmtId="0" fontId="6" fillId="2" borderId="2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167" fontId="2" fillId="2" borderId="4" xfId="1" applyNumberFormat="1" applyFont="1" applyFill="1" applyBorder="1" applyAlignment="1">
      <alignment horizontal="center" vertical="center" wrapText="1"/>
    </xf>
    <xf numFmtId="9" fontId="2" fillId="0" borderId="4" xfId="2" applyFont="1" applyBorder="1" applyAlignment="1">
      <alignment horizontal="center" vertical="center" wrapText="1"/>
    </xf>
    <xf numFmtId="0" fontId="2" fillId="0" borderId="4" xfId="0" applyFont="1" applyBorder="1" applyAlignment="1">
      <alignment horizontal="justify" vertical="center" wrapText="1"/>
    </xf>
    <xf numFmtId="3" fontId="2" fillId="0" borderId="4" xfId="0" applyNumberFormat="1" applyFont="1" applyFill="1" applyBorder="1" applyAlignment="1">
      <alignment horizontal="justify" vertical="center"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left" vertical="center"/>
    </xf>
    <xf numFmtId="0" fontId="5" fillId="10" borderId="4" xfId="0" applyFont="1" applyFill="1" applyBorder="1" applyAlignment="1">
      <alignment horizontal="left" vertical="center"/>
    </xf>
    <xf numFmtId="0" fontId="5" fillId="10" borderId="4" xfId="0" applyFont="1" applyFill="1" applyBorder="1" applyAlignment="1">
      <alignment horizontal="justify" vertical="center"/>
    </xf>
    <xf numFmtId="0" fontId="5" fillId="10" borderId="1" xfId="0" applyFont="1" applyFill="1" applyBorder="1" applyAlignment="1">
      <alignment horizontal="left" vertical="center"/>
    </xf>
    <xf numFmtId="0" fontId="5" fillId="10" borderId="1" xfId="0" applyFont="1" applyFill="1" applyBorder="1" applyAlignment="1">
      <alignment horizontal="justify" vertical="center"/>
    </xf>
    <xf numFmtId="0" fontId="7"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2" fontId="2" fillId="10" borderId="1" xfId="0" applyNumberFormat="1" applyFont="1" applyFill="1" applyBorder="1" applyAlignment="1">
      <alignment horizontal="center" vertical="center"/>
    </xf>
    <xf numFmtId="167" fontId="2" fillId="10" borderId="1" xfId="1" applyNumberFormat="1" applyFont="1" applyFill="1" applyBorder="1" applyAlignment="1">
      <alignment horizontal="center" vertical="center" wrapText="1"/>
    </xf>
    <xf numFmtId="0" fontId="7" fillId="10" borderId="0"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6" fillId="2" borderId="39" xfId="0" applyFont="1" applyFill="1" applyBorder="1" applyAlignment="1">
      <alignment horizontal="center" vertical="center" wrapText="1"/>
    </xf>
    <xf numFmtId="167" fontId="7" fillId="2" borderId="1" xfId="1" quotePrefix="1" applyNumberFormat="1" applyFont="1" applyFill="1" applyBorder="1" applyAlignment="1">
      <alignment horizontal="center" vertical="center" wrapText="1"/>
    </xf>
    <xf numFmtId="167" fontId="2" fillId="2" borderId="1" xfId="1" quotePrefix="1" applyNumberFormat="1" applyFont="1" applyFill="1" applyBorder="1" applyAlignment="1">
      <alignment horizontal="center" vertical="center" wrapText="1"/>
    </xf>
    <xf numFmtId="175" fontId="7" fillId="2" borderId="5" xfId="0" applyNumberFormat="1" applyFont="1" applyFill="1" applyBorder="1" applyAlignment="1">
      <alignment horizontal="justify" vertical="center" wrapText="1"/>
    </xf>
    <xf numFmtId="175" fontId="7" fillId="2" borderId="9" xfId="0" applyNumberFormat="1" applyFont="1" applyFill="1" applyBorder="1" applyAlignment="1">
      <alignment horizontal="justify" vertical="center" wrapText="1"/>
    </xf>
    <xf numFmtId="175" fontId="7" fillId="0" borderId="30" xfId="0" applyNumberFormat="1" applyFont="1" applyFill="1" applyBorder="1" applyAlignment="1">
      <alignment horizontal="justify"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175" fontId="7" fillId="10" borderId="1" xfId="0" applyNumberFormat="1" applyFont="1" applyFill="1" applyBorder="1" applyAlignment="1">
      <alignment horizontal="justify" vertical="center" wrapText="1"/>
    </xf>
    <xf numFmtId="0" fontId="22" fillId="10" borderId="0"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7" fillId="11" borderId="1" xfId="3" applyFont="1" applyFill="1" applyBorder="1" applyAlignment="1">
      <alignment horizontal="center" vertical="center" wrapText="1"/>
    </xf>
    <xf numFmtId="0" fontId="7" fillId="11" borderId="1" xfId="3" applyFont="1" applyFill="1" applyBorder="1" applyAlignment="1">
      <alignment horizontal="justify" vertical="center" wrapText="1"/>
    </xf>
    <xf numFmtId="0" fontId="2" fillId="11" borderId="1" xfId="0" applyFont="1" applyFill="1" applyBorder="1" applyAlignment="1">
      <alignment horizontal="center" vertical="center" wrapText="1"/>
    </xf>
    <xf numFmtId="2" fontId="2" fillId="11" borderId="1" xfId="0"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justify" vertical="center" wrapText="1"/>
    </xf>
    <xf numFmtId="9" fontId="2" fillId="11" borderId="1" xfId="2" applyFont="1" applyFill="1" applyBorder="1" applyAlignment="1">
      <alignment horizontal="center" vertical="center" wrapText="1"/>
    </xf>
    <xf numFmtId="167" fontId="2" fillId="11" borderId="1" xfId="1" applyNumberFormat="1" applyFont="1" applyFill="1" applyBorder="1" applyAlignment="1">
      <alignment horizontal="center" vertical="center" wrapText="1"/>
    </xf>
    <xf numFmtId="0" fontId="2" fillId="11" borderId="1" xfId="0" applyFont="1" applyFill="1" applyBorder="1" applyAlignment="1">
      <alignment horizontal="justify" vertical="center" wrapText="1"/>
    </xf>
    <xf numFmtId="0" fontId="2" fillId="11" borderId="0" xfId="0" applyFont="1" applyFill="1" applyBorder="1" applyAlignment="1">
      <alignment horizontal="center" vertical="center" wrapText="1"/>
    </xf>
    <xf numFmtId="1" fontId="2" fillId="11" borderId="1" xfId="0" applyNumberFormat="1" applyFont="1" applyFill="1" applyBorder="1" applyAlignment="1">
      <alignment horizontal="center" vertical="center" wrapText="1"/>
    </xf>
    <xf numFmtId="164" fontId="2" fillId="11" borderId="1" xfId="0" applyNumberFormat="1" applyFont="1" applyFill="1" applyBorder="1" applyAlignment="1">
      <alignment horizontal="center" vertical="center" wrapText="1"/>
    </xf>
    <xf numFmtId="3" fontId="2" fillId="11" borderId="1" xfId="0" applyNumberFormat="1" applyFont="1" applyFill="1" applyBorder="1" applyAlignment="1">
      <alignment horizontal="justify" vertical="center" wrapText="1"/>
    </xf>
    <xf numFmtId="1" fontId="2" fillId="0" borderId="13"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7" fillId="10" borderId="1" xfId="3" applyFont="1" applyFill="1" applyBorder="1" applyAlignment="1">
      <alignment horizontal="center" vertical="center" wrapText="1"/>
    </xf>
    <xf numFmtId="0" fontId="7" fillId="10" borderId="1" xfId="3" applyFont="1" applyFill="1" applyBorder="1" applyAlignment="1">
      <alignment horizontal="justify" vertical="center" wrapText="1"/>
    </xf>
    <xf numFmtId="0" fontId="2" fillId="10" borderId="30" xfId="0" applyFont="1" applyFill="1" applyBorder="1" applyAlignment="1">
      <alignment horizontal="center" vertical="center" wrapText="1"/>
    </xf>
    <xf numFmtId="1"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wrapText="1"/>
    </xf>
    <xf numFmtId="0" fontId="3" fillId="0" borderId="7" xfId="0" applyFont="1" applyFill="1" applyBorder="1" applyAlignment="1">
      <alignment horizontal="center" vertical="center" wrapText="1"/>
    </xf>
    <xf numFmtId="167" fontId="7" fillId="2" borderId="1" xfId="1" applyNumberFormat="1" applyFont="1" applyFill="1" applyBorder="1" applyAlignment="1">
      <alignment vertical="center" wrapText="1"/>
    </xf>
    <xf numFmtId="1" fontId="2" fillId="0" borderId="11" xfId="0" applyNumberFormat="1" applyFont="1" applyBorder="1" applyAlignment="1">
      <alignment horizontal="center" vertical="center" wrapText="1"/>
    </xf>
    <xf numFmtId="0" fontId="22" fillId="10" borderId="30" xfId="0" applyFont="1" applyFill="1" applyBorder="1" applyAlignment="1">
      <alignment horizontal="center" vertical="center" wrapText="1"/>
    </xf>
    <xf numFmtId="0" fontId="7" fillId="0" borderId="1" xfId="12" applyNumberFormat="1" applyFont="1" applyFill="1" applyBorder="1" applyAlignment="1">
      <alignment horizontal="center" vertical="center" wrapText="1"/>
    </xf>
    <xf numFmtId="0" fontId="7" fillId="0" borderId="1" xfId="12" applyNumberFormat="1" applyFont="1" applyFill="1" applyBorder="1" applyAlignment="1">
      <alignment horizontal="justify" vertical="center" wrapText="1"/>
    </xf>
    <xf numFmtId="0" fontId="2" fillId="0" borderId="1" xfId="0" applyFont="1" applyBorder="1" applyAlignment="1">
      <alignment horizontal="center" vertical="center"/>
    </xf>
    <xf numFmtId="10" fontId="2" fillId="0" borderId="1" xfId="2" applyNumberFormat="1" applyFont="1" applyFill="1" applyBorder="1" applyAlignment="1">
      <alignment horizontal="center" vertical="center"/>
    </xf>
    <xf numFmtId="174" fontId="7" fillId="2" borderId="1" xfId="12" applyFont="1" applyFill="1" applyBorder="1" applyAlignment="1">
      <alignment horizontal="justify" vertical="center" wrapText="1"/>
    </xf>
    <xf numFmtId="49" fontId="7" fillId="2" borderId="1" xfId="0" applyNumberFormat="1" applyFont="1" applyFill="1" applyBorder="1" applyAlignment="1">
      <alignment horizontal="center" vertical="center" wrapText="1"/>
    </xf>
    <xf numFmtId="0" fontId="7" fillId="0" borderId="1" xfId="14" applyFont="1" applyFill="1" applyBorder="1" applyAlignment="1">
      <alignment horizontal="justify" vertical="center" wrapText="1"/>
    </xf>
    <xf numFmtId="174" fontId="7" fillId="0" borderId="1" xfId="12" applyFont="1" applyFill="1" applyBorder="1" applyAlignment="1">
      <alignment horizontal="justify" vertical="center" wrapText="1"/>
    </xf>
    <xf numFmtId="0" fontId="7" fillId="0" borderId="12" xfId="0" applyFont="1" applyFill="1" applyBorder="1" applyAlignment="1">
      <alignment horizontal="justify" vertical="center" wrapText="1"/>
    </xf>
    <xf numFmtId="2" fontId="7" fillId="2" borderId="1" xfId="0" applyNumberFormat="1" applyFont="1" applyFill="1" applyBorder="1" applyAlignment="1">
      <alignment horizontal="center" vertical="center"/>
    </xf>
    <xf numFmtId="1" fontId="3" fillId="11" borderId="31" xfId="0" applyNumberFormat="1" applyFont="1" applyFill="1" applyBorder="1" applyAlignment="1">
      <alignment horizontal="center" vertical="center" wrapText="1"/>
    </xf>
    <xf numFmtId="1" fontId="3" fillId="11" borderId="29" xfId="0" applyNumberFormat="1" applyFont="1" applyFill="1" applyBorder="1" applyAlignment="1">
      <alignment horizontal="center" vertical="center" wrapText="1"/>
    </xf>
    <xf numFmtId="1" fontId="3" fillId="11" borderId="5" xfId="0" applyNumberFormat="1" applyFont="1" applyFill="1" applyBorder="1" applyAlignment="1">
      <alignment horizontal="center" vertical="center" wrapText="1"/>
    </xf>
    <xf numFmtId="2" fontId="3" fillId="11" borderId="5" xfId="0" applyNumberFormat="1" applyFont="1" applyFill="1" applyBorder="1" applyAlignment="1">
      <alignment horizontal="center" vertical="center" wrapText="1"/>
    </xf>
    <xf numFmtId="1" fontId="3" fillId="0" borderId="28" xfId="0" applyNumberFormat="1" applyFont="1" applyFill="1" applyBorder="1" applyAlignment="1">
      <alignment horizontal="left" vertical="center" wrapText="1"/>
    </xf>
    <xf numFmtId="0" fontId="5" fillId="10" borderId="0"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5" xfId="0" applyFont="1" applyFill="1" applyBorder="1" applyAlignment="1">
      <alignment horizontal="center" vertical="center" wrapText="1"/>
    </xf>
    <xf numFmtId="2" fontId="5" fillId="10" borderId="5" xfId="0" applyNumberFormat="1" applyFont="1" applyFill="1" applyBorder="1" applyAlignment="1">
      <alignment horizontal="center" vertical="center" wrapText="1"/>
    </xf>
    <xf numFmtId="1" fontId="3" fillId="0" borderId="7" xfId="0" applyNumberFormat="1"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3" fillId="6" borderId="39" xfId="0" applyFont="1" applyFill="1" applyBorder="1" applyAlignment="1">
      <alignment horizontal="center" vertical="center"/>
    </xf>
    <xf numFmtId="0" fontId="3" fillId="6" borderId="15" xfId="0" applyFont="1" applyFill="1" applyBorder="1" applyAlignment="1">
      <alignment horizontal="left"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2" fontId="3" fillId="6" borderId="9" xfId="0" applyNumberFormat="1" applyFont="1" applyFill="1" applyBorder="1" applyAlignment="1">
      <alignment horizontal="center" vertical="center"/>
    </xf>
    <xf numFmtId="1" fontId="3" fillId="0" borderId="10"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0" xfId="0" applyFont="1" applyFill="1" applyBorder="1" applyAlignment="1">
      <alignment horizontal="left" vertical="center"/>
    </xf>
    <xf numFmtId="0" fontId="23" fillId="0" borderId="5" xfId="12" applyNumberFormat="1" applyFont="1" applyFill="1" applyBorder="1">
      <alignment horizontal="center" vertical="center" wrapText="1"/>
    </xf>
    <xf numFmtId="0" fontId="23" fillId="0" borderId="5" xfId="0" applyFont="1" applyBorder="1" applyAlignment="1">
      <alignment horizontal="justify" vertical="center" wrapText="1"/>
    </xf>
    <xf numFmtId="0" fontId="23" fillId="0" borderId="5" xfId="0" applyFont="1" applyBorder="1" applyAlignment="1">
      <alignment horizontal="center" vertical="center" wrapText="1"/>
    </xf>
    <xf numFmtId="0" fontId="2" fillId="0" borderId="40" xfId="0" applyFont="1" applyFill="1" applyBorder="1" applyAlignment="1">
      <alignment horizontal="center" vertical="center"/>
    </xf>
    <xf numFmtId="2" fontId="2" fillId="0" borderId="1" xfId="0" applyNumberFormat="1" applyFont="1" applyBorder="1" applyAlignment="1">
      <alignment horizontal="center" vertical="center"/>
    </xf>
    <xf numFmtId="1" fontId="2" fillId="0" borderId="19" xfId="0" applyNumberFormat="1" applyFont="1" applyFill="1" applyBorder="1" applyAlignment="1">
      <alignment horizontal="center" vertical="center"/>
    </xf>
    <xf numFmtId="9" fontId="2" fillId="0" borderId="5" xfId="0" applyNumberFormat="1" applyFont="1" applyFill="1" applyBorder="1" applyAlignment="1">
      <alignment horizontal="center" vertical="center"/>
    </xf>
    <xf numFmtId="167" fontId="2" fillId="2" borderId="1"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2" borderId="1" xfId="2" applyNumberFormat="1" applyFont="1" applyFill="1" applyBorder="1" applyAlignment="1">
      <alignment horizontal="center" vertical="center" wrapText="1"/>
    </xf>
    <xf numFmtId="3" fontId="2" fillId="0" borderId="1" xfId="0" applyNumberFormat="1" applyFont="1" applyFill="1" applyBorder="1" applyAlignment="1">
      <alignment horizontal="justify" vertical="center" wrapText="1"/>
    </xf>
    <xf numFmtId="164" fontId="2" fillId="0" borderId="1" xfId="0" applyNumberFormat="1" applyFont="1" applyFill="1" applyBorder="1" applyAlignment="1">
      <alignment horizontal="center" vertical="center" wrapText="1"/>
    </xf>
    <xf numFmtId="1" fontId="2" fillId="4" borderId="0" xfId="0" applyNumberFormat="1" applyFont="1" applyFill="1" applyAlignment="1">
      <alignment horizontal="center" vertical="center"/>
    </xf>
    <xf numFmtId="0" fontId="2" fillId="4" borderId="4" xfId="0" applyFont="1" applyFill="1" applyBorder="1" applyAlignment="1">
      <alignment horizontal="center" vertical="center"/>
    </xf>
    <xf numFmtId="176" fontId="3" fillId="4" borderId="1" xfId="1" applyNumberFormat="1" applyFont="1" applyFill="1" applyBorder="1" applyAlignment="1">
      <alignment horizontal="center" vertical="center"/>
    </xf>
    <xf numFmtId="165" fontId="7" fillId="4" borderId="1" xfId="0" applyNumberFormat="1" applyFont="1" applyFill="1" applyBorder="1" applyAlignment="1">
      <alignment horizontal="center" vertical="center"/>
    </xf>
    <xf numFmtId="9" fontId="2" fillId="4" borderId="1" xfId="2" applyFont="1" applyFill="1" applyBorder="1" applyAlignment="1">
      <alignment horizontal="center" vertical="center"/>
    </xf>
    <xf numFmtId="167" fontId="2" fillId="0" borderId="0" xfId="1" applyNumberFormat="1" applyFont="1" applyAlignment="1">
      <alignment horizontal="center" vertical="center"/>
    </xf>
    <xf numFmtId="9" fontId="2" fillId="0" borderId="0" xfId="2" applyFont="1" applyAlignment="1">
      <alignment horizontal="center" vertical="center"/>
    </xf>
    <xf numFmtId="164" fontId="2" fillId="2" borderId="0" xfId="0" applyNumberFormat="1" applyFont="1" applyFill="1" applyAlignment="1">
      <alignment horizontal="center" vertical="center"/>
    </xf>
    <xf numFmtId="1" fontId="2" fillId="0" borderId="0" xfId="0" applyNumberFormat="1" applyFont="1" applyFill="1" applyAlignment="1">
      <alignment horizontal="center" vertical="center"/>
    </xf>
    <xf numFmtId="0" fontId="2" fillId="0" borderId="0" xfId="0" applyFont="1" applyFill="1" applyAlignment="1">
      <alignment horizontal="justify" vertical="center"/>
    </xf>
    <xf numFmtId="166" fontId="2" fillId="0" borderId="0" xfId="0" applyNumberFormat="1" applyFont="1" applyFill="1" applyAlignment="1">
      <alignment horizontal="center" vertical="center"/>
    </xf>
    <xf numFmtId="168" fontId="4" fillId="0" borderId="0" xfId="1" applyFont="1" applyFill="1"/>
    <xf numFmtId="165" fontId="2" fillId="0" borderId="0" xfId="0" applyNumberFormat="1" applyFont="1" applyFill="1" applyAlignment="1">
      <alignment horizontal="center" vertical="center"/>
    </xf>
    <xf numFmtId="9" fontId="2" fillId="0" borderId="0" xfId="2" applyFont="1" applyFill="1" applyAlignment="1">
      <alignment horizontal="center" vertical="center"/>
    </xf>
    <xf numFmtId="168" fontId="2" fillId="0" borderId="0" xfId="0" applyNumberFormat="1" applyFont="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3" fontId="3" fillId="12" borderId="3" xfId="0" applyNumberFormat="1" applyFont="1" applyFill="1" applyBorder="1" applyAlignment="1">
      <alignment horizontal="center" vertical="center" wrapText="1"/>
    </xf>
    <xf numFmtId="0" fontId="8" fillId="13"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3" xfId="0" applyFont="1" applyFill="1" applyBorder="1" applyAlignment="1">
      <alignment horizontal="center" vertical="center" wrapText="1"/>
    </xf>
    <xf numFmtId="167" fontId="7" fillId="2" borderId="1" xfId="1" applyNumberFormat="1" applyFont="1" applyFill="1" applyBorder="1" applyAlignment="1">
      <alignment horizontal="center" vertical="center"/>
    </xf>
    <xf numFmtId="0" fontId="6" fillId="7"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6" fillId="0" borderId="4"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2" fillId="0" borderId="15" xfId="0" applyFont="1" applyBorder="1" applyAlignment="1">
      <alignment horizontal="justify" vertical="center" wrapText="1"/>
    </xf>
    <xf numFmtId="0" fontId="2" fillId="0" borderId="5" xfId="0" applyFont="1" applyBorder="1" applyAlignment="1">
      <alignment horizontal="justify" vertical="center" wrapText="1"/>
    </xf>
    <xf numFmtId="0" fontId="7" fillId="2" borderId="9" xfId="3" applyFont="1" applyFill="1" applyBorder="1" applyAlignment="1">
      <alignment horizontal="center" vertical="center" wrapText="1"/>
    </xf>
    <xf numFmtId="0" fontId="7" fillId="0" borderId="9" xfId="3" applyFont="1" applyBorder="1" applyAlignment="1">
      <alignment horizontal="justify" vertical="center" wrapText="1"/>
    </xf>
    <xf numFmtId="0" fontId="7" fillId="0" borderId="8" xfId="3" applyFont="1" applyBorder="1" applyAlignment="1">
      <alignment horizontal="justify" vertical="center" wrapText="1"/>
    </xf>
    <xf numFmtId="0" fontId="3" fillId="2" borderId="0" xfId="0" applyFont="1" applyFill="1" applyAlignment="1">
      <alignment horizontal="center" vertical="center"/>
    </xf>
    <xf numFmtId="0" fontId="3" fillId="0" borderId="28" xfId="0" applyFont="1" applyBorder="1" applyAlignment="1">
      <alignment horizontal="center" vertical="center"/>
    </xf>
    <xf numFmtId="164" fontId="3" fillId="12" borderId="1" xfId="0" applyNumberFormat="1" applyFont="1" applyFill="1" applyBorder="1" applyAlignment="1">
      <alignment horizontal="center" vertical="center" wrapText="1"/>
    </xf>
    <xf numFmtId="3" fontId="3" fillId="12"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7" fillId="0" borderId="12"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1" xfId="0" applyFont="1" applyBorder="1" applyAlignment="1">
      <alignment horizontal="justify" vertical="center" wrapText="1"/>
    </xf>
    <xf numFmtId="16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3" fillId="6" borderId="1" xfId="0" applyFont="1" applyFill="1" applyBorder="1" applyAlignment="1">
      <alignment horizontal="left" vertical="center"/>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164" fontId="2" fillId="2" borderId="1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7" fillId="2" borderId="4" xfId="0" applyFont="1" applyFill="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9" fontId="2" fillId="2" borderId="12" xfId="2" applyFont="1" applyFill="1" applyBorder="1" applyAlignment="1">
      <alignment horizontal="center" vertical="center" wrapText="1"/>
    </xf>
    <xf numFmtId="9" fontId="2" fillId="2" borderId="3" xfId="2" applyFont="1" applyFill="1" applyBorder="1" applyAlignment="1">
      <alignment horizontal="center" vertical="center" wrapText="1"/>
    </xf>
    <xf numFmtId="0" fontId="2" fillId="2" borderId="1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7" fillId="0" borderId="1" xfId="3" applyFont="1" applyBorder="1" applyAlignment="1">
      <alignment horizontal="center" vertical="center" wrapText="1"/>
    </xf>
    <xf numFmtId="0" fontId="7" fillId="0" borderId="1" xfId="3" applyFont="1" applyBorder="1" applyAlignment="1">
      <alignment horizontal="justify" vertical="center" wrapText="1"/>
    </xf>
    <xf numFmtId="0" fontId="7" fillId="0" borderId="1" xfId="0" applyFont="1" applyBorder="1" applyAlignment="1">
      <alignment horizontal="justify" vertical="center" wrapText="1"/>
    </xf>
    <xf numFmtId="1" fontId="2" fillId="2" borderId="12"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0" fontId="2" fillId="2" borderId="6" xfId="0" applyFont="1" applyFill="1" applyBorder="1" applyAlignment="1">
      <alignment horizontal="justify" vertical="center" wrapText="1"/>
    </xf>
    <xf numFmtId="0" fontId="2" fillId="2" borderId="11" xfId="0" applyFont="1" applyFill="1" applyBorder="1" applyAlignment="1">
      <alignment horizontal="justify" vertical="center" wrapText="1"/>
    </xf>
    <xf numFmtId="3" fontId="2" fillId="2" borderId="12" xfId="0" applyNumberFormat="1" applyFont="1" applyFill="1" applyBorder="1" applyAlignment="1">
      <alignment horizontal="justify" vertical="center" wrapText="1"/>
    </xf>
    <xf numFmtId="3" fontId="2" fillId="2" borderId="3" xfId="0" applyNumberFormat="1" applyFont="1" applyFill="1" applyBorder="1" applyAlignment="1">
      <alignment horizontal="justify" vertical="center" wrapText="1"/>
    </xf>
    <xf numFmtId="0" fontId="2" fillId="0" borderId="7" xfId="0" applyFont="1" applyBorder="1" applyAlignment="1">
      <alignment horizontal="center" vertical="center" wrapText="1"/>
    </xf>
    <xf numFmtId="3" fontId="2" fillId="2" borderId="1" xfId="0" applyNumberFormat="1" applyFont="1" applyFill="1" applyBorder="1" applyAlignment="1">
      <alignment horizontal="justify" vertical="center" wrapText="1"/>
    </xf>
    <xf numFmtId="1" fontId="3" fillId="2" borderId="13" xfId="0" applyNumberFormat="1" applyFont="1" applyFill="1" applyBorder="1" applyAlignment="1">
      <alignment horizontal="center" vertical="center" wrapText="1"/>
    </xf>
    <xf numFmtId="1" fontId="3" fillId="2" borderId="28"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9" fontId="2" fillId="0" borderId="3" xfId="2" applyFont="1" applyFill="1" applyBorder="1" applyAlignment="1">
      <alignment horizontal="center" vertical="center" wrapText="1"/>
    </xf>
    <xf numFmtId="43" fontId="2" fillId="0" borderId="15" xfId="10" applyFont="1" applyFill="1" applyBorder="1" applyAlignment="1">
      <alignment horizontal="center" vertical="center" wrapText="1"/>
    </xf>
    <xf numFmtId="43" fontId="2" fillId="0" borderId="5" xfId="10" applyFont="1" applyFill="1" applyBorder="1" applyAlignment="1">
      <alignment horizontal="center" vertical="center" wrapText="1"/>
    </xf>
    <xf numFmtId="0" fontId="3" fillId="12" borderId="1" xfId="0" applyFont="1" applyFill="1" applyBorder="1" applyAlignment="1">
      <alignment horizontal="center" vertical="center" wrapText="1"/>
    </xf>
    <xf numFmtId="0" fontId="7" fillId="0" borderId="9" xfId="3" applyFont="1" applyBorder="1" applyAlignment="1">
      <alignment horizontal="center" vertical="center" wrapText="1"/>
    </xf>
    <xf numFmtId="0" fontId="5" fillId="6" borderId="43" xfId="0" applyFont="1" applyFill="1" applyBorder="1" applyAlignment="1">
      <alignment horizontal="left" vertical="center"/>
    </xf>
    <xf numFmtId="0" fontId="5" fillId="6" borderId="44" xfId="0" applyFont="1" applyFill="1" applyBorder="1" applyAlignment="1">
      <alignment horizontal="left" vertical="center"/>
    </xf>
    <xf numFmtId="0" fontId="7" fillId="0" borderId="9" xfId="0" applyFont="1" applyBorder="1" applyAlignment="1">
      <alignment horizontal="justify" vertical="center" wrapText="1"/>
    </xf>
    <xf numFmtId="0" fontId="7" fillId="0" borderId="1" xfId="0" applyFont="1" applyBorder="1" applyAlignment="1">
      <alignment horizontal="center" vertical="center"/>
    </xf>
    <xf numFmtId="0" fontId="7" fillId="0" borderId="2" xfId="0" applyFont="1" applyBorder="1" applyAlignment="1">
      <alignment horizontal="justify" vertical="center" wrapText="1"/>
    </xf>
    <xf numFmtId="0" fontId="5" fillId="0" borderId="37" xfId="0" applyFont="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left" vertical="center"/>
    </xf>
    <xf numFmtId="14" fontId="7" fillId="0" borderId="1" xfId="0" applyNumberFormat="1" applyFont="1" applyBorder="1" applyAlignment="1">
      <alignment horizontal="left" vertical="center" wrapText="1"/>
    </xf>
    <xf numFmtId="0" fontId="5" fillId="0" borderId="38" xfId="0" applyFont="1" applyBorder="1" applyAlignment="1">
      <alignment horizontal="center" vertical="center"/>
    </xf>
    <xf numFmtId="0" fontId="5" fillId="0" borderId="12" xfId="0" applyFont="1" applyBorder="1" applyAlignment="1">
      <alignment horizontal="center" vertical="center"/>
    </xf>
    <xf numFmtId="3" fontId="5" fillId="0" borderId="12" xfId="0" applyNumberFormat="1" applyFont="1" applyBorder="1" applyAlignment="1">
      <alignment horizontal="center" vertical="center" wrapText="1"/>
    </xf>
    <xf numFmtId="0" fontId="3" fillId="0" borderId="0" xfId="0" applyFont="1" applyAlignment="1">
      <alignment horizontal="justify" vertical="center" wrapText="1"/>
    </xf>
    <xf numFmtId="10" fontId="3" fillId="0" borderId="0" xfId="2" applyNumberFormat="1" applyFont="1" applyAlignment="1">
      <alignment horizontal="center" vertical="center"/>
    </xf>
    <xf numFmtId="177" fontId="3" fillId="0" borderId="0" xfId="11" applyNumberFormat="1" applyFont="1" applyAlignment="1">
      <alignment horizontal="center" vertical="center"/>
    </xf>
    <xf numFmtId="177" fontId="3" fillId="0" borderId="0" xfId="0" applyNumberFormat="1" applyFont="1" applyAlignment="1">
      <alignment horizontal="center" vertical="center"/>
    </xf>
    <xf numFmtId="0" fontId="3" fillId="0" borderId="38" xfId="0" applyFont="1" applyBorder="1" applyAlignment="1">
      <alignment horizontal="justify" vertical="center" wrapText="1"/>
    </xf>
    <xf numFmtId="177" fontId="3" fillId="12" borderId="1" xfId="11" applyNumberFormat="1" applyFont="1" applyFill="1" applyBorder="1" applyAlignment="1">
      <alignment horizontal="center" vertical="center" wrapText="1"/>
    </xf>
    <xf numFmtId="177" fontId="5" fillId="12" borderId="1" xfId="0" applyNumberFormat="1" applyFont="1" applyFill="1" applyBorder="1" applyAlignment="1">
      <alignment horizontal="center" vertical="center" wrapText="1"/>
    </xf>
    <xf numFmtId="0" fontId="5" fillId="12" borderId="1" xfId="0" applyFont="1" applyFill="1" applyBorder="1" applyAlignment="1">
      <alignment horizontal="center" vertical="center" wrapText="1"/>
    </xf>
    <xf numFmtId="49" fontId="5" fillId="12" borderId="1" xfId="0" applyNumberFormat="1" applyFont="1" applyFill="1" applyBorder="1" applyAlignment="1">
      <alignment horizontal="center" vertical="center" wrapText="1"/>
    </xf>
    <xf numFmtId="164" fontId="5" fillId="12" borderId="1" xfId="0" applyNumberFormat="1" applyFont="1" applyFill="1" applyBorder="1" applyAlignment="1">
      <alignment horizontal="center" vertical="center" wrapText="1"/>
    </xf>
    <xf numFmtId="0" fontId="5" fillId="11" borderId="12" xfId="0" applyFont="1" applyFill="1" applyBorder="1" applyAlignment="1">
      <alignment horizontal="center" vertical="center" wrapText="1"/>
    </xf>
    <xf numFmtId="0" fontId="3" fillId="11" borderId="37" xfId="0" applyFont="1" applyFill="1" applyBorder="1" applyAlignment="1">
      <alignment horizontal="justify" vertical="center" wrapText="1"/>
    </xf>
    <xf numFmtId="0" fontId="3" fillId="11" borderId="0" xfId="0" applyFont="1" applyFill="1" applyAlignment="1">
      <alignment horizontal="center" vertical="center"/>
    </xf>
    <xf numFmtId="0" fontId="3" fillId="11" borderId="0" xfId="0" applyFont="1" applyFill="1" applyAlignment="1">
      <alignment horizontal="justify" vertical="center" wrapText="1"/>
    </xf>
    <xf numFmtId="10" fontId="3" fillId="11" borderId="0" xfId="2" applyNumberFormat="1" applyFont="1" applyFill="1" applyAlignment="1">
      <alignment horizontal="center" vertical="center"/>
    </xf>
    <xf numFmtId="165" fontId="3" fillId="11" borderId="0" xfId="0" applyNumberFormat="1" applyFont="1" applyFill="1" applyAlignment="1">
      <alignment horizontal="center" vertical="center"/>
    </xf>
    <xf numFmtId="177" fontId="3" fillId="11" borderId="0" xfId="11" applyNumberFormat="1" applyFont="1" applyFill="1" applyAlignment="1">
      <alignment horizontal="center" vertical="center"/>
    </xf>
    <xf numFmtId="177" fontId="3" fillId="11" borderId="0" xfId="0" applyNumberFormat="1" applyFont="1" applyFill="1" applyAlignment="1">
      <alignment horizontal="center" vertical="center"/>
    </xf>
    <xf numFmtId="1" fontId="3" fillId="11" borderId="37" xfId="0" applyNumberFormat="1" applyFont="1" applyFill="1" applyBorder="1" applyAlignment="1">
      <alignment horizontal="center" vertical="center"/>
    </xf>
    <xf numFmtId="0" fontId="3" fillId="11" borderId="37" xfId="0" applyFont="1" applyFill="1" applyBorder="1" applyAlignment="1">
      <alignment horizontal="center" vertical="center"/>
    </xf>
    <xf numFmtId="164" fontId="3" fillId="11" borderId="37" xfId="0" applyNumberFormat="1" applyFont="1" applyFill="1" applyBorder="1" applyAlignment="1">
      <alignment horizontal="center" vertical="center"/>
    </xf>
    <xf numFmtId="0" fontId="3" fillId="11" borderId="28" xfId="0" applyFont="1" applyFill="1" applyBorder="1" applyAlignment="1">
      <alignment horizontal="center" vertical="center"/>
    </xf>
    <xf numFmtId="0" fontId="5" fillId="10" borderId="30" xfId="0" applyFont="1" applyFill="1" applyBorder="1" applyAlignment="1">
      <alignment horizontal="center" vertical="center"/>
    </xf>
    <xf numFmtId="0" fontId="3" fillId="10" borderId="30" xfId="0" applyFont="1" applyFill="1" applyBorder="1" applyAlignment="1">
      <alignment horizontal="justify" vertical="center" wrapText="1"/>
    </xf>
    <xf numFmtId="10" fontId="3" fillId="10" borderId="30" xfId="2" applyNumberFormat="1" applyFont="1" applyFill="1" applyBorder="1" applyAlignment="1">
      <alignment horizontal="center" vertical="center"/>
    </xf>
    <xf numFmtId="177" fontId="3" fillId="10" borderId="30" xfId="11" applyNumberFormat="1" applyFont="1" applyFill="1" applyBorder="1" applyAlignment="1">
      <alignment horizontal="center" vertical="center"/>
    </xf>
    <xf numFmtId="177" fontId="3" fillId="10" borderId="30" xfId="0" applyNumberFormat="1" applyFont="1" applyFill="1" applyBorder="1" applyAlignment="1">
      <alignment horizontal="center" vertical="center"/>
    </xf>
    <xf numFmtId="0" fontId="25" fillId="10" borderId="30"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30" xfId="0" applyFont="1" applyFill="1" applyBorder="1" applyAlignment="1">
      <alignment horizontal="justify" vertical="center" wrapText="1"/>
    </xf>
    <xf numFmtId="177" fontId="3" fillId="6" borderId="30" xfId="11" applyNumberFormat="1" applyFont="1" applyFill="1" applyBorder="1" applyAlignment="1">
      <alignment horizontal="center" vertical="center"/>
    </xf>
    <xf numFmtId="177" fontId="3" fillId="6" borderId="30" xfId="0" applyNumberFormat="1" applyFont="1" applyFill="1" applyBorder="1" applyAlignment="1">
      <alignment horizontal="center" vertical="center"/>
    </xf>
    <xf numFmtId="0" fontId="3" fillId="6" borderId="30" xfId="0" applyFont="1" applyFill="1" applyBorder="1" applyAlignment="1">
      <alignment horizontal="center" vertical="center" wrapText="1"/>
    </xf>
    <xf numFmtId="0" fontId="3" fillId="6" borderId="36" xfId="0" applyFont="1" applyFill="1" applyBorder="1" applyAlignment="1">
      <alignment horizontal="center" vertical="center"/>
    </xf>
    <xf numFmtId="0" fontId="7" fillId="0" borderId="15" xfId="3" applyFont="1" applyBorder="1" applyAlignment="1">
      <alignment horizontal="justify" vertical="center" wrapText="1"/>
    </xf>
    <xf numFmtId="177" fontId="7" fillId="0" borderId="1" xfId="16" applyNumberFormat="1" applyFont="1" applyFill="1" applyBorder="1" applyAlignment="1">
      <alignment horizontal="center" vertical="center" wrapText="1"/>
    </xf>
    <xf numFmtId="177" fontId="7" fillId="0" borderId="1" xfId="6" applyNumberFormat="1" applyFont="1" applyFill="1" applyBorder="1" applyAlignment="1" applyProtection="1">
      <alignment horizontal="right" vertical="center"/>
      <protection locked="0"/>
    </xf>
    <xf numFmtId="3" fontId="2" fillId="0" borderId="3" xfId="0" applyNumberFormat="1" applyFont="1" applyBorder="1" applyAlignment="1">
      <alignment horizontal="center" vertical="center" wrapText="1"/>
    </xf>
    <xf numFmtId="1" fontId="2" fillId="2" borderId="10"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7" fillId="0" borderId="1" xfId="7" applyNumberFormat="1" applyFont="1" applyFill="1" applyBorder="1" applyAlignment="1" applyProtection="1">
      <alignment horizontal="right" vertical="center"/>
      <protection locked="0"/>
    </xf>
    <xf numFmtId="0" fontId="7" fillId="0" borderId="4" xfId="3" applyFont="1" applyBorder="1" applyAlignment="1">
      <alignment horizontal="justify" vertical="center" wrapText="1"/>
    </xf>
    <xf numFmtId="1" fontId="2" fillId="0" borderId="32" xfId="0" applyNumberFormat="1" applyFont="1" applyBorder="1" applyAlignment="1">
      <alignment horizontal="center" vertical="center" wrapText="1"/>
    </xf>
    <xf numFmtId="1" fontId="2" fillId="2" borderId="28"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2" borderId="40" xfId="0" applyFont="1" applyFill="1" applyBorder="1" applyAlignment="1">
      <alignment horizontal="justify" vertical="center" wrapText="1"/>
    </xf>
    <xf numFmtId="0" fontId="7" fillId="0" borderId="1" xfId="12" applyNumberFormat="1" applyFont="1" applyFill="1" applyBorder="1">
      <alignment horizontal="center" vertical="center" wrapText="1"/>
    </xf>
    <xf numFmtId="1" fontId="2" fillId="2" borderId="32" xfId="0"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xf>
    <xf numFmtId="0" fontId="7" fillId="0" borderId="15" xfId="0" applyFont="1" applyBorder="1" applyAlignment="1">
      <alignment horizontal="justify" vertical="center" wrapText="1"/>
    </xf>
    <xf numFmtId="10" fontId="7" fillId="0" borderId="15" xfId="2" applyNumberFormat="1" applyFont="1" applyBorder="1" applyAlignment="1">
      <alignment horizontal="center" vertical="center" wrapText="1"/>
    </xf>
    <xf numFmtId="0" fontId="7" fillId="0" borderId="5" xfId="0" applyFont="1" applyBorder="1" applyAlignment="1">
      <alignment horizontal="justify" vertical="center" wrapText="1"/>
    </xf>
    <xf numFmtId="0" fontId="7" fillId="0" borderId="5" xfId="3" applyFont="1" applyBorder="1" applyAlignment="1">
      <alignment horizontal="justify" vertical="center" wrapText="1"/>
    </xf>
    <xf numFmtId="0" fontId="2" fillId="2" borderId="2" xfId="0" applyFont="1" applyFill="1" applyBorder="1" applyAlignment="1">
      <alignment horizontal="justify" vertical="center" wrapText="1"/>
    </xf>
    <xf numFmtId="0" fontId="2" fillId="2" borderId="38" xfId="0" applyFont="1" applyFill="1" applyBorder="1" applyAlignment="1">
      <alignment horizontal="justify" vertical="center" wrapText="1"/>
    </xf>
    <xf numFmtId="1" fontId="2" fillId="2" borderId="32" xfId="0" applyNumberFormat="1" applyFont="1" applyFill="1" applyBorder="1" applyAlignment="1">
      <alignment horizontal="center" vertical="center"/>
    </xf>
    <xf numFmtId="0" fontId="7" fillId="0" borderId="5" xfId="12" applyNumberFormat="1" applyFont="1" applyFill="1" applyBorder="1">
      <alignment horizontal="center" vertical="center" wrapText="1"/>
    </xf>
    <xf numFmtId="10" fontId="7" fillId="0" borderId="40" xfId="2" applyNumberFormat="1" applyFont="1" applyBorder="1" applyAlignment="1">
      <alignment horizontal="center" vertical="center" wrapText="1"/>
    </xf>
    <xf numFmtId="49" fontId="2" fillId="0" borderId="54" xfId="0" applyNumberFormat="1" applyFont="1" applyBorder="1" applyAlignment="1">
      <alignment horizontal="justify" vertical="center" wrapText="1"/>
    </xf>
    <xf numFmtId="0" fontId="7" fillId="0" borderId="9" xfId="12" applyNumberFormat="1" applyFont="1" applyFill="1" applyBorder="1">
      <alignment horizontal="center" vertical="center" wrapText="1"/>
    </xf>
    <xf numFmtId="0" fontId="2" fillId="2" borderId="5" xfId="0" applyFont="1" applyFill="1" applyBorder="1" applyAlignment="1">
      <alignment horizontal="justify" vertical="center" wrapText="1"/>
    </xf>
    <xf numFmtId="0" fontId="2" fillId="0" borderId="2" xfId="0" applyFont="1" applyBorder="1" applyAlignment="1">
      <alignment horizontal="justify" vertical="center" wrapText="1"/>
    </xf>
    <xf numFmtId="0" fontId="7" fillId="0" borderId="28" xfId="0" applyFont="1" applyBorder="1" applyAlignment="1">
      <alignment horizontal="justify" vertical="center" wrapText="1"/>
    </xf>
    <xf numFmtId="177" fontId="2" fillId="0" borderId="1" xfId="11" applyNumberFormat="1" applyFont="1" applyFill="1" applyBorder="1" applyAlignment="1">
      <alignment horizontal="center" vertical="center" wrapText="1"/>
    </xf>
    <xf numFmtId="1" fontId="2" fillId="0" borderId="37" xfId="0" applyNumberFormat="1" applyFont="1" applyBorder="1" applyAlignment="1">
      <alignment horizontal="center" vertical="center"/>
    </xf>
    <xf numFmtId="0" fontId="6" fillId="0" borderId="5" xfId="0" applyFont="1" applyBorder="1" applyAlignment="1">
      <alignment horizontal="justify" vertical="center" wrapText="1"/>
    </xf>
    <xf numFmtId="177" fontId="2" fillId="0" borderId="1" xfId="7" applyNumberFormat="1" applyFont="1" applyFill="1" applyBorder="1" applyAlignment="1" applyProtection="1">
      <alignment horizontal="right" vertical="center"/>
      <protection locked="0"/>
    </xf>
    <xf numFmtId="1" fontId="2" fillId="0" borderId="17" xfId="0" applyNumberFormat="1" applyFont="1" applyBorder="1" applyAlignment="1">
      <alignment horizontal="center" vertical="center"/>
    </xf>
    <xf numFmtId="1" fontId="2" fillId="0" borderId="39" xfId="0" applyNumberFormat="1" applyFont="1" applyBorder="1" applyAlignment="1">
      <alignment horizontal="center" vertical="center"/>
    </xf>
    <xf numFmtId="0" fontId="3" fillId="6" borderId="0" xfId="0" applyFont="1" applyFill="1" applyAlignment="1">
      <alignment horizontal="justify" vertical="center" wrapText="1"/>
    </xf>
    <xf numFmtId="10" fontId="3" fillId="6" borderId="30" xfId="2" applyNumberFormat="1" applyFont="1" applyFill="1" applyBorder="1" applyAlignment="1">
      <alignment horizontal="center" vertical="center"/>
    </xf>
    <xf numFmtId="0" fontId="3" fillId="6" borderId="0" xfId="0" applyFont="1" applyFill="1" applyBorder="1" applyAlignment="1">
      <alignment horizontal="justify" vertical="center" wrapText="1"/>
    </xf>
    <xf numFmtId="177" fontId="3" fillId="6" borderId="1" xfId="0" applyNumberFormat="1" applyFont="1" applyFill="1" applyBorder="1" applyAlignment="1">
      <alignment horizontal="justify" vertical="center" wrapText="1"/>
    </xf>
    <xf numFmtId="0" fontId="2" fillId="6" borderId="30" xfId="0" applyFont="1" applyFill="1" applyBorder="1" applyAlignment="1">
      <alignment horizontal="center" vertical="center"/>
    </xf>
    <xf numFmtId="1" fontId="3" fillId="11" borderId="4" xfId="0" applyNumberFormat="1" applyFont="1" applyFill="1" applyBorder="1" applyAlignment="1">
      <alignment horizontal="center" vertical="center" wrapText="1"/>
    </xf>
    <xf numFmtId="1" fontId="2" fillId="11" borderId="0" xfId="0" applyNumberFormat="1" applyFont="1" applyFill="1" applyAlignment="1">
      <alignment horizontal="center" vertical="center" wrapText="1"/>
    </xf>
    <xf numFmtId="1" fontId="2" fillId="11" borderId="0" xfId="0" applyNumberFormat="1" applyFont="1" applyFill="1" applyAlignment="1">
      <alignment horizontal="justify" vertical="center" wrapText="1"/>
    </xf>
    <xf numFmtId="10" fontId="2" fillId="11" borderId="0" xfId="2" applyNumberFormat="1" applyFont="1" applyFill="1" applyAlignment="1">
      <alignment horizontal="center" vertical="center" wrapText="1"/>
    </xf>
    <xf numFmtId="1" fontId="2" fillId="11" borderId="2" xfId="0" applyNumberFormat="1" applyFont="1" applyFill="1" applyBorder="1" applyAlignment="1">
      <alignment horizontal="justify" vertical="center" wrapText="1"/>
    </xf>
    <xf numFmtId="177" fontId="2" fillId="11" borderId="1" xfId="11" applyNumberFormat="1" applyFont="1" applyFill="1" applyBorder="1" applyAlignment="1">
      <alignment horizontal="justify" vertical="center" wrapText="1"/>
    </xf>
    <xf numFmtId="177" fontId="2" fillId="11" borderId="1" xfId="0" applyNumberFormat="1" applyFont="1" applyFill="1" applyBorder="1" applyAlignment="1">
      <alignment horizontal="justify" vertical="center" wrapText="1"/>
    </xf>
    <xf numFmtId="1" fontId="2" fillId="11" borderId="1" xfId="0" applyNumberFormat="1" applyFont="1" applyFill="1" applyBorder="1" applyAlignment="1">
      <alignment horizontal="justify" vertical="center" wrapText="1"/>
    </xf>
    <xf numFmtId="1" fontId="2" fillId="11" borderId="7" xfId="0" applyNumberFormat="1" applyFont="1" applyFill="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28" xfId="0" applyNumberFormat="1" applyFont="1" applyBorder="1" applyAlignment="1">
      <alignment horizontal="center" vertical="center"/>
    </xf>
    <xf numFmtId="0" fontId="5" fillId="19" borderId="30" xfId="0" applyFont="1" applyFill="1" applyBorder="1" applyAlignment="1">
      <alignment horizontal="center" vertical="center" wrapText="1"/>
    </xf>
    <xf numFmtId="1" fontId="2" fillId="10" borderId="30" xfId="0" applyNumberFormat="1" applyFont="1" applyFill="1" applyBorder="1" applyAlignment="1">
      <alignment horizontal="justify" vertical="center" wrapText="1"/>
    </xf>
    <xf numFmtId="1" fontId="2" fillId="10" borderId="30" xfId="0" applyNumberFormat="1" applyFont="1" applyFill="1" applyBorder="1" applyAlignment="1">
      <alignment horizontal="center" vertical="center" wrapText="1"/>
    </xf>
    <xf numFmtId="10" fontId="2" fillId="10" borderId="30" xfId="2" applyNumberFormat="1" applyFont="1" applyFill="1" applyBorder="1" applyAlignment="1">
      <alignment horizontal="center" vertical="center" wrapText="1"/>
    </xf>
    <xf numFmtId="1" fontId="2" fillId="10" borderId="0" xfId="0" applyNumberFormat="1" applyFont="1" applyFill="1" applyBorder="1" applyAlignment="1">
      <alignment horizontal="justify" vertical="center" wrapText="1"/>
    </xf>
    <xf numFmtId="177" fontId="2" fillId="10" borderId="1" xfId="11" applyNumberFormat="1" applyFont="1" applyFill="1" applyBorder="1" applyAlignment="1">
      <alignment horizontal="justify" vertical="center" wrapText="1"/>
    </xf>
    <xf numFmtId="177" fontId="2" fillId="10" borderId="1" xfId="0" applyNumberFormat="1" applyFont="1" applyFill="1" applyBorder="1" applyAlignment="1">
      <alignment horizontal="justify" vertical="center" wrapText="1"/>
    </xf>
    <xf numFmtId="1" fontId="2" fillId="10" borderId="1" xfId="0" applyNumberFormat="1" applyFont="1" applyFill="1" applyBorder="1" applyAlignment="1">
      <alignment horizontal="justify" vertical="center" wrapText="1"/>
    </xf>
    <xf numFmtId="1" fontId="2" fillId="10" borderId="29" xfId="0" applyNumberFormat="1" applyFont="1" applyFill="1" applyBorder="1" applyAlignment="1">
      <alignment horizontal="center" vertical="center" wrapText="1"/>
    </xf>
    <xf numFmtId="10" fontId="3" fillId="6" borderId="16" xfId="2" applyNumberFormat="1" applyFont="1" applyFill="1" applyBorder="1" applyAlignment="1">
      <alignment horizontal="center" vertical="center"/>
    </xf>
    <xf numFmtId="177" fontId="3" fillId="6" borderId="1" xfId="11" applyNumberFormat="1" applyFont="1" applyFill="1" applyBorder="1" applyAlignment="1">
      <alignment horizontal="justify" vertical="center" wrapText="1"/>
    </xf>
    <xf numFmtId="0" fontId="2" fillId="6" borderId="16" xfId="0" applyFont="1" applyFill="1" applyBorder="1" applyAlignment="1">
      <alignment horizontal="center" vertical="center"/>
    </xf>
    <xf numFmtId="0" fontId="3" fillId="6" borderId="19" xfId="0" applyFont="1" applyFill="1" applyBorder="1" applyAlignment="1">
      <alignment horizontal="center" vertical="center"/>
    </xf>
    <xf numFmtId="1" fontId="2" fillId="20" borderId="2" xfId="0" applyNumberFormat="1" applyFont="1" applyFill="1" applyBorder="1" applyAlignment="1">
      <alignment horizontal="center" vertical="center"/>
    </xf>
    <xf numFmtId="0" fontId="2" fillId="20" borderId="36" xfId="0" applyFont="1" applyFill="1" applyBorder="1" applyAlignment="1">
      <alignment horizontal="center" vertical="center"/>
    </xf>
    <xf numFmtId="0" fontId="2" fillId="20" borderId="36" xfId="0" applyFont="1" applyFill="1" applyBorder="1" applyAlignment="1">
      <alignment horizontal="justify" vertical="center" wrapText="1"/>
    </xf>
    <xf numFmtId="10" fontId="2" fillId="20" borderId="36" xfId="2" applyNumberFormat="1" applyFont="1" applyFill="1" applyBorder="1" applyAlignment="1">
      <alignment horizontal="center" vertical="center"/>
    </xf>
    <xf numFmtId="176" fontId="3" fillId="20" borderId="1" xfId="0" applyNumberFormat="1" applyFont="1" applyFill="1" applyBorder="1" applyAlignment="1">
      <alignment horizontal="center" vertical="center"/>
    </xf>
    <xf numFmtId="0" fontId="3" fillId="20" borderId="1" xfId="0" applyFont="1" applyFill="1" applyBorder="1" applyAlignment="1">
      <alignment horizontal="justify" vertical="center" wrapText="1"/>
    </xf>
    <xf numFmtId="177" fontId="3" fillId="4" borderId="11" xfId="11" applyNumberFormat="1" applyFont="1" applyFill="1" applyBorder="1" applyAlignment="1">
      <alignment horizontal="center" vertical="center" wrapText="1"/>
    </xf>
    <xf numFmtId="177" fontId="3" fillId="4" borderId="4" xfId="11" applyNumberFormat="1" applyFont="1" applyFill="1" applyBorder="1" applyAlignment="1">
      <alignment horizontal="center" vertical="center" wrapText="1"/>
    </xf>
    <xf numFmtId="0" fontId="3" fillId="20" borderId="4" xfId="0" applyFont="1" applyFill="1" applyBorder="1" applyAlignment="1">
      <alignment horizontal="justify" vertical="center" wrapText="1"/>
    </xf>
    <xf numFmtId="3" fontId="3" fillId="20" borderId="1" xfId="0" applyNumberFormat="1" applyFont="1" applyFill="1" applyBorder="1" applyAlignment="1">
      <alignment horizontal="center" vertical="center" wrapText="1"/>
    </xf>
    <xf numFmtId="0" fontId="2" fillId="2" borderId="0" xfId="0" applyFont="1" applyFill="1" applyAlignment="1">
      <alignment horizontal="justify" vertical="center" wrapText="1"/>
    </xf>
    <xf numFmtId="10" fontId="2" fillId="2" borderId="0" xfId="2" applyNumberFormat="1" applyFont="1" applyFill="1" applyAlignment="1">
      <alignment horizontal="center" vertical="center"/>
    </xf>
    <xf numFmtId="177" fontId="2" fillId="2" borderId="0" xfId="11" applyNumberFormat="1" applyFont="1" applyFill="1" applyAlignment="1">
      <alignment horizontal="center" vertical="center"/>
    </xf>
    <xf numFmtId="177" fontId="2" fillId="2" borderId="0" xfId="0" applyNumberFormat="1" applyFont="1" applyFill="1" applyAlignment="1">
      <alignment horizontal="center" vertical="center"/>
    </xf>
    <xf numFmtId="165" fontId="2" fillId="2" borderId="0" xfId="0" applyNumberFormat="1" applyFont="1" applyFill="1" applyAlignment="1">
      <alignment horizontal="center" vertical="center" wrapText="1"/>
    </xf>
    <xf numFmtId="3" fontId="3" fillId="0" borderId="0" xfId="0" applyNumberFormat="1" applyFont="1" applyFill="1" applyBorder="1" applyAlignment="1">
      <alignment horizontal="center" vertical="center" wrapText="1"/>
    </xf>
    <xf numFmtId="164" fontId="7" fillId="0" borderId="0" xfId="0" applyNumberFormat="1" applyFont="1" applyAlignment="1">
      <alignment horizontal="center" vertical="center"/>
    </xf>
    <xf numFmtId="177" fontId="5" fillId="0" borderId="0" xfId="16" applyNumberFormat="1" applyFont="1" applyFill="1" applyBorder="1" applyAlignment="1" applyProtection="1">
      <alignment horizontal="right" vertical="center"/>
      <protection locked="0"/>
    </xf>
    <xf numFmtId="177" fontId="2" fillId="2"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177" fontId="2" fillId="2" borderId="0" xfId="11" applyNumberFormat="1" applyFont="1" applyFill="1" applyBorder="1" applyAlignment="1">
      <alignment horizontal="center" vertical="center"/>
    </xf>
    <xf numFmtId="0" fontId="7" fillId="0" borderId="0" xfId="0" applyFont="1" applyFill="1" applyBorder="1" applyAlignment="1">
      <alignment horizontal="center" vertical="center"/>
    </xf>
    <xf numFmtId="0" fontId="26" fillId="0" borderId="0" xfId="0" applyFont="1" applyAlignment="1">
      <alignment horizontal="center" vertical="center"/>
    </xf>
    <xf numFmtId="0" fontId="2" fillId="0" borderId="0" xfId="0" applyFont="1" applyAlignment="1">
      <alignment horizontal="justify" vertical="center" wrapText="1"/>
    </xf>
    <xf numFmtId="0" fontId="7" fillId="0" borderId="9" xfId="3" applyFont="1" applyBorder="1" applyAlignment="1">
      <alignment horizontal="justify" vertical="center" wrapText="1"/>
    </xf>
    <xf numFmtId="0" fontId="7" fillId="0" borderId="18"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2" fillId="0" borderId="12" xfId="3" applyFont="1" applyBorder="1" applyAlignment="1">
      <alignment horizontal="justify" vertical="center" wrapText="1"/>
    </xf>
    <xf numFmtId="0" fontId="2" fillId="0" borderId="4" xfId="3" applyFont="1" applyBorder="1" applyAlignment="1">
      <alignment horizontal="justify" vertical="center" wrapText="1"/>
    </xf>
    <xf numFmtId="0" fontId="7" fillId="0" borderId="1" xfId="3" applyFont="1" applyBorder="1" applyAlignment="1">
      <alignment horizontal="justify" vertical="center" wrapText="1"/>
    </xf>
    <xf numFmtId="0" fontId="3" fillId="0" borderId="37" xfId="3" applyFont="1" applyBorder="1" applyAlignment="1">
      <alignment horizontal="center" vertical="center"/>
    </xf>
    <xf numFmtId="0" fontId="3" fillId="0" borderId="28" xfId="3" applyFont="1" applyBorder="1" applyAlignment="1">
      <alignment horizontal="center" vertical="center"/>
    </xf>
    <xf numFmtId="0" fontId="3" fillId="0" borderId="38" xfId="3" applyFont="1" applyBorder="1" applyAlignment="1">
      <alignment horizontal="center" vertical="center"/>
    </xf>
    <xf numFmtId="0" fontId="3" fillId="0" borderId="10" xfId="3" applyFont="1" applyBorder="1" applyAlignment="1">
      <alignment horizontal="center" vertical="center"/>
    </xf>
    <xf numFmtId="0" fontId="7" fillId="0" borderId="29" xfId="0" applyFont="1" applyBorder="1" applyAlignment="1">
      <alignment horizontal="center" vertical="center" wrapText="1"/>
    </xf>
    <xf numFmtId="0" fontId="7" fillId="0" borderId="9" xfId="0" applyFont="1" applyBorder="1" applyAlignment="1">
      <alignment horizontal="justify" vertical="center" wrapText="1"/>
    </xf>
    <xf numFmtId="0" fontId="7" fillId="0" borderId="12" xfId="3" applyFont="1" applyBorder="1" applyAlignment="1">
      <alignment horizontal="justify" vertical="center" wrapText="1"/>
    </xf>
    <xf numFmtId="0" fontId="7" fillId="0" borderId="5" xfId="0" applyFont="1" applyBorder="1" applyAlignment="1">
      <alignment horizontal="justify" vertical="center" wrapText="1"/>
    </xf>
    <xf numFmtId="0" fontId="7" fillId="0" borderId="15" xfId="3" applyFont="1" applyBorder="1" applyAlignment="1">
      <alignment horizontal="justify" vertical="center" wrapText="1"/>
    </xf>
    <xf numFmtId="0" fontId="7" fillId="0" borderId="11" xfId="0" applyFont="1" applyBorder="1" applyAlignment="1">
      <alignment horizontal="justify" vertical="center" wrapText="1"/>
    </xf>
    <xf numFmtId="0" fontId="7" fillId="0" borderId="5" xfId="3" applyFont="1" applyBorder="1" applyAlignment="1">
      <alignment horizontal="justify" vertical="center" wrapText="1"/>
    </xf>
    <xf numFmtId="0" fontId="5" fillId="12" borderId="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left" vertical="center"/>
    </xf>
    <xf numFmtId="14" fontId="2" fillId="0" borderId="1" xfId="0" applyNumberFormat="1" applyFont="1" applyBorder="1" applyAlignment="1">
      <alignment horizontal="left" vertical="center" wrapText="1"/>
    </xf>
    <xf numFmtId="3" fontId="27" fillId="0" borderId="1" xfId="0" applyNumberFormat="1" applyFont="1" applyBorder="1" applyAlignment="1">
      <alignment horizontal="center" vertical="center" wrapText="1"/>
    </xf>
    <xf numFmtId="0" fontId="19" fillId="13" borderId="1" xfId="0" applyFont="1" applyFill="1" applyBorder="1" applyAlignment="1">
      <alignment horizontal="center" vertical="center" wrapText="1"/>
    </xf>
    <xf numFmtId="166" fontId="3" fillId="11" borderId="37" xfId="0" applyNumberFormat="1" applyFont="1" applyFill="1" applyBorder="1" applyAlignment="1">
      <alignment horizontal="center" vertical="center"/>
    </xf>
    <xf numFmtId="165" fontId="3" fillId="11" borderId="37" xfId="0" applyNumberFormat="1" applyFont="1" applyFill="1" applyBorder="1" applyAlignment="1">
      <alignment horizontal="center" vertical="center"/>
    </xf>
    <xf numFmtId="0" fontId="5" fillId="6" borderId="39" xfId="0" applyFont="1" applyFill="1" applyBorder="1" applyAlignment="1">
      <alignment horizontal="center" vertical="center" wrapText="1"/>
    </xf>
    <xf numFmtId="0" fontId="3" fillId="6" borderId="0" xfId="0" applyFont="1" applyFill="1" applyAlignment="1">
      <alignment horizontal="center" vertical="center"/>
    </xf>
    <xf numFmtId="166" fontId="3" fillId="6" borderId="0" xfId="0" applyNumberFormat="1" applyFont="1" applyFill="1" applyAlignment="1">
      <alignment horizontal="center" vertical="center"/>
    </xf>
    <xf numFmtId="165" fontId="3" fillId="6" borderId="0" xfId="0" applyNumberFormat="1" applyFont="1" applyFill="1" applyAlignment="1">
      <alignment horizontal="center" vertical="center"/>
    </xf>
    <xf numFmtId="1" fontId="3" fillId="6" borderId="0" xfId="0" applyNumberFormat="1" applyFont="1" applyFill="1" applyAlignment="1">
      <alignment horizontal="center" vertical="center"/>
    </xf>
    <xf numFmtId="164" fontId="3" fillId="6" borderId="0" xfId="0" applyNumberFormat="1" applyFont="1" applyFill="1" applyAlignment="1">
      <alignment horizontal="center" vertical="center"/>
    </xf>
    <xf numFmtId="0" fontId="3" fillId="6" borderId="7" xfId="0" applyFont="1" applyFill="1" applyBorder="1" applyAlignment="1">
      <alignment horizontal="center" vertical="center"/>
    </xf>
    <xf numFmtId="0" fontId="6" fillId="2" borderId="32" xfId="3" applyFont="1" applyFill="1" applyBorder="1" applyAlignment="1">
      <alignment horizontal="justify" vertical="center" wrapText="1"/>
    </xf>
    <xf numFmtId="0" fontId="2" fillId="2" borderId="32" xfId="3" applyFont="1" applyFill="1" applyBorder="1" applyAlignment="1">
      <alignment horizontal="justify" vertical="center" wrapText="1"/>
    </xf>
    <xf numFmtId="0" fontId="2" fillId="2" borderId="28" xfId="3" applyFont="1" applyFill="1" applyBorder="1" applyAlignment="1">
      <alignment horizontal="justify" vertical="center" wrapText="1"/>
    </xf>
    <xf numFmtId="43" fontId="2" fillId="0" borderId="6" xfId="10" applyFont="1" applyFill="1" applyBorder="1" applyAlignment="1">
      <alignment horizontal="center" vertical="center" wrapText="1"/>
    </xf>
    <xf numFmtId="43" fontId="2" fillId="0" borderId="9" xfId="10" applyFont="1" applyFill="1" applyBorder="1" applyAlignment="1">
      <alignment horizontal="center" vertical="center" wrapText="1"/>
    </xf>
    <xf numFmtId="0" fontId="6" fillId="0" borderId="9" xfId="0"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0" fontId="2" fillId="2" borderId="40" xfId="3" applyFont="1" applyFill="1" applyBorder="1" applyAlignment="1">
      <alignment horizontal="justify" vertical="center" wrapText="1"/>
    </xf>
    <xf numFmtId="43" fontId="2" fillId="0" borderId="40" xfId="10" applyFont="1" applyFill="1" applyBorder="1" applyAlignment="1">
      <alignment horizontal="center" vertical="center" wrapText="1"/>
    </xf>
    <xf numFmtId="0" fontId="5" fillId="10" borderId="0" xfId="0" applyFont="1" applyFill="1" applyAlignment="1">
      <alignment horizontal="center" vertical="center"/>
    </xf>
    <xf numFmtId="0" fontId="2" fillId="10" borderId="16" xfId="0" applyFont="1" applyFill="1" applyBorder="1" applyAlignment="1">
      <alignment horizontal="center" vertical="center" wrapText="1"/>
    </xf>
    <xf numFmtId="0" fontId="2" fillId="10" borderId="0" xfId="0" applyFont="1" applyFill="1" applyAlignment="1">
      <alignment horizontal="center" vertical="center" wrapText="1"/>
    </xf>
    <xf numFmtId="9" fontId="2" fillId="10" borderId="0" xfId="2" applyFont="1" applyFill="1" applyBorder="1" applyAlignment="1">
      <alignment horizontal="center" vertical="center" wrapText="1"/>
    </xf>
    <xf numFmtId="43" fontId="2" fillId="10" borderId="0" xfId="10" applyFont="1" applyFill="1" applyBorder="1" applyAlignment="1">
      <alignment horizontal="center" vertical="center" wrapText="1"/>
    </xf>
    <xf numFmtId="3" fontId="2" fillId="10" borderId="0" xfId="0" applyNumberFormat="1" applyFont="1" applyFill="1" applyAlignment="1">
      <alignment horizontal="center" vertical="center" wrapText="1"/>
    </xf>
    <xf numFmtId="0" fontId="2" fillId="10" borderId="0" xfId="3" applyFont="1" applyFill="1" applyAlignment="1">
      <alignment horizontal="center" vertical="center" wrapText="1"/>
    </xf>
    <xf numFmtId="0" fontId="6" fillId="10" borderId="0" xfId="0" applyFont="1" applyFill="1" applyAlignment="1">
      <alignment horizontal="center" vertical="center" wrapText="1"/>
    </xf>
    <xf numFmtId="1" fontId="2" fillId="10" borderId="0" xfId="0" applyNumberFormat="1" applyFont="1" applyFill="1" applyAlignment="1">
      <alignment horizontal="center" vertical="center" wrapText="1"/>
    </xf>
    <xf numFmtId="1" fontId="2" fillId="0" borderId="0" xfId="0" applyNumberFormat="1" applyFont="1" applyAlignment="1">
      <alignment horizontal="center" vertical="center" wrapText="1"/>
    </xf>
    <xf numFmtId="41" fontId="2" fillId="10" borderId="0" xfId="11" applyFont="1" applyFill="1" applyBorder="1" applyAlignment="1">
      <alignment horizontal="center" vertical="center" wrapText="1"/>
    </xf>
    <xf numFmtId="164" fontId="2" fillId="10" borderId="0" xfId="0" applyNumberFormat="1" applyFont="1" applyFill="1" applyAlignment="1">
      <alignment horizontal="center" vertical="center" wrapText="1"/>
    </xf>
    <xf numFmtId="3" fontId="2" fillId="10" borderId="22" xfId="0" applyNumberFormat="1" applyFont="1" applyFill="1" applyBorder="1" applyAlignment="1">
      <alignment horizontal="center" vertical="center" wrapText="1"/>
    </xf>
    <xf numFmtId="166" fontId="3" fillId="6" borderId="16" xfId="0" applyNumberFormat="1" applyFont="1" applyFill="1" applyBorder="1" applyAlignment="1">
      <alignment horizontal="center" vertical="center"/>
    </xf>
    <xf numFmtId="43" fontId="3" fillId="6" borderId="16" xfId="10" applyFont="1" applyFill="1" applyBorder="1" applyAlignment="1">
      <alignment horizontal="center" vertical="center"/>
    </xf>
    <xf numFmtId="1" fontId="3" fillId="6" borderId="16" xfId="0" applyNumberFormat="1" applyFont="1" applyFill="1" applyBorder="1" applyAlignment="1">
      <alignment horizontal="center" vertical="center"/>
    </xf>
    <xf numFmtId="0" fontId="3" fillId="0" borderId="16" xfId="0" applyFont="1" applyBorder="1" applyAlignment="1">
      <alignment horizontal="center" vertical="center"/>
    </xf>
    <xf numFmtId="41" fontId="3" fillId="6" borderId="16" xfId="11" applyFont="1" applyFill="1" applyBorder="1" applyAlignment="1">
      <alignment horizontal="center" vertical="center"/>
    </xf>
    <xf numFmtId="164" fontId="3" fillId="6" borderId="16"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7" xfId="0" applyFont="1" applyFill="1" applyBorder="1" applyAlignment="1">
      <alignment horizontal="justify" vertical="center" wrapText="1"/>
    </xf>
    <xf numFmtId="9" fontId="2" fillId="2" borderId="3" xfId="0" applyNumberFormat="1" applyFont="1" applyFill="1" applyBorder="1" applyAlignment="1">
      <alignment horizontal="center" vertical="center" wrapText="1"/>
    </xf>
    <xf numFmtId="43" fontId="2" fillId="2" borderId="3" xfId="10" applyFont="1" applyFill="1" applyBorder="1" applyAlignment="1">
      <alignment horizontal="center" vertical="center" wrapText="1"/>
    </xf>
    <xf numFmtId="43" fontId="7" fillId="0" borderId="12" xfId="10" applyFont="1" applyFill="1" applyBorder="1" applyAlignment="1" applyProtection="1">
      <alignment horizontal="right" vertical="center"/>
      <protection locked="0"/>
    </xf>
    <xf numFmtId="1" fontId="2" fillId="2" borderId="0" xfId="0" applyNumberFormat="1" applyFont="1" applyFill="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1" fontId="2" fillId="0" borderId="3" xfId="0" applyNumberFormat="1" applyFont="1" applyBorder="1" applyAlignment="1">
      <alignment horizontal="center" vertical="center" wrapText="1"/>
    </xf>
    <xf numFmtId="41" fontId="2" fillId="0" borderId="3" xfId="1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9" fontId="2" fillId="10" borderId="30" xfId="0" applyNumberFormat="1" applyFont="1" applyFill="1" applyBorder="1" applyAlignment="1">
      <alignment horizontal="center" vertical="center" wrapText="1"/>
    </xf>
    <xf numFmtId="43" fontId="2" fillId="10" borderId="30" xfId="10" applyFont="1" applyFill="1" applyBorder="1" applyAlignment="1">
      <alignment horizontal="center" vertical="center" wrapText="1"/>
    </xf>
    <xf numFmtId="3" fontId="2" fillId="10" borderId="30" xfId="0" applyNumberFormat="1" applyFont="1" applyFill="1" applyBorder="1" applyAlignment="1">
      <alignment horizontal="center" vertical="center" wrapText="1"/>
    </xf>
    <xf numFmtId="0" fontId="6" fillId="10" borderId="30" xfId="0" applyFont="1" applyFill="1" applyBorder="1" applyAlignment="1">
      <alignment horizontal="center" vertical="center" wrapText="1"/>
    </xf>
    <xf numFmtId="1" fontId="2" fillId="0" borderId="30" xfId="0" applyNumberFormat="1" applyFont="1" applyBorder="1" applyAlignment="1">
      <alignment horizontal="center" vertical="center" wrapText="1"/>
    </xf>
    <xf numFmtId="41" fontId="2" fillId="10" borderId="30" xfId="11" applyFont="1" applyFill="1" applyBorder="1" applyAlignment="1">
      <alignment horizontal="center" vertical="center" wrapText="1"/>
    </xf>
    <xf numFmtId="164" fontId="2" fillId="10" borderId="30" xfId="0" applyNumberFormat="1" applyFont="1" applyFill="1" applyBorder="1" applyAlignment="1">
      <alignment horizontal="center" vertical="center" wrapText="1"/>
    </xf>
    <xf numFmtId="3" fontId="2" fillId="10" borderId="29" xfId="0" applyNumberFormat="1"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43" xfId="0" applyFont="1" applyFill="1" applyBorder="1" applyAlignment="1">
      <alignment vertical="center"/>
    </xf>
    <xf numFmtId="0" fontId="5" fillId="6" borderId="44" xfId="0" applyFont="1" applyFill="1" applyBorder="1" applyAlignment="1">
      <alignment vertical="center"/>
    </xf>
    <xf numFmtId="1" fontId="3" fillId="0" borderId="0" xfId="0" applyNumberFormat="1" applyFont="1" applyAlignment="1">
      <alignment horizontal="center" vertical="center" wrapText="1"/>
    </xf>
    <xf numFmtId="0" fontId="6" fillId="2" borderId="40"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43" fontId="6" fillId="0" borderId="38" xfId="10" applyFont="1" applyFill="1" applyBorder="1" applyAlignment="1">
      <alignment horizontal="center" vertical="center" wrapText="1"/>
    </xf>
    <xf numFmtId="0" fontId="6" fillId="2" borderId="5" xfId="0" applyFont="1" applyFill="1" applyBorder="1" applyAlignment="1">
      <alignment horizontal="justify" vertical="center" wrapText="1"/>
    </xf>
    <xf numFmtId="0" fontId="6" fillId="2" borderId="9" xfId="0" applyFont="1" applyFill="1" applyBorder="1" applyAlignment="1">
      <alignment horizontal="justify" vertical="center" wrapText="1"/>
    </xf>
    <xf numFmtId="0" fontId="2" fillId="0" borderId="19"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20" xfId="0" applyFont="1" applyBorder="1" applyAlignment="1">
      <alignment horizontal="center" vertical="center" wrapText="1"/>
    </xf>
    <xf numFmtId="9" fontId="2" fillId="0" borderId="0" xfId="0" applyNumberFormat="1" applyFont="1" applyAlignment="1">
      <alignment horizontal="center" vertical="center" wrapText="1"/>
    </xf>
    <xf numFmtId="168" fontId="7" fillId="0" borderId="1" xfId="1" applyFont="1" applyFill="1" applyBorder="1" applyAlignment="1">
      <alignment vertical="center"/>
    </xf>
    <xf numFmtId="168" fontId="2" fillId="0" borderId="1" xfId="1" applyFont="1" applyFill="1" applyBorder="1" applyAlignment="1">
      <alignment horizontal="center" vertical="center" wrapText="1"/>
    </xf>
    <xf numFmtId="0" fontId="2" fillId="2" borderId="1" xfId="0" applyFont="1" applyFill="1" applyBorder="1" applyAlignment="1">
      <alignment horizontal="left" vertical="center" wrapText="1"/>
    </xf>
    <xf numFmtId="43" fontId="6" fillId="0" borderId="11" xfId="1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1" fontId="2" fillId="0" borderId="2" xfId="0" applyNumberFormat="1" applyFont="1" applyBorder="1" applyAlignment="1">
      <alignment horizontal="center" vertical="center" wrapText="1"/>
    </xf>
    <xf numFmtId="43" fontId="7" fillId="0" borderId="1" xfId="10" applyFont="1" applyFill="1" applyBorder="1" applyAlignment="1" applyProtection="1">
      <alignment horizontal="right" vertical="center"/>
      <protection locked="0"/>
    </xf>
    <xf numFmtId="0" fontId="7" fillId="0" borderId="19" xfId="0" applyFont="1" applyBorder="1" applyAlignment="1">
      <alignment horizontal="center" vertical="center" wrapText="1"/>
    </xf>
    <xf numFmtId="0" fontId="2" fillId="0" borderId="28" xfId="0" applyFont="1" applyBorder="1" applyAlignment="1">
      <alignment horizontal="justify" vertical="center" wrapText="1"/>
    </xf>
    <xf numFmtId="0" fontId="2" fillId="0" borderId="5" xfId="0" applyFont="1" applyBorder="1" applyAlignment="1">
      <alignment horizontal="center" vertical="center" wrapText="1"/>
    </xf>
    <xf numFmtId="0" fontId="7" fillId="0" borderId="5" xfId="0" applyFont="1" applyBorder="1" applyAlignment="1" applyProtection="1">
      <alignment horizontal="justify" vertical="center" wrapText="1"/>
      <protection locked="0"/>
    </xf>
    <xf numFmtId="9" fontId="2" fillId="0" borderId="12" xfId="0" applyNumberFormat="1" applyFont="1" applyBorder="1" applyAlignment="1">
      <alignment horizontal="center" vertical="center" wrapText="1"/>
    </xf>
    <xf numFmtId="0" fontId="6" fillId="2" borderId="11" xfId="0" applyFont="1" applyFill="1" applyBorder="1" applyAlignment="1">
      <alignment horizontal="justify" vertical="center" wrapText="1"/>
    </xf>
    <xf numFmtId="43" fontId="6" fillId="0" borderId="4" xfId="10" applyFont="1" applyFill="1" applyBorder="1" applyAlignment="1">
      <alignment horizontal="center" vertical="center" wrapText="1"/>
    </xf>
    <xf numFmtId="0" fontId="6" fillId="2" borderId="6" xfId="0" applyFont="1" applyFill="1" applyBorder="1" applyAlignment="1">
      <alignment horizontal="justify" vertical="center" wrapText="1"/>
    </xf>
    <xf numFmtId="43" fontId="6" fillId="0" borderId="3" xfId="10" applyFont="1" applyFill="1" applyBorder="1" applyAlignment="1">
      <alignment horizontal="center" vertical="center" wrapText="1"/>
    </xf>
    <xf numFmtId="43" fontId="2" fillId="2" borderId="9" xfId="10" applyFont="1" applyFill="1" applyBorder="1" applyAlignment="1">
      <alignment horizontal="center" vertical="center" wrapText="1"/>
    </xf>
    <xf numFmtId="0" fontId="3" fillId="6" borderId="16" xfId="0" applyFont="1" applyFill="1" applyBorder="1" applyAlignment="1">
      <alignment horizontal="justify" vertical="center"/>
    </xf>
    <xf numFmtId="9" fontId="2" fillId="0" borderId="3" xfId="0" applyNumberFormat="1" applyFont="1" applyBorder="1" applyAlignment="1">
      <alignment horizontal="center" vertical="center" wrapText="1"/>
    </xf>
    <xf numFmtId="1" fontId="2" fillId="0" borderId="38" xfId="0" applyNumberFormat="1" applyFont="1" applyBorder="1" applyAlignment="1">
      <alignment horizontal="center" vertical="center" wrapText="1"/>
    </xf>
    <xf numFmtId="0" fontId="6" fillId="2" borderId="7" xfId="0" applyFont="1" applyFill="1" applyBorder="1" applyAlignment="1">
      <alignment horizontal="center" vertical="center" wrapText="1"/>
    </xf>
    <xf numFmtId="9" fontId="2" fillId="0" borderId="1" xfId="2" applyFont="1" applyFill="1" applyBorder="1" applyAlignment="1">
      <alignment horizontal="center" vertical="center" wrapText="1"/>
    </xf>
    <xf numFmtId="164" fontId="2" fillId="0" borderId="3" xfId="0" applyNumberFormat="1" applyFont="1" applyBorder="1" applyAlignment="1">
      <alignment horizontal="center" vertical="center" wrapText="1"/>
    </xf>
    <xf numFmtId="9" fontId="2" fillId="2" borderId="12" xfId="0" applyNumberFormat="1" applyFont="1" applyFill="1" applyBorder="1" applyAlignment="1">
      <alignment horizontal="center" vertical="center" wrapText="1"/>
    </xf>
    <xf numFmtId="43" fontId="2" fillId="2" borderId="12" xfId="10" applyFont="1" applyFill="1" applyBorder="1" applyAlignment="1">
      <alignment horizontal="center" vertical="center" wrapText="1"/>
    </xf>
    <xf numFmtId="43" fontId="2" fillId="0" borderId="29" xfId="10" applyFont="1" applyFill="1" applyBorder="1" applyAlignment="1">
      <alignment horizontal="center" vertical="center" wrapText="1"/>
    </xf>
    <xf numFmtId="1" fontId="2" fillId="0" borderId="37"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41" fontId="2" fillId="2" borderId="12" xfId="11" applyFont="1" applyFill="1" applyBorder="1" applyAlignment="1">
      <alignment horizontal="center" vertical="center" wrapText="1"/>
    </xf>
    <xf numFmtId="14" fontId="2" fillId="0" borderId="12" xfId="0" applyNumberFormat="1" applyFont="1" applyBorder="1" applyAlignment="1">
      <alignment horizontal="center" vertical="center" wrapText="1"/>
    </xf>
    <xf numFmtId="43" fontId="2" fillId="0" borderId="46" xfId="10" applyFont="1" applyFill="1" applyBorder="1" applyAlignment="1">
      <alignment vertical="center" wrapText="1"/>
    </xf>
    <xf numFmtId="43" fontId="2" fillId="0" borderId="9" xfId="10" applyFont="1" applyFill="1" applyBorder="1" applyAlignment="1">
      <alignment vertical="center" wrapText="1"/>
    </xf>
    <xf numFmtId="1" fontId="2" fillId="0" borderId="49" xfId="0" applyNumberFormat="1" applyFont="1" applyBorder="1" applyAlignment="1">
      <alignment horizontal="center" vertical="center" wrapText="1"/>
    </xf>
    <xf numFmtId="43" fontId="2" fillId="0" borderId="1" xfId="10" applyFont="1" applyFill="1" applyBorder="1" applyAlignment="1">
      <alignment vertical="center" wrapText="1"/>
    </xf>
    <xf numFmtId="43" fontId="2" fillId="0" borderId="29" xfId="10" applyFont="1" applyFill="1" applyBorder="1" applyAlignment="1">
      <alignment vertical="center" wrapText="1"/>
    </xf>
    <xf numFmtId="43" fontId="7" fillId="0" borderId="15" xfId="10" applyFont="1" applyFill="1" applyBorder="1" applyAlignment="1">
      <alignment horizontal="center" vertical="center" wrapText="1"/>
    </xf>
    <xf numFmtId="43" fontId="7" fillId="0" borderId="5" xfId="10" applyFont="1" applyFill="1" applyBorder="1" applyAlignment="1">
      <alignment horizontal="center" vertical="center" wrapText="1"/>
    </xf>
    <xf numFmtId="0" fontId="5" fillId="6" borderId="44" xfId="0" applyFont="1" applyFill="1" applyBorder="1" applyAlignment="1">
      <alignment horizontal="justify" vertical="center"/>
    </xf>
    <xf numFmtId="0" fontId="5" fillId="6" borderId="44" xfId="0" applyFont="1" applyFill="1" applyBorder="1" applyAlignment="1">
      <alignment horizontal="left" vertical="center" wrapText="1"/>
    </xf>
    <xf numFmtId="0" fontId="5" fillId="6" borderId="44" xfId="0" applyFont="1" applyFill="1" applyBorder="1" applyAlignment="1">
      <alignment horizontal="justify" vertical="center" wrapText="1"/>
    </xf>
    <xf numFmtId="0" fontId="3" fillId="6" borderId="0" xfId="0" applyFont="1" applyFill="1" applyAlignment="1">
      <alignment horizontal="justify" vertical="center"/>
    </xf>
    <xf numFmtId="43" fontId="3" fillId="6" borderId="17" xfId="10" applyFont="1" applyFill="1" applyBorder="1" applyAlignment="1">
      <alignment horizontal="center" vertical="center"/>
    </xf>
    <xf numFmtId="0" fontId="3" fillId="6" borderId="17" xfId="0" applyFont="1" applyFill="1" applyBorder="1" applyAlignment="1">
      <alignment horizontal="justify" vertical="center"/>
    </xf>
    <xf numFmtId="167" fontId="7" fillId="6" borderId="0" xfId="8" applyFont="1" applyFill="1" applyBorder="1" applyAlignment="1">
      <alignment horizontal="center" vertical="center"/>
    </xf>
    <xf numFmtId="0" fontId="3" fillId="6" borderId="17" xfId="0" applyFont="1" applyFill="1" applyBorder="1" applyAlignment="1">
      <alignment horizontal="center" vertical="center"/>
    </xf>
    <xf numFmtId="0" fontId="3" fillId="0" borderId="17" xfId="0" applyFont="1" applyBorder="1" applyAlignment="1">
      <alignment horizontal="center" vertical="center"/>
    </xf>
    <xf numFmtId="41" fontId="3" fillId="6" borderId="17" xfId="11" applyFont="1" applyFill="1" applyBorder="1" applyAlignment="1">
      <alignment horizontal="center" vertical="center"/>
    </xf>
    <xf numFmtId="164" fontId="3" fillId="6" borderId="17" xfId="0" applyNumberFormat="1" applyFont="1" applyFill="1" applyBorder="1" applyAlignment="1">
      <alignment horizontal="center" vertical="center"/>
    </xf>
    <xf numFmtId="0" fontId="2" fillId="0" borderId="30" xfId="0" applyFont="1" applyBorder="1" applyAlignment="1">
      <alignment horizontal="center" vertical="center" wrapText="1"/>
    </xf>
    <xf numFmtId="9" fontId="2" fillId="2" borderId="5" xfId="0" applyNumberFormat="1" applyFont="1" applyFill="1" applyBorder="1" applyAlignment="1">
      <alignment horizontal="center" vertical="center" wrapText="1"/>
    </xf>
    <xf numFmtId="0" fontId="2" fillId="2" borderId="12" xfId="0" applyFont="1" applyFill="1" applyBorder="1" applyAlignment="1">
      <alignment vertical="center" wrapText="1"/>
    </xf>
    <xf numFmtId="43" fontId="2" fillId="2" borderId="1" xfId="10" applyFont="1" applyFill="1" applyBorder="1" applyAlignment="1">
      <alignment horizontal="center" vertical="center" wrapText="1"/>
    </xf>
    <xf numFmtId="1" fontId="2" fillId="2" borderId="40"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1" fontId="2" fillId="2" borderId="18" xfId="0" applyNumberFormat="1" applyFont="1" applyFill="1" applyBorder="1" applyAlignment="1">
      <alignment horizontal="center" vertical="center" wrapText="1"/>
    </xf>
    <xf numFmtId="43" fontId="7" fillId="2" borderId="1" xfId="10" applyFont="1" applyFill="1" applyBorder="1" applyAlignment="1" applyProtection="1">
      <alignment horizontal="right" vertical="center"/>
      <protection locked="0"/>
    </xf>
    <xf numFmtId="43" fontId="6" fillId="2" borderId="4" xfId="10" applyFont="1" applyFill="1" applyBorder="1" applyAlignment="1">
      <alignment horizontal="center" vertical="center" wrapText="1"/>
    </xf>
    <xf numFmtId="43" fontId="6" fillId="2" borderId="1" xfId="10" applyFont="1" applyFill="1" applyBorder="1" applyAlignment="1">
      <alignment horizontal="center" vertical="center" wrapText="1"/>
    </xf>
    <xf numFmtId="1" fontId="2" fillId="2" borderId="31"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6" fillId="2" borderId="32" xfId="0" applyFont="1" applyFill="1" applyBorder="1" applyAlignment="1">
      <alignment horizontal="center" vertical="center" wrapText="1"/>
    </xf>
    <xf numFmtId="1" fontId="3" fillId="11" borderId="6" xfId="0" applyNumberFormat="1" applyFont="1" applyFill="1" applyBorder="1" applyAlignment="1">
      <alignment horizontal="center" vertical="center" wrapText="1"/>
    </xf>
    <xf numFmtId="0" fontId="3" fillId="11" borderId="17" xfId="0" applyFont="1" applyFill="1" applyBorder="1" applyAlignment="1">
      <alignment horizontal="center" vertical="center"/>
    </xf>
    <xf numFmtId="0" fontId="3" fillId="11" borderId="17" xfId="0" applyFont="1" applyFill="1" applyBorder="1" applyAlignment="1">
      <alignment horizontal="justify" vertical="center"/>
    </xf>
    <xf numFmtId="166" fontId="3" fillId="11" borderId="17" xfId="0" applyNumberFormat="1" applyFont="1" applyFill="1" applyBorder="1" applyAlignment="1">
      <alignment horizontal="center" vertical="center"/>
    </xf>
    <xf numFmtId="0" fontId="3" fillId="11" borderId="16" xfId="0" applyFont="1" applyFill="1" applyBorder="1" applyAlignment="1">
      <alignment horizontal="center" vertical="center"/>
    </xf>
    <xf numFmtId="41" fontId="3" fillId="11" borderId="17" xfId="11" applyFont="1" applyFill="1" applyBorder="1" applyAlignment="1">
      <alignment horizontal="center" vertical="center"/>
    </xf>
    <xf numFmtId="164" fontId="3" fillId="11" borderId="17" xfId="0" applyNumberFormat="1" applyFont="1" applyFill="1" applyBorder="1" applyAlignment="1">
      <alignment horizontal="center" vertical="center"/>
    </xf>
    <xf numFmtId="0" fontId="3" fillId="11" borderId="39" xfId="0" applyFont="1" applyFill="1" applyBorder="1" applyAlignment="1">
      <alignment horizontal="center" vertical="center"/>
    </xf>
    <xf numFmtId="0" fontId="5" fillId="10" borderId="63" xfId="0" applyFont="1" applyFill="1" applyBorder="1" applyAlignment="1">
      <alignment horizontal="center" vertical="center" wrapText="1"/>
    </xf>
    <xf numFmtId="0" fontId="3" fillId="10" borderId="0" xfId="0" applyFont="1" applyFill="1" applyAlignment="1">
      <alignment horizontal="center" vertical="center"/>
    </xf>
    <xf numFmtId="0" fontId="3" fillId="10" borderId="0" xfId="0" applyFont="1" applyFill="1" applyAlignment="1">
      <alignment horizontal="justify" vertical="center"/>
    </xf>
    <xf numFmtId="166" fontId="3" fillId="10" borderId="0" xfId="0" applyNumberFormat="1" applyFont="1" applyFill="1" applyAlignment="1">
      <alignment horizontal="center" vertical="center"/>
    </xf>
    <xf numFmtId="0" fontId="3" fillId="21" borderId="0" xfId="0" applyFont="1" applyFill="1" applyAlignment="1">
      <alignment horizontal="center" vertical="center"/>
    </xf>
    <xf numFmtId="41" fontId="3" fillId="10" borderId="0" xfId="11" applyFont="1" applyFill="1" applyBorder="1" applyAlignment="1">
      <alignment horizontal="center" vertical="center"/>
    </xf>
    <xf numFmtId="164" fontId="3" fillId="10" borderId="0" xfId="0" applyNumberFormat="1" applyFont="1" applyFill="1" applyAlignment="1">
      <alignment horizontal="center" vertical="center"/>
    </xf>
    <xf numFmtId="0" fontId="3" fillId="10" borderId="22" xfId="0" applyFont="1" applyFill="1" applyBorder="1" applyAlignment="1">
      <alignment horizontal="center" vertical="center"/>
    </xf>
    <xf numFmtId="1" fontId="3" fillId="0" borderId="28" xfId="0" applyNumberFormat="1" applyFont="1" applyBorder="1" applyAlignment="1">
      <alignment horizontal="center" vertical="center" wrapText="1"/>
    </xf>
    <xf numFmtId="0" fontId="5" fillId="10" borderId="27" xfId="0" applyFont="1" applyFill="1" applyBorder="1" applyAlignment="1">
      <alignment horizontal="center" vertical="center" wrapText="1"/>
    </xf>
    <xf numFmtId="0" fontId="5" fillId="10" borderId="23" xfId="0" applyFont="1" applyFill="1" applyBorder="1" applyAlignment="1">
      <alignment vertical="center"/>
    </xf>
    <xf numFmtId="0" fontId="5" fillId="10" borderId="37" xfId="0" applyFont="1" applyFill="1" applyBorder="1" applyAlignment="1">
      <alignment vertical="center"/>
    </xf>
    <xf numFmtId="0" fontId="5" fillId="10" borderId="37" xfId="0" applyFont="1" applyFill="1" applyBorder="1" applyAlignment="1">
      <alignment horizontal="justify" vertical="center"/>
    </xf>
    <xf numFmtId="0" fontId="2" fillId="10" borderId="30" xfId="0" applyFont="1" applyFill="1" applyBorder="1" applyAlignment="1">
      <alignment horizontal="justify" vertical="center" wrapText="1"/>
    </xf>
    <xf numFmtId="3" fontId="2" fillId="10" borderId="30" xfId="0" applyNumberFormat="1" applyFont="1" applyFill="1" applyBorder="1" applyAlignment="1">
      <alignment horizontal="justify" vertical="center" wrapText="1"/>
    </xf>
    <xf numFmtId="14" fontId="2" fillId="10" borderId="30" xfId="0" applyNumberFormat="1" applyFont="1" applyFill="1" applyBorder="1" applyAlignment="1">
      <alignment horizontal="center" vertical="center" wrapText="1"/>
    </xf>
    <xf numFmtId="0" fontId="5" fillId="6" borderId="64" xfId="0" applyFont="1" applyFill="1" applyBorder="1" applyAlignment="1">
      <alignment horizontal="center" vertical="center" wrapText="1"/>
    </xf>
    <xf numFmtId="0" fontId="7" fillId="6" borderId="30" xfId="0" applyFont="1" applyFill="1" applyBorder="1" applyAlignment="1">
      <alignment horizontal="center" vertical="center"/>
    </xf>
    <xf numFmtId="0" fontId="3" fillId="11" borderId="16" xfId="0" applyFont="1" applyFill="1" applyBorder="1" applyAlignment="1">
      <alignment horizontal="justify" vertical="center"/>
    </xf>
    <xf numFmtId="166" fontId="3" fillId="11" borderId="16" xfId="0" applyNumberFormat="1" applyFont="1" applyFill="1" applyBorder="1" applyAlignment="1">
      <alignment horizontal="center" vertical="center"/>
    </xf>
    <xf numFmtId="43" fontId="3" fillId="11" borderId="16" xfId="10" applyFont="1" applyFill="1" applyBorder="1" applyAlignment="1">
      <alignment horizontal="center" vertical="center"/>
    </xf>
    <xf numFmtId="1" fontId="3" fillId="11" borderId="17" xfId="0" applyNumberFormat="1" applyFont="1" applyFill="1" applyBorder="1" applyAlignment="1">
      <alignment horizontal="center" vertical="center"/>
    </xf>
    <xf numFmtId="41" fontId="3" fillId="11" borderId="16" xfId="11" applyFont="1" applyFill="1" applyBorder="1" applyAlignment="1">
      <alignment horizontal="center" vertical="center"/>
    </xf>
    <xf numFmtId="164" fontId="3" fillId="11" borderId="16" xfId="0" applyNumberFormat="1" applyFont="1" applyFill="1" applyBorder="1" applyAlignment="1">
      <alignment horizontal="center" vertical="center"/>
    </xf>
    <xf numFmtId="0" fontId="3" fillId="11" borderId="19" xfId="0" applyFont="1" applyFill="1" applyBorder="1" applyAlignment="1">
      <alignment horizontal="center" vertical="center"/>
    </xf>
    <xf numFmtId="0" fontId="3" fillId="10" borderId="37" xfId="0" applyFont="1" applyFill="1" applyBorder="1" applyAlignment="1">
      <alignment horizontal="justify" vertical="center"/>
    </xf>
    <xf numFmtId="43" fontId="3" fillId="10" borderId="0" xfId="10" applyFont="1" applyFill="1" applyBorder="1" applyAlignment="1">
      <alignment horizontal="center" vertical="center"/>
    </xf>
    <xf numFmtId="1" fontId="3" fillId="10" borderId="0" xfId="0" applyNumberFormat="1" applyFont="1" applyFill="1" applyAlignment="1">
      <alignment horizontal="center" vertical="center"/>
    </xf>
    <xf numFmtId="0" fontId="5" fillId="6" borderId="19" xfId="0" applyFont="1" applyFill="1" applyBorder="1" applyAlignment="1">
      <alignment horizontal="center" vertical="center" wrapText="1"/>
    </xf>
    <xf numFmtId="0" fontId="7" fillId="6" borderId="44" xfId="0" applyFont="1" applyFill="1" applyBorder="1" applyAlignment="1">
      <alignment horizontal="justify" vertical="center"/>
    </xf>
    <xf numFmtId="0" fontId="7" fillId="6" borderId="44" xfId="0" applyFont="1" applyFill="1" applyBorder="1" applyAlignment="1">
      <alignment horizontal="left" vertical="center"/>
    </xf>
    <xf numFmtId="0" fontId="5" fillId="6" borderId="16" xfId="0" applyFont="1" applyFill="1" applyBorder="1" applyAlignment="1">
      <alignment horizontal="justify" vertical="center" wrapText="1"/>
    </xf>
    <xf numFmtId="43" fontId="5" fillId="6" borderId="16" xfId="10" applyFont="1" applyFill="1" applyBorder="1" applyAlignment="1">
      <alignment horizontal="center" vertical="center" wrapText="1"/>
    </xf>
    <xf numFmtId="0" fontId="2" fillId="2" borderId="7" xfId="0" applyFont="1" applyFill="1" applyBorder="1" applyAlignment="1">
      <alignment horizontal="center" vertical="center" wrapText="1"/>
    </xf>
    <xf numFmtId="41" fontId="2" fillId="2" borderId="3" xfId="11" applyFont="1" applyFill="1" applyBorder="1" applyAlignment="1">
      <alignment horizontal="center" vertical="center" wrapText="1"/>
    </xf>
    <xf numFmtId="0" fontId="6" fillId="5" borderId="38" xfId="0" applyFont="1" applyFill="1" applyBorder="1" applyAlignment="1">
      <alignment horizontal="justify" vertical="center" wrapText="1"/>
    </xf>
    <xf numFmtId="0" fontId="6" fillId="2" borderId="38" xfId="0" applyFont="1" applyFill="1" applyBorder="1" applyAlignment="1">
      <alignment horizontal="justify" vertical="center" wrapText="1"/>
    </xf>
    <xf numFmtId="43" fontId="7" fillId="0" borderId="11" xfId="10" applyFont="1" applyFill="1" applyBorder="1" applyAlignment="1">
      <alignment horizontal="center" vertical="center" wrapText="1"/>
    </xf>
    <xf numFmtId="43" fontId="7" fillId="0" borderId="1" xfId="10" applyFont="1" applyFill="1" applyBorder="1" applyAlignment="1">
      <alignment horizontal="center" vertical="center" wrapText="1"/>
    </xf>
    <xf numFmtId="43" fontId="5" fillId="6" borderId="16" xfId="10" applyFont="1" applyFill="1" applyBorder="1" applyAlignment="1">
      <alignment horizontal="center" vertical="center"/>
    </xf>
    <xf numFmtId="0" fontId="2" fillId="6" borderId="17" xfId="0" applyFont="1" applyFill="1" applyBorder="1" applyAlignment="1">
      <alignment horizontal="justify" vertical="center" wrapText="1"/>
    </xf>
    <xf numFmtId="1" fontId="2" fillId="6" borderId="30" xfId="0" applyNumberFormat="1" applyFont="1" applyFill="1" applyBorder="1" applyAlignment="1">
      <alignment horizontal="center" vertical="center" wrapText="1"/>
    </xf>
    <xf numFmtId="1" fontId="2" fillId="6" borderId="16" xfId="0" applyNumberFormat="1" applyFont="1" applyFill="1" applyBorder="1" applyAlignment="1">
      <alignment horizontal="center" vertical="center" wrapText="1"/>
    </xf>
    <xf numFmtId="1" fontId="2" fillId="0" borderId="16" xfId="0" applyNumberFormat="1" applyFont="1" applyBorder="1" applyAlignment="1">
      <alignment horizontal="center" vertical="center" wrapText="1"/>
    </xf>
    <xf numFmtId="41" fontId="2" fillId="6" borderId="16" xfId="11" applyFont="1" applyFill="1" applyBorder="1" applyAlignment="1">
      <alignment horizontal="center" vertical="center" wrapText="1"/>
    </xf>
    <xf numFmtId="14" fontId="2" fillId="6" borderId="16" xfId="0" applyNumberFormat="1" applyFont="1" applyFill="1" applyBorder="1" applyAlignment="1">
      <alignment horizontal="center" vertical="center" wrapText="1"/>
    </xf>
    <xf numFmtId="1" fontId="2" fillId="6" borderId="19" xfId="0" applyNumberFormat="1" applyFont="1" applyFill="1" applyBorder="1" applyAlignment="1">
      <alignment horizontal="center" vertical="center" wrapText="1"/>
    </xf>
    <xf numFmtId="1" fontId="2" fillId="2" borderId="38"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8" xfId="0"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6" fillId="5" borderId="32" xfId="0" applyFont="1" applyFill="1" applyBorder="1" applyAlignment="1">
      <alignment horizontal="justify" vertical="center" wrapText="1"/>
    </xf>
    <xf numFmtId="0" fontId="6" fillId="2" borderId="19" xfId="0" applyFont="1" applyFill="1" applyBorder="1" applyAlignment="1">
      <alignment horizontal="justify" vertical="center" wrapText="1"/>
    </xf>
    <xf numFmtId="1" fontId="3" fillId="0" borderId="38" xfId="0" applyNumberFormat="1" applyFont="1" applyBorder="1" applyAlignment="1">
      <alignment horizontal="center" vertical="center" wrapText="1"/>
    </xf>
    <xf numFmtId="0" fontId="2" fillId="2" borderId="19" xfId="0" applyFont="1" applyFill="1" applyBorder="1" applyAlignment="1">
      <alignment horizontal="justify" vertical="center" wrapText="1"/>
    </xf>
    <xf numFmtId="0" fontId="3" fillId="4" borderId="18"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6" xfId="0" applyFont="1" applyFill="1" applyBorder="1" applyAlignment="1">
      <alignment horizontal="center" vertical="center"/>
    </xf>
    <xf numFmtId="166" fontId="3" fillId="4" borderId="17" xfId="0" applyNumberFormat="1" applyFont="1" applyFill="1" applyBorder="1" applyAlignment="1">
      <alignment horizontal="center" vertical="center"/>
    </xf>
    <xf numFmtId="1" fontId="3" fillId="4" borderId="17" xfId="0" applyNumberFormat="1" applyFont="1" applyFill="1" applyBorder="1" applyAlignment="1">
      <alignment horizontal="center" vertical="center"/>
    </xf>
    <xf numFmtId="0" fontId="3" fillId="4" borderId="1" xfId="1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0" fontId="3" fillId="4" borderId="39" xfId="0" applyFont="1" applyFill="1" applyBorder="1" applyAlignment="1">
      <alignment horizontal="center" vertical="center"/>
    </xf>
    <xf numFmtId="165" fontId="3" fillId="2" borderId="0" xfId="0" applyNumberFormat="1" applyFont="1" applyFill="1" applyAlignment="1">
      <alignment horizontal="center" vertical="center"/>
    </xf>
    <xf numFmtId="43" fontId="0" fillId="0" borderId="0" xfId="10" applyFont="1" applyAlignment="1">
      <alignment horizontal="center"/>
    </xf>
    <xf numFmtId="179" fontId="2" fillId="2" borderId="0" xfId="1" applyNumberFormat="1" applyFont="1" applyFill="1" applyAlignment="1">
      <alignment horizontal="center" vertical="center"/>
    </xf>
    <xf numFmtId="0" fontId="29" fillId="2" borderId="0" xfId="0" applyFont="1" applyFill="1" applyAlignment="1">
      <alignment horizontal="center" vertical="center"/>
    </xf>
    <xf numFmtId="0" fontId="3" fillId="0" borderId="1" xfId="0" applyFont="1" applyBorder="1" applyAlignment="1">
      <alignment vertical="center"/>
    </xf>
    <xf numFmtId="0" fontId="2" fillId="2" borderId="0" xfId="0" applyFont="1" applyFill="1"/>
    <xf numFmtId="0" fontId="2" fillId="0" borderId="0" xfId="0" applyFont="1"/>
    <xf numFmtId="0" fontId="3" fillId="0" borderId="1" xfId="0" applyFont="1" applyBorder="1" applyAlignment="1">
      <alignment horizontal="left" vertical="center"/>
    </xf>
    <xf numFmtId="170" fontId="16" fillId="0" borderId="65" xfId="0" applyNumberFormat="1" applyFont="1" applyBorder="1" applyAlignment="1">
      <alignment horizontal="left"/>
    </xf>
    <xf numFmtId="14" fontId="16" fillId="0" borderId="65" xfId="0" applyNumberFormat="1" applyFont="1" applyBorder="1" applyAlignment="1">
      <alignment horizontal="left"/>
    </xf>
    <xf numFmtId="3" fontId="27" fillId="0" borderId="1" xfId="0" applyNumberFormat="1" applyFont="1" applyBorder="1" applyAlignment="1">
      <alignment horizontal="left" vertical="center" wrapText="1"/>
    </xf>
    <xf numFmtId="0" fontId="3" fillId="0" borderId="38" xfId="0" applyFont="1" applyBorder="1" applyAlignment="1">
      <alignment vertical="center"/>
    </xf>
    <xf numFmtId="4" fontId="3" fillId="0" borderId="38" xfId="0" applyNumberFormat="1" applyFont="1" applyBorder="1" applyAlignment="1">
      <alignment vertical="center"/>
    </xf>
    <xf numFmtId="4" fontId="3" fillId="0" borderId="38" xfId="0" applyNumberFormat="1" applyFont="1" applyBorder="1" applyAlignment="1">
      <alignment horizontal="right" vertical="center"/>
    </xf>
    <xf numFmtId="0" fontId="3" fillId="0" borderId="11" xfId="0" applyFont="1" applyBorder="1" applyAlignment="1">
      <alignment vertical="center" wrapText="1"/>
    </xf>
    <xf numFmtId="0" fontId="3" fillId="0" borderId="10" xfId="0" applyFont="1" applyBorder="1" applyAlignment="1">
      <alignment vertical="center"/>
    </xf>
    <xf numFmtId="0" fontId="3" fillId="4" borderId="36" xfId="0" applyFont="1" applyFill="1" applyBorder="1" applyAlignment="1">
      <alignment vertical="center" wrapText="1"/>
    </xf>
    <xf numFmtId="0" fontId="2" fillId="2" borderId="0" xfId="0" applyFont="1" applyFill="1" applyAlignment="1">
      <alignment horizontal="center"/>
    </xf>
    <xf numFmtId="0" fontId="2" fillId="0" borderId="0" xfId="0" applyFont="1" applyAlignment="1">
      <alignment horizontal="center"/>
    </xf>
    <xf numFmtId="0" fontId="3" fillId="12" borderId="12" xfId="0" applyFont="1" applyFill="1" applyBorder="1" applyAlignment="1">
      <alignment horizontal="center" vertical="center" wrapText="1"/>
    </xf>
    <xf numFmtId="4" fontId="3" fillId="12" borderId="4" xfId="0" applyNumberFormat="1" applyFont="1" applyFill="1" applyBorder="1" applyAlignment="1">
      <alignment horizontal="center" vertical="center" wrapText="1"/>
    </xf>
    <xf numFmtId="4" fontId="3" fillId="12" borderId="3" xfId="0" applyNumberFormat="1" applyFont="1" applyFill="1" applyBorder="1" applyAlignment="1">
      <alignment horizontal="center" vertical="center" wrapText="1"/>
    </xf>
    <xf numFmtId="164" fontId="3" fillId="12" borderId="2" xfId="0" applyNumberFormat="1" applyFont="1" applyFill="1" applyBorder="1" applyAlignment="1">
      <alignment horizontal="center" vertical="center" wrapText="1"/>
    </xf>
    <xf numFmtId="0" fontId="5" fillId="22" borderId="12" xfId="0" applyFont="1" applyFill="1" applyBorder="1" applyAlignment="1">
      <alignment horizontal="left" vertical="center" wrapText="1"/>
    </xf>
    <xf numFmtId="0" fontId="5" fillId="22" borderId="12" xfId="0" applyFont="1" applyFill="1" applyBorder="1" applyAlignment="1">
      <alignment horizontal="left" vertical="center"/>
    </xf>
    <xf numFmtId="0" fontId="5" fillId="22" borderId="1" xfId="0" applyFont="1" applyFill="1" applyBorder="1" applyAlignment="1">
      <alignment horizontal="left" vertical="center"/>
    </xf>
    <xf numFmtId="0" fontId="2" fillId="22" borderId="1" xfId="0" applyFont="1" applyFill="1" applyBorder="1"/>
    <xf numFmtId="0" fontId="3" fillId="22" borderId="1" xfId="0" applyFont="1" applyFill="1" applyBorder="1" applyAlignment="1">
      <alignment vertical="center"/>
    </xf>
    <xf numFmtId="0" fontId="3" fillId="22" borderId="1" xfId="0" applyFont="1" applyFill="1" applyBorder="1" applyAlignment="1">
      <alignment horizontal="justify" vertical="center"/>
    </xf>
    <xf numFmtId="0" fontId="3" fillId="22" borderId="1" xfId="0" applyFont="1" applyFill="1" applyBorder="1" applyAlignment="1">
      <alignment horizontal="center" vertical="center"/>
    </xf>
    <xf numFmtId="1" fontId="3" fillId="22" borderId="1" xfId="0" applyNumberFormat="1" applyFont="1" applyFill="1" applyBorder="1" applyAlignment="1">
      <alignment horizontal="center" vertical="center"/>
    </xf>
    <xf numFmtId="0" fontId="3" fillId="22" borderId="32" xfId="0" applyFont="1" applyFill="1" applyBorder="1" applyAlignment="1">
      <alignment horizontal="center" vertical="center"/>
    </xf>
    <xf numFmtId="0" fontId="3" fillId="22" borderId="32" xfId="0" applyFont="1" applyFill="1" applyBorder="1" applyAlignment="1">
      <alignment vertical="center"/>
    </xf>
    <xf numFmtId="164" fontId="3" fillId="22" borderId="1" xfId="0" applyNumberFormat="1" applyFont="1" applyFill="1" applyBorder="1" applyAlignment="1">
      <alignment vertical="center"/>
    </xf>
    <xf numFmtId="0" fontId="5" fillId="0" borderId="13" xfId="0" applyFont="1" applyBorder="1" applyAlignment="1">
      <alignment horizontal="left" vertical="center" wrapText="1"/>
    </xf>
    <xf numFmtId="0" fontId="5" fillId="0" borderId="28" xfId="0" applyFont="1" applyBorder="1" applyAlignment="1">
      <alignment horizontal="left" vertical="center"/>
    </xf>
    <xf numFmtId="0" fontId="18" fillId="23" borderId="28" xfId="0" applyFont="1" applyFill="1" applyBorder="1" applyAlignment="1">
      <alignment horizontal="center" vertical="center"/>
    </xf>
    <xf numFmtId="0" fontId="18" fillId="23" borderId="12" xfId="0" applyFont="1" applyFill="1" applyBorder="1" applyAlignment="1">
      <alignment vertical="center"/>
    </xf>
    <xf numFmtId="0" fontId="18" fillId="23" borderId="1" xfId="0" applyFont="1" applyFill="1" applyBorder="1" applyAlignment="1">
      <alignment vertical="center"/>
    </xf>
    <xf numFmtId="0" fontId="18" fillId="23" borderId="1" xfId="0" applyFont="1" applyFill="1" applyBorder="1" applyAlignment="1">
      <alignment horizontal="center" vertical="center"/>
    </xf>
    <xf numFmtId="0" fontId="5" fillId="0" borderId="6" xfId="0" applyFont="1" applyBorder="1" applyAlignment="1">
      <alignment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5" fillId="0" borderId="28" xfId="0" applyFont="1" applyBorder="1" applyAlignment="1">
      <alignment vertical="center" wrapText="1"/>
    </xf>
    <xf numFmtId="0" fontId="5" fillId="6" borderId="32" xfId="0" applyFont="1" applyFill="1" applyBorder="1" applyAlignment="1">
      <alignment horizontal="left" vertical="center"/>
    </xf>
    <xf numFmtId="0" fontId="5" fillId="6" borderId="1" xfId="0" applyFont="1" applyFill="1" applyBorder="1" applyAlignment="1">
      <alignment horizontal="left" vertical="center"/>
    </xf>
    <xf numFmtId="0" fontId="3" fillId="6" borderId="12" xfId="0" applyFont="1" applyFill="1" applyBorder="1" applyAlignment="1">
      <alignment horizontal="justify" vertical="center"/>
    </xf>
    <xf numFmtId="0" fontId="3" fillId="6" borderId="12" xfId="0" applyFont="1" applyFill="1" applyBorder="1" applyAlignment="1">
      <alignment vertical="center"/>
    </xf>
    <xf numFmtId="0" fontId="3" fillId="6" borderId="12" xfId="0" applyFont="1" applyFill="1" applyBorder="1" applyAlignment="1">
      <alignment horizontal="center" vertical="center"/>
    </xf>
    <xf numFmtId="4" fontId="3" fillId="6" borderId="1" xfId="0" applyNumberFormat="1" applyFont="1" applyFill="1" applyBorder="1" applyAlignment="1">
      <alignment vertical="center"/>
    </xf>
    <xf numFmtId="4" fontId="3" fillId="6" borderId="1" xfId="0" applyNumberFormat="1" applyFont="1" applyFill="1" applyBorder="1" applyAlignment="1">
      <alignment horizontal="right" vertical="center"/>
    </xf>
    <xf numFmtId="0" fontId="3" fillId="6" borderId="28" xfId="0" applyFont="1" applyFill="1" applyBorder="1" applyAlignment="1">
      <alignment vertical="center"/>
    </xf>
    <xf numFmtId="164" fontId="3" fillId="6" borderId="12" xfId="0" applyNumberFormat="1" applyFont="1" applyFill="1" applyBorder="1" applyAlignment="1">
      <alignment vertical="center"/>
    </xf>
    <xf numFmtId="0" fontId="5" fillId="0" borderId="7" xfId="0" applyFont="1" applyBorder="1" applyAlignment="1">
      <alignment vertical="center" wrapText="1"/>
    </xf>
    <xf numFmtId="0" fontId="5" fillId="0" borderId="0" xfId="0" applyFont="1" applyAlignment="1">
      <alignment horizontal="left" vertical="center"/>
    </xf>
    <xf numFmtId="177" fontId="2" fillId="0" borderId="32" xfId="11" applyNumberFormat="1" applyFont="1" applyFill="1" applyBorder="1" applyAlignment="1">
      <alignment horizontal="center" vertical="center" wrapText="1"/>
    </xf>
    <xf numFmtId="0" fontId="6" fillId="0" borderId="1" xfId="0" applyFont="1" applyBorder="1" applyAlignment="1">
      <alignment horizontal="left" vertical="center" wrapText="1"/>
    </xf>
    <xf numFmtId="49" fontId="7" fillId="0" borderId="1" xfId="18" applyNumberFormat="1" applyFont="1" applyBorder="1" applyAlignment="1">
      <alignment horizontal="justify" vertical="center" wrapText="1"/>
    </xf>
    <xf numFmtId="0" fontId="6" fillId="0" borderId="1" xfId="0" applyFont="1" applyBorder="1" applyAlignment="1">
      <alignment vertical="center"/>
    </xf>
    <xf numFmtId="0" fontId="6" fillId="0" borderId="36" xfId="0" applyFont="1" applyBorder="1" applyAlignment="1">
      <alignment horizontal="center" vertical="center" wrapText="1"/>
    </xf>
    <xf numFmtId="0" fontId="7" fillId="0" borderId="19" xfId="0" applyFont="1" applyBorder="1" applyAlignment="1">
      <alignment horizontal="center" vertical="center" wrapText="1"/>
    </xf>
    <xf numFmtId="177" fontId="7" fillId="0" borderId="32" xfId="11" applyNumberFormat="1" applyFont="1" applyFill="1" applyBorder="1" applyAlignment="1">
      <alignment horizontal="center" vertical="center" wrapText="1"/>
    </xf>
    <xf numFmtId="0" fontId="2" fillId="0" borderId="1" xfId="0" applyFont="1" applyBorder="1" applyAlignment="1">
      <alignment vertical="center" wrapText="1"/>
    </xf>
    <xf numFmtId="0" fontId="5" fillId="6" borderId="31" xfId="0" applyFont="1" applyFill="1" applyBorder="1" applyAlignment="1">
      <alignment vertical="center"/>
    </xf>
    <xf numFmtId="0" fontId="7" fillId="6" borderId="1" xfId="0" applyFont="1" applyFill="1" applyBorder="1" applyAlignment="1">
      <alignment horizontal="justify" vertical="center" wrapText="1"/>
    </xf>
    <xf numFmtId="0" fontId="2" fillId="6" borderId="4"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2" fillId="6" borderId="4" xfId="0" applyFont="1" applyFill="1" applyBorder="1" applyAlignment="1">
      <alignment horizontal="justify" vertical="center" wrapText="1"/>
    </xf>
    <xf numFmtId="9" fontId="2" fillId="6" borderId="4" xfId="2" applyFont="1" applyFill="1" applyBorder="1" applyAlignment="1">
      <alignment horizontal="center" vertical="center" wrapText="1"/>
    </xf>
    <xf numFmtId="4" fontId="2" fillId="6" borderId="4" xfId="0" applyNumberFormat="1" applyFont="1" applyFill="1" applyBorder="1" applyAlignment="1">
      <alignment horizontal="center" vertical="center" wrapText="1"/>
    </xf>
    <xf numFmtId="0" fontId="2" fillId="6" borderId="11" xfId="0" applyFont="1" applyFill="1" applyBorder="1" applyAlignment="1">
      <alignment horizontal="justify" vertical="center" wrapText="1"/>
    </xf>
    <xf numFmtId="177" fontId="2" fillId="6" borderId="32" xfId="11" applyNumberFormat="1" applyFont="1" applyFill="1" applyBorder="1" applyAlignment="1">
      <alignment horizontal="center" vertical="center" wrapText="1"/>
    </xf>
    <xf numFmtId="1" fontId="3" fillId="6" borderId="1" xfId="0" applyNumberFormat="1" applyFont="1" applyFill="1" applyBorder="1" applyAlignment="1">
      <alignment horizontal="justify" vertical="center" textRotation="180" wrapText="1"/>
    </xf>
    <xf numFmtId="0" fontId="5" fillId="0" borderId="37" xfId="0" applyFont="1" applyBorder="1" applyAlignment="1">
      <alignment horizontal="left" vertical="center"/>
    </xf>
    <xf numFmtId="167" fontId="6" fillId="0" borderId="32" xfId="8" applyFont="1" applyFill="1" applyBorder="1" applyAlignment="1">
      <alignment horizontal="center" vertical="center" wrapText="1"/>
    </xf>
    <xf numFmtId="167" fontId="2" fillId="0" borderId="32" xfId="8" applyFont="1" applyFill="1" applyBorder="1" applyAlignment="1">
      <alignment horizontal="center" vertical="center" wrapText="1"/>
    </xf>
    <xf numFmtId="0" fontId="7" fillId="0" borderId="1" xfId="0" applyFont="1" applyBorder="1" applyAlignment="1">
      <alignment vertical="center" wrapText="1"/>
    </xf>
    <xf numFmtId="0" fontId="5" fillId="0" borderId="7" xfId="0" applyFont="1" applyBorder="1" applyAlignment="1">
      <alignment horizontal="left" vertical="center"/>
    </xf>
    <xf numFmtId="167" fontId="6" fillId="0" borderId="10" xfId="8" applyFont="1" applyFill="1" applyBorder="1" applyAlignment="1">
      <alignment horizontal="center" vertical="center" wrapText="1"/>
    </xf>
    <xf numFmtId="1" fontId="2" fillId="0" borderId="6" xfId="0" applyNumberFormat="1" applyFont="1" applyBorder="1"/>
    <xf numFmtId="0" fontId="2" fillId="0" borderId="6" xfId="0" applyFont="1" applyBorder="1"/>
    <xf numFmtId="0" fontId="2" fillId="0" borderId="7" xfId="0" applyFont="1" applyBorder="1"/>
    <xf numFmtId="167" fontId="6" fillId="0" borderId="28" xfId="8" applyFont="1" applyFill="1" applyBorder="1" applyAlignment="1">
      <alignment horizontal="center" vertical="center" wrapText="1"/>
    </xf>
    <xf numFmtId="177" fontId="2" fillId="0" borderId="28" xfId="11" applyNumberFormat="1" applyFont="1" applyFill="1" applyBorder="1" applyAlignment="1">
      <alignment horizontal="center" vertical="center" wrapText="1"/>
    </xf>
    <xf numFmtId="177" fontId="7" fillId="0" borderId="10" xfId="11" applyNumberFormat="1" applyFont="1" applyFill="1" applyBorder="1" applyAlignment="1">
      <alignment horizontal="center" vertical="center" wrapText="1"/>
    </xf>
    <xf numFmtId="1" fontId="2" fillId="0" borderId="1" xfId="0" applyNumberFormat="1" applyFont="1" applyBorder="1" applyAlignment="1">
      <alignment horizontal="left" vertical="center" wrapText="1"/>
    </xf>
    <xf numFmtId="0" fontId="7" fillId="0" borderId="39" xfId="0" applyFont="1" applyBorder="1" applyAlignment="1">
      <alignment horizontal="center" vertical="center" wrapText="1"/>
    </xf>
    <xf numFmtId="9" fontId="2" fillId="0" borderId="1" xfId="0" applyNumberFormat="1" applyFont="1" applyBorder="1" applyAlignment="1">
      <alignment horizontal="center" vertical="center" wrapText="1"/>
    </xf>
    <xf numFmtId="177" fontId="2" fillId="0" borderId="32" xfId="11" applyNumberFormat="1" applyFont="1" applyFill="1" applyBorder="1" applyAlignment="1">
      <alignment horizontal="center" vertical="center"/>
    </xf>
    <xf numFmtId="0" fontId="2" fillId="0" borderId="1" xfId="0" applyFont="1" applyBorder="1" applyAlignment="1">
      <alignment horizontal="left" vertical="center" wrapText="1"/>
    </xf>
    <xf numFmtId="0" fontId="7" fillId="0" borderId="5" xfId="3" applyFont="1" applyBorder="1" applyAlignment="1">
      <alignment horizontal="justify" vertical="center"/>
    </xf>
    <xf numFmtId="0" fontId="31" fillId="0" borderId="1" xfId="0" applyFont="1" applyBorder="1" applyAlignment="1">
      <alignment horizontal="justify" vertical="center" wrapText="1"/>
    </xf>
    <xf numFmtId="0" fontId="22" fillId="0" borderId="1" xfId="0" applyFont="1" applyBorder="1" applyAlignment="1">
      <alignment horizontal="left" vertical="center" wrapText="1"/>
    </xf>
    <xf numFmtId="0" fontId="32" fillId="0" borderId="1" xfId="0" applyFont="1" applyBorder="1" applyAlignment="1">
      <alignment horizontal="justify" vertical="center" wrapText="1"/>
    </xf>
    <xf numFmtId="41" fontId="2" fillId="0" borderId="1" xfId="11" applyFont="1" applyFill="1" applyBorder="1" applyAlignment="1">
      <alignment horizontal="justify" vertical="center" wrapText="1"/>
    </xf>
    <xf numFmtId="1" fontId="7" fillId="0" borderId="11" xfId="0" applyNumberFormat="1"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7" fillId="0" borderId="1" xfId="0" applyFont="1" applyBorder="1" applyAlignment="1">
      <alignment horizontal="justify" vertical="center"/>
    </xf>
    <xf numFmtId="4" fontId="5" fillId="0" borderId="1" xfId="0" applyNumberFormat="1" applyFont="1" applyBorder="1" applyAlignment="1">
      <alignment horizontal="right" vertical="center"/>
    </xf>
    <xf numFmtId="165" fontId="7" fillId="0" borderId="1" xfId="0" applyNumberFormat="1" applyFont="1" applyBorder="1" applyAlignment="1">
      <alignment horizontal="justify" vertical="center" wrapText="1"/>
    </xf>
    <xf numFmtId="0" fontId="5" fillId="0" borderId="2" xfId="0" applyFont="1" applyBorder="1" applyAlignment="1">
      <alignment horizontal="center" vertical="center"/>
    </xf>
    <xf numFmtId="177" fontId="5" fillId="0" borderId="1" xfId="11" applyNumberFormat="1" applyFont="1" applyFill="1" applyBorder="1" applyAlignment="1">
      <alignment horizontal="center" vertical="center"/>
    </xf>
    <xf numFmtId="0" fontId="5" fillId="0" borderId="1" xfId="0" applyFont="1" applyBorder="1" applyAlignment="1">
      <alignment horizontal="center" vertical="center" wrapText="1"/>
    </xf>
    <xf numFmtId="165"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5" fillId="0" borderId="1" xfId="8" applyNumberFormat="1" applyFont="1" applyFill="1" applyBorder="1" applyAlignment="1">
      <alignment horizontal="center" vertical="center"/>
    </xf>
    <xf numFmtId="167" fontId="5" fillId="0" borderId="1" xfId="8" applyFont="1" applyFill="1" applyBorder="1" applyAlignment="1">
      <alignment horizontal="center" vertical="center"/>
    </xf>
    <xf numFmtId="9" fontId="5" fillId="0" borderId="1" xfId="2" applyFont="1" applyFill="1" applyBorder="1" applyAlignment="1">
      <alignment horizontal="center" vertical="center"/>
    </xf>
    <xf numFmtId="164" fontId="7" fillId="0" borderId="1" xfId="0" applyNumberFormat="1" applyFont="1" applyBorder="1" applyAlignment="1">
      <alignment horizontal="center" vertical="center"/>
    </xf>
    <xf numFmtId="1" fontId="2" fillId="0" borderId="0" xfId="0" applyNumberFormat="1" applyFont="1"/>
    <xf numFmtId="165" fontId="2" fillId="2" borderId="0" xfId="0" applyNumberFormat="1" applyFont="1" applyFill="1" applyAlignment="1">
      <alignment horizontal="justify" vertical="center" wrapText="1"/>
    </xf>
    <xf numFmtId="0" fontId="18" fillId="2" borderId="0" xfId="0" applyFont="1" applyFill="1" applyAlignment="1">
      <alignment horizontal="justify" vertical="center"/>
    </xf>
    <xf numFmtId="181" fontId="33" fillId="7" borderId="0" xfId="0" applyNumberFormat="1" applyFont="1" applyFill="1" applyAlignment="1">
      <alignment horizontal="right" vertical="center"/>
    </xf>
    <xf numFmtId="4" fontId="18" fillId="2" borderId="0" xfId="0" applyNumberFormat="1" applyFont="1" applyFill="1" applyAlignment="1">
      <alignment horizontal="center" vertical="center"/>
    </xf>
    <xf numFmtId="0" fontId="2" fillId="0" borderId="0" xfId="0" applyFont="1" applyAlignment="1">
      <alignment wrapText="1"/>
    </xf>
    <xf numFmtId="164" fontId="2" fillId="0" borderId="0" xfId="0" applyNumberFormat="1" applyFont="1" applyAlignment="1">
      <alignment horizontal="right" vertical="center"/>
    </xf>
    <xf numFmtId="164" fontId="2" fillId="0" borderId="0" xfId="0" applyNumberFormat="1" applyFont="1" applyAlignment="1">
      <alignment horizontal="center"/>
    </xf>
    <xf numFmtId="4" fontId="2" fillId="2" borderId="0" xfId="0" applyNumberFormat="1" applyFont="1" applyFill="1" applyAlignment="1">
      <alignment horizontal="right" vertical="center"/>
    </xf>
    <xf numFmtId="0" fontId="34" fillId="0" borderId="0" xfId="0" applyFont="1" applyAlignment="1">
      <alignment vertical="center"/>
    </xf>
    <xf numFmtId="0" fontId="3" fillId="0" borderId="0" xfId="0" applyFont="1" applyAlignment="1">
      <alignment wrapText="1"/>
    </xf>
    <xf numFmtId="0" fontId="2" fillId="0" borderId="0" xfId="0" applyFont="1" applyAlignment="1">
      <alignment horizontal="left" vertical="center" wrapText="1"/>
    </xf>
    <xf numFmtId="4" fontId="3" fillId="2" borderId="0" xfId="0" applyNumberFormat="1" applyFont="1" applyFill="1" applyAlignment="1">
      <alignment horizontal="right" vertical="center"/>
    </xf>
    <xf numFmtId="170" fontId="2" fillId="0" borderId="65" xfId="0" applyNumberFormat="1" applyFont="1" applyBorder="1" applyAlignment="1">
      <alignment horizontal="left"/>
    </xf>
    <xf numFmtId="14" fontId="2" fillId="0" borderId="65" xfId="0" applyNumberFormat="1" applyFont="1" applyBorder="1" applyAlignment="1">
      <alignment horizontal="left"/>
    </xf>
    <xf numFmtId="0" fontId="3" fillId="14" borderId="1" xfId="0" applyFont="1" applyFill="1" applyBorder="1" applyAlignment="1">
      <alignment horizontal="center" vertical="center" wrapText="1"/>
    </xf>
    <xf numFmtId="0" fontId="33" fillId="11" borderId="15" xfId="0" applyFont="1" applyFill="1" applyBorder="1" applyAlignment="1">
      <alignment horizontal="center" vertical="center" wrapText="1"/>
    </xf>
    <xf numFmtId="0" fontId="33" fillId="11" borderId="0" xfId="0" applyFont="1" applyFill="1" applyAlignment="1">
      <alignment horizontal="center" vertical="center" wrapText="1"/>
    </xf>
    <xf numFmtId="0" fontId="3" fillId="11" borderId="0" xfId="0" applyFont="1" applyFill="1" applyAlignment="1">
      <alignment horizontal="center" vertical="center" wrapText="1"/>
    </xf>
    <xf numFmtId="166" fontId="3" fillId="11" borderId="0" xfId="0" applyNumberFormat="1" applyFont="1" applyFill="1" applyAlignment="1">
      <alignment horizontal="center" vertical="center"/>
    </xf>
    <xf numFmtId="1" fontId="3" fillId="11" borderId="0" xfId="0" applyNumberFormat="1" applyFont="1" applyFill="1" applyAlignment="1">
      <alignment horizontal="center" vertical="center"/>
    </xf>
    <xf numFmtId="0" fontId="33" fillId="0" borderId="6" xfId="0" applyFont="1" applyBorder="1" applyAlignment="1">
      <alignment horizontal="center" vertical="center" wrapText="1"/>
    </xf>
    <xf numFmtId="0" fontId="33" fillId="0" borderId="0" xfId="0" applyFont="1" applyAlignment="1">
      <alignment horizontal="center" vertical="center" wrapText="1"/>
    </xf>
    <xf numFmtId="0" fontId="5" fillId="19" borderId="20" xfId="0" applyFont="1" applyFill="1" applyBorder="1" applyAlignment="1">
      <alignment horizontal="center" vertical="center" wrapText="1"/>
    </xf>
    <xf numFmtId="0" fontId="5" fillId="10" borderId="31" xfId="0" applyFont="1" applyFill="1" applyBorder="1" applyAlignment="1">
      <alignment horizontal="center" vertical="center"/>
    </xf>
    <xf numFmtId="0" fontId="33" fillId="10" borderId="16" xfId="0" applyFont="1" applyFill="1" applyBorder="1" applyAlignment="1">
      <alignment horizontal="center" vertical="center" wrapText="1"/>
    </xf>
    <xf numFmtId="0" fontId="33" fillId="10" borderId="30" xfId="0" applyFont="1" applyFill="1" applyBorder="1" applyAlignment="1">
      <alignment horizontal="center" vertical="center" wrapText="1"/>
    </xf>
    <xf numFmtId="0" fontId="33" fillId="7" borderId="13" xfId="0" applyFont="1" applyFill="1" applyBorder="1" applyAlignment="1">
      <alignment horizontal="center" vertical="center" wrapText="1"/>
    </xf>
    <xf numFmtId="0" fontId="33" fillId="7" borderId="28" xfId="0" applyFont="1" applyFill="1" applyBorder="1" applyAlignment="1">
      <alignment horizontal="center" vertical="center" wrapText="1"/>
    </xf>
    <xf numFmtId="0" fontId="33" fillId="6" borderId="0" xfId="0" applyFont="1" applyFill="1" applyAlignment="1">
      <alignment horizontal="center" vertical="center" wrapText="1"/>
    </xf>
    <xf numFmtId="0" fontId="33" fillId="6" borderId="16"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19" xfId="0" applyFont="1" applyFill="1" applyBorder="1" applyAlignment="1">
      <alignment horizontal="center" vertical="center" wrapText="1"/>
    </xf>
    <xf numFmtId="0" fontId="35" fillId="7" borderId="0" xfId="0" applyFont="1" applyFill="1" applyAlignment="1">
      <alignment horizontal="center" vertical="center" wrapText="1"/>
    </xf>
    <xf numFmtId="0" fontId="36" fillId="0" borderId="0" xfId="0" applyFont="1" applyAlignment="1">
      <alignment horizontal="center" vertical="center"/>
    </xf>
    <xf numFmtId="0" fontId="33" fillId="7" borderId="6" xfId="0" applyFont="1" applyFill="1" applyBorder="1" applyAlignment="1">
      <alignment horizontal="center" vertical="center" wrapText="1"/>
    </xf>
    <xf numFmtId="0" fontId="33" fillId="7" borderId="0" xfId="0" applyFont="1" applyFill="1" applyAlignment="1">
      <alignment horizontal="center" vertical="center" wrapText="1"/>
    </xf>
    <xf numFmtId="0" fontId="7" fillId="0" borderId="39" xfId="0" applyFont="1" applyBorder="1" applyAlignment="1">
      <alignment horizontal="justify" vertical="center" wrapText="1"/>
    </xf>
    <xf numFmtId="0" fontId="6" fillId="7" borderId="10" xfId="0" applyFont="1" applyFill="1" applyBorder="1" applyAlignment="1">
      <alignment horizontal="center" vertical="center" wrapText="1"/>
    </xf>
    <xf numFmtId="0" fontId="2" fillId="0" borderId="1" xfId="10" applyNumberFormat="1" applyFont="1" applyBorder="1" applyAlignment="1">
      <alignment horizontal="center" vertical="center"/>
    </xf>
    <xf numFmtId="9" fontId="6" fillId="7" borderId="10"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4" fontId="7" fillId="0" borderId="17" xfId="0" applyNumberFormat="1" applyFont="1" applyBorder="1" applyAlignment="1">
      <alignment horizontal="center" vertical="center" wrapText="1"/>
    </xf>
    <xf numFmtId="167" fontId="7" fillId="0" borderId="1" xfId="7" applyFont="1" applyFill="1" applyBorder="1" applyAlignment="1" applyProtection="1">
      <alignment horizontal="right" vertical="center"/>
      <protection locked="0"/>
    </xf>
    <xf numFmtId="0" fontId="6" fillId="7" borderId="38" xfId="0" applyFont="1" applyFill="1" applyBorder="1" applyAlignment="1">
      <alignment horizontal="center" vertical="center" wrapText="1"/>
    </xf>
    <xf numFmtId="0" fontId="6" fillId="7" borderId="0" xfId="0" applyFont="1" applyFill="1" applyAlignment="1">
      <alignment horizontal="center" vertical="center" wrapText="1"/>
    </xf>
    <xf numFmtId="0" fontId="7" fillId="0" borderId="39" xfId="0" applyFont="1" applyBorder="1" applyAlignment="1">
      <alignment horizontal="center" vertical="center" wrapText="1"/>
    </xf>
    <xf numFmtId="0" fontId="33" fillId="7" borderId="11"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6" fillId="19" borderId="38" xfId="0" applyFont="1" applyFill="1" applyBorder="1" applyAlignment="1">
      <alignment horizontal="center" vertical="center" wrapText="1"/>
    </xf>
    <xf numFmtId="4" fontId="12" fillId="19" borderId="38" xfId="0" applyNumberFormat="1" applyFont="1" applyFill="1" applyBorder="1" applyAlignment="1">
      <alignment horizontal="center" vertical="center" wrapText="1"/>
    </xf>
    <xf numFmtId="4" fontId="12" fillId="19" borderId="2" xfId="0" applyNumberFormat="1" applyFont="1" applyFill="1" applyBorder="1" applyAlignment="1">
      <alignment horizontal="center" vertical="center" wrapText="1"/>
    </xf>
    <xf numFmtId="9" fontId="6" fillId="19" borderId="38" xfId="0" applyNumberFormat="1" applyFont="1" applyFill="1" applyBorder="1" applyAlignment="1">
      <alignment horizontal="center" vertical="center" wrapText="1"/>
    </xf>
    <xf numFmtId="0" fontId="6" fillId="19" borderId="1" xfId="0" applyFont="1" applyFill="1" applyBorder="1" applyAlignment="1">
      <alignment horizontal="center" vertical="center" wrapText="1"/>
    </xf>
    <xf numFmtId="9" fontId="6" fillId="19" borderId="1" xfId="2" applyFont="1" applyFill="1" applyBorder="1" applyAlignment="1">
      <alignment horizontal="center" vertical="center" wrapText="1"/>
    </xf>
    <xf numFmtId="0" fontId="6" fillId="19" borderId="10" xfId="0" applyFont="1" applyFill="1" applyBorder="1" applyAlignment="1">
      <alignment horizontal="center" vertical="center" wrapText="1"/>
    </xf>
    <xf numFmtId="4" fontId="36" fillId="0" borderId="0" xfId="0" applyNumberFormat="1" applyFont="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0" borderId="0" xfId="0" applyFont="1" applyAlignment="1">
      <alignment horizontal="justify" vertical="center"/>
    </xf>
    <xf numFmtId="0" fontId="3" fillId="2" borderId="36" xfId="0" applyFont="1" applyFill="1" applyBorder="1" applyAlignment="1">
      <alignment horizontal="center" vertical="center"/>
    </xf>
    <xf numFmtId="164" fontId="3" fillId="13" borderId="1" xfId="0" applyNumberFormat="1" applyFont="1" applyFill="1" applyBorder="1" applyAlignment="1">
      <alignment horizontal="center" vertical="center" wrapText="1"/>
    </xf>
    <xf numFmtId="9" fontId="3" fillId="11" borderId="30" xfId="2" applyFont="1" applyFill="1" applyBorder="1" applyAlignment="1">
      <alignment horizontal="center" vertical="center"/>
    </xf>
    <xf numFmtId="164" fontId="3" fillId="11" borderId="0" xfId="0" applyNumberFormat="1" applyFont="1" applyFill="1" applyAlignment="1">
      <alignment horizontal="center" vertical="center"/>
    </xf>
    <xf numFmtId="9" fontId="3" fillId="10" borderId="16" xfId="2" applyFont="1" applyFill="1" applyBorder="1" applyAlignment="1">
      <alignment horizontal="center" vertical="center"/>
    </xf>
    <xf numFmtId="0" fontId="3" fillId="10" borderId="16" xfId="0" applyFont="1" applyFill="1" applyBorder="1" applyAlignment="1">
      <alignment horizontal="justify" vertical="center"/>
    </xf>
    <xf numFmtId="1" fontId="3" fillId="6" borderId="1" xfId="0" applyNumberFormat="1" applyFont="1" applyFill="1" applyBorder="1" applyAlignment="1">
      <alignment horizontal="center" vertical="center" wrapText="1"/>
    </xf>
    <xf numFmtId="9" fontId="3" fillId="6" borderId="38" xfId="2" applyFont="1" applyFill="1" applyBorder="1" applyAlignment="1">
      <alignment horizontal="center" vertical="center"/>
    </xf>
    <xf numFmtId="0" fontId="3" fillId="6" borderId="38" xfId="0" applyFont="1" applyFill="1" applyBorder="1" applyAlignment="1">
      <alignment horizontal="justify" vertical="center"/>
    </xf>
    <xf numFmtId="167" fontId="7" fillId="2" borderId="1" xfId="9" applyNumberFormat="1" applyFont="1" applyFill="1" applyBorder="1" applyAlignment="1">
      <alignment horizontal="center" vertical="center" wrapText="1"/>
    </xf>
    <xf numFmtId="1" fontId="7" fillId="0" borderId="1" xfId="14" applyNumberFormat="1" applyFont="1" applyFill="1" applyBorder="1">
      <alignment horizontal="center" vertical="center" wrapText="1"/>
    </xf>
    <xf numFmtId="1" fontId="2" fillId="2" borderId="1" xfId="8" applyNumberFormat="1" applyFont="1" applyFill="1" applyBorder="1" applyAlignment="1">
      <alignment horizontal="center" vertical="center"/>
    </xf>
    <xf numFmtId="9" fontId="2" fillId="2" borderId="1"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0" borderId="1" xfId="14" applyFont="1" applyFill="1" applyBorder="1">
      <alignment horizontal="center" vertical="center" wrapText="1"/>
    </xf>
    <xf numFmtId="1" fontId="2" fillId="2" borderId="12" xfId="8" applyNumberFormat="1" applyFont="1" applyFill="1" applyBorder="1" applyAlignment="1">
      <alignment horizontal="center" vertical="center"/>
    </xf>
    <xf numFmtId="0" fontId="37" fillId="0" borderId="1" xfId="0" applyFont="1" applyBorder="1" applyAlignment="1">
      <alignment horizontal="justify" vertical="center" wrapText="1"/>
    </xf>
    <xf numFmtId="0" fontId="2" fillId="0" borderId="36" xfId="0" applyFont="1" applyBorder="1" applyAlignment="1">
      <alignment horizontal="justify" vertical="center" wrapText="1"/>
    </xf>
    <xf numFmtId="1" fontId="2" fillId="0" borderId="1" xfId="0" applyNumberFormat="1" applyFont="1" applyBorder="1" applyAlignment="1">
      <alignment horizontal="justify" vertical="center" wrapText="1"/>
    </xf>
    <xf numFmtId="164" fontId="2" fillId="0" borderId="1" xfId="0" applyNumberFormat="1" applyFont="1" applyBorder="1" applyAlignment="1">
      <alignment horizontal="center" vertical="center" wrapText="1"/>
    </xf>
    <xf numFmtId="0" fontId="3" fillId="6" borderId="37" xfId="0" applyFont="1" applyFill="1" applyBorder="1" applyAlignment="1">
      <alignment horizontal="justify" vertical="center"/>
    </xf>
    <xf numFmtId="167" fontId="3" fillId="6" borderId="1" xfId="0" applyNumberFormat="1" applyFont="1" applyFill="1" applyBorder="1" applyAlignment="1">
      <alignment horizontal="center" vertical="center"/>
    </xf>
    <xf numFmtId="1" fontId="3" fillId="6" borderId="37" xfId="0" applyNumberFormat="1" applyFont="1" applyFill="1" applyBorder="1" applyAlignment="1">
      <alignment horizontal="center" vertical="center"/>
    </xf>
    <xf numFmtId="0" fontId="3" fillId="6" borderId="37" xfId="0" applyFont="1" applyFill="1" applyBorder="1" applyAlignment="1">
      <alignment horizontal="center" vertical="center"/>
    </xf>
    <xf numFmtId="167" fontId="3" fillId="6" borderId="36" xfId="1" applyNumberFormat="1" applyFont="1" applyFill="1" applyBorder="1" applyAlignment="1">
      <alignment horizontal="center" vertical="center"/>
    </xf>
    <xf numFmtId="9" fontId="3" fillId="6" borderId="36" xfId="2" applyFont="1" applyFill="1" applyBorder="1" applyAlignment="1">
      <alignment horizontal="center" vertical="center"/>
    </xf>
    <xf numFmtId="0" fontId="3" fillId="6" borderId="36" xfId="0" applyFont="1" applyFill="1" applyBorder="1" applyAlignment="1">
      <alignment horizontal="justify" vertical="center"/>
    </xf>
    <xf numFmtId="164" fontId="3" fillId="6" borderId="36" xfId="0" applyNumberFormat="1" applyFont="1" applyFill="1" applyBorder="1" applyAlignment="1">
      <alignment horizontal="center" vertical="center"/>
    </xf>
    <xf numFmtId="0" fontId="3" fillId="6" borderId="32" xfId="0" applyFont="1" applyFill="1" applyBorder="1" applyAlignment="1">
      <alignment horizontal="center" vertical="center"/>
    </xf>
    <xf numFmtId="167" fontId="7" fillId="0" borderId="1" xfId="9" applyNumberFormat="1" applyFont="1" applyFill="1" applyBorder="1" applyAlignment="1">
      <alignment horizontal="center" vertical="center" wrapText="1"/>
    </xf>
    <xf numFmtId="167" fontId="7" fillId="2" borderId="12" xfId="1" applyNumberFormat="1" applyFont="1" applyFill="1" applyBorder="1" applyAlignment="1">
      <alignment horizontal="center" vertical="center" wrapText="1"/>
    </xf>
    <xf numFmtId="1" fontId="2" fillId="0" borderId="12" xfId="0" applyNumberFormat="1" applyFont="1" applyBorder="1" applyAlignment="1">
      <alignment vertical="center" wrapText="1"/>
    </xf>
    <xf numFmtId="1" fontId="2" fillId="0" borderId="12" xfId="0" applyNumberFormat="1" applyFont="1" applyBorder="1" applyAlignment="1">
      <alignment horizontal="justify" vertical="center" wrapText="1"/>
    </xf>
    <xf numFmtId="1" fontId="2" fillId="2" borderId="36" xfId="0" applyNumberFormat="1" applyFont="1" applyFill="1" applyBorder="1" applyAlignment="1">
      <alignment horizontal="center" vertical="center" wrapText="1"/>
    </xf>
    <xf numFmtId="1" fontId="2" fillId="0" borderId="4" xfId="0" applyNumberFormat="1" applyFont="1" applyBorder="1" applyAlignment="1">
      <alignment vertical="center" wrapText="1"/>
    </xf>
    <xf numFmtId="167" fontId="3" fillId="6" borderId="4" xfId="1" applyNumberFormat="1" applyFont="1" applyFill="1" applyBorder="1" applyAlignment="1">
      <alignment horizontal="center" vertical="center"/>
    </xf>
    <xf numFmtId="167" fontId="3" fillId="6" borderId="38" xfId="1" applyNumberFormat="1" applyFont="1" applyFill="1" applyBorder="1" applyAlignment="1">
      <alignment horizontal="center" vertical="center"/>
    </xf>
    <xf numFmtId="0" fontId="7" fillId="2" borderId="1" xfId="3" applyFont="1" applyFill="1" applyBorder="1" applyAlignment="1">
      <alignment horizontal="center" vertical="center" wrapText="1"/>
    </xf>
    <xf numFmtId="167" fontId="7" fillId="0" borderId="1" xfId="9" applyNumberFormat="1" applyFont="1" applyFill="1" applyBorder="1" applyAlignment="1">
      <alignment horizontal="center" vertical="center"/>
    </xf>
    <xf numFmtId="1" fontId="3" fillId="6" borderId="36" xfId="0" applyNumberFormat="1" applyFont="1" applyFill="1" applyBorder="1" applyAlignment="1">
      <alignment horizontal="center" vertical="center"/>
    </xf>
    <xf numFmtId="1" fontId="2" fillId="0" borderId="1" xfId="8" applyNumberFormat="1" applyFont="1" applyFill="1" applyBorder="1" applyAlignment="1">
      <alignment horizontal="center" vertical="center"/>
    </xf>
    <xf numFmtId="1" fontId="2" fillId="2" borderId="12" xfId="8" applyNumberFormat="1" applyFont="1" applyFill="1" applyBorder="1" applyAlignment="1">
      <alignment horizontal="center" vertical="center" wrapText="1"/>
    </xf>
    <xf numFmtId="0" fontId="2" fillId="0" borderId="37" xfId="0" applyFont="1" applyBorder="1" applyAlignment="1">
      <alignment horizontal="justify" vertical="center" wrapText="1"/>
    </xf>
    <xf numFmtId="0" fontId="5" fillId="24" borderId="1" xfId="0" applyFont="1" applyFill="1" applyBorder="1" applyAlignment="1">
      <alignment horizontal="center" vertical="center" wrapText="1"/>
    </xf>
    <xf numFmtId="0" fontId="7" fillId="24" borderId="1" xfId="0" applyFont="1" applyFill="1" applyBorder="1" applyAlignment="1">
      <alignment horizontal="center" vertical="center" wrapText="1"/>
    </xf>
    <xf numFmtId="0" fontId="7" fillId="24" borderId="1" xfId="0" applyFont="1" applyFill="1" applyBorder="1" applyAlignment="1">
      <alignment horizontal="justify" vertical="center" wrapText="1"/>
    </xf>
    <xf numFmtId="0" fontId="7" fillId="24" borderId="1" xfId="3" applyFont="1" applyFill="1" applyBorder="1" applyAlignment="1">
      <alignment horizontal="center" vertical="center" wrapText="1"/>
    </xf>
    <xf numFmtId="0" fontId="2" fillId="24" borderId="1" xfId="0" applyFont="1" applyFill="1" applyBorder="1" applyAlignment="1">
      <alignment horizontal="justify" vertical="center" wrapText="1"/>
    </xf>
    <xf numFmtId="9" fontId="2" fillId="24" borderId="1" xfId="0" applyNumberFormat="1" applyFont="1" applyFill="1" applyBorder="1" applyAlignment="1">
      <alignment horizontal="center" vertical="center" wrapText="1"/>
    </xf>
    <xf numFmtId="167" fontId="7" fillId="24" borderId="1" xfId="1" applyNumberFormat="1" applyFont="1" applyFill="1" applyBorder="1" applyAlignment="1">
      <alignment horizontal="center" vertical="center"/>
    </xf>
    <xf numFmtId="0" fontId="37" fillId="24" borderId="1" xfId="0" applyFont="1" applyFill="1" applyBorder="1" applyAlignment="1">
      <alignment horizontal="justify" vertical="center" wrapText="1"/>
    </xf>
    <xf numFmtId="0" fontId="2" fillId="24" borderId="16" xfId="0" applyFont="1" applyFill="1" applyBorder="1" applyAlignment="1">
      <alignment horizontal="justify" vertical="center" wrapText="1"/>
    </xf>
    <xf numFmtId="167" fontId="7" fillId="24" borderId="1" xfId="9" applyNumberFormat="1" applyFont="1" applyFill="1" applyBorder="1" applyAlignment="1">
      <alignment horizontal="center" vertical="center"/>
    </xf>
    <xf numFmtId="0" fontId="2" fillId="24" borderId="17" xfId="0" applyFont="1" applyFill="1" applyBorder="1" applyAlignment="1">
      <alignment horizontal="center" vertical="center" wrapText="1"/>
    </xf>
    <xf numFmtId="1" fontId="2" fillId="24" borderId="16" xfId="0" applyNumberFormat="1" applyFont="1" applyFill="1" applyBorder="1" applyAlignment="1">
      <alignment horizontal="center" vertical="center" wrapText="1"/>
    </xf>
    <xf numFmtId="0" fontId="2" fillId="24" borderId="16" xfId="0" applyFont="1" applyFill="1" applyBorder="1" applyAlignment="1">
      <alignment horizontal="center" vertical="center" wrapText="1"/>
    </xf>
    <xf numFmtId="1" fontId="3" fillId="24" borderId="36" xfId="0" applyNumberFormat="1" applyFont="1" applyFill="1" applyBorder="1" applyAlignment="1">
      <alignment horizontal="center" vertical="center" textRotation="180" wrapText="1"/>
    </xf>
    <xf numFmtId="1" fontId="2" fillId="24" borderId="36" xfId="0" applyNumberFormat="1" applyFont="1" applyFill="1" applyBorder="1" applyAlignment="1">
      <alignment horizontal="center" vertical="center" textRotation="180" wrapText="1"/>
    </xf>
    <xf numFmtId="167" fontId="3" fillId="24" borderId="36" xfId="1" applyNumberFormat="1" applyFont="1" applyFill="1" applyBorder="1" applyAlignment="1">
      <alignment horizontal="center" vertical="center" textRotation="180" wrapText="1"/>
    </xf>
    <xf numFmtId="9" fontId="3" fillId="24" borderId="36" xfId="2" applyFont="1" applyFill="1" applyBorder="1" applyAlignment="1">
      <alignment horizontal="center" vertical="center" textRotation="180" wrapText="1"/>
    </xf>
    <xf numFmtId="1" fontId="3" fillId="24" borderId="36" xfId="0" applyNumberFormat="1" applyFont="1" applyFill="1" applyBorder="1" applyAlignment="1">
      <alignment horizontal="justify" vertical="center" textRotation="180" wrapText="1"/>
    </xf>
    <xf numFmtId="164" fontId="2" fillId="24" borderId="36" xfId="0" applyNumberFormat="1" applyFont="1" applyFill="1" applyBorder="1" applyAlignment="1">
      <alignment horizontal="center" vertical="center" wrapText="1"/>
    </xf>
    <xf numFmtId="3" fontId="2" fillId="24" borderId="66" xfId="0" applyNumberFormat="1" applyFont="1" applyFill="1" applyBorder="1" applyAlignment="1">
      <alignment horizontal="center" vertical="center" wrapText="1"/>
    </xf>
    <xf numFmtId="0" fontId="2" fillId="24" borderId="0" xfId="0" applyFont="1" applyFill="1" applyAlignment="1">
      <alignment horizontal="center" vertical="center"/>
    </xf>
    <xf numFmtId="0" fontId="3" fillId="11" borderId="0" xfId="0" applyFont="1" applyFill="1" applyAlignment="1">
      <alignment horizontal="justify" vertical="center"/>
    </xf>
    <xf numFmtId="167" fontId="3" fillId="11" borderId="1" xfId="0" applyNumberFormat="1" applyFont="1" applyFill="1" applyBorder="1" applyAlignment="1">
      <alignment horizontal="center" vertical="center"/>
    </xf>
    <xf numFmtId="167" fontId="3" fillId="11" borderId="4" xfId="1" applyNumberFormat="1" applyFont="1" applyFill="1" applyBorder="1" applyAlignment="1">
      <alignment horizontal="center" vertical="center"/>
    </xf>
    <xf numFmtId="167" fontId="3" fillId="11" borderId="30" xfId="1" applyNumberFormat="1" applyFont="1" applyFill="1" applyBorder="1" applyAlignment="1">
      <alignment horizontal="center" vertical="center"/>
    </xf>
    <xf numFmtId="167" fontId="3" fillId="10" borderId="1" xfId="0" applyNumberFormat="1" applyFont="1" applyFill="1" applyBorder="1" applyAlignment="1">
      <alignment horizontal="center" vertical="center"/>
    </xf>
    <xf numFmtId="167" fontId="3" fillId="10" borderId="16" xfId="1" applyNumberFormat="1" applyFont="1" applyFill="1" applyBorder="1" applyAlignment="1">
      <alignment horizontal="center" vertical="center"/>
    </xf>
    <xf numFmtId="167" fontId="3" fillId="6" borderId="0" xfId="1" applyNumberFormat="1" applyFont="1" applyFill="1" applyBorder="1" applyAlignment="1">
      <alignment horizontal="center" vertical="center"/>
    </xf>
    <xf numFmtId="9" fontId="3" fillId="6" borderId="0" xfId="2" applyFont="1" applyFill="1" applyBorder="1" applyAlignment="1">
      <alignment horizontal="center" vertical="center"/>
    </xf>
    <xf numFmtId="9" fontId="2" fillId="0" borderId="1" xfId="0" applyNumberFormat="1" applyFont="1" applyBorder="1" applyAlignment="1">
      <alignment horizontal="center" vertical="center"/>
    </xf>
    <xf numFmtId="0" fontId="37" fillId="0" borderId="40" xfId="0" applyFont="1" applyBorder="1" applyAlignment="1">
      <alignment horizontal="justify" vertical="center" wrapText="1"/>
    </xf>
    <xf numFmtId="167" fontId="2" fillId="0" borderId="1" xfId="0" applyNumberFormat="1" applyFont="1" applyBorder="1" applyAlignment="1">
      <alignment horizontal="center" vertical="center"/>
    </xf>
    <xf numFmtId="167" fontId="2" fillId="2" borderId="1" xfId="9" applyNumberFormat="1" applyFont="1" applyFill="1" applyBorder="1" applyAlignment="1">
      <alignment horizontal="center" vertical="center"/>
    </xf>
    <xf numFmtId="167" fontId="7" fillId="2" borderId="1" xfId="9" applyNumberFormat="1" applyFont="1" applyFill="1" applyBorder="1" applyAlignment="1">
      <alignment horizontal="center" vertical="center"/>
    </xf>
    <xf numFmtId="167" fontId="7" fillId="2" borderId="12" xfId="1"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0" borderId="1" xfId="3" applyFont="1" applyBorder="1" applyAlignment="1">
      <alignment horizontal="center" vertical="center"/>
    </xf>
    <xf numFmtId="2" fontId="2" fillId="0" borderId="1" xfId="3" applyNumberFormat="1" applyFont="1" applyBorder="1" applyAlignment="1">
      <alignment horizontal="center" vertical="center"/>
    </xf>
    <xf numFmtId="0" fontId="7" fillId="0" borderId="8" xfId="12" applyNumberFormat="1" applyFont="1" applyFill="1" applyBorder="1">
      <alignment horizontal="center" vertical="center" wrapText="1"/>
    </xf>
    <xf numFmtId="0" fontId="7" fillId="0" borderId="22" xfId="0" applyFont="1" applyBorder="1" applyAlignment="1">
      <alignment horizontal="justify" vertical="center" wrapText="1"/>
    </xf>
    <xf numFmtId="0" fontId="7" fillId="0" borderId="8" xfId="14" applyFont="1" applyFill="1" applyBorder="1">
      <alignment horizontal="center" vertical="center" wrapText="1"/>
    </xf>
    <xf numFmtId="0" fontId="7" fillId="0" borderId="15" xfId="14" applyFont="1" applyFill="1" applyBorder="1">
      <alignment horizontal="center" vertical="center" wrapText="1"/>
    </xf>
    <xf numFmtId="0" fontId="7" fillId="0" borderId="15" xfId="3" applyFont="1" applyBorder="1" applyAlignment="1">
      <alignment horizontal="center" vertical="center" wrapText="1"/>
    </xf>
    <xf numFmtId="0" fontId="7" fillId="2" borderId="15" xfId="3" applyFont="1" applyFill="1" applyBorder="1" applyAlignment="1">
      <alignment horizontal="center" vertical="center" wrapText="1"/>
    </xf>
    <xf numFmtId="9" fontId="2" fillId="0" borderId="4" xfId="0" applyNumberFormat="1" applyFont="1" applyBorder="1" applyAlignment="1">
      <alignment horizontal="center" vertical="center" wrapText="1"/>
    </xf>
    <xf numFmtId="167" fontId="7" fillId="0" borderId="15" xfId="1" applyNumberFormat="1" applyFont="1" applyFill="1" applyBorder="1" applyAlignment="1">
      <alignment horizontal="center" vertical="center"/>
    </xf>
    <xf numFmtId="167" fontId="7" fillId="2" borderId="15" xfId="1" applyNumberFormat="1" applyFont="1" applyFill="1" applyBorder="1" applyAlignment="1">
      <alignment horizontal="center" vertical="center"/>
    </xf>
    <xf numFmtId="3" fontId="2" fillId="2" borderId="32" xfId="0" applyNumberFormat="1" applyFont="1" applyFill="1" applyBorder="1" applyAlignment="1">
      <alignment horizontal="center" vertical="center" wrapText="1"/>
    </xf>
    <xf numFmtId="1" fontId="3" fillId="6" borderId="67" xfId="0" applyNumberFormat="1" applyFont="1" applyFill="1" applyBorder="1" applyAlignment="1">
      <alignment horizontal="center" vertical="center" wrapText="1"/>
    </xf>
    <xf numFmtId="166" fontId="3" fillId="6" borderId="36" xfId="0" applyNumberFormat="1" applyFont="1" applyFill="1" applyBorder="1" applyAlignment="1">
      <alignment horizontal="center" vertical="center"/>
    </xf>
    <xf numFmtId="167" fontId="3" fillId="6" borderId="37" xfId="1" applyNumberFormat="1" applyFont="1" applyFill="1" applyBorder="1" applyAlignment="1">
      <alignment horizontal="center" vertical="center"/>
    </xf>
    <xf numFmtId="0" fontId="7" fillId="0" borderId="19" xfId="0" applyFont="1" applyBorder="1" applyAlignment="1">
      <alignment horizontal="justify" vertical="center" wrapText="1"/>
    </xf>
    <xf numFmtId="0" fontId="7" fillId="2" borderId="5" xfId="3" applyFont="1" applyFill="1" applyBorder="1" applyAlignment="1">
      <alignment horizontal="center" vertical="center" wrapText="1"/>
    </xf>
    <xf numFmtId="0" fontId="7" fillId="0" borderId="5" xfId="3" applyFont="1" applyBorder="1" applyAlignment="1">
      <alignment horizontal="center" vertical="center" wrapText="1"/>
    </xf>
    <xf numFmtId="167" fontId="7" fillId="2" borderId="5" xfId="1" applyNumberFormat="1" applyFont="1" applyFill="1" applyBorder="1" applyAlignment="1">
      <alignment horizontal="center" vertical="center"/>
    </xf>
    <xf numFmtId="0" fontId="7" fillId="0" borderId="29" xfId="0" applyFont="1" applyBorder="1" applyAlignment="1">
      <alignment horizontal="justify" vertical="center" wrapText="1"/>
    </xf>
    <xf numFmtId="0" fontId="3" fillId="6" borderId="68" xfId="0" applyFont="1" applyFill="1" applyBorder="1" applyAlignment="1">
      <alignment horizontal="left" vertical="center"/>
    </xf>
    <xf numFmtId="0" fontId="3" fillId="6" borderId="44" xfId="0" applyFont="1" applyFill="1" applyBorder="1" applyAlignment="1">
      <alignment horizontal="justify" vertical="center"/>
    </xf>
    <xf numFmtId="0" fontId="7" fillId="0" borderId="5" xfId="14" applyFont="1" applyFill="1" applyBorder="1">
      <alignment horizontal="center" vertical="center" wrapText="1"/>
    </xf>
    <xf numFmtId="0" fontId="35" fillId="0" borderId="5" xfId="0" applyFont="1" applyBorder="1" applyAlignment="1">
      <alignment horizontal="center" vertical="center" wrapText="1"/>
    </xf>
    <xf numFmtId="0" fontId="7" fillId="0" borderId="9" xfId="14" applyFont="1" applyFill="1" applyBorder="1">
      <alignment horizontal="center" vertical="center" wrapText="1"/>
    </xf>
    <xf numFmtId="167" fontId="7" fillId="2" borderId="9" xfId="1"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0" fontId="2" fillId="4" borderId="36" xfId="0" applyFont="1" applyFill="1" applyBorder="1" applyAlignment="1">
      <alignment horizontal="center" vertical="center"/>
    </xf>
    <xf numFmtId="0" fontId="2" fillId="4" borderId="36" xfId="0" applyFont="1" applyFill="1" applyBorder="1" applyAlignment="1">
      <alignment horizontal="justify" vertical="center"/>
    </xf>
    <xf numFmtId="166" fontId="2" fillId="4" borderId="32" xfId="0" applyNumberFormat="1" applyFont="1" applyFill="1" applyBorder="1" applyAlignment="1">
      <alignment horizontal="center" vertical="center"/>
    </xf>
    <xf numFmtId="167" fontId="3" fillId="4" borderId="1" xfId="8" applyFont="1" applyFill="1" applyBorder="1" applyAlignment="1">
      <alignment horizontal="center" vertical="center"/>
    </xf>
    <xf numFmtId="0" fontId="2" fillId="4" borderId="2" xfId="0" applyFont="1" applyFill="1" applyBorder="1" applyAlignment="1">
      <alignment horizontal="justify" vertical="center"/>
    </xf>
    <xf numFmtId="0" fontId="2" fillId="4" borderId="32" xfId="0" applyFont="1" applyFill="1" applyBorder="1" applyAlignment="1">
      <alignment horizontal="justify" vertical="center"/>
    </xf>
    <xf numFmtId="165" fontId="3" fillId="4" borderId="36" xfId="0" applyNumberFormat="1" applyFont="1" applyFill="1" applyBorder="1" applyAlignment="1">
      <alignment horizontal="center" vertical="center"/>
    </xf>
    <xf numFmtId="1" fontId="2" fillId="4" borderId="36" xfId="0" applyNumberFormat="1" applyFont="1" applyFill="1" applyBorder="1" applyAlignment="1">
      <alignment horizontal="center" vertical="center"/>
    </xf>
    <xf numFmtId="9" fontId="2" fillId="4" borderId="36" xfId="2" applyFont="1" applyFill="1" applyBorder="1" applyAlignment="1">
      <alignment horizontal="center" vertical="center"/>
    </xf>
    <xf numFmtId="164" fontId="2" fillId="4" borderId="36" xfId="0" applyNumberFormat="1" applyFont="1" applyFill="1" applyBorder="1" applyAlignment="1">
      <alignment horizontal="center" vertical="center"/>
    </xf>
    <xf numFmtId="0" fontId="2" fillId="4" borderId="32" xfId="0" applyFont="1" applyFill="1" applyBorder="1" applyAlignment="1">
      <alignment horizontal="center" vertical="center"/>
    </xf>
    <xf numFmtId="167" fontId="2" fillId="2" borderId="0" xfId="1" applyNumberFormat="1" applyFont="1" applyFill="1" applyAlignment="1">
      <alignment horizontal="center" vertical="center"/>
    </xf>
    <xf numFmtId="168" fontId="38" fillId="0" borderId="0" xfId="1" applyFont="1" applyFill="1"/>
    <xf numFmtId="164" fontId="2" fillId="17" borderId="0" xfId="0" applyNumberFormat="1" applyFont="1" applyFill="1" applyAlignment="1">
      <alignment horizontal="center" vertical="center"/>
    </xf>
    <xf numFmtId="0" fontId="5" fillId="0" borderId="7" xfId="0" applyFont="1" applyBorder="1" applyAlignment="1">
      <alignment horizontal="center" vertical="center"/>
    </xf>
    <xf numFmtId="0" fontId="5" fillId="0" borderId="38" xfId="0" applyFont="1" applyBorder="1" applyAlignment="1">
      <alignment horizontal="justify" vertical="center" wrapText="1"/>
    </xf>
    <xf numFmtId="177" fontId="5" fillId="0" borderId="38" xfId="0" applyNumberFormat="1" applyFont="1" applyBorder="1" applyAlignment="1">
      <alignment horizontal="center" vertical="center"/>
    </xf>
    <xf numFmtId="167" fontId="5" fillId="0" borderId="38" xfId="0" applyNumberFormat="1" applyFont="1" applyBorder="1" applyAlignment="1">
      <alignment horizontal="center" vertical="center"/>
    </xf>
    <xf numFmtId="41" fontId="5" fillId="0" borderId="38" xfId="11" applyFont="1" applyBorder="1" applyAlignment="1">
      <alignment horizontal="center" vertical="center"/>
    </xf>
    <xf numFmtId="0" fontId="5" fillId="0" borderId="10" xfId="0" applyFont="1" applyBorder="1" applyAlignment="1">
      <alignment horizontal="center" vertical="center"/>
    </xf>
    <xf numFmtId="1" fontId="5" fillId="11" borderId="9" xfId="0" applyNumberFormat="1" applyFont="1" applyFill="1" applyBorder="1" applyAlignment="1">
      <alignment horizontal="center" vertical="center" wrapText="1"/>
    </xf>
    <xf numFmtId="0" fontId="5" fillId="11" borderId="0" xfId="0" applyFont="1" applyFill="1" applyAlignment="1">
      <alignment horizontal="center" vertical="center"/>
    </xf>
    <xf numFmtId="0" fontId="5" fillId="11" borderId="0" xfId="0" applyFont="1" applyFill="1" applyAlignment="1">
      <alignment horizontal="justify" vertical="center" wrapText="1"/>
    </xf>
    <xf numFmtId="0" fontId="5" fillId="11" borderId="30" xfId="0" applyFont="1" applyFill="1" applyBorder="1" applyAlignment="1">
      <alignment horizontal="center" vertical="center"/>
    </xf>
    <xf numFmtId="0" fontId="5" fillId="11" borderId="30" xfId="0" applyFont="1" applyFill="1" applyBorder="1" applyAlignment="1">
      <alignment horizontal="justify" vertical="center" wrapText="1"/>
    </xf>
    <xf numFmtId="166" fontId="5" fillId="11" borderId="0" xfId="0" applyNumberFormat="1" applyFont="1" applyFill="1" applyAlignment="1">
      <alignment horizontal="center" vertical="center"/>
    </xf>
    <xf numFmtId="177" fontId="5" fillId="11" borderId="30" xfId="0" applyNumberFormat="1" applyFont="1" applyFill="1" applyBorder="1" applyAlignment="1">
      <alignment horizontal="center" vertical="center"/>
    </xf>
    <xf numFmtId="167" fontId="5" fillId="11" borderId="30" xfId="0" applyNumberFormat="1" applyFont="1" applyFill="1" applyBorder="1" applyAlignment="1">
      <alignment horizontal="center" vertical="center"/>
    </xf>
    <xf numFmtId="1" fontId="5" fillId="11" borderId="0" xfId="0" applyNumberFormat="1" applyFont="1" applyFill="1" applyAlignment="1">
      <alignment horizontal="center" vertical="center"/>
    </xf>
    <xf numFmtId="41" fontId="5" fillId="11" borderId="0" xfId="11" applyFont="1" applyFill="1" applyBorder="1" applyAlignment="1">
      <alignment horizontal="center" vertical="center"/>
    </xf>
    <xf numFmtId="164" fontId="5" fillId="11" borderId="0" xfId="0" applyNumberFormat="1" applyFont="1" applyFill="1" applyAlignment="1">
      <alignment horizontal="center" vertical="center"/>
    </xf>
    <xf numFmtId="0" fontId="5" fillId="11" borderId="22" xfId="0" applyFont="1" applyFill="1" applyBorder="1" applyAlignment="1">
      <alignment horizontal="center" vertical="center"/>
    </xf>
    <xf numFmtId="1" fontId="5" fillId="0" borderId="13" xfId="0" applyNumberFormat="1" applyFont="1" applyBorder="1" applyAlignment="1">
      <alignment horizontal="center" vertical="center" wrapText="1"/>
    </xf>
    <xf numFmtId="0" fontId="5" fillId="10" borderId="30" xfId="0" applyFont="1" applyFill="1" applyBorder="1" applyAlignment="1">
      <alignment horizontal="justify" vertical="center" wrapText="1"/>
    </xf>
    <xf numFmtId="166" fontId="5" fillId="10" borderId="30" xfId="0" applyNumberFormat="1" applyFont="1" applyFill="1" applyBorder="1" applyAlignment="1">
      <alignment horizontal="center" vertical="center"/>
    </xf>
    <xf numFmtId="177" fontId="5" fillId="10" borderId="30" xfId="0" applyNumberFormat="1" applyFont="1" applyFill="1" applyBorder="1" applyAlignment="1">
      <alignment horizontal="center" vertical="center"/>
    </xf>
    <xf numFmtId="167" fontId="5" fillId="10" borderId="30" xfId="0" applyNumberFormat="1" applyFont="1" applyFill="1" applyBorder="1" applyAlignment="1">
      <alignment horizontal="center" vertical="center"/>
    </xf>
    <xf numFmtId="1" fontId="5" fillId="10" borderId="30" xfId="0" applyNumberFormat="1" applyFont="1" applyFill="1" applyBorder="1" applyAlignment="1">
      <alignment horizontal="center" vertical="center"/>
    </xf>
    <xf numFmtId="41" fontId="5" fillId="10" borderId="30" xfId="11" applyFont="1" applyFill="1" applyBorder="1" applyAlignment="1">
      <alignment horizontal="center" vertical="center"/>
    </xf>
    <xf numFmtId="164" fontId="5" fillId="10" borderId="30" xfId="0" applyNumberFormat="1" applyFont="1" applyFill="1" applyBorder="1" applyAlignment="1">
      <alignment horizontal="center" vertical="center"/>
    </xf>
    <xf numFmtId="0" fontId="5" fillId="10" borderId="29" xfId="0" applyFont="1" applyFill="1" applyBorder="1" applyAlignment="1">
      <alignment horizontal="center" vertical="center"/>
    </xf>
    <xf numFmtId="1" fontId="5" fillId="2" borderId="6" xfId="0" applyNumberFormat="1"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1" fontId="5" fillId="2" borderId="28" xfId="0" applyNumberFormat="1" applyFont="1" applyFill="1" applyBorder="1" applyAlignment="1">
      <alignment horizontal="center" vertical="center" wrapText="1"/>
    </xf>
    <xf numFmtId="0" fontId="5" fillId="6" borderId="30" xfId="0" applyFont="1" applyFill="1" applyBorder="1" applyAlignment="1">
      <alignment horizontal="justify" vertical="center" wrapText="1"/>
    </xf>
    <xf numFmtId="166" fontId="5" fillId="6" borderId="16" xfId="0" applyNumberFormat="1" applyFont="1" applyFill="1" applyBorder="1" applyAlignment="1">
      <alignment horizontal="center" vertical="center"/>
    </xf>
    <xf numFmtId="177" fontId="5" fillId="6" borderId="16" xfId="0" applyNumberFormat="1" applyFont="1" applyFill="1" applyBorder="1" applyAlignment="1">
      <alignment horizontal="center" vertical="center"/>
    </xf>
    <xf numFmtId="167" fontId="5" fillId="6" borderId="16" xfId="0" applyNumberFormat="1" applyFont="1" applyFill="1" applyBorder="1" applyAlignment="1">
      <alignment horizontal="center" vertical="center"/>
    </xf>
    <xf numFmtId="167" fontId="5" fillId="6" borderId="30" xfId="0" applyNumberFormat="1" applyFont="1" applyFill="1" applyBorder="1" applyAlignment="1">
      <alignment horizontal="center" vertical="center"/>
    </xf>
    <xf numFmtId="1" fontId="5" fillId="6" borderId="16" xfId="0" applyNumberFormat="1" applyFont="1" applyFill="1" applyBorder="1" applyAlignment="1">
      <alignment horizontal="center" vertical="center"/>
    </xf>
    <xf numFmtId="41" fontId="5" fillId="6" borderId="16" xfId="11" applyFont="1" applyFill="1" applyBorder="1" applyAlignment="1">
      <alignment horizontal="center" vertical="center"/>
    </xf>
    <xf numFmtId="164" fontId="5" fillId="6" borderId="16" xfId="0" applyNumberFormat="1" applyFont="1" applyFill="1" applyBorder="1" applyAlignment="1">
      <alignment horizontal="center" vertical="center"/>
    </xf>
    <xf numFmtId="0" fontId="7" fillId="2" borderId="0" xfId="0" applyFont="1" applyFill="1" applyAlignment="1">
      <alignment horizontal="center" vertical="center" wrapText="1"/>
    </xf>
    <xf numFmtId="0" fontId="7" fillId="0" borderId="15" xfId="0" applyFont="1" applyBorder="1" applyAlignment="1">
      <alignment horizontal="center" vertical="center"/>
    </xf>
    <xf numFmtId="0" fontId="7" fillId="2" borderId="10" xfId="0" applyFont="1" applyFill="1" applyBorder="1" applyAlignment="1">
      <alignment horizontal="justify"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justify" vertical="center" wrapText="1"/>
    </xf>
    <xf numFmtId="10" fontId="7" fillId="2" borderId="10" xfId="0" applyNumberFormat="1" applyFont="1" applyFill="1" applyBorder="1" applyAlignment="1">
      <alignment horizontal="center" vertical="center" wrapText="1"/>
    </xf>
    <xf numFmtId="3" fontId="7" fillId="2" borderId="4" xfId="0" applyNumberFormat="1" applyFont="1" applyFill="1" applyBorder="1" applyAlignment="1">
      <alignment horizontal="justify" vertical="center" wrapText="1"/>
    </xf>
    <xf numFmtId="167" fontId="7" fillId="0" borderId="18" xfId="8"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0" fontId="7" fillId="0" borderId="5" xfId="0" applyFont="1" applyBorder="1" applyAlignment="1">
      <alignment horizontal="center" vertical="center"/>
    </xf>
    <xf numFmtId="167" fontId="7" fillId="0" borderId="40" xfId="8" applyFont="1" applyFill="1" applyBorder="1" applyAlignment="1">
      <alignment horizontal="center" vertical="center" wrapText="1"/>
    </xf>
    <xf numFmtId="1" fontId="7" fillId="2" borderId="28" xfId="0" applyNumberFormat="1" applyFont="1" applyFill="1" applyBorder="1" applyAlignment="1">
      <alignment horizontal="center" vertical="center" wrapText="1"/>
    </xf>
    <xf numFmtId="1" fontId="7" fillId="2" borderId="32" xfId="0" applyNumberFormat="1" applyFont="1" applyFill="1" applyBorder="1" applyAlignment="1">
      <alignment horizontal="center" vertical="center" wrapText="1"/>
    </xf>
    <xf numFmtId="0" fontId="7" fillId="0" borderId="32" xfId="0" applyFont="1" applyBorder="1" applyAlignment="1">
      <alignment horizontal="justify" vertical="center" wrapText="1"/>
    </xf>
    <xf numFmtId="0" fontId="7" fillId="0" borderId="2" xfId="3" applyFont="1" applyBorder="1" applyAlignment="1">
      <alignment horizontal="justify" vertical="center" wrapText="1"/>
    </xf>
    <xf numFmtId="10" fontId="7" fillId="2" borderId="32" xfId="0" applyNumberFormat="1" applyFont="1" applyFill="1" applyBorder="1" applyAlignment="1">
      <alignment horizontal="center" vertical="center" wrapText="1"/>
    </xf>
    <xf numFmtId="3" fontId="7" fillId="2" borderId="12" xfId="0" applyNumberFormat="1" applyFont="1" applyFill="1" applyBorder="1" applyAlignment="1">
      <alignment horizontal="justify" vertical="center" wrapText="1"/>
    </xf>
    <xf numFmtId="0" fontId="7" fillId="0" borderId="2" xfId="0" applyFont="1" applyBorder="1" applyAlignment="1">
      <alignment horizontal="center" vertical="center" wrapText="1"/>
    </xf>
    <xf numFmtId="10" fontId="7" fillId="2" borderId="37" xfId="0" applyNumberFormat="1" applyFont="1" applyFill="1" applyBorder="1" applyAlignment="1">
      <alignment horizontal="center" vertical="center" wrapText="1"/>
    </xf>
    <xf numFmtId="0" fontId="7" fillId="2" borderId="32" xfId="0" applyFont="1" applyFill="1" applyBorder="1" applyAlignment="1">
      <alignment horizontal="justify" vertical="center" wrapText="1"/>
    </xf>
    <xf numFmtId="1" fontId="7" fillId="0" borderId="32"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40" xfId="0" applyFont="1" applyBorder="1" applyAlignment="1">
      <alignment horizontal="center" vertical="center" wrapText="1"/>
    </xf>
    <xf numFmtId="1" fontId="7" fillId="2" borderId="5" xfId="0" applyNumberFormat="1" applyFont="1" applyFill="1" applyBorder="1" applyAlignment="1">
      <alignment horizontal="center" vertical="center" wrapText="1"/>
    </xf>
    <xf numFmtId="0" fontId="7" fillId="2" borderId="27" xfId="0" applyFont="1" applyFill="1" applyBorder="1" applyAlignment="1">
      <alignment horizontal="justify" vertical="center" wrapText="1"/>
    </xf>
    <xf numFmtId="167" fontId="7" fillId="0" borderId="31" xfId="8" applyFont="1" applyFill="1" applyBorder="1" applyAlignment="1">
      <alignment horizontal="center" vertical="center" wrapText="1"/>
    </xf>
    <xf numFmtId="167" fontId="7" fillId="0" borderId="1" xfId="8" applyFont="1" applyFill="1" applyBorder="1" applyAlignment="1">
      <alignment horizontal="center" vertical="center" wrapText="1"/>
    </xf>
    <xf numFmtId="0" fontId="7" fillId="2" borderId="40" xfId="0" applyFont="1" applyFill="1" applyBorder="1" applyAlignment="1">
      <alignment horizontal="justify" vertical="center" wrapText="1"/>
    </xf>
    <xf numFmtId="167" fontId="7" fillId="0" borderId="1" xfId="8" applyFont="1" applyFill="1" applyBorder="1" applyAlignment="1">
      <alignment horizontal="center" vertical="center"/>
    </xf>
    <xf numFmtId="1" fontId="5" fillId="2" borderId="11"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0" fontId="5" fillId="10" borderId="24" xfId="0" applyFont="1" applyFill="1" applyBorder="1" applyAlignment="1">
      <alignment horizontal="center" vertical="center"/>
    </xf>
    <xf numFmtId="0" fontId="7" fillId="10" borderId="30"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17" xfId="12" applyNumberFormat="1" applyFont="1" applyFill="1" applyBorder="1">
      <alignment horizontal="center" vertical="center" wrapText="1"/>
    </xf>
    <xf numFmtId="0" fontId="7" fillId="10" borderId="30" xfId="0" applyFont="1" applyFill="1" applyBorder="1" applyAlignment="1">
      <alignment horizontal="justify" vertical="center" wrapText="1"/>
    </xf>
    <xf numFmtId="0" fontId="7" fillId="10" borderId="30" xfId="3" applyFont="1" applyFill="1" applyBorder="1" applyAlignment="1">
      <alignment horizontal="center" vertical="center" wrapText="1"/>
    </xf>
    <xf numFmtId="9" fontId="7" fillId="10" borderId="30" xfId="0" applyNumberFormat="1" applyFont="1" applyFill="1" applyBorder="1" applyAlignment="1">
      <alignment horizontal="center" vertical="center" wrapText="1"/>
    </xf>
    <xf numFmtId="177" fontId="7" fillId="10" borderId="30" xfId="11" applyNumberFormat="1" applyFont="1" applyFill="1" applyBorder="1" applyAlignment="1">
      <alignment horizontal="center" vertical="center"/>
    </xf>
    <xf numFmtId="3" fontId="7" fillId="10" borderId="30" xfId="0" applyNumberFormat="1" applyFont="1" applyFill="1" applyBorder="1" applyAlignment="1">
      <alignment horizontal="justify" vertical="center" wrapText="1"/>
    </xf>
    <xf numFmtId="0" fontId="7" fillId="10" borderId="0" xfId="0" applyFont="1" applyFill="1" applyAlignment="1">
      <alignment horizontal="justify" vertical="center" wrapText="1"/>
    </xf>
    <xf numFmtId="1" fontId="7" fillId="10" borderId="30" xfId="0" applyNumberFormat="1" applyFont="1" applyFill="1" applyBorder="1" applyAlignment="1">
      <alignment horizontal="center" vertical="center" wrapText="1"/>
    </xf>
    <xf numFmtId="41" fontId="7" fillId="10" borderId="30" xfId="11" applyFont="1" applyFill="1" applyBorder="1" applyAlignment="1">
      <alignment horizontal="center" vertical="center" wrapText="1"/>
    </xf>
    <xf numFmtId="164" fontId="7" fillId="10" borderId="30" xfId="0" applyNumberFormat="1" applyFont="1" applyFill="1" applyBorder="1" applyAlignment="1">
      <alignment horizontal="center" vertical="center" wrapText="1"/>
    </xf>
    <xf numFmtId="3" fontId="7" fillId="10" borderId="29" xfId="0" applyNumberFormat="1" applyFont="1" applyFill="1" applyBorder="1" applyAlignment="1">
      <alignment horizontal="center" vertical="center" wrapText="1"/>
    </xf>
    <xf numFmtId="1" fontId="5" fillId="0" borderId="6" xfId="0" applyNumberFormat="1" applyFont="1" applyBorder="1" applyAlignment="1">
      <alignment horizontal="center" vertical="center" wrapText="1" indent="1"/>
    </xf>
    <xf numFmtId="1" fontId="5" fillId="0" borderId="7" xfId="0" applyNumberFormat="1" applyFont="1" applyBorder="1" applyAlignment="1">
      <alignment horizontal="center" vertical="center" wrapText="1" indent="1"/>
    </xf>
    <xf numFmtId="1" fontId="5" fillId="0" borderId="13" xfId="0" applyNumberFormat="1" applyFont="1" applyBorder="1" applyAlignment="1">
      <alignment horizontal="center" vertical="center" wrapText="1" indent="1"/>
    </xf>
    <xf numFmtId="1" fontId="5" fillId="0" borderId="28" xfId="0" applyNumberFormat="1" applyFont="1" applyBorder="1" applyAlignment="1">
      <alignment horizontal="center" vertical="center" wrapText="1" indent="1"/>
    </xf>
    <xf numFmtId="177" fontId="5" fillId="6" borderId="16" xfId="11" applyNumberFormat="1" applyFont="1" applyFill="1" applyBorder="1" applyAlignment="1">
      <alignment horizontal="center" vertical="center"/>
    </xf>
    <xf numFmtId="0" fontId="7" fillId="6" borderId="16" xfId="0" applyFont="1" applyFill="1" applyBorder="1" applyAlignment="1">
      <alignment horizontal="center" vertical="center"/>
    </xf>
    <xf numFmtId="41" fontId="7" fillId="6" borderId="16" xfId="11" applyFont="1" applyFill="1" applyBorder="1" applyAlignment="1">
      <alignment horizontal="center" vertical="center"/>
    </xf>
    <xf numFmtId="1"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5" fillId="2" borderId="0" xfId="0" applyFont="1" applyFill="1" applyAlignment="1">
      <alignment horizontal="center" vertical="center"/>
    </xf>
    <xf numFmtId="0" fontId="7" fillId="0" borderId="4" xfId="14" applyFont="1" applyFill="1" applyBorder="1">
      <alignment horizontal="center" vertical="center" wrapText="1"/>
    </xf>
    <xf numFmtId="9" fontId="7" fillId="2" borderId="4" xfId="0" applyNumberFormat="1" applyFont="1" applyFill="1" applyBorder="1" applyAlignment="1">
      <alignment horizontal="center" vertical="center"/>
    </xf>
    <xf numFmtId="0" fontId="7" fillId="0" borderId="9" xfId="0" applyFont="1" applyBorder="1" applyAlignment="1">
      <alignment horizontal="center" vertical="center"/>
    </xf>
    <xf numFmtId="1" fontId="7" fillId="20" borderId="2" xfId="0" applyNumberFormat="1" applyFont="1" applyFill="1" applyBorder="1" applyAlignment="1">
      <alignment horizontal="center" vertical="center"/>
    </xf>
    <xf numFmtId="0" fontId="7" fillId="20" borderId="36" xfId="0" applyFont="1" applyFill="1" applyBorder="1" applyAlignment="1">
      <alignment horizontal="center" vertical="center"/>
    </xf>
    <xf numFmtId="0" fontId="7" fillId="20" borderId="36" xfId="0" applyFont="1" applyFill="1" applyBorder="1" applyAlignment="1">
      <alignment horizontal="justify" vertical="center" wrapText="1"/>
    </xf>
    <xf numFmtId="166" fontId="7" fillId="20" borderId="32" xfId="0" applyNumberFormat="1" applyFont="1" applyFill="1" applyBorder="1" applyAlignment="1">
      <alignment horizontal="center" vertical="center"/>
    </xf>
    <xf numFmtId="177" fontId="5" fillId="20" borderId="1" xfId="11" applyNumberFormat="1" applyFont="1" applyFill="1" applyBorder="1" applyAlignment="1">
      <alignment horizontal="center" vertical="center"/>
    </xf>
    <xf numFmtId="0" fontId="7" fillId="20" borderId="2" xfId="0" applyFont="1" applyFill="1" applyBorder="1" applyAlignment="1">
      <alignment horizontal="justify" vertical="center" wrapText="1"/>
    </xf>
    <xf numFmtId="0" fontId="7" fillId="20" borderId="32" xfId="0" applyFont="1" applyFill="1" applyBorder="1" applyAlignment="1">
      <alignment horizontal="justify" vertical="center" wrapText="1"/>
    </xf>
    <xf numFmtId="0" fontId="5" fillId="20" borderId="1" xfId="0" applyFont="1" applyFill="1" applyBorder="1" applyAlignment="1">
      <alignment horizontal="justify" vertical="center" wrapText="1"/>
    </xf>
    <xf numFmtId="167" fontId="5" fillId="20" borderId="1" xfId="11" applyNumberFormat="1" applyFont="1" applyFill="1" applyBorder="1" applyAlignment="1">
      <alignment horizontal="center" vertical="center"/>
    </xf>
    <xf numFmtId="165" fontId="5" fillId="20" borderId="11" xfId="0" applyNumberFormat="1" applyFont="1" applyFill="1" applyBorder="1" applyAlignment="1">
      <alignment horizontal="center" vertical="center"/>
    </xf>
    <xf numFmtId="1" fontId="7" fillId="20" borderId="38" xfId="0" applyNumberFormat="1" applyFont="1" applyFill="1" applyBorder="1" applyAlignment="1">
      <alignment horizontal="center" vertical="center"/>
    </xf>
    <xf numFmtId="0" fontId="7" fillId="20" borderId="38" xfId="0" applyFont="1" applyFill="1" applyBorder="1" applyAlignment="1">
      <alignment horizontal="center" vertical="center"/>
    </xf>
    <xf numFmtId="177" fontId="5" fillId="20" borderId="38" xfId="11" applyNumberFormat="1" applyFont="1" applyFill="1" applyBorder="1" applyAlignment="1">
      <alignment horizontal="center" vertical="center"/>
    </xf>
    <xf numFmtId="164" fontId="7" fillId="20" borderId="38" xfId="0" applyNumberFormat="1" applyFont="1" applyFill="1" applyBorder="1" applyAlignment="1">
      <alignment horizontal="center" vertical="center"/>
    </xf>
    <xf numFmtId="0" fontId="7" fillId="20" borderId="32" xfId="0" applyFont="1" applyFill="1" applyBorder="1" applyAlignment="1">
      <alignment horizontal="center" vertical="center"/>
    </xf>
    <xf numFmtId="1" fontId="7" fillId="0" borderId="0" xfId="0" applyNumberFormat="1" applyFont="1" applyAlignment="1">
      <alignment horizontal="center" vertical="center"/>
    </xf>
    <xf numFmtId="0" fontId="7" fillId="2" borderId="0" xfId="0" applyFont="1" applyFill="1" applyAlignment="1">
      <alignment horizontal="justify" vertical="center" wrapText="1"/>
    </xf>
    <xf numFmtId="166" fontId="7" fillId="2" borderId="0" xfId="0" applyNumberFormat="1" applyFont="1" applyFill="1" applyAlignment="1">
      <alignment horizontal="center" vertical="center"/>
    </xf>
    <xf numFmtId="177" fontId="7" fillId="2" borderId="0" xfId="0" applyNumberFormat="1" applyFont="1" applyFill="1" applyAlignment="1">
      <alignment horizontal="center" vertical="center"/>
    </xf>
    <xf numFmtId="167"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1" fontId="7" fillId="2" borderId="0" xfId="0" applyNumberFormat="1" applyFont="1" applyFill="1" applyAlignment="1">
      <alignment horizontal="center" vertical="center"/>
    </xf>
    <xf numFmtId="41" fontId="7" fillId="0" borderId="0" xfId="11" applyFont="1" applyAlignment="1">
      <alignment horizontal="center" vertical="center"/>
    </xf>
    <xf numFmtId="177" fontId="7" fillId="0" borderId="1" xfId="11" applyNumberFormat="1" applyFont="1" applyFill="1" applyBorder="1" applyAlignment="1">
      <alignment horizontal="right" vertical="center" wrapText="1"/>
    </xf>
    <xf numFmtId="177" fontId="7" fillId="0" borderId="12" xfId="11" applyNumberFormat="1" applyFont="1" applyFill="1" applyBorder="1" applyAlignment="1">
      <alignment horizontal="right" vertical="center" wrapText="1"/>
    </xf>
    <xf numFmtId="0" fontId="7" fillId="0" borderId="32" xfId="0" applyFont="1" applyBorder="1" applyAlignment="1">
      <alignment horizontal="center" vertical="center" wrapText="1"/>
    </xf>
    <xf numFmtId="0" fontId="5" fillId="11" borderId="52" xfId="0" applyFont="1" applyFill="1" applyBorder="1" applyAlignment="1">
      <alignment horizontal="center" vertical="center" wrapText="1"/>
    </xf>
    <xf numFmtId="0" fontId="5" fillId="6" borderId="39" xfId="0" applyFont="1" applyFill="1" applyBorder="1" applyAlignment="1">
      <alignment horizontal="center" vertical="center"/>
    </xf>
    <xf numFmtId="0" fontId="3" fillId="0" borderId="1" xfId="3" applyFont="1" applyBorder="1" applyAlignment="1">
      <alignment horizontal="center" vertical="center"/>
    </xf>
    <xf numFmtId="0" fontId="2" fillId="2" borderId="0" xfId="3" applyFont="1" applyFill="1" applyAlignment="1">
      <alignment horizontal="center" vertical="center"/>
    </xf>
    <xf numFmtId="0" fontId="2" fillId="0" borderId="0" xfId="3" applyFont="1" applyAlignment="1">
      <alignment horizontal="center" vertical="center"/>
    </xf>
    <xf numFmtId="3" fontId="27" fillId="0" borderId="1" xfId="3" applyNumberFormat="1" applyFont="1" applyBorder="1" applyAlignment="1">
      <alignment horizontal="center" vertical="center" wrapText="1"/>
    </xf>
    <xf numFmtId="0" fontId="3" fillId="0" borderId="0" xfId="3" applyFont="1" applyAlignment="1">
      <alignment horizontal="center" vertical="center"/>
    </xf>
    <xf numFmtId="0" fontId="3" fillId="0" borderId="0" xfId="3" applyFont="1" applyAlignment="1">
      <alignment horizontal="justify" vertical="center" wrapText="1"/>
    </xf>
    <xf numFmtId="43" fontId="3" fillId="0" borderId="0" xfId="3" applyNumberFormat="1" applyFont="1" applyAlignment="1">
      <alignment horizontal="center" vertical="center"/>
    </xf>
    <xf numFmtId="177" fontId="5" fillId="0" borderId="0" xfId="11" applyNumberFormat="1" applyFont="1" applyAlignment="1">
      <alignment horizontal="right" vertical="center"/>
    </xf>
    <xf numFmtId="0" fontId="5" fillId="0" borderId="38" xfId="3" applyFont="1" applyBorder="1" applyAlignment="1">
      <alignment horizontal="center" vertical="center"/>
    </xf>
    <xf numFmtId="0" fontId="3" fillId="12" borderId="1" xfId="3" applyFont="1" applyFill="1" applyBorder="1" applyAlignment="1">
      <alignment horizontal="center" vertical="center" wrapText="1"/>
    </xf>
    <xf numFmtId="0" fontId="5" fillId="12" borderId="1" xfId="3" applyFont="1" applyFill="1" applyBorder="1" applyAlignment="1">
      <alignment horizontal="center" vertical="center" wrapText="1"/>
    </xf>
    <xf numFmtId="177" fontId="5" fillId="12" borderId="1" xfId="11" applyNumberFormat="1" applyFont="1" applyFill="1" applyBorder="1" applyAlignment="1">
      <alignment horizontal="center" vertical="center" wrapText="1"/>
    </xf>
    <xf numFmtId="49" fontId="5" fillId="12" borderId="1" xfId="3" applyNumberFormat="1" applyFont="1" applyFill="1" applyBorder="1" applyAlignment="1">
      <alignment horizontal="center" vertical="center" wrapText="1"/>
    </xf>
    <xf numFmtId="0" fontId="5" fillId="4" borderId="1" xfId="3" applyFont="1" applyFill="1" applyBorder="1" applyAlignment="1">
      <alignment horizontal="center" vertical="center" wrapText="1"/>
    </xf>
    <xf numFmtId="164" fontId="5" fillId="12" borderId="1" xfId="3" applyNumberFormat="1" applyFont="1" applyFill="1" applyBorder="1" applyAlignment="1">
      <alignment horizontal="center" vertical="center" wrapText="1"/>
    </xf>
    <xf numFmtId="1" fontId="3" fillId="11" borderId="9" xfId="3" applyNumberFormat="1" applyFont="1" applyFill="1" applyBorder="1" applyAlignment="1">
      <alignment horizontal="center" vertical="center" wrapText="1"/>
    </xf>
    <xf numFmtId="0" fontId="3" fillId="11" borderId="0" xfId="3" applyFont="1" applyFill="1" applyAlignment="1">
      <alignment horizontal="center" vertical="center"/>
    </xf>
    <xf numFmtId="0" fontId="3" fillId="11" borderId="0" xfId="3" applyFont="1" applyFill="1" applyAlignment="1">
      <alignment horizontal="justify" vertical="center" wrapText="1"/>
    </xf>
    <xf numFmtId="0" fontId="3" fillId="11" borderId="17" xfId="3" applyFont="1" applyFill="1" applyBorder="1" applyAlignment="1">
      <alignment horizontal="justify" vertical="center" wrapText="1"/>
    </xf>
    <xf numFmtId="0" fontId="3" fillId="11" borderId="17" xfId="3" applyFont="1" applyFill="1" applyBorder="1" applyAlignment="1">
      <alignment horizontal="center" vertical="center"/>
    </xf>
    <xf numFmtId="0" fontId="3" fillId="11" borderId="16" xfId="3" applyFont="1" applyFill="1" applyBorder="1" applyAlignment="1">
      <alignment horizontal="center" vertical="center"/>
    </xf>
    <xf numFmtId="0" fontId="3" fillId="11" borderId="16" xfId="3" applyFont="1" applyFill="1" applyBorder="1" applyAlignment="1">
      <alignment horizontal="justify" vertical="center" wrapText="1"/>
    </xf>
    <xf numFmtId="166" fontId="3" fillId="11" borderId="16" xfId="3" applyNumberFormat="1" applyFont="1" applyFill="1" applyBorder="1" applyAlignment="1">
      <alignment horizontal="center" vertical="center"/>
    </xf>
    <xf numFmtId="43" fontId="3" fillId="11" borderId="16" xfId="3" applyNumberFormat="1" applyFont="1" applyFill="1" applyBorder="1" applyAlignment="1">
      <alignment horizontal="center" vertical="center"/>
    </xf>
    <xf numFmtId="177" fontId="5" fillId="11" borderId="17" xfId="11" applyNumberFormat="1" applyFont="1" applyFill="1" applyBorder="1" applyAlignment="1">
      <alignment horizontal="right" vertical="center"/>
    </xf>
    <xf numFmtId="0" fontId="5" fillId="11" borderId="17" xfId="3" applyFont="1" applyFill="1" applyBorder="1" applyAlignment="1">
      <alignment horizontal="center" vertical="center"/>
    </xf>
    <xf numFmtId="1" fontId="3" fillId="11" borderId="17" xfId="3" applyNumberFormat="1" applyFont="1" applyFill="1" applyBorder="1" applyAlignment="1">
      <alignment horizontal="center" vertical="center"/>
    </xf>
    <xf numFmtId="164" fontId="3" fillId="11" borderId="17" xfId="3" applyNumberFormat="1" applyFont="1" applyFill="1" applyBorder="1" applyAlignment="1">
      <alignment horizontal="center" vertical="center"/>
    </xf>
    <xf numFmtId="0" fontId="3" fillId="11" borderId="39" xfId="3" applyFont="1" applyFill="1" applyBorder="1" applyAlignment="1">
      <alignment horizontal="center" vertical="center"/>
    </xf>
    <xf numFmtId="1" fontId="3" fillId="0" borderId="13" xfId="3" applyNumberFormat="1" applyFont="1" applyBorder="1" applyAlignment="1">
      <alignment horizontal="center" vertical="center" wrapText="1"/>
    </xf>
    <xf numFmtId="0" fontId="3" fillId="10" borderId="38" xfId="3" applyFont="1" applyFill="1" applyBorder="1" applyAlignment="1">
      <alignment horizontal="justify" vertical="center" wrapText="1"/>
    </xf>
    <xf numFmtId="0" fontId="3" fillId="10" borderId="38" xfId="3" applyFont="1" applyFill="1" applyBorder="1" applyAlignment="1">
      <alignment horizontal="center" vertical="center"/>
    </xf>
    <xf numFmtId="166" fontId="3" fillId="10" borderId="38" xfId="3" applyNumberFormat="1" applyFont="1" applyFill="1" applyBorder="1" applyAlignment="1">
      <alignment horizontal="center" vertical="center"/>
    </xf>
    <xf numFmtId="43" fontId="3" fillId="10" borderId="38" xfId="3" applyNumberFormat="1" applyFont="1" applyFill="1" applyBorder="1" applyAlignment="1">
      <alignment horizontal="center" vertical="center"/>
    </xf>
    <xf numFmtId="177" fontId="5" fillId="10" borderId="38" xfId="11" applyNumberFormat="1" applyFont="1" applyFill="1" applyBorder="1" applyAlignment="1">
      <alignment horizontal="right" vertical="center"/>
    </xf>
    <xf numFmtId="0" fontId="5" fillId="10" borderId="38" xfId="3" applyFont="1" applyFill="1" applyBorder="1" applyAlignment="1">
      <alignment horizontal="center" vertical="center"/>
    </xf>
    <xf numFmtId="1" fontId="3" fillId="10" borderId="38" xfId="3" applyNumberFormat="1" applyFont="1" applyFill="1" applyBorder="1" applyAlignment="1">
      <alignment horizontal="center" vertical="center"/>
    </xf>
    <xf numFmtId="164" fontId="3" fillId="10" borderId="38" xfId="3" applyNumberFormat="1" applyFont="1" applyFill="1" applyBorder="1" applyAlignment="1">
      <alignment horizontal="center" vertical="center"/>
    </xf>
    <xf numFmtId="0" fontId="3" fillId="10" borderId="10" xfId="3" applyFont="1" applyFill="1" applyBorder="1" applyAlignment="1">
      <alignment horizontal="center" vertical="center"/>
    </xf>
    <xf numFmtId="0" fontId="5" fillId="2" borderId="13" xfId="0" applyFont="1" applyFill="1" applyBorder="1" applyAlignment="1">
      <alignment horizontal="center" vertical="center"/>
    </xf>
    <xf numFmtId="0" fontId="5" fillId="2" borderId="28" xfId="0" applyFont="1" applyFill="1" applyBorder="1" applyAlignment="1">
      <alignment horizontal="center" vertical="center"/>
    </xf>
    <xf numFmtId="0" fontId="5" fillId="6" borderId="70" xfId="0" applyFont="1" applyFill="1" applyBorder="1" applyAlignment="1">
      <alignment horizontal="center" vertical="center"/>
    </xf>
    <xf numFmtId="0" fontId="5" fillId="6" borderId="36" xfId="0" applyFont="1" applyFill="1" applyBorder="1" applyAlignment="1">
      <alignment horizontal="justify" vertical="center" wrapText="1"/>
    </xf>
    <xf numFmtId="0" fontId="5" fillId="6" borderId="36" xfId="0" applyFont="1" applyFill="1" applyBorder="1" applyAlignment="1">
      <alignment horizontal="center" vertical="center"/>
    </xf>
    <xf numFmtId="43" fontId="5" fillId="6" borderId="36" xfId="0" applyNumberFormat="1" applyFont="1" applyFill="1" applyBorder="1" applyAlignment="1">
      <alignment horizontal="center" vertical="center"/>
    </xf>
    <xf numFmtId="177" fontId="5" fillId="6" borderId="37" xfId="11" applyNumberFormat="1" applyFont="1" applyFill="1" applyBorder="1" applyAlignment="1">
      <alignment horizontal="right" vertical="center"/>
    </xf>
    <xf numFmtId="0" fontId="5" fillId="6" borderId="37" xfId="0" applyFont="1" applyFill="1" applyBorder="1" applyAlignment="1">
      <alignment horizontal="center" vertical="center"/>
    </xf>
    <xf numFmtId="0" fontId="5" fillId="6" borderId="3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177" fontId="7" fillId="0" borderId="1" xfId="11" applyNumberFormat="1" applyFont="1" applyFill="1" applyBorder="1" applyAlignment="1">
      <alignment horizontal="right" vertical="center"/>
    </xf>
    <xf numFmtId="1" fontId="2" fillId="0" borderId="32" xfId="3" applyNumberFormat="1" applyFont="1" applyBorder="1" applyAlignment="1">
      <alignment horizontal="center" vertical="center" wrapText="1"/>
    </xf>
    <xf numFmtId="0" fontId="2" fillId="2" borderId="2" xfId="3" applyFont="1" applyFill="1" applyBorder="1" applyAlignment="1">
      <alignment horizontal="justify" vertical="center" wrapText="1"/>
    </xf>
    <xf numFmtId="0" fontId="2" fillId="2" borderId="36" xfId="3" applyFont="1" applyFill="1" applyBorder="1" applyAlignment="1">
      <alignment horizontal="justify" vertical="center" wrapText="1"/>
    </xf>
    <xf numFmtId="1" fontId="2" fillId="2" borderId="32" xfId="3" applyNumberFormat="1" applyFont="1" applyFill="1" applyBorder="1" applyAlignment="1">
      <alignment horizontal="center" vertical="center" wrapText="1"/>
    </xf>
    <xf numFmtId="0" fontId="6" fillId="2" borderId="36" xfId="23" applyFont="1" applyFill="1" applyBorder="1" applyAlignment="1">
      <alignment horizontal="justify" vertical="center" wrapText="1"/>
    </xf>
    <xf numFmtId="1" fontId="2" fillId="2" borderId="28" xfId="3" applyNumberFormat="1" applyFont="1" applyFill="1" applyBorder="1" applyAlignment="1">
      <alignment horizontal="center" vertical="center" wrapText="1"/>
    </xf>
    <xf numFmtId="3" fontId="7" fillId="2" borderId="16" xfId="0" applyNumberFormat="1" applyFont="1" applyFill="1" applyBorder="1" applyAlignment="1">
      <alignment horizontal="justify" vertical="center" wrapText="1"/>
    </xf>
    <xf numFmtId="1" fontId="2" fillId="2" borderId="19" xfId="3" applyNumberFormat="1" applyFont="1" applyFill="1" applyBorder="1" applyAlignment="1">
      <alignment horizontal="center" vertical="center" wrapText="1"/>
    </xf>
    <xf numFmtId="0" fontId="5" fillId="6" borderId="67" xfId="0" applyFont="1" applyFill="1" applyBorder="1" applyAlignment="1">
      <alignment horizontal="center" vertical="center"/>
    </xf>
    <xf numFmtId="0" fontId="5" fillId="6" borderId="0" xfId="0" applyFont="1" applyFill="1" applyAlignment="1">
      <alignment horizontal="center" vertical="center"/>
    </xf>
    <xf numFmtId="0" fontId="5" fillId="6" borderId="38" xfId="0" applyFont="1" applyFill="1" applyBorder="1" applyAlignment="1">
      <alignment horizontal="center" vertical="center"/>
    </xf>
    <xf numFmtId="177" fontId="5" fillId="6" borderId="1" xfId="11" applyNumberFormat="1" applyFont="1" applyFill="1" applyBorder="1" applyAlignment="1">
      <alignment horizontal="right" vertical="center"/>
    </xf>
    <xf numFmtId="0" fontId="5" fillId="6" borderId="0" xfId="0" applyFont="1" applyFill="1" applyAlignment="1">
      <alignment horizontal="justify" vertical="center" wrapText="1"/>
    </xf>
    <xf numFmtId="42" fontId="7" fillId="0" borderId="5" xfId="21" applyFont="1" applyFill="1" applyBorder="1" applyAlignment="1">
      <alignment horizontal="justify" vertical="center" wrapText="1"/>
    </xf>
    <xf numFmtId="0" fontId="5" fillId="6" borderId="38" xfId="0" applyFont="1" applyFill="1" applyBorder="1" applyAlignment="1">
      <alignment horizontal="justify" vertical="center" wrapText="1"/>
    </xf>
    <xf numFmtId="0" fontId="5" fillId="6" borderId="28" xfId="0" applyFont="1" applyFill="1" applyBorder="1" applyAlignment="1">
      <alignment horizontal="center" vertical="center"/>
    </xf>
    <xf numFmtId="0" fontId="6" fillId="2" borderId="2" xfId="24" applyFont="1" applyFill="1" applyBorder="1" applyAlignment="1">
      <alignment horizontal="justify" vertical="center" wrapText="1"/>
    </xf>
    <xf numFmtId="0" fontId="7" fillId="0" borderId="32" xfId="3" applyFont="1" applyBorder="1" applyAlignment="1">
      <alignment horizontal="justify" vertical="center" wrapText="1"/>
    </xf>
    <xf numFmtId="0" fontId="5" fillId="2" borderId="51" xfId="0" applyFont="1" applyFill="1" applyBorder="1" applyAlignment="1">
      <alignment horizontal="center" vertical="center"/>
    </xf>
    <xf numFmtId="0" fontId="5" fillId="2" borderId="41" xfId="0" applyFont="1" applyFill="1" applyBorder="1" applyAlignment="1">
      <alignment horizontal="center" vertical="center"/>
    </xf>
    <xf numFmtId="0" fontId="6" fillId="2" borderId="31" xfId="24" applyFont="1" applyFill="1" applyBorder="1" applyAlignment="1">
      <alignment horizontal="justify" vertical="center" wrapText="1"/>
    </xf>
    <xf numFmtId="1" fontId="2" fillId="2" borderId="29" xfId="3" applyNumberFormat="1" applyFont="1" applyFill="1" applyBorder="1" applyAlignment="1">
      <alignment horizontal="center" vertical="center" wrapText="1"/>
    </xf>
    <xf numFmtId="0" fontId="7" fillId="0" borderId="28" xfId="3" applyFont="1" applyBorder="1" applyAlignment="1">
      <alignment horizontal="justify" vertical="center" wrapText="1"/>
    </xf>
    <xf numFmtId="0" fontId="5" fillId="10" borderId="15" xfId="0" applyFont="1" applyFill="1" applyBorder="1" applyAlignment="1">
      <alignment horizontal="center" vertical="center" wrapText="1"/>
    </xf>
    <xf numFmtId="0" fontId="7" fillId="10" borderId="38" xfId="3" applyFont="1" applyFill="1" applyBorder="1" applyAlignment="1">
      <alignment horizontal="justify" vertical="center" wrapText="1"/>
    </xf>
    <xf numFmtId="0" fontId="7" fillId="10" borderId="38" xfId="12" applyNumberFormat="1" applyFont="1" applyFill="1" applyBorder="1">
      <alignment horizontal="center" vertical="center" wrapText="1"/>
    </xf>
    <xf numFmtId="0" fontId="7" fillId="10" borderId="38" xfId="3" applyFont="1" applyFill="1" applyBorder="1" applyAlignment="1">
      <alignment horizontal="center" vertical="center" wrapText="1"/>
    </xf>
    <xf numFmtId="0" fontId="7" fillId="10" borderId="36" xfId="3" applyFont="1" applyFill="1" applyBorder="1" applyAlignment="1">
      <alignment horizontal="center" vertical="center" wrapText="1"/>
    </xf>
    <xf numFmtId="0" fontId="7" fillId="10" borderId="36" xfId="3" applyFont="1" applyFill="1" applyBorder="1" applyAlignment="1">
      <alignment horizontal="justify" vertical="center" wrapText="1"/>
    </xf>
    <xf numFmtId="9" fontId="2" fillId="10" borderId="36" xfId="3" applyNumberFormat="1" applyFont="1" applyFill="1" applyBorder="1" applyAlignment="1">
      <alignment horizontal="center" vertical="center" wrapText="1"/>
    </xf>
    <xf numFmtId="43" fontId="7" fillId="10" borderId="36" xfId="21" applyNumberFormat="1" applyFont="1" applyFill="1" applyBorder="1" applyAlignment="1">
      <alignment horizontal="center" vertical="center"/>
    </xf>
    <xf numFmtId="3" fontId="2" fillId="10" borderId="36" xfId="3" applyNumberFormat="1" applyFont="1" applyFill="1" applyBorder="1" applyAlignment="1">
      <alignment horizontal="justify" vertical="center" wrapText="1"/>
    </xf>
    <xf numFmtId="0" fontId="6" fillId="10" borderId="36" xfId="24" applyFont="1" applyFill="1" applyBorder="1" applyAlignment="1">
      <alignment horizontal="justify" vertical="center" wrapText="1"/>
    </xf>
    <xf numFmtId="177" fontId="7" fillId="10" borderId="1" xfId="11" applyNumberFormat="1" applyFont="1" applyFill="1" applyBorder="1" applyAlignment="1">
      <alignment horizontal="right" vertical="center" wrapText="1"/>
    </xf>
    <xf numFmtId="1" fontId="2" fillId="10" borderId="36" xfId="3" applyNumberFormat="1" applyFont="1" applyFill="1" applyBorder="1" applyAlignment="1">
      <alignment horizontal="center" vertical="center" wrapText="1"/>
    </xf>
    <xf numFmtId="3" fontId="2" fillId="10" borderId="36" xfId="0" applyNumberFormat="1" applyFont="1" applyFill="1" applyBorder="1" applyAlignment="1">
      <alignment horizontal="center" vertical="center"/>
    </xf>
    <xf numFmtId="1" fontId="7" fillId="10" borderId="36" xfId="11" applyNumberFormat="1" applyFont="1" applyFill="1" applyBorder="1" applyAlignment="1">
      <alignment horizontal="center" vertical="center" wrapText="1"/>
    </xf>
    <xf numFmtId="164" fontId="7" fillId="10" borderId="36" xfId="0" applyNumberFormat="1" applyFont="1" applyFill="1" applyBorder="1" applyAlignment="1">
      <alignment horizontal="center" vertical="center"/>
    </xf>
    <xf numFmtId="1" fontId="7" fillId="10" borderId="32"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6" borderId="37" xfId="0" applyFont="1" applyFill="1" applyBorder="1" applyAlignment="1">
      <alignment horizontal="justify" vertical="center" wrapText="1"/>
    </xf>
    <xf numFmtId="0" fontId="7" fillId="0" borderId="19" xfId="0" applyFont="1" applyBorder="1" applyAlignment="1">
      <alignment horizontal="center" vertical="center"/>
    </xf>
    <xf numFmtId="0" fontId="5" fillId="2" borderId="11" xfId="0" applyFont="1" applyFill="1" applyBorder="1" applyAlignment="1">
      <alignment horizontal="center" vertical="center"/>
    </xf>
    <xf numFmtId="0" fontId="7" fillId="10" borderId="17" xfId="0" applyFont="1" applyFill="1" applyBorder="1" applyAlignment="1">
      <alignment horizontal="justify" vertical="center" wrapText="1"/>
    </xf>
    <xf numFmtId="0" fontId="7" fillId="10" borderId="16" xfId="0" applyFont="1" applyFill="1" applyBorder="1" applyAlignment="1">
      <alignment horizontal="center" vertical="center"/>
    </xf>
    <xf numFmtId="0" fontId="7" fillId="10" borderId="16" xfId="0" applyFont="1" applyFill="1" applyBorder="1" applyAlignment="1">
      <alignment horizontal="justify" vertical="center" wrapText="1"/>
    </xf>
    <xf numFmtId="9" fontId="7" fillId="10" borderId="16" xfId="0" applyNumberFormat="1" applyFont="1" applyFill="1" applyBorder="1" applyAlignment="1">
      <alignment horizontal="center" vertical="center"/>
    </xf>
    <xf numFmtId="43" fontId="7" fillId="10" borderId="16" xfId="21" applyNumberFormat="1" applyFont="1" applyFill="1" applyBorder="1" applyAlignment="1">
      <alignment horizontal="center" vertical="center"/>
    </xf>
    <xf numFmtId="0" fontId="6" fillId="10" borderId="17" xfId="25" applyFont="1" applyFill="1" applyBorder="1" applyAlignment="1">
      <alignment horizontal="justify" vertical="center" wrapText="1"/>
    </xf>
    <xf numFmtId="177" fontId="7" fillId="10" borderId="1" xfId="11" applyNumberFormat="1" applyFont="1" applyFill="1" applyBorder="1" applyAlignment="1">
      <alignment horizontal="right" vertical="center"/>
    </xf>
    <xf numFmtId="0" fontId="7" fillId="10" borderId="17" xfId="0" applyFont="1" applyFill="1" applyBorder="1" applyAlignment="1">
      <alignment horizontal="center" vertical="center"/>
    </xf>
    <xf numFmtId="3" fontId="2" fillId="10" borderId="16" xfId="0" applyNumberFormat="1" applyFont="1" applyFill="1" applyBorder="1" applyAlignment="1">
      <alignment horizontal="center" vertical="center"/>
    </xf>
    <xf numFmtId="1" fontId="7" fillId="10" borderId="16" xfId="11" applyNumberFormat="1" applyFont="1" applyFill="1" applyBorder="1" applyAlignment="1">
      <alignment horizontal="center" vertical="center" wrapText="1"/>
    </xf>
    <xf numFmtId="164" fontId="7" fillId="10" borderId="16" xfId="0" applyNumberFormat="1" applyFont="1" applyFill="1" applyBorder="1" applyAlignment="1">
      <alignment horizontal="center" vertical="center"/>
    </xf>
    <xf numFmtId="1" fontId="7" fillId="10" borderId="19" xfId="0" applyNumberFormat="1" applyFont="1" applyFill="1" applyBorder="1" applyAlignment="1">
      <alignment horizontal="center" vertical="center" wrapText="1"/>
    </xf>
    <xf numFmtId="0" fontId="5" fillId="6" borderId="41" xfId="0" applyFont="1" applyFill="1" applyBorder="1" applyAlignment="1">
      <alignment horizontal="center" vertical="center"/>
    </xf>
    <xf numFmtId="43" fontId="5" fillId="6" borderId="0" xfId="0" applyNumberFormat="1" applyFont="1" applyFill="1" applyAlignment="1">
      <alignment horizontal="center" vertical="center"/>
    </xf>
    <xf numFmtId="0" fontId="5" fillId="6" borderId="10" xfId="0" applyFont="1" applyFill="1" applyBorder="1" applyAlignment="1">
      <alignment horizontal="center" vertical="center"/>
    </xf>
    <xf numFmtId="0" fontId="7" fillId="2" borderId="37" xfId="0" applyFont="1" applyFill="1" applyBorder="1" applyAlignment="1">
      <alignment horizontal="justify" vertical="center" wrapText="1"/>
    </xf>
    <xf numFmtId="0" fontId="7" fillId="2" borderId="36" xfId="0" applyFont="1" applyFill="1" applyBorder="1" applyAlignment="1">
      <alignment horizontal="justify" vertical="center" wrapText="1"/>
    </xf>
    <xf numFmtId="43" fontId="5" fillId="6" borderId="38"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7" fillId="0" borderId="75" xfId="0" applyFont="1" applyBorder="1" applyAlignment="1">
      <alignment horizontal="justify" vertical="center" wrapText="1"/>
    </xf>
    <xf numFmtId="0" fontId="5" fillId="10" borderId="0" xfId="0" applyFont="1" applyFill="1" applyAlignment="1">
      <alignment horizontal="center" vertical="center" wrapText="1"/>
    </xf>
    <xf numFmtId="0" fontId="7" fillId="10" borderId="0" xfId="0" applyFont="1" applyFill="1" applyAlignment="1">
      <alignment horizontal="center" vertical="center"/>
    </xf>
    <xf numFmtId="0" fontId="7" fillId="10" borderId="30" xfId="0" applyFont="1" applyFill="1" applyBorder="1" applyAlignment="1">
      <alignment horizontal="center" vertical="center"/>
    </xf>
    <xf numFmtId="0" fontId="2" fillId="10" borderId="17" xfId="24" applyFont="1" applyFill="1" applyBorder="1" applyAlignment="1">
      <alignment horizontal="justify" vertical="center" wrapText="1"/>
    </xf>
    <xf numFmtId="1" fontId="7" fillId="10" borderId="16"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7" xfId="0" applyFont="1" applyFill="1" applyBorder="1" applyAlignment="1">
      <alignment horizontal="center" vertical="center" wrapText="1"/>
    </xf>
    <xf numFmtId="177" fontId="5" fillId="6" borderId="1" xfId="11" applyNumberFormat="1" applyFont="1" applyFill="1" applyBorder="1" applyAlignment="1">
      <alignment horizontal="right" vertical="center" wrapText="1"/>
    </xf>
    <xf numFmtId="0" fontId="5" fillId="6" borderId="7" xfId="0" applyFont="1" applyFill="1" applyBorder="1" applyAlignment="1">
      <alignment horizontal="center" vertical="center"/>
    </xf>
    <xf numFmtId="177" fontId="7" fillId="0" borderId="19" xfId="0" applyNumberFormat="1" applyFont="1" applyBorder="1" applyAlignment="1">
      <alignment horizontal="center" vertical="center" wrapText="1"/>
    </xf>
    <xf numFmtId="0" fontId="7" fillId="2" borderId="36" xfId="27" applyFont="1" applyFill="1" applyBorder="1" applyAlignment="1">
      <alignment horizontal="justify" vertical="center" wrapText="1"/>
    </xf>
    <xf numFmtId="0" fontId="2" fillId="2" borderId="36" xfId="27" applyFont="1" applyFill="1" applyBorder="1" applyAlignment="1">
      <alignment horizontal="justify" vertical="center" wrapText="1"/>
    </xf>
    <xf numFmtId="177" fontId="7" fillId="0" borderId="29" xfId="0" applyNumberFormat="1" applyFont="1" applyBorder="1" applyAlignment="1">
      <alignment horizontal="center" vertical="center" wrapText="1"/>
    </xf>
    <xf numFmtId="0" fontId="2" fillId="2" borderId="38" xfId="27" applyFont="1" applyFill="1" applyBorder="1" applyAlignment="1">
      <alignment horizontal="justify" vertical="center" wrapText="1"/>
    </xf>
    <xf numFmtId="177" fontId="7" fillId="0" borderId="39" xfId="0" applyNumberFormat="1" applyFont="1" applyBorder="1" applyAlignment="1">
      <alignment horizontal="center" vertical="center" wrapText="1"/>
    </xf>
    <xf numFmtId="0" fontId="2" fillId="2" borderId="37" xfId="27" applyFont="1" applyFill="1" applyBorder="1" applyAlignment="1">
      <alignment horizontal="justify" vertical="center" wrapText="1"/>
    </xf>
    <xf numFmtId="0" fontId="7" fillId="0" borderId="36" xfId="0" applyFont="1" applyBorder="1" applyAlignment="1">
      <alignment horizontal="center" vertical="center"/>
    </xf>
    <xf numFmtId="0" fontId="5" fillId="2" borderId="51"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11" borderId="8" xfId="0" applyFont="1" applyFill="1" applyBorder="1" applyAlignment="1">
      <alignment horizontal="center" vertical="center" wrapText="1"/>
    </xf>
    <xf numFmtId="43" fontId="5" fillId="11" borderId="30" xfId="0" applyNumberFormat="1" applyFont="1" applyFill="1" applyBorder="1" applyAlignment="1">
      <alignment horizontal="center" vertical="center"/>
    </xf>
    <xf numFmtId="177" fontId="5" fillId="11" borderId="1" xfId="11" applyNumberFormat="1" applyFont="1" applyFill="1" applyBorder="1" applyAlignment="1">
      <alignment horizontal="right" vertical="center"/>
    </xf>
    <xf numFmtId="0" fontId="5" fillId="11" borderId="29" xfId="0" applyFont="1" applyFill="1" applyBorder="1" applyAlignment="1">
      <alignment horizontal="center" vertical="center"/>
    </xf>
    <xf numFmtId="0" fontId="5" fillId="10" borderId="16" xfId="0" applyFont="1" applyFill="1" applyBorder="1" applyAlignment="1">
      <alignment horizontal="center" vertical="center"/>
    </xf>
    <xf numFmtId="43" fontId="5" fillId="10" borderId="16" xfId="0" applyNumberFormat="1" applyFont="1" applyFill="1" applyBorder="1" applyAlignment="1">
      <alignment horizontal="center" vertical="center"/>
    </xf>
    <xf numFmtId="0" fontId="5" fillId="10" borderId="16" xfId="0" applyFont="1" applyFill="1" applyBorder="1" applyAlignment="1">
      <alignment horizontal="justify" vertical="center" wrapText="1"/>
    </xf>
    <xf numFmtId="177" fontId="5" fillId="10" borderId="1" xfId="11" applyNumberFormat="1" applyFont="1" applyFill="1" applyBorder="1" applyAlignment="1">
      <alignment horizontal="right" vertical="center"/>
    </xf>
    <xf numFmtId="0" fontId="5" fillId="10" borderId="19" xfId="0" applyFont="1" applyFill="1" applyBorder="1" applyAlignment="1">
      <alignment horizontal="center" vertical="center"/>
    </xf>
    <xf numFmtId="1" fontId="2" fillId="0" borderId="29" xfId="3" applyNumberFormat="1" applyFont="1" applyBorder="1" applyAlignment="1">
      <alignment horizontal="center" vertical="center" wrapText="1"/>
    </xf>
    <xf numFmtId="1" fontId="2" fillId="0" borderId="5" xfId="3" applyNumberFormat="1" applyFont="1" applyBorder="1" applyAlignment="1">
      <alignment horizontal="center" vertical="center" wrapText="1"/>
    </xf>
    <xf numFmtId="0" fontId="7" fillId="10" borderId="17" xfId="3" applyFont="1" applyFill="1" applyBorder="1" applyAlignment="1">
      <alignment horizontal="center" vertical="center"/>
    </xf>
    <xf numFmtId="0" fontId="7" fillId="10" borderId="16" xfId="3" applyFont="1" applyFill="1" applyBorder="1" applyAlignment="1">
      <alignment horizontal="justify" vertical="center" wrapText="1"/>
    </xf>
    <xf numFmtId="0" fontId="7" fillId="10" borderId="16" xfId="14" applyFont="1" applyFill="1" applyBorder="1">
      <alignment horizontal="center" vertical="center" wrapText="1"/>
    </xf>
    <xf numFmtId="0" fontId="7" fillId="10" borderId="16" xfId="3" applyFont="1" applyFill="1" applyBorder="1" applyAlignment="1">
      <alignment horizontal="center" vertical="center" wrapText="1"/>
    </xf>
    <xf numFmtId="9" fontId="2" fillId="10" borderId="16" xfId="3" applyNumberFormat="1" applyFont="1" applyFill="1" applyBorder="1" applyAlignment="1">
      <alignment horizontal="center" vertical="center"/>
    </xf>
    <xf numFmtId="43" fontId="7" fillId="10" borderId="16" xfId="21" applyNumberFormat="1" applyFont="1" applyFill="1" applyBorder="1" applyAlignment="1">
      <alignment horizontal="center" vertical="center" wrapText="1"/>
    </xf>
    <xf numFmtId="0" fontId="2" fillId="10" borderId="16" xfId="3" applyFont="1" applyFill="1" applyBorder="1" applyAlignment="1">
      <alignment horizontal="justify" vertical="center" wrapText="1"/>
    </xf>
    <xf numFmtId="1" fontId="2" fillId="10" borderId="17" xfId="3" applyNumberFormat="1" applyFont="1" applyFill="1" applyBorder="1" applyAlignment="1">
      <alignment horizontal="center" vertical="center" wrapText="1"/>
    </xf>
    <xf numFmtId="0" fontId="7" fillId="10" borderId="17" xfId="3" applyFont="1" applyFill="1" applyBorder="1" applyAlignment="1">
      <alignment horizontal="justify" vertical="center" wrapText="1"/>
    </xf>
    <xf numFmtId="14" fontId="2" fillId="10" borderId="16" xfId="0" applyNumberFormat="1" applyFont="1" applyFill="1" applyBorder="1" applyAlignment="1">
      <alignment horizontal="center" vertical="center"/>
    </xf>
    <xf numFmtId="3" fontId="2" fillId="10" borderId="19" xfId="0" applyNumberFormat="1" applyFont="1" applyFill="1" applyBorder="1" applyAlignment="1">
      <alignment horizontal="center" vertical="center"/>
    </xf>
    <xf numFmtId="1" fontId="7" fillId="0" borderId="32" xfId="3" applyNumberFormat="1" applyFont="1" applyBorder="1" applyAlignment="1">
      <alignment horizontal="center" vertical="center" wrapText="1"/>
    </xf>
    <xf numFmtId="1" fontId="7" fillId="0" borderId="28" xfId="3" applyNumberFormat="1" applyFont="1" applyBorder="1" applyAlignment="1">
      <alignment horizontal="center" vertical="center" wrapText="1"/>
    </xf>
    <xf numFmtId="1" fontId="7" fillId="0" borderId="10" xfId="3" applyNumberFormat="1" applyFont="1" applyBorder="1" applyAlignment="1">
      <alignment horizontal="center" vertical="center"/>
    </xf>
    <xf numFmtId="0" fontId="7" fillId="7" borderId="40" xfId="0" applyFont="1" applyFill="1" applyBorder="1" applyAlignment="1">
      <alignment horizontal="justify" vertical="center" wrapText="1"/>
    </xf>
    <xf numFmtId="1" fontId="7" fillId="0" borderId="32" xfId="3" applyNumberFormat="1" applyFont="1" applyBorder="1" applyAlignment="1">
      <alignment horizontal="center" vertical="center"/>
    </xf>
    <xf numFmtId="1" fontId="7" fillId="0" borderId="37" xfId="3" applyNumberFormat="1" applyFont="1" applyBorder="1" applyAlignment="1">
      <alignment horizontal="center" vertical="center"/>
    </xf>
    <xf numFmtId="0" fontId="2" fillId="0" borderId="5" xfId="3" applyFont="1" applyBorder="1" applyAlignment="1">
      <alignment horizontal="justify" vertical="center" wrapText="1"/>
    </xf>
    <xf numFmtId="1" fontId="7" fillId="0" borderId="7" xfId="3" applyNumberFormat="1" applyFont="1" applyBorder="1" applyAlignment="1">
      <alignment horizontal="center" vertical="center"/>
    </xf>
    <xf numFmtId="0" fontId="2" fillId="0" borderId="3" xfId="3" applyFont="1" applyBorder="1" applyAlignment="1">
      <alignment horizontal="justify" vertical="center" wrapText="1"/>
    </xf>
    <xf numFmtId="0" fontId="7" fillId="7" borderId="20" xfId="0" applyFont="1" applyFill="1" applyBorder="1" applyAlignment="1">
      <alignment horizontal="justify" vertical="center" wrapText="1"/>
    </xf>
    <xf numFmtId="1" fontId="7" fillId="0" borderId="28" xfId="3" applyNumberFormat="1" applyFont="1" applyBorder="1" applyAlignment="1">
      <alignment horizontal="center" vertical="center"/>
    </xf>
    <xf numFmtId="1" fontId="2" fillId="0" borderId="39" xfId="3" applyNumberFormat="1" applyFont="1" applyBorder="1" applyAlignment="1">
      <alignment horizontal="center" vertical="center"/>
    </xf>
    <xf numFmtId="0" fontId="2" fillId="0" borderId="15" xfId="3" applyFont="1" applyBorder="1" applyAlignment="1">
      <alignment horizontal="justify" vertical="center" wrapText="1"/>
    </xf>
    <xf numFmtId="1" fontId="2" fillId="0" borderId="19" xfId="3" applyNumberFormat="1" applyFont="1" applyBorder="1" applyAlignment="1">
      <alignment horizontal="center" vertical="center"/>
    </xf>
    <xf numFmtId="1" fontId="2" fillId="0" borderId="0" xfId="3" applyNumberFormat="1" applyFont="1" applyAlignment="1">
      <alignment horizontal="center" vertical="center"/>
    </xf>
    <xf numFmtId="43" fontId="5" fillId="11" borderId="0" xfId="0" applyNumberFormat="1" applyFont="1" applyFill="1" applyAlignment="1">
      <alignment horizontal="center" vertical="center"/>
    </xf>
    <xf numFmtId="0" fontId="6" fillId="0" borderId="13" xfId="0" applyFont="1" applyBorder="1" applyAlignment="1">
      <alignment horizontal="justify" vertical="center" wrapText="1"/>
    </xf>
    <xf numFmtId="0" fontId="7" fillId="0" borderId="28" xfId="0" applyFont="1" applyBorder="1" applyAlignment="1">
      <alignment horizontal="center" vertical="center"/>
    </xf>
    <xf numFmtId="1" fontId="2" fillId="0" borderId="16" xfId="3" applyNumberFormat="1" applyFont="1" applyBorder="1" applyAlignment="1">
      <alignment horizontal="center" vertical="center"/>
    </xf>
    <xf numFmtId="0" fontId="2" fillId="0" borderId="36" xfId="23" applyFont="1" applyBorder="1" applyAlignment="1">
      <alignment horizontal="justify" vertical="center" wrapText="1"/>
    </xf>
    <xf numFmtId="0" fontId="2" fillId="0" borderId="23" xfId="23" applyFont="1" applyBorder="1" applyAlignment="1">
      <alignment horizontal="justify" vertical="center" wrapText="1"/>
    </xf>
    <xf numFmtId="1" fontId="2" fillId="0" borderId="29" xfId="3" applyNumberFormat="1" applyFont="1" applyBorder="1" applyAlignment="1">
      <alignment horizontal="center" vertical="center"/>
    </xf>
    <xf numFmtId="0" fontId="2" fillId="0" borderId="9" xfId="3" applyFont="1" applyBorder="1" applyAlignment="1">
      <alignment horizontal="justify" vertical="center" wrapText="1"/>
    </xf>
    <xf numFmtId="0" fontId="2" fillId="0" borderId="36" xfId="23" applyFont="1" applyBorder="1" applyAlignment="1">
      <alignment horizontal="justify" vertical="center" wrapText="1" readingOrder="2"/>
    </xf>
    <xf numFmtId="1" fontId="2" fillId="0" borderId="10" xfId="3" applyNumberFormat="1" applyFont="1" applyBorder="1" applyAlignment="1">
      <alignment horizontal="center" vertical="center"/>
    </xf>
    <xf numFmtId="1" fontId="2" fillId="0" borderId="32" xfId="3" applyNumberFormat="1" applyFont="1" applyBorder="1" applyAlignment="1">
      <alignment horizontal="center" vertical="center"/>
    </xf>
    <xf numFmtId="0" fontId="2" fillId="2" borderId="8" xfId="3" applyFont="1" applyFill="1" applyBorder="1" applyAlignment="1">
      <alignment horizontal="justify" vertical="center" wrapText="1"/>
    </xf>
    <xf numFmtId="1" fontId="2" fillId="20" borderId="2" xfId="3" applyNumberFormat="1" applyFont="1" applyFill="1" applyBorder="1" applyAlignment="1">
      <alignment horizontal="center" vertical="center"/>
    </xf>
    <xf numFmtId="0" fontId="2" fillId="20" borderId="36" xfId="3" applyFont="1" applyFill="1" applyBorder="1" applyAlignment="1">
      <alignment horizontal="center" vertical="center"/>
    </xf>
    <xf numFmtId="0" fontId="2" fillId="20" borderId="36" xfId="3" applyFont="1" applyFill="1" applyBorder="1" applyAlignment="1">
      <alignment horizontal="justify" vertical="center" wrapText="1"/>
    </xf>
    <xf numFmtId="166" fontId="2" fillId="20" borderId="32" xfId="3" applyNumberFormat="1" applyFont="1" applyFill="1" applyBorder="1" applyAlignment="1">
      <alignment horizontal="center" vertical="center"/>
    </xf>
    <xf numFmtId="43" fontId="3" fillId="20" borderId="4" xfId="3" applyNumberFormat="1" applyFont="1" applyFill="1" applyBorder="1" applyAlignment="1">
      <alignment horizontal="center" vertical="center"/>
    </xf>
    <xf numFmtId="0" fontId="2" fillId="20" borderId="2" xfId="3" applyFont="1" applyFill="1" applyBorder="1" applyAlignment="1">
      <alignment horizontal="justify" vertical="center" wrapText="1"/>
    </xf>
    <xf numFmtId="0" fontId="2" fillId="20" borderId="32" xfId="3" applyFont="1" applyFill="1" applyBorder="1" applyAlignment="1">
      <alignment horizontal="justify" vertical="center" wrapText="1"/>
    </xf>
    <xf numFmtId="177" fontId="5" fillId="20" borderId="4" xfId="11" applyNumberFormat="1" applyFont="1" applyFill="1" applyBorder="1" applyAlignment="1">
      <alignment horizontal="right" vertical="center"/>
    </xf>
    <xf numFmtId="165" fontId="5" fillId="20" borderId="11" xfId="3" applyNumberFormat="1" applyFont="1" applyFill="1" applyBorder="1" applyAlignment="1">
      <alignment horizontal="center" vertical="center"/>
    </xf>
    <xf numFmtId="1" fontId="2" fillId="20" borderId="38" xfId="3" applyNumberFormat="1" applyFont="1" applyFill="1" applyBorder="1" applyAlignment="1">
      <alignment horizontal="center" vertical="center"/>
    </xf>
    <xf numFmtId="0" fontId="2" fillId="20" borderId="38" xfId="3" applyFont="1" applyFill="1" applyBorder="1" applyAlignment="1">
      <alignment horizontal="center" vertical="center"/>
    </xf>
    <xf numFmtId="177" fontId="3" fillId="20" borderId="38" xfId="3" applyNumberFormat="1" applyFont="1" applyFill="1" applyBorder="1" applyAlignment="1">
      <alignment horizontal="center" vertical="center"/>
    </xf>
    <xf numFmtId="164" fontId="2" fillId="20" borderId="38" xfId="3" applyNumberFormat="1" applyFont="1" applyFill="1" applyBorder="1" applyAlignment="1">
      <alignment horizontal="center" vertical="center"/>
    </xf>
    <xf numFmtId="0" fontId="2" fillId="20" borderId="77" xfId="3" applyFont="1" applyFill="1" applyBorder="1" applyAlignment="1">
      <alignment horizontal="center" vertical="center"/>
    </xf>
    <xf numFmtId="0" fontId="2" fillId="2" borderId="0" xfId="3" applyFont="1" applyFill="1" applyAlignment="1">
      <alignment horizontal="justify" vertical="center" wrapText="1"/>
    </xf>
    <xf numFmtId="166" fontId="2" fillId="2" borderId="0" xfId="3" applyNumberFormat="1" applyFont="1" applyFill="1" applyAlignment="1">
      <alignment horizontal="center" vertical="center"/>
    </xf>
    <xf numFmtId="43" fontId="2" fillId="2" borderId="0" xfId="3" applyNumberFormat="1" applyFont="1" applyFill="1" applyAlignment="1">
      <alignment horizontal="center" vertical="center"/>
    </xf>
    <xf numFmtId="177" fontId="7" fillId="0" borderId="0" xfId="11" applyNumberFormat="1" applyFont="1" applyFill="1" applyAlignment="1">
      <alignment horizontal="right" vertical="center"/>
    </xf>
    <xf numFmtId="165" fontId="7" fillId="2" borderId="0" xfId="3" applyNumberFormat="1" applyFont="1" applyFill="1" applyAlignment="1">
      <alignment horizontal="center" vertical="center"/>
    </xf>
    <xf numFmtId="1" fontId="2" fillId="2" borderId="0" xfId="3" applyNumberFormat="1" applyFont="1" applyFill="1" applyAlignment="1">
      <alignment horizontal="center" vertical="center"/>
    </xf>
    <xf numFmtId="43" fontId="2" fillId="0" borderId="0" xfId="3" applyNumberFormat="1" applyFont="1" applyAlignment="1">
      <alignment horizontal="center" vertical="center"/>
    </xf>
    <xf numFmtId="164" fontId="2" fillId="0" borderId="0" xfId="3" applyNumberFormat="1" applyFont="1" applyAlignment="1">
      <alignment horizontal="center" vertical="center"/>
    </xf>
    <xf numFmtId="177" fontId="7" fillId="2" borderId="0" xfId="11" applyNumberFormat="1" applyFont="1" applyFill="1" applyAlignment="1">
      <alignment horizontal="right" vertical="center"/>
    </xf>
    <xf numFmtId="0" fontId="2" fillId="0" borderId="1" xfId="3" applyFont="1" applyBorder="1" applyAlignment="1">
      <alignment horizontal="left" vertical="center"/>
    </xf>
    <xf numFmtId="14" fontId="2" fillId="0" borderId="1" xfId="3" applyNumberFormat="1" applyFont="1" applyBorder="1" applyAlignment="1">
      <alignment horizontal="left" vertical="center" wrapText="1"/>
    </xf>
    <xf numFmtId="0" fontId="2" fillId="0" borderId="7" xfId="0" applyFont="1" applyBorder="1" applyAlignment="1">
      <alignment horizontal="center" vertical="center"/>
    </xf>
    <xf numFmtId="9" fontId="2" fillId="2" borderId="1" xfId="2" applyFont="1" applyFill="1" applyBorder="1" applyAlignment="1">
      <alignment horizontal="center" vertical="center" wrapText="1"/>
    </xf>
    <xf numFmtId="0" fontId="2" fillId="0" borderId="5" xfId="0" applyFont="1" applyBorder="1" applyAlignment="1">
      <alignment horizontal="justify" vertical="center" wrapText="1"/>
    </xf>
    <xf numFmtId="0" fontId="6"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7" fillId="0" borderId="1" xfId="0" applyFont="1" applyBorder="1" applyAlignment="1">
      <alignment horizontal="justify" vertical="center" wrapText="1"/>
    </xf>
    <xf numFmtId="0" fontId="7" fillId="0" borderId="12" xfId="0" applyFont="1" applyBorder="1" applyAlignment="1">
      <alignment horizontal="justify" vertical="center" wrapText="1"/>
    </xf>
    <xf numFmtId="9" fontId="2" fillId="2" borderId="12" xfId="2" applyFont="1" applyFill="1" applyBorder="1" applyAlignment="1">
      <alignment horizontal="center" vertical="center" wrapText="1"/>
    </xf>
    <xf numFmtId="0" fontId="2" fillId="0" borderId="13" xfId="0" applyFont="1" applyBorder="1" applyAlignment="1">
      <alignment horizontal="justify" vertical="center" wrapText="1"/>
    </xf>
    <xf numFmtId="0" fontId="7" fillId="0" borderId="19" xfId="0" applyFont="1" applyBorder="1" applyAlignment="1">
      <alignment horizontal="center" vertical="center" wrapText="1"/>
    </xf>
    <xf numFmtId="0" fontId="2" fillId="0" borderId="14" xfId="0" applyFont="1" applyBorder="1" applyAlignment="1">
      <alignment horizontal="center" vertical="center" wrapText="1"/>
    </xf>
    <xf numFmtId="9" fontId="2" fillId="0" borderId="4" xfId="2"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6" fillId="0" borderId="1" xfId="0" applyFont="1" applyBorder="1" applyAlignment="1">
      <alignment horizontal="justify" vertical="center" wrapText="1"/>
    </xf>
    <xf numFmtId="164" fontId="3" fillId="12" borderId="1" xfId="0" applyNumberFormat="1"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1" fontId="3" fillId="2" borderId="28"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0" xfId="0" applyFont="1" applyBorder="1" applyAlignment="1">
      <alignment horizontal="center" vertical="center"/>
    </xf>
    <xf numFmtId="0" fontId="2" fillId="2" borderId="12" xfId="0" applyFont="1" applyFill="1" applyBorder="1" applyAlignment="1">
      <alignment horizontal="justify"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 xfId="3" applyFont="1" applyBorder="1" applyAlignment="1">
      <alignment horizontal="center" vertical="center" wrapText="1"/>
    </xf>
    <xf numFmtId="0" fontId="7" fillId="0" borderId="12" xfId="3" applyFont="1" applyBorder="1" applyAlignment="1">
      <alignment horizontal="center" vertical="center" wrapText="1"/>
    </xf>
    <xf numFmtId="0" fontId="7" fillId="0" borderId="4" xfId="3" applyFont="1" applyBorder="1" applyAlignment="1">
      <alignment horizontal="center" vertical="center" wrapText="1"/>
    </xf>
    <xf numFmtId="0" fontId="7" fillId="0" borderId="5" xfId="0" applyFont="1" applyBorder="1" applyAlignment="1">
      <alignment horizontal="justify" vertical="center" wrapText="1"/>
    </xf>
    <xf numFmtId="0" fontId="7" fillId="0" borderId="9" xfId="0" applyFont="1" applyBorder="1" applyAlignment="1">
      <alignment horizontal="justify" vertical="center" wrapText="1"/>
    </xf>
    <xf numFmtId="0" fontId="5" fillId="12" borderId="1" xfId="0" applyFont="1" applyFill="1" applyBorder="1" applyAlignment="1">
      <alignment horizontal="center" vertical="center" wrapText="1"/>
    </xf>
    <xf numFmtId="165" fontId="3"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9" fontId="2" fillId="0" borderId="12" xfId="2" applyFont="1" applyFill="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9" fontId="2" fillId="0" borderId="1" xfId="2" applyFont="1" applyFill="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xf>
    <xf numFmtId="1" fontId="2" fillId="0" borderId="11" xfId="0" applyNumberFormat="1" applyFont="1" applyBorder="1" applyAlignment="1">
      <alignment horizontal="center" vertical="center"/>
    </xf>
    <xf numFmtId="0" fontId="2" fillId="2" borderId="5" xfId="0" applyFont="1" applyFill="1" applyBorder="1" applyAlignment="1">
      <alignment horizontal="justify" vertical="center" wrapText="1"/>
    </xf>
    <xf numFmtId="0" fontId="7" fillId="0" borderId="18" xfId="3" applyFont="1" applyBorder="1" applyAlignment="1">
      <alignment horizontal="justify" vertical="center" wrapText="1"/>
    </xf>
    <xf numFmtId="1" fontId="2" fillId="0" borderId="10" xfId="0" applyNumberFormat="1" applyFont="1" applyBorder="1" applyAlignment="1">
      <alignment horizontal="center" vertical="center" wrapText="1"/>
    </xf>
    <xf numFmtId="1" fontId="2" fillId="0" borderId="28"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justify" vertical="center" wrapText="1"/>
    </xf>
    <xf numFmtId="0" fontId="6" fillId="0" borderId="19" xfId="0" applyFont="1" applyBorder="1" applyAlignment="1">
      <alignment horizontal="center" vertical="center" wrapText="1"/>
    </xf>
    <xf numFmtId="1" fontId="2" fillId="0" borderId="11"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Border="1" applyAlignment="1">
      <alignment horizontal="justify" vertical="center" wrapText="1"/>
    </xf>
    <xf numFmtId="9" fontId="3" fillId="0" borderId="0" xfId="2" applyFont="1" applyBorder="1" applyAlignment="1">
      <alignment horizontal="center" vertical="center"/>
    </xf>
    <xf numFmtId="176" fontId="3" fillId="0" borderId="38" xfId="0" applyNumberFormat="1" applyFont="1" applyBorder="1" applyAlignment="1">
      <alignment horizontal="center" vertical="center"/>
    </xf>
    <xf numFmtId="9" fontId="3" fillId="0" borderId="38" xfId="0" applyNumberFormat="1" applyFont="1" applyBorder="1" applyAlignment="1">
      <alignment horizontal="center" vertical="center"/>
    </xf>
    <xf numFmtId="0" fontId="5" fillId="11" borderId="60" xfId="0" applyFont="1" applyFill="1" applyBorder="1" applyAlignment="1">
      <alignment horizontal="center" vertical="center" wrapText="1"/>
    </xf>
    <xf numFmtId="0" fontId="3" fillId="11" borderId="30" xfId="0" applyFont="1" applyFill="1" applyBorder="1" applyAlignment="1">
      <alignment horizontal="justify" vertical="center" wrapText="1"/>
    </xf>
    <xf numFmtId="0" fontId="3" fillId="11" borderId="0" xfId="0" applyFont="1" applyFill="1" applyBorder="1" applyAlignment="1">
      <alignment horizontal="justify" vertical="center" wrapText="1"/>
    </xf>
    <xf numFmtId="9" fontId="3" fillId="11" borderId="0" xfId="2" applyFont="1" applyFill="1" applyBorder="1" applyAlignment="1">
      <alignment horizontal="center" vertical="center"/>
    </xf>
    <xf numFmtId="41" fontId="3" fillId="11" borderId="0" xfId="11" applyFont="1" applyFill="1" applyBorder="1" applyAlignment="1">
      <alignment horizontal="center" vertical="center"/>
    </xf>
    <xf numFmtId="41" fontId="3" fillId="11" borderId="30" xfId="11" applyFont="1" applyFill="1" applyBorder="1" applyAlignment="1">
      <alignment horizontal="right" vertical="center"/>
    </xf>
    <xf numFmtId="176" fontId="3" fillId="11" borderId="0" xfId="0" applyNumberFormat="1" applyFont="1" applyFill="1" applyBorder="1" applyAlignment="1">
      <alignment horizontal="center" vertical="center"/>
    </xf>
    <xf numFmtId="9" fontId="3" fillId="11" borderId="0" xfId="0" applyNumberFormat="1" applyFont="1" applyFill="1" applyBorder="1" applyAlignment="1">
      <alignment horizontal="center" vertical="center"/>
    </xf>
    <xf numFmtId="0" fontId="3" fillId="10" borderId="16" xfId="0" applyFont="1" applyFill="1" applyBorder="1" applyAlignment="1">
      <alignment horizontal="justify" vertical="center" wrapText="1"/>
    </xf>
    <xf numFmtId="41" fontId="3" fillId="10" borderId="16" xfId="11" applyFont="1" applyFill="1" applyBorder="1" applyAlignment="1">
      <alignment horizontal="center" vertical="center"/>
    </xf>
    <xf numFmtId="41" fontId="3" fillId="10" borderId="16" xfId="11" applyFont="1" applyFill="1" applyBorder="1" applyAlignment="1">
      <alignment horizontal="right" vertical="center"/>
    </xf>
    <xf numFmtId="176" fontId="3" fillId="10" borderId="16" xfId="0" applyNumberFormat="1" applyFont="1" applyFill="1" applyBorder="1" applyAlignment="1">
      <alignment horizontal="center" vertical="center"/>
    </xf>
    <xf numFmtId="9" fontId="3" fillId="10" borderId="16" xfId="0" applyNumberFormat="1" applyFont="1" applyFill="1" applyBorder="1" applyAlignment="1">
      <alignment horizontal="center" vertical="center"/>
    </xf>
    <xf numFmtId="41" fontId="3" fillId="6" borderId="38" xfId="11" applyFont="1" applyFill="1" applyBorder="1" applyAlignment="1">
      <alignment horizontal="center" vertical="center"/>
    </xf>
    <xf numFmtId="0" fontId="3" fillId="6" borderId="38" xfId="0" applyFont="1" applyFill="1" applyBorder="1" applyAlignment="1">
      <alignment horizontal="justify" vertical="center" wrapText="1"/>
    </xf>
    <xf numFmtId="41" fontId="3" fillId="6" borderId="38" xfId="11" applyFont="1" applyFill="1" applyBorder="1" applyAlignment="1">
      <alignment horizontal="right" vertical="center"/>
    </xf>
    <xf numFmtId="41" fontId="3" fillId="6" borderId="0" xfId="11" applyFont="1" applyFill="1" applyBorder="1" applyAlignment="1">
      <alignment horizontal="right" vertical="center"/>
    </xf>
    <xf numFmtId="176" fontId="3" fillId="6" borderId="38" xfId="0" applyNumberFormat="1" applyFont="1" applyFill="1" applyBorder="1" applyAlignment="1">
      <alignment horizontal="center" vertical="center"/>
    </xf>
    <xf numFmtId="9" fontId="3" fillId="6" borderId="38" xfId="0" applyNumberFormat="1" applyFont="1" applyFill="1" applyBorder="1" applyAlignment="1">
      <alignment horizontal="center" vertical="center"/>
    </xf>
    <xf numFmtId="177" fontId="2" fillId="0" borderId="2" xfId="11" applyNumberFormat="1" applyFont="1" applyFill="1" applyBorder="1" applyAlignment="1">
      <alignment horizontal="right" vertical="center" wrapText="1"/>
    </xf>
    <xf numFmtId="177" fontId="7" fillId="0" borderId="1" xfId="19" applyNumberFormat="1" applyFont="1" applyFill="1" applyBorder="1" applyAlignment="1">
      <alignment horizontal="right" vertical="center" wrapText="1"/>
    </xf>
    <xf numFmtId="177" fontId="2" fillId="0" borderId="1" xfId="0" applyNumberFormat="1" applyFont="1" applyFill="1" applyBorder="1" applyAlignment="1">
      <alignment horizontal="center" vertical="center"/>
    </xf>
    <xf numFmtId="177" fontId="7" fillId="0" borderId="1" xfId="0" applyNumberFormat="1" applyFont="1" applyFill="1" applyBorder="1" applyAlignment="1">
      <alignment horizontal="right" vertical="center" wrapText="1"/>
    </xf>
    <xf numFmtId="43" fontId="7" fillId="0" borderId="2" xfId="10" applyFont="1" applyFill="1" applyBorder="1" applyAlignment="1">
      <alignment horizontal="right" vertical="center" wrapText="1"/>
    </xf>
    <xf numFmtId="177" fontId="7" fillId="0" borderId="2" xfId="11" applyNumberFormat="1" applyFont="1" applyFill="1" applyBorder="1" applyAlignment="1">
      <alignment horizontal="right" vertical="center" wrapText="1"/>
    </xf>
    <xf numFmtId="165" fontId="2" fillId="0" borderId="12" xfId="0" applyNumberFormat="1" applyFont="1" applyBorder="1" applyAlignment="1">
      <alignment horizontal="justify" vertical="center" wrapText="1"/>
    </xf>
    <xf numFmtId="177" fontId="2" fillId="0" borderId="13" xfId="11" applyNumberFormat="1" applyFont="1" applyFill="1" applyBorder="1" applyAlignment="1">
      <alignment horizontal="right" vertical="center" wrapText="1"/>
    </xf>
    <xf numFmtId="177" fontId="2" fillId="0" borderId="1" xfId="11" applyNumberFormat="1" applyFont="1" applyFill="1" applyBorder="1" applyAlignment="1">
      <alignment horizontal="right" vertical="center" wrapText="1"/>
    </xf>
    <xf numFmtId="177" fontId="7" fillId="0" borderId="3" xfId="11" applyNumberFormat="1" applyFont="1" applyFill="1" applyBorder="1" applyAlignment="1">
      <alignment horizontal="right" vertical="center" wrapText="1"/>
    </xf>
    <xf numFmtId="177" fontId="7" fillId="0" borderId="1" xfId="11" applyNumberFormat="1" applyFont="1" applyFill="1" applyBorder="1" applyAlignment="1" applyProtection="1">
      <alignment horizontal="right" vertical="center"/>
      <protection locked="0"/>
    </xf>
    <xf numFmtId="177" fontId="7" fillId="0" borderId="12" xfId="19" applyNumberFormat="1" applyFont="1" applyFill="1" applyBorder="1" applyAlignment="1">
      <alignment horizontal="right" vertical="center" wrapText="1"/>
    </xf>
    <xf numFmtId="177" fontId="7" fillId="0" borderId="1" xfId="20" applyNumberFormat="1" applyFont="1" applyFill="1" applyBorder="1" applyAlignment="1">
      <alignment horizontal="right" vertical="center" wrapText="1"/>
    </xf>
    <xf numFmtId="0" fontId="3" fillId="6" borderId="36" xfId="0" applyFont="1" applyFill="1" applyBorder="1" applyAlignment="1">
      <alignment horizontal="justify" vertical="center" wrapText="1"/>
    </xf>
    <xf numFmtId="177" fontId="3" fillId="6" borderId="36" xfId="11" applyNumberFormat="1" applyFont="1" applyFill="1" applyBorder="1" applyAlignment="1">
      <alignment horizontal="right" vertical="center" wrapText="1"/>
    </xf>
    <xf numFmtId="177" fontId="3" fillId="6" borderId="1" xfId="11" applyNumberFormat="1" applyFont="1" applyFill="1" applyBorder="1" applyAlignment="1">
      <alignment horizontal="right" vertical="center" wrapText="1"/>
    </xf>
    <xf numFmtId="0" fontId="3" fillId="6" borderId="0" xfId="0" applyFont="1" applyFill="1" applyAlignment="1">
      <alignment horizontal="center" vertical="center" wrapText="1"/>
    </xf>
    <xf numFmtId="0" fontId="3" fillId="6" borderId="36" xfId="0" applyFont="1" applyFill="1" applyBorder="1" applyAlignment="1">
      <alignment horizontal="center" vertical="center" wrapText="1"/>
    </xf>
    <xf numFmtId="176" fontId="3" fillId="6" borderId="38" xfId="0" applyNumberFormat="1" applyFont="1" applyFill="1" applyBorder="1" applyAlignment="1">
      <alignment horizontal="right" vertical="center"/>
    </xf>
    <xf numFmtId="0" fontId="2" fillId="0" borderId="30" xfId="0" applyFont="1" applyBorder="1" applyAlignment="1">
      <alignment horizontal="center" vertical="center"/>
    </xf>
    <xf numFmtId="0" fontId="2" fillId="0" borderId="69" xfId="0" applyFont="1" applyBorder="1" applyAlignment="1">
      <alignment horizontal="center" vertical="center" wrapText="1"/>
    </xf>
    <xf numFmtId="177" fontId="2" fillId="0" borderId="40" xfId="11" applyNumberFormat="1" applyFont="1" applyFill="1" applyBorder="1" applyAlignment="1">
      <alignment horizontal="right" vertical="center"/>
    </xf>
    <xf numFmtId="177" fontId="7" fillId="0" borderId="12" xfId="11" applyNumberFormat="1" applyFont="1" applyFill="1" applyBorder="1" applyAlignment="1" applyProtection="1">
      <alignment horizontal="right" vertical="center"/>
      <protection locked="0"/>
    </xf>
    <xf numFmtId="177" fontId="2" fillId="0" borderId="11" xfId="11"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17" xfId="0" applyFont="1"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justify" vertical="center" wrapText="1"/>
    </xf>
    <xf numFmtId="0" fontId="7" fillId="0" borderId="71" xfId="0" applyFont="1" applyBorder="1" applyAlignment="1">
      <alignment horizontal="center" vertical="center" wrapText="1"/>
    </xf>
    <xf numFmtId="0" fontId="2" fillId="0" borderId="13" xfId="0" applyFont="1" applyFill="1" applyBorder="1" applyAlignment="1">
      <alignment horizontal="center" vertical="center" wrapText="1"/>
    </xf>
    <xf numFmtId="41" fontId="3" fillId="11" borderId="30" xfId="11" applyFont="1" applyFill="1" applyBorder="1" applyAlignment="1">
      <alignment horizontal="center" vertical="center"/>
    </xf>
    <xf numFmtId="177" fontId="3" fillId="11" borderId="30" xfId="11" applyNumberFormat="1" applyFont="1" applyFill="1" applyBorder="1" applyAlignment="1">
      <alignment horizontal="right" vertical="center"/>
    </xf>
    <xf numFmtId="177" fontId="3" fillId="11" borderId="1" xfId="11" applyNumberFormat="1" applyFont="1" applyFill="1" applyBorder="1" applyAlignment="1">
      <alignment horizontal="right" vertical="center"/>
    </xf>
    <xf numFmtId="176" fontId="3" fillId="11" borderId="30" xfId="0" applyNumberFormat="1" applyFont="1" applyFill="1" applyBorder="1" applyAlignment="1">
      <alignment horizontal="right" vertical="center"/>
    </xf>
    <xf numFmtId="9" fontId="3" fillId="11" borderId="30" xfId="0" applyNumberFormat="1" applyFont="1" applyFill="1" applyBorder="1" applyAlignment="1">
      <alignment horizontal="center" vertical="center"/>
    </xf>
    <xf numFmtId="9" fontId="3" fillId="10" borderId="30" xfId="2" applyFont="1" applyFill="1" applyBorder="1" applyAlignment="1">
      <alignment horizontal="center" vertical="center"/>
    </xf>
    <xf numFmtId="41" fontId="3" fillId="10" borderId="30" xfId="11" applyFont="1" applyFill="1" applyBorder="1" applyAlignment="1">
      <alignment horizontal="center" vertical="center"/>
    </xf>
    <xf numFmtId="177" fontId="3" fillId="10" borderId="16" xfId="11" applyNumberFormat="1" applyFont="1" applyFill="1" applyBorder="1" applyAlignment="1">
      <alignment horizontal="right" vertical="center"/>
    </xf>
    <xf numFmtId="177" fontId="3" fillId="10" borderId="1" xfId="11" applyNumberFormat="1" applyFont="1" applyFill="1" applyBorder="1" applyAlignment="1">
      <alignment horizontal="right" vertical="center"/>
    </xf>
    <xf numFmtId="176" fontId="3" fillId="10" borderId="16" xfId="0" applyNumberFormat="1" applyFont="1" applyFill="1" applyBorder="1" applyAlignment="1">
      <alignment horizontal="right" vertical="center"/>
    </xf>
    <xf numFmtId="177" fontId="3" fillId="6" borderId="38" xfId="11" applyNumberFormat="1" applyFont="1" applyFill="1" applyBorder="1" applyAlignment="1">
      <alignment horizontal="right" vertical="center" wrapText="1"/>
    </xf>
    <xf numFmtId="0" fontId="3" fillId="6" borderId="38" xfId="0" applyFont="1" applyFill="1" applyBorder="1" applyAlignment="1">
      <alignment horizontal="center" vertical="center" wrapText="1"/>
    </xf>
    <xf numFmtId="0" fontId="7" fillId="0" borderId="40" xfId="14" applyFont="1" applyFill="1" applyBorder="1">
      <alignment horizontal="center" vertical="center" wrapText="1"/>
    </xf>
    <xf numFmtId="0" fontId="2" fillId="0" borderId="51" xfId="0" applyFont="1" applyBorder="1" applyAlignment="1">
      <alignment horizontal="center" vertical="center" wrapText="1"/>
    </xf>
    <xf numFmtId="0" fontId="2" fillId="0" borderId="41" xfId="0" applyFont="1" applyBorder="1" applyAlignment="1">
      <alignment horizontal="center" vertical="center" wrapText="1"/>
    </xf>
    <xf numFmtId="0" fontId="7" fillId="0" borderId="31" xfId="14" applyFont="1" applyFill="1" applyBorder="1">
      <alignment horizontal="center" vertical="center" wrapText="1"/>
    </xf>
    <xf numFmtId="9" fontId="2" fillId="2" borderId="12" xfId="2" applyFont="1" applyFill="1" applyBorder="1" applyAlignment="1">
      <alignment horizontal="justify" vertical="center" wrapText="1"/>
    </xf>
    <xf numFmtId="41" fontId="3" fillId="6" borderId="38" xfId="11" applyFont="1" applyFill="1" applyBorder="1" applyAlignment="1">
      <alignment horizontal="center" vertical="center" wrapText="1"/>
    </xf>
    <xf numFmtId="1" fontId="7" fillId="0" borderId="15" xfId="3" applyNumberFormat="1" applyFont="1" applyBorder="1" applyAlignment="1">
      <alignment horizontal="center" vertical="center" wrapText="1"/>
    </xf>
    <xf numFmtId="177" fontId="7" fillId="0" borderId="1" xfId="10" applyNumberFormat="1" applyFont="1" applyFill="1" applyBorder="1" applyAlignment="1">
      <alignment horizontal="right" vertical="center" wrapText="1"/>
    </xf>
    <xf numFmtId="1" fontId="7" fillId="0" borderId="5" xfId="3" applyNumberFormat="1" applyFont="1" applyBorder="1" applyAlignment="1">
      <alignment horizontal="center" vertical="center" wrapText="1"/>
    </xf>
    <xf numFmtId="0" fontId="7" fillId="0" borderId="40" xfId="3" applyFont="1" applyBorder="1" applyAlignment="1">
      <alignment horizontal="justify" vertical="center" wrapText="1"/>
    </xf>
    <xf numFmtId="0" fontId="3" fillId="6" borderId="37" xfId="0" applyFont="1" applyFill="1" applyBorder="1" applyAlignment="1">
      <alignment horizontal="justify" vertical="center" wrapText="1"/>
    </xf>
    <xf numFmtId="0" fontId="3" fillId="6" borderId="37" xfId="0" applyFont="1" applyFill="1" applyBorder="1" applyAlignment="1">
      <alignment horizontal="center" vertical="center" wrapText="1"/>
    </xf>
    <xf numFmtId="41" fontId="3" fillId="6" borderId="37" xfId="11" applyFont="1" applyFill="1" applyBorder="1" applyAlignment="1">
      <alignment horizontal="center" vertical="center" wrapText="1"/>
    </xf>
    <xf numFmtId="177" fontId="3" fillId="6" borderId="37" xfId="11" applyNumberFormat="1" applyFont="1" applyFill="1" applyBorder="1" applyAlignment="1">
      <alignment horizontal="right" vertical="center" wrapText="1"/>
    </xf>
    <xf numFmtId="0" fontId="25" fillId="6" borderId="38" xfId="0" applyFont="1" applyFill="1" applyBorder="1" applyAlignment="1">
      <alignment horizontal="center" vertical="center"/>
    </xf>
    <xf numFmtId="176" fontId="25" fillId="6" borderId="38" xfId="0" applyNumberFormat="1" applyFont="1" applyFill="1" applyBorder="1" applyAlignment="1">
      <alignment horizontal="right" vertical="center"/>
    </xf>
    <xf numFmtId="9" fontId="25" fillId="6" borderId="38" xfId="0" applyNumberFormat="1" applyFont="1" applyFill="1" applyBorder="1" applyAlignment="1">
      <alignment horizontal="center" vertical="center"/>
    </xf>
    <xf numFmtId="0" fontId="25" fillId="6" borderId="38" xfId="0" applyFont="1" applyFill="1" applyBorder="1" applyAlignment="1">
      <alignment horizontal="justify" vertical="center" wrapText="1"/>
    </xf>
    <xf numFmtId="177" fontId="2" fillId="0" borderId="16" xfId="11" applyNumberFormat="1" applyFont="1" applyFill="1" applyBorder="1" applyAlignment="1">
      <alignment horizontal="right" vertical="center" wrapText="1"/>
    </xf>
    <xf numFmtId="0" fontId="6" fillId="0" borderId="19" xfId="0" applyFont="1" applyFill="1" applyBorder="1" applyAlignment="1">
      <alignment vertical="center" wrapText="1"/>
    </xf>
    <xf numFmtId="1" fontId="2" fillId="20" borderId="38" xfId="0" applyNumberFormat="1" applyFont="1" applyFill="1" applyBorder="1" applyAlignment="1">
      <alignment horizontal="center" vertical="center"/>
    </xf>
    <xf numFmtId="0" fontId="2" fillId="20" borderId="38" xfId="0" applyFont="1" applyFill="1" applyBorder="1" applyAlignment="1">
      <alignment horizontal="center" vertical="center"/>
    </xf>
    <xf numFmtId="0" fontId="2" fillId="20" borderId="38" xfId="0" applyFont="1" applyFill="1" applyBorder="1" applyAlignment="1">
      <alignment horizontal="justify" vertical="center" wrapText="1"/>
    </xf>
    <xf numFmtId="9" fontId="2" fillId="20" borderId="38" xfId="2" applyFont="1" applyFill="1" applyBorder="1" applyAlignment="1">
      <alignment horizontal="center" vertical="center"/>
    </xf>
    <xf numFmtId="41" fontId="3" fillId="20" borderId="38" xfId="11" applyFont="1" applyFill="1" applyBorder="1" applyAlignment="1">
      <alignment horizontal="center" vertical="center"/>
    </xf>
    <xf numFmtId="0" fontId="3" fillId="20" borderId="21" xfId="0" applyFont="1" applyFill="1" applyBorder="1" applyAlignment="1">
      <alignment horizontal="justify" vertical="center" wrapText="1"/>
    </xf>
    <xf numFmtId="177" fontId="3" fillId="20" borderId="21" xfId="11" applyNumberFormat="1" applyFont="1" applyFill="1" applyBorder="1" applyAlignment="1">
      <alignment horizontal="right" vertical="center"/>
    </xf>
    <xf numFmtId="165" fontId="2" fillId="20" borderId="38" xfId="0" applyNumberFormat="1" applyFont="1" applyFill="1" applyBorder="1" applyAlignment="1">
      <alignment horizontal="center" vertical="center"/>
    </xf>
    <xf numFmtId="184" fontId="18" fillId="20" borderId="36" xfId="0" applyNumberFormat="1" applyFont="1" applyFill="1" applyBorder="1" applyAlignment="1">
      <alignment horizontal="right" vertical="center"/>
    </xf>
    <xf numFmtId="176" fontId="18" fillId="20" borderId="36" xfId="11" applyNumberFormat="1" applyFont="1" applyFill="1" applyBorder="1" applyAlignment="1">
      <alignment horizontal="right" vertical="center"/>
    </xf>
    <xf numFmtId="9" fontId="18" fillId="20" borderId="36" xfId="0" applyNumberFormat="1" applyFont="1" applyFill="1" applyBorder="1" applyAlignment="1">
      <alignment horizontal="right" vertical="center"/>
    </xf>
    <xf numFmtId="184" fontId="18" fillId="20" borderId="32" xfId="0" applyNumberFormat="1" applyFont="1" applyFill="1" applyBorder="1" applyAlignment="1">
      <alignment horizontal="right" vertical="center"/>
    </xf>
    <xf numFmtId="9" fontId="2" fillId="2" borderId="0" xfId="2" applyFont="1" applyFill="1" applyAlignment="1">
      <alignment horizontal="center" vertical="center"/>
    </xf>
    <xf numFmtId="41" fontId="2" fillId="2" borderId="0" xfId="11" applyFont="1" applyFill="1" applyAlignment="1">
      <alignment horizontal="center" vertical="center"/>
    </xf>
    <xf numFmtId="41" fontId="2" fillId="2" borderId="0" xfId="11" applyFont="1" applyFill="1" applyAlignment="1">
      <alignment horizontal="right" vertical="center"/>
    </xf>
    <xf numFmtId="176" fontId="2" fillId="0" borderId="0" xfId="11" applyNumberFormat="1" applyFont="1" applyAlignment="1">
      <alignment horizontal="center" vertical="center"/>
    </xf>
    <xf numFmtId="9" fontId="2" fillId="0" borderId="0" xfId="11" applyNumberFormat="1" applyFont="1" applyAlignment="1">
      <alignment horizontal="center" vertical="center"/>
    </xf>
    <xf numFmtId="177" fontId="2" fillId="2" borderId="0" xfId="11" applyNumberFormat="1" applyFont="1" applyFill="1" applyAlignment="1">
      <alignment horizontal="right" vertical="center"/>
    </xf>
    <xf numFmtId="176" fontId="2" fillId="0" borderId="0" xfId="0" applyNumberFormat="1" applyFont="1" applyAlignment="1">
      <alignment horizontal="center" vertical="center"/>
    </xf>
    <xf numFmtId="9" fontId="2" fillId="0" borderId="0" xfId="0" applyNumberFormat="1" applyFont="1" applyAlignment="1">
      <alignment horizontal="center" vertical="center"/>
    </xf>
    <xf numFmtId="41" fontId="2" fillId="2" borderId="0" xfId="0" applyNumberFormat="1" applyFont="1" applyFill="1" applyAlignment="1">
      <alignment horizontal="center" vertical="center"/>
    </xf>
    <xf numFmtId="42" fontId="2" fillId="2" borderId="0" xfId="0" applyNumberFormat="1" applyFont="1" applyFill="1" applyAlignment="1">
      <alignment horizontal="center" vertical="center"/>
    </xf>
    <xf numFmtId="43" fontId="2" fillId="2" borderId="0" xfId="11" applyNumberFormat="1" applyFont="1" applyFill="1" applyAlignment="1">
      <alignment horizontal="right" vertical="center"/>
    </xf>
    <xf numFmtId="0" fontId="7" fillId="0" borderId="18" xfId="0" applyFont="1" applyFill="1" applyBorder="1" applyAlignment="1">
      <alignment horizontal="justify" vertical="center" wrapText="1"/>
    </xf>
    <xf numFmtId="0" fontId="8" fillId="13" borderId="10" xfId="0" applyFont="1" applyFill="1" applyBorder="1" applyAlignment="1">
      <alignment horizontal="center" vertical="center" wrapText="1"/>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177" fontId="7" fillId="0" borderId="12" xfId="11" applyNumberFormat="1" applyFont="1" applyFill="1" applyBorder="1" applyAlignment="1">
      <alignment horizontal="center" vertical="center" wrapText="1"/>
    </xf>
    <xf numFmtId="0" fontId="7" fillId="0" borderId="40" xfId="0" applyFont="1" applyFill="1" applyBorder="1" applyAlignment="1">
      <alignment horizontal="justify" vertical="center" wrapText="1"/>
    </xf>
    <xf numFmtId="1" fontId="3" fillId="0" borderId="7"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1" fontId="3" fillId="0" borderId="6"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77" fontId="7" fillId="0" borderId="12" xfId="11" applyNumberFormat="1" applyFont="1" applyFill="1" applyBorder="1" applyAlignment="1">
      <alignment horizontal="center" vertical="center"/>
    </xf>
    <xf numFmtId="177" fontId="7" fillId="0" borderId="1" xfId="11"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28" xfId="0" applyNumberFormat="1" applyFont="1" applyBorder="1" applyAlignment="1">
      <alignment horizontal="center" vertical="center" wrapText="1"/>
    </xf>
    <xf numFmtId="9" fontId="2" fillId="0" borderId="1" xfId="2" applyFont="1" applyFill="1" applyBorder="1" applyAlignment="1">
      <alignment horizontal="center" vertical="center" wrapText="1"/>
    </xf>
    <xf numFmtId="0" fontId="3" fillId="6" borderId="44" xfId="0" applyFont="1" applyFill="1" applyBorder="1" applyAlignment="1">
      <alignment horizontal="left" vertical="center"/>
    </xf>
    <xf numFmtId="0" fontId="3" fillId="6" borderId="0" xfId="0" applyFont="1" applyFill="1" applyAlignment="1">
      <alignment horizontal="left" vertical="center"/>
    </xf>
    <xf numFmtId="0" fontId="7" fillId="0" borderId="1" xfId="10" applyNumberFormat="1" applyFont="1" applyFill="1" applyBorder="1" applyAlignment="1">
      <alignment horizontal="center" vertical="center" wrapText="1"/>
    </xf>
    <xf numFmtId="0" fontId="3" fillId="11" borderId="37" xfId="0" applyFont="1" applyFill="1" applyBorder="1" applyAlignment="1">
      <alignment horizontal="center" vertical="center"/>
    </xf>
    <xf numFmtId="3" fontId="3" fillId="12" borderId="7"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5"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2" xfId="0" applyFont="1" applyBorder="1" applyAlignment="1">
      <alignment horizontal="justify" vertical="center" wrapText="1"/>
    </xf>
    <xf numFmtId="0" fontId="6"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2" fillId="0" borderId="15"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7" xfId="0" applyFont="1" applyBorder="1" applyAlignment="1">
      <alignment horizontal="center" vertical="center"/>
    </xf>
    <xf numFmtId="0" fontId="7" fillId="0" borderId="1" xfId="0" applyFont="1" applyBorder="1" applyAlignment="1">
      <alignment horizontal="justify"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1" fontId="3" fillId="2" borderId="13" xfId="0" applyNumberFormat="1" applyFont="1" applyFill="1" applyBorder="1" applyAlignment="1">
      <alignment horizontal="center" vertical="center" wrapText="1"/>
    </xf>
    <xf numFmtId="1" fontId="3" fillId="2" borderId="28"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0" fontId="5" fillId="12" borderId="1" xfId="0" applyFont="1" applyFill="1" applyBorder="1" applyAlignment="1">
      <alignment horizontal="center" vertical="center" wrapText="1"/>
    </xf>
    <xf numFmtId="0" fontId="7" fillId="0" borderId="15" xfId="12" applyNumberFormat="1" applyFont="1" applyFill="1" applyBorder="1">
      <alignment horizontal="center" vertical="center" wrapText="1"/>
    </xf>
    <xf numFmtId="0" fontId="7" fillId="0" borderId="5" xfId="12" applyNumberFormat="1" applyFont="1" applyFill="1" applyBorder="1">
      <alignment horizontal="center" vertical="center" wrapText="1"/>
    </xf>
    <xf numFmtId="0" fontId="5" fillId="0" borderId="0" xfId="0" applyFont="1" applyAlignment="1">
      <alignment horizontal="center" vertical="center"/>
    </xf>
    <xf numFmtId="177" fontId="7" fillId="0" borderId="1" xfId="11" applyNumberFormat="1" applyFont="1" applyFill="1" applyBorder="1" applyAlignment="1">
      <alignment horizontal="center" vertical="center" wrapText="1"/>
    </xf>
    <xf numFmtId="0" fontId="7" fillId="0" borderId="9"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5" xfId="3" applyFont="1" applyBorder="1" applyAlignment="1">
      <alignment horizontal="justify" vertical="center" wrapText="1"/>
    </xf>
    <xf numFmtId="0" fontId="7" fillId="0" borderId="5" xfId="10" applyNumberFormat="1" applyFont="1" applyFill="1" applyBorder="1" applyAlignment="1">
      <alignment horizontal="center" vertical="center" wrapText="1"/>
    </xf>
    <xf numFmtId="0" fontId="7" fillId="0" borderId="9" xfId="12" applyNumberFormat="1" applyFont="1" applyFill="1" applyBorder="1">
      <alignment horizontal="center" vertical="center" wrapText="1"/>
    </xf>
    <xf numFmtId="0" fontId="5" fillId="12" borderId="2" xfId="0" applyFont="1" applyFill="1" applyBorder="1" applyAlignment="1">
      <alignment horizontal="center" vertical="center" wrapText="1"/>
    </xf>
    <xf numFmtId="164" fontId="5" fillId="12"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 fontId="2" fillId="0" borderId="28"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11" xfId="0" applyNumberFormat="1" applyFont="1" applyBorder="1" applyAlignment="1">
      <alignment horizontal="center" vertical="center"/>
    </xf>
    <xf numFmtId="0" fontId="7" fillId="0" borderId="1" xfId="12" applyNumberFormat="1" applyFont="1" applyFill="1" applyBorder="1">
      <alignment horizontal="center" vertical="center" wrapText="1"/>
    </xf>
    <xf numFmtId="1" fontId="2" fillId="0" borderId="19" xfId="0" applyNumberFormat="1" applyFont="1" applyBorder="1" applyAlignment="1">
      <alignment horizontal="center" vertical="center"/>
    </xf>
    <xf numFmtId="1" fontId="3" fillId="0" borderId="13" xfId="0" applyNumberFormat="1" applyFont="1" applyBorder="1" applyAlignment="1">
      <alignment horizontal="center" vertical="center" wrapText="1"/>
    </xf>
    <xf numFmtId="0" fontId="2" fillId="0" borderId="0" xfId="0" applyFont="1" applyAlignment="1">
      <alignment horizontal="justify" vertical="center" wrapText="1"/>
    </xf>
    <xf numFmtId="1" fontId="2" fillId="2" borderId="28" xfId="0" applyNumberFormat="1" applyFont="1" applyFill="1" applyBorder="1" applyAlignment="1">
      <alignment horizontal="center" vertical="center" wrapText="1"/>
    </xf>
    <xf numFmtId="0" fontId="3" fillId="0" borderId="3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xf>
    <xf numFmtId="3" fontId="3" fillId="12" borderId="7" xfId="0" applyNumberFormat="1" applyFont="1" applyFill="1" applyBorder="1" applyAlignment="1">
      <alignment horizontal="center" vertical="center" wrapText="1"/>
    </xf>
    <xf numFmtId="0" fontId="3" fillId="11" borderId="37" xfId="0" applyFont="1" applyFill="1" applyBorder="1" applyAlignment="1">
      <alignment horizontal="center" vertical="center"/>
    </xf>
    <xf numFmtId="3" fontId="7" fillId="0" borderId="40" xfId="3" applyNumberFormat="1" applyFont="1" applyBorder="1" applyAlignment="1">
      <alignment horizontal="center" vertical="center" wrapText="1"/>
    </xf>
    <xf numFmtId="0" fontId="2" fillId="2" borderId="40" xfId="0" applyFont="1" applyFill="1" applyBorder="1" applyAlignment="1">
      <alignment horizontal="justify" vertical="center" wrapText="1"/>
    </xf>
    <xf numFmtId="0" fontId="2" fillId="2" borderId="5" xfId="0" applyFont="1" applyFill="1" applyBorder="1" applyAlignment="1">
      <alignment horizontal="justify" vertical="center" wrapText="1"/>
    </xf>
    <xf numFmtId="49" fontId="7" fillId="0" borderId="1" xfId="0" applyNumberFormat="1" applyFont="1" applyBorder="1" applyAlignment="1">
      <alignment horizontal="center" vertical="center" wrapText="1"/>
    </xf>
    <xf numFmtId="3" fontId="7" fillId="0" borderId="2" xfId="3" applyNumberFormat="1" applyFont="1" applyBorder="1" applyAlignment="1">
      <alignment horizontal="center" vertical="center" wrapText="1"/>
    </xf>
    <xf numFmtId="10" fontId="7" fillId="0" borderId="36" xfId="2"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3" fontId="7" fillId="0" borderId="31" xfId="3" applyNumberFormat="1" applyFont="1" applyBorder="1" applyAlignment="1">
      <alignment horizontal="center" vertical="center" wrapText="1"/>
    </xf>
    <xf numFmtId="10" fontId="7" fillId="0" borderId="31" xfId="2" applyNumberFormat="1" applyFont="1" applyBorder="1" applyAlignment="1">
      <alignment horizontal="center" vertical="center" wrapText="1"/>
    </xf>
    <xf numFmtId="10" fontId="7" fillId="0" borderId="13" xfId="2"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0" xfId="0" applyFont="1" applyBorder="1" applyAlignment="1">
      <alignment horizontal="justify" vertical="center" wrapText="1"/>
    </xf>
    <xf numFmtId="1" fontId="2" fillId="2" borderId="28" xfId="0" applyNumberFormat="1" applyFont="1" applyFill="1" applyBorder="1" applyAlignment="1">
      <alignment horizontal="center" vertical="center"/>
    </xf>
    <xf numFmtId="49" fontId="7" fillId="0" borderId="15" xfId="0" applyNumberFormat="1" applyFont="1" applyBorder="1" applyAlignment="1">
      <alignment horizontal="center" vertical="center" wrapText="1"/>
    </xf>
    <xf numFmtId="0" fontId="7" fillId="0" borderId="16" xfId="0" applyFont="1" applyBorder="1" applyAlignment="1">
      <alignment horizontal="justify" vertical="center" wrapText="1"/>
    </xf>
    <xf numFmtId="10" fontId="7" fillId="0" borderId="5" xfId="2" applyNumberFormat="1" applyFont="1" applyBorder="1" applyAlignment="1">
      <alignment horizontal="center" vertical="center" wrapText="1"/>
    </xf>
    <xf numFmtId="1" fontId="2" fillId="2" borderId="19" xfId="0" applyNumberFormat="1" applyFont="1" applyFill="1" applyBorder="1" applyAlignment="1">
      <alignment horizontal="center" vertical="center"/>
    </xf>
    <xf numFmtId="3" fontId="7" fillId="0" borderId="1" xfId="3" applyNumberFormat="1" applyFont="1" applyBorder="1" applyAlignment="1">
      <alignment horizontal="center" vertical="center" wrapText="1"/>
    </xf>
    <xf numFmtId="3" fontId="7" fillId="0" borderId="8" xfId="3" applyNumberFormat="1" applyFont="1" applyBorder="1" applyAlignment="1">
      <alignment horizontal="center" vertical="center" wrapText="1"/>
    </xf>
    <xf numFmtId="3" fontId="7" fillId="0" borderId="15" xfId="3"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1" fontId="2" fillId="0" borderId="29" xfId="0" applyNumberFormat="1" applyFont="1" applyBorder="1" applyAlignment="1">
      <alignment horizontal="center" vertical="center"/>
    </xf>
    <xf numFmtId="0" fontId="2" fillId="2" borderId="0" xfId="0" applyFont="1" applyFill="1" applyAlignment="1">
      <alignment horizontal="center" vertical="center" wrapText="1"/>
    </xf>
    <xf numFmtId="0" fontId="3" fillId="12" borderId="32" xfId="0" applyFont="1" applyFill="1" applyBorder="1" applyAlignment="1">
      <alignment horizontal="center" vertical="center" wrapText="1"/>
    </xf>
    <xf numFmtId="1" fontId="2" fillId="0" borderId="19" xfId="0" applyNumberFormat="1" applyFont="1" applyBorder="1" applyAlignment="1">
      <alignment horizontal="center" vertical="center" wrapText="1"/>
    </xf>
    <xf numFmtId="0" fontId="2" fillId="0" borderId="0" xfId="0" applyFont="1" applyAlignment="1">
      <alignment horizontal="center" vertical="center"/>
    </xf>
    <xf numFmtId="14" fontId="3" fillId="0" borderId="1" xfId="0" applyNumberFormat="1" applyFont="1" applyBorder="1" applyAlignment="1">
      <alignment horizontal="left" vertical="center"/>
    </xf>
    <xf numFmtId="170" fontId="2" fillId="0" borderId="1" xfId="0" applyNumberFormat="1" applyFont="1" applyBorder="1" applyAlignment="1">
      <alignment horizontal="left" vertical="center"/>
    </xf>
    <xf numFmtId="14" fontId="3" fillId="0" borderId="12" xfId="0" applyNumberFormat="1" applyFont="1" applyBorder="1" applyAlignment="1">
      <alignment horizontal="left" vertical="center"/>
    </xf>
    <xf numFmtId="3" fontId="27" fillId="0" borderId="12" xfId="0" applyNumberFormat="1" applyFont="1" applyBorder="1" applyAlignment="1">
      <alignment horizontal="center" vertical="center" wrapText="1"/>
    </xf>
    <xf numFmtId="0" fontId="3" fillId="0" borderId="36" xfId="0" applyFont="1" applyBorder="1" applyAlignment="1">
      <alignment vertical="center"/>
    </xf>
    <xf numFmtId="0" fontId="3" fillId="0" borderId="0" xfId="0" applyFont="1" applyAlignment="1">
      <alignment vertical="center"/>
    </xf>
    <xf numFmtId="14" fontId="3" fillId="0" borderId="38" xfId="0" applyNumberFormat="1" applyFont="1" applyBorder="1" applyAlignment="1">
      <alignment horizontal="center" vertical="center"/>
    </xf>
    <xf numFmtId="0" fontId="18" fillId="12" borderId="32" xfId="0" applyFont="1" applyFill="1" applyBorder="1" applyAlignment="1">
      <alignment horizontal="center" vertical="center" wrapText="1"/>
    </xf>
    <xf numFmtId="1" fontId="3" fillId="11" borderId="12" xfId="0" applyNumberFormat="1" applyFont="1" applyFill="1" applyBorder="1" applyAlignment="1">
      <alignment horizontal="center" vertical="center" wrapText="1"/>
    </xf>
    <xf numFmtId="0" fontId="3" fillId="11" borderId="37" xfId="0" applyFont="1" applyFill="1" applyBorder="1" applyAlignment="1">
      <alignment vertical="center"/>
    </xf>
    <xf numFmtId="14" fontId="3" fillId="11" borderId="37" xfId="0" applyNumberFormat="1" applyFont="1" applyFill="1" applyBorder="1" applyAlignment="1">
      <alignment horizontal="center" vertical="center"/>
    </xf>
    <xf numFmtId="0" fontId="5" fillId="10" borderId="31" xfId="0" applyFont="1" applyFill="1" applyBorder="1" applyAlignment="1">
      <alignment vertical="center"/>
    </xf>
    <xf numFmtId="0" fontId="5" fillId="10" borderId="30" xfId="0" applyFont="1" applyFill="1" applyBorder="1" applyAlignment="1">
      <alignment vertical="center"/>
    </xf>
    <xf numFmtId="0" fontId="3" fillId="10" borderId="30" xfId="0" applyFont="1" applyFill="1" applyBorder="1" applyAlignment="1">
      <alignment vertical="center"/>
    </xf>
    <xf numFmtId="14" fontId="3" fillId="10" borderId="30" xfId="0" applyNumberFormat="1" applyFont="1" applyFill="1" applyBorder="1" applyAlignment="1">
      <alignment horizontal="center" vertical="center"/>
    </xf>
    <xf numFmtId="1" fontId="3" fillId="0" borderId="6" xfId="0" applyNumberFormat="1" applyFont="1" applyBorder="1" applyAlignment="1">
      <alignment vertical="center" wrapText="1"/>
    </xf>
    <xf numFmtId="1" fontId="3" fillId="0" borderId="7" xfId="0" applyNumberFormat="1" applyFont="1" applyBorder="1" applyAlignment="1">
      <alignment vertical="center" wrapText="1"/>
    </xf>
    <xf numFmtId="165" fontId="3" fillId="6" borderId="16" xfId="0" applyNumberFormat="1" applyFont="1" applyFill="1" applyBorder="1" applyAlignment="1">
      <alignment horizontal="center" vertical="center"/>
    </xf>
    <xf numFmtId="0" fontId="3" fillId="6" borderId="16" xfId="0" applyFont="1" applyFill="1" applyBorder="1" applyAlignment="1">
      <alignment vertical="center"/>
    </xf>
    <xf numFmtId="14" fontId="3" fillId="6" borderId="16" xfId="0" applyNumberFormat="1" applyFont="1" applyFill="1" applyBorder="1" applyAlignment="1">
      <alignment horizontal="center" vertical="center"/>
    </xf>
    <xf numFmtId="1" fontId="3" fillId="0" borderId="6" xfId="0" applyNumberFormat="1" applyFont="1" applyFill="1" applyBorder="1" applyAlignment="1">
      <alignment vertical="center" wrapText="1"/>
    </xf>
    <xf numFmtId="1" fontId="3" fillId="0" borderId="7" xfId="0" applyNumberFormat="1" applyFont="1" applyFill="1" applyBorder="1" applyAlignment="1">
      <alignment vertical="center" wrapText="1"/>
    </xf>
    <xf numFmtId="0" fontId="2" fillId="0" borderId="0" xfId="0" applyFont="1" applyFill="1" applyAlignment="1">
      <alignment horizontal="center" vertical="center" wrapText="1"/>
    </xf>
    <xf numFmtId="177" fontId="2" fillId="0" borderId="4" xfId="11"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177" fontId="2" fillId="0" borderId="1" xfId="11"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77" fontId="2" fillId="0" borderId="12" xfId="11" applyNumberFormat="1" applyFont="1" applyFill="1" applyBorder="1" applyAlignment="1">
      <alignment horizontal="center" vertical="center" wrapText="1"/>
    </xf>
    <xf numFmtId="177" fontId="2" fillId="0" borderId="5" xfId="11" applyNumberFormat="1" applyFont="1" applyFill="1" applyBorder="1" applyAlignment="1">
      <alignment horizontal="center" vertical="center" wrapText="1"/>
    </xf>
    <xf numFmtId="177" fontId="2" fillId="0" borderId="5" xfId="11" applyNumberFormat="1" applyFont="1" applyFill="1" applyBorder="1" applyAlignment="1">
      <alignment horizontal="center" vertical="center"/>
    </xf>
    <xf numFmtId="0" fontId="6" fillId="0" borderId="9" xfId="0" applyFont="1" applyFill="1" applyBorder="1" applyAlignment="1">
      <alignment horizontal="left" vertical="center" wrapText="1"/>
    </xf>
    <xf numFmtId="0" fontId="2" fillId="0" borderId="6"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2" fillId="0" borderId="13"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1" fontId="7" fillId="0" borderId="15" xfId="3" applyNumberFormat="1" applyFont="1" applyFill="1" applyBorder="1" applyAlignment="1">
      <alignment horizontal="center" vertical="center" wrapText="1"/>
    </xf>
    <xf numFmtId="0" fontId="2" fillId="0" borderId="1" xfId="10" applyNumberFormat="1" applyFont="1" applyFill="1" applyBorder="1" applyAlignment="1">
      <alignment horizontal="center" vertical="center" wrapText="1"/>
    </xf>
    <xf numFmtId="0" fontId="2" fillId="0" borderId="32" xfId="0" applyFont="1" applyFill="1" applyBorder="1" applyAlignment="1">
      <alignment horizontal="justify" vertical="center" wrapText="1"/>
    </xf>
    <xf numFmtId="1" fontId="7" fillId="0" borderId="9" xfId="3" applyNumberFormat="1" applyFont="1" applyFill="1" applyBorder="1" applyAlignment="1">
      <alignment horizontal="center" vertical="center" wrapText="1"/>
    </xf>
    <xf numFmtId="0" fontId="7" fillId="0" borderId="31" xfId="3" applyFont="1" applyFill="1" applyBorder="1" applyAlignment="1">
      <alignment horizontal="justify" vertical="center" wrapText="1"/>
    </xf>
    <xf numFmtId="0" fontId="2" fillId="0" borderId="12" xfId="10" applyNumberFormat="1" applyFont="1" applyFill="1" applyBorder="1" applyAlignment="1">
      <alignment horizontal="center" vertical="center" wrapText="1"/>
    </xf>
    <xf numFmtId="0" fontId="2" fillId="0" borderId="38" xfId="0" applyFont="1" applyFill="1" applyBorder="1" applyAlignment="1">
      <alignment horizontal="justify" vertical="center" wrapText="1"/>
    </xf>
    <xf numFmtId="43" fontId="36" fillId="0" borderId="1" xfId="10" applyFont="1" applyFill="1" applyBorder="1" applyAlignment="1">
      <alignment horizontal="center" vertical="center" wrapText="1"/>
    </xf>
    <xf numFmtId="177" fontId="2" fillId="0" borderId="6" xfId="11" applyNumberFormat="1" applyFont="1" applyFill="1" applyBorder="1" applyAlignment="1">
      <alignment horizontal="center" vertical="center" wrapText="1"/>
    </xf>
    <xf numFmtId="177" fontId="2" fillId="0" borderId="15" xfId="11" applyNumberFormat="1" applyFont="1" applyFill="1" applyBorder="1" applyAlignment="1">
      <alignment horizontal="center" vertical="center" wrapText="1"/>
    </xf>
    <xf numFmtId="177" fontId="2" fillId="0" borderId="13" xfId="11" applyNumberFormat="1" applyFont="1" applyFill="1" applyBorder="1" applyAlignment="1">
      <alignment horizontal="center" vertical="center" wrapText="1"/>
    </xf>
    <xf numFmtId="177" fontId="2" fillId="0" borderId="2" xfId="11" applyNumberFormat="1" applyFont="1" applyFill="1" applyBorder="1" applyAlignment="1">
      <alignment horizontal="center" vertical="center" wrapText="1"/>
    </xf>
    <xf numFmtId="177" fontId="2" fillId="0" borderId="9" xfId="11" applyNumberFormat="1" applyFont="1" applyFill="1" applyBorder="1" applyAlignment="1">
      <alignment horizontal="center" vertical="center" wrapText="1"/>
    </xf>
    <xf numFmtId="177" fontId="2" fillId="0" borderId="11" xfId="11" applyNumberFormat="1" applyFont="1" applyFill="1" applyBorder="1" applyAlignment="1">
      <alignment horizontal="center" vertical="center" wrapText="1"/>
    </xf>
    <xf numFmtId="177" fontId="2" fillId="0" borderId="12" xfId="11" applyNumberFormat="1" applyFont="1" applyFill="1" applyBorder="1" applyAlignment="1">
      <alignment horizontal="center" vertical="center"/>
    </xf>
    <xf numFmtId="43" fontId="36" fillId="0" borderId="1" xfId="10" applyFont="1" applyFill="1" applyBorder="1" applyAlignment="1">
      <alignment horizontal="center" vertical="center"/>
    </xf>
    <xf numFmtId="1" fontId="2" fillId="0" borderId="28" xfId="0" applyNumberFormat="1" applyFont="1" applyFill="1" applyBorder="1" applyAlignment="1">
      <alignment horizontal="center" vertical="center" wrapText="1"/>
    </xf>
    <xf numFmtId="1" fontId="7" fillId="0" borderId="1" xfId="3" applyNumberFormat="1" applyFont="1" applyFill="1" applyBorder="1" applyAlignment="1">
      <alignment horizontal="center" vertical="center" wrapText="1"/>
    </xf>
    <xf numFmtId="0" fontId="7" fillId="0" borderId="1" xfId="3" applyFont="1" applyFill="1" applyBorder="1" applyAlignment="1">
      <alignment horizontal="justify" vertical="center" wrapText="1"/>
    </xf>
    <xf numFmtId="1" fontId="7" fillId="0" borderId="5" xfId="3" applyNumberFormat="1" applyFont="1" applyFill="1" applyBorder="1" applyAlignment="1">
      <alignment horizontal="center" vertical="center" wrapText="1"/>
    </xf>
    <xf numFmtId="0" fontId="7" fillId="0" borderId="40" xfId="3" applyFont="1" applyFill="1" applyBorder="1" applyAlignment="1">
      <alignment horizontal="justify" vertical="center" wrapText="1"/>
    </xf>
    <xf numFmtId="1" fontId="2" fillId="0" borderId="32" xfId="0" applyNumberFormat="1" applyFont="1" applyFill="1" applyBorder="1" applyAlignment="1">
      <alignment horizontal="center" vertical="center" wrapText="1"/>
    </xf>
    <xf numFmtId="0" fontId="3" fillId="6" borderId="37" xfId="0" applyFont="1" applyFill="1" applyBorder="1" applyAlignment="1">
      <alignment vertical="center"/>
    </xf>
    <xf numFmtId="0" fontId="3" fillId="6" borderId="16" xfId="10" applyNumberFormat="1" applyFont="1" applyFill="1" applyBorder="1" applyAlignment="1">
      <alignment horizontal="center" vertical="center"/>
    </xf>
    <xf numFmtId="177" fontId="3" fillId="6" borderId="16" xfId="11"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0" fontId="2" fillId="0" borderId="13" xfId="0" applyFont="1" applyFill="1" applyBorder="1" applyAlignment="1">
      <alignment vertical="center"/>
    </xf>
    <xf numFmtId="0" fontId="2" fillId="0" borderId="28" xfId="0" applyFont="1" applyFill="1" applyBorder="1" applyAlignment="1">
      <alignment vertical="center"/>
    </xf>
    <xf numFmtId="1" fontId="2" fillId="0" borderId="10" xfId="0" applyNumberFormat="1"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1" fontId="2" fillId="0" borderId="32"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22" xfId="0" applyFont="1" applyFill="1" applyBorder="1" applyAlignment="1">
      <alignment vertical="center"/>
    </xf>
    <xf numFmtId="0" fontId="7" fillId="0" borderId="19" xfId="0" applyFont="1" applyFill="1" applyBorder="1" applyAlignment="1">
      <alignment horizontal="center" vertical="center" wrapText="1"/>
    </xf>
    <xf numFmtId="0" fontId="7" fillId="0" borderId="19" xfId="0" applyFont="1" applyFill="1" applyBorder="1" applyAlignment="1">
      <alignment horizontal="justify" vertical="center" wrapText="1"/>
    </xf>
    <xf numFmtId="1" fontId="7" fillId="0" borderId="5" xfId="0" applyNumberFormat="1" applyFont="1" applyFill="1" applyBorder="1" applyAlignment="1">
      <alignment horizontal="center" vertical="center" wrapText="1"/>
    </xf>
    <xf numFmtId="0" fontId="2" fillId="0" borderId="1" xfId="10" applyNumberFormat="1" applyFont="1" applyFill="1" applyBorder="1" applyAlignment="1">
      <alignment horizontal="center" vertical="center"/>
    </xf>
    <xf numFmtId="9" fontId="2" fillId="0" borderId="1" xfId="2" applyFont="1" applyFill="1" applyBorder="1" applyAlignment="1">
      <alignment horizontal="center" vertical="center"/>
    </xf>
    <xf numFmtId="0" fontId="2" fillId="0" borderId="1" xfId="0" applyFont="1" applyFill="1" applyBorder="1" applyAlignment="1">
      <alignment horizontal="justify" vertical="center"/>
    </xf>
    <xf numFmtId="177" fontId="2" fillId="0" borderId="1" xfId="11" applyNumberFormat="1" applyFont="1" applyFill="1" applyBorder="1" applyAlignment="1">
      <alignment horizontal="center" vertical="center"/>
    </xf>
    <xf numFmtId="177" fontId="2" fillId="0" borderId="2" xfId="11" applyNumberFormat="1" applyFont="1" applyFill="1" applyBorder="1" applyAlignment="1">
      <alignment horizontal="center" vertical="center"/>
    </xf>
    <xf numFmtId="177" fontId="2" fillId="0" borderId="40" xfId="11" applyNumberFormat="1" applyFont="1" applyFill="1" applyBorder="1" applyAlignment="1">
      <alignment horizontal="center" vertical="center"/>
    </xf>
    <xf numFmtId="177" fontId="2" fillId="0" borderId="0" xfId="11" applyNumberFormat="1" applyFont="1" applyFill="1" applyAlignment="1">
      <alignment horizontal="center" vertical="center"/>
    </xf>
    <xf numFmtId="177" fontId="2" fillId="0" borderId="4" xfId="11" applyNumberFormat="1" applyFont="1" applyFill="1" applyBorder="1" applyAlignment="1">
      <alignment horizontal="center" vertical="center"/>
    </xf>
    <xf numFmtId="43" fontId="36" fillId="0" borderId="1" xfId="10" applyFont="1" applyFill="1" applyBorder="1" applyAlignment="1">
      <alignment vertical="center" wrapText="1"/>
    </xf>
    <xf numFmtId="43" fontId="36" fillId="0" borderId="12" xfId="10" applyFont="1" applyFill="1" applyBorder="1" applyAlignment="1">
      <alignment horizontal="center" vertical="center" wrapText="1"/>
    </xf>
    <xf numFmtId="167" fontId="7" fillId="0" borderId="1" xfId="28" applyFont="1" applyFill="1" applyBorder="1" applyAlignment="1" applyProtection="1">
      <alignment horizontal="right" vertical="center"/>
      <protection locked="0"/>
    </xf>
    <xf numFmtId="0" fontId="7" fillId="0" borderId="29" xfId="0" applyFont="1" applyFill="1" applyBorder="1" applyAlignment="1">
      <alignment horizontal="justify" vertical="center" wrapText="1"/>
    </xf>
    <xf numFmtId="1" fontId="7" fillId="0" borderId="9" xfId="0" applyNumberFormat="1" applyFont="1" applyFill="1" applyBorder="1" applyAlignment="1">
      <alignment horizontal="center" vertical="center" wrapText="1"/>
    </xf>
    <xf numFmtId="43" fontId="2" fillId="0" borderId="12" xfId="1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32" xfId="27" applyFont="1" applyFill="1" applyBorder="1" applyAlignment="1">
      <alignment horizontal="center" vertical="center" wrapText="1"/>
    </xf>
    <xf numFmtId="0" fontId="2" fillId="0" borderId="2" xfId="27" applyFont="1" applyFill="1" applyBorder="1" applyAlignment="1">
      <alignment horizontal="center" vertical="center" wrapText="1"/>
    </xf>
    <xf numFmtId="41" fontId="36" fillId="0" borderId="1" xfId="11" applyFont="1" applyFill="1" applyBorder="1" applyAlignment="1">
      <alignment horizontal="center" vertical="center" wrapText="1"/>
    </xf>
    <xf numFmtId="0" fontId="7" fillId="0" borderId="1" xfId="27" applyFont="1" applyFill="1" applyBorder="1" applyAlignment="1">
      <alignment horizontal="center" vertical="center" wrapText="1"/>
    </xf>
    <xf numFmtId="1" fontId="2" fillId="0" borderId="32" xfId="27" applyNumberFormat="1" applyFont="1" applyFill="1" applyBorder="1" applyAlignment="1">
      <alignment horizontal="center" vertical="center" wrapText="1"/>
    </xf>
    <xf numFmtId="0" fontId="2" fillId="0" borderId="1" xfId="27" applyFont="1" applyFill="1" applyBorder="1" applyAlignment="1">
      <alignment horizontal="justify" vertical="center"/>
    </xf>
    <xf numFmtId="43" fontId="23" fillId="0" borderId="1" xfId="10" applyFont="1" applyFill="1" applyBorder="1" applyAlignment="1">
      <alignment horizontal="center" vertical="center" wrapText="1"/>
    </xf>
    <xf numFmtId="177" fontId="7" fillId="0" borderId="2" xfId="11" applyNumberFormat="1" applyFont="1" applyFill="1" applyBorder="1" applyAlignment="1">
      <alignment horizontal="center" vertical="center" wrapText="1"/>
    </xf>
    <xf numFmtId="177" fontId="7" fillId="0" borderId="13" xfId="11" applyNumberFormat="1" applyFont="1" applyFill="1" applyBorder="1" applyAlignment="1">
      <alignment horizontal="center" vertical="center" wrapText="1"/>
    </xf>
    <xf numFmtId="177" fontId="7" fillId="0" borderId="13" xfId="11" applyNumberFormat="1" applyFont="1" applyFill="1" applyBorder="1" applyAlignment="1">
      <alignment horizontal="center" vertical="center"/>
    </xf>
    <xf numFmtId="0" fontId="2" fillId="0" borderId="17" xfId="0" applyFont="1" applyFill="1" applyBorder="1" applyAlignment="1">
      <alignment vertical="center"/>
    </xf>
    <xf numFmtId="1" fontId="3" fillId="6" borderId="44" xfId="0" applyNumberFormat="1" applyFont="1" applyFill="1" applyBorder="1" applyAlignment="1">
      <alignment horizontal="left" vertical="center"/>
    </xf>
    <xf numFmtId="177" fontId="3" fillId="6" borderId="17" xfId="11" applyNumberFormat="1" applyFont="1" applyFill="1" applyBorder="1" applyAlignment="1">
      <alignment horizontal="center" vertical="center"/>
    </xf>
    <xf numFmtId="1" fontId="3" fillId="6" borderId="17" xfId="0" applyNumberFormat="1" applyFont="1" applyFill="1" applyBorder="1" applyAlignment="1">
      <alignment horizontal="center" vertical="center"/>
    </xf>
    <xf numFmtId="1" fontId="7" fillId="6" borderId="16" xfId="0" applyNumberFormat="1"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1" fontId="7" fillId="0" borderId="4" xfId="3"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10" applyNumberFormat="1" applyFont="1" applyFill="1" applyBorder="1" applyAlignment="1">
      <alignment horizontal="center" vertical="center"/>
    </xf>
    <xf numFmtId="177" fontId="2" fillId="0" borderId="3" xfId="11" applyNumberFormat="1"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0" xfId="0" applyFont="1" applyFill="1" applyBorder="1" applyAlignment="1">
      <alignment horizontal="center" vertical="center" wrapText="1"/>
    </xf>
    <xf numFmtId="177" fontId="6" fillId="0" borderId="5" xfId="11" applyNumberFormat="1" applyFont="1" applyFill="1" applyBorder="1" applyAlignment="1">
      <alignment horizontal="center" vertical="center" wrapText="1"/>
    </xf>
    <xf numFmtId="0" fontId="2" fillId="0" borderId="1" xfId="27" applyFont="1" applyFill="1" applyBorder="1" applyAlignment="1">
      <alignment horizontal="center" vertical="center" wrapText="1"/>
    </xf>
    <xf numFmtId="167" fontId="7" fillId="0" borderId="12" xfId="28" applyFont="1" applyFill="1" applyBorder="1" applyAlignment="1" applyProtection="1">
      <alignment horizontal="right" vertical="center"/>
      <protection locked="0"/>
    </xf>
    <xf numFmtId="167" fontId="7" fillId="0" borderId="12" xfId="7" applyFont="1" applyFill="1" applyBorder="1" applyAlignment="1" applyProtection="1">
      <alignment horizontal="right" vertical="center"/>
      <protection locked="0"/>
    </xf>
    <xf numFmtId="0" fontId="6" fillId="0" borderId="5" xfId="0" quotePrefix="1" applyFont="1" applyFill="1" applyBorder="1" applyAlignment="1">
      <alignment horizontal="left" vertical="center" wrapText="1"/>
    </xf>
    <xf numFmtId="0" fontId="6" fillId="0" borderId="19" xfId="0" quotePrefix="1" applyFont="1" applyFill="1" applyBorder="1" applyAlignment="1">
      <alignment horizontal="center" vertical="center" wrapText="1"/>
    </xf>
    <xf numFmtId="0" fontId="7" fillId="0" borderId="1" xfId="3" applyFont="1" applyFill="1" applyBorder="1" applyAlignment="1">
      <alignment horizontal="center" vertical="center" wrapText="1"/>
    </xf>
    <xf numFmtId="0" fontId="2" fillId="27" borderId="0" xfId="0" applyFont="1" applyFill="1" applyAlignment="1">
      <alignment horizontal="center" vertical="center"/>
    </xf>
    <xf numFmtId="0" fontId="7" fillId="0" borderId="1" xfId="10" applyNumberFormat="1" applyFont="1" applyFill="1" applyBorder="1" applyAlignment="1">
      <alignment horizontal="center" vertical="center"/>
    </xf>
    <xf numFmtId="0" fontId="7" fillId="0" borderId="1" xfId="0" applyFont="1" applyFill="1" applyBorder="1" applyAlignment="1">
      <alignment vertical="center" wrapText="1"/>
    </xf>
    <xf numFmtId="1" fontId="2" fillId="0" borderId="28" xfId="27" applyNumberFormat="1" applyFont="1" applyFill="1" applyBorder="1" applyAlignment="1">
      <alignment horizontal="center" vertical="center" wrapText="1"/>
    </xf>
    <xf numFmtId="0" fontId="2" fillId="0" borderId="12" xfId="27" applyFont="1" applyFill="1" applyBorder="1" applyAlignment="1">
      <alignment horizontal="center" vertical="center" wrapText="1"/>
    </xf>
    <xf numFmtId="0" fontId="3" fillId="21" borderId="2" xfId="0" applyFont="1" applyFill="1" applyBorder="1" applyAlignment="1">
      <alignment horizontal="center" vertical="center"/>
    </xf>
    <xf numFmtId="0" fontId="3" fillId="21" borderId="36" xfId="0" applyFont="1" applyFill="1" applyBorder="1" applyAlignment="1">
      <alignment horizontal="center" vertical="center"/>
    </xf>
    <xf numFmtId="0" fontId="3" fillId="21" borderId="36" xfId="0" applyFont="1" applyFill="1" applyBorder="1" applyAlignment="1">
      <alignment vertical="center"/>
    </xf>
    <xf numFmtId="177" fontId="3" fillId="21" borderId="1" xfId="11" applyNumberFormat="1" applyFont="1" applyFill="1" applyBorder="1" applyAlignment="1">
      <alignment horizontal="center" vertical="center"/>
    </xf>
    <xf numFmtId="0" fontId="3" fillId="21" borderId="1" xfId="0" applyFont="1" applyFill="1" applyBorder="1" applyAlignment="1">
      <alignment horizontal="center" vertical="center"/>
    </xf>
    <xf numFmtId="41" fontId="3" fillId="21" borderId="1" xfId="11" applyFont="1" applyFill="1" applyBorder="1" applyAlignment="1">
      <alignment horizontal="center" vertical="center"/>
    </xf>
    <xf numFmtId="9" fontId="3" fillId="21" borderId="1" xfId="2" applyFont="1" applyFill="1" applyBorder="1" applyAlignment="1">
      <alignment horizontal="center" vertical="center"/>
    </xf>
    <xf numFmtId="0" fontId="3" fillId="21" borderId="32" xfId="0" applyFont="1" applyFill="1" applyBorder="1" applyAlignment="1">
      <alignment horizontal="center" vertical="center"/>
    </xf>
    <xf numFmtId="0" fontId="2" fillId="0" borderId="0" xfId="0" applyFont="1" applyAlignment="1">
      <alignment vertical="center"/>
    </xf>
    <xf numFmtId="166"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3" fillId="0" borderId="0" xfId="0" applyFont="1" applyFill="1" applyAlignment="1">
      <alignment vertical="center"/>
    </xf>
    <xf numFmtId="165" fontId="3" fillId="0" borderId="0" xfId="0" applyNumberFormat="1" applyFont="1" applyFill="1" applyAlignment="1">
      <alignment horizontal="center" vertical="center"/>
    </xf>
    <xf numFmtId="165" fontId="3" fillId="0" borderId="0" xfId="0" applyNumberFormat="1" applyFont="1" applyAlignment="1">
      <alignment horizontal="center" vertical="center"/>
    </xf>
    <xf numFmtId="14" fontId="2" fillId="0" borderId="0" xfId="0" applyNumberFormat="1" applyFont="1" applyAlignment="1">
      <alignment horizontal="center" vertical="center"/>
    </xf>
    <xf numFmtId="0" fontId="2" fillId="2" borderId="0" xfId="0" applyFont="1" applyFill="1" applyAlignment="1">
      <alignment vertical="center"/>
    </xf>
    <xf numFmtId="0" fontId="0" fillId="0" borderId="0" xfId="0" applyAlignment="1"/>
    <xf numFmtId="0" fontId="5" fillId="0" borderId="1" xfId="0" applyFont="1" applyBorder="1" applyAlignment="1">
      <alignment horizontal="left" vertical="center"/>
    </xf>
    <xf numFmtId="14" fontId="5" fillId="0" borderId="1" xfId="0" applyNumberFormat="1"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2" fillId="0" borderId="7"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6" fillId="0" borderId="1" xfId="0" applyFont="1" applyBorder="1" applyAlignment="1">
      <alignment horizontal="justify" vertical="center" wrapText="1"/>
    </xf>
    <xf numFmtId="0" fontId="5" fillId="10" borderId="0" xfId="0" applyFont="1" applyFill="1" applyBorder="1" applyAlignment="1">
      <alignment horizontal="left"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5" fillId="10" borderId="30" xfId="0" applyFont="1" applyFill="1" applyBorder="1" applyAlignment="1">
      <alignment horizontal="left" vertical="center"/>
    </xf>
    <xf numFmtId="165" fontId="3"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5"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7" fillId="0" borderId="6" xfId="0" applyFont="1" applyBorder="1" applyAlignment="1">
      <alignment horizontal="center" vertical="center" wrapText="1"/>
    </xf>
    <xf numFmtId="0" fontId="3" fillId="0" borderId="36" xfId="0" applyFont="1" applyBorder="1" applyAlignment="1">
      <alignment horizontal="center" vertical="center"/>
    </xf>
    <xf numFmtId="0" fontId="2" fillId="0" borderId="0" xfId="0" applyFont="1" applyAlignment="1">
      <alignment horizontal="center" vertical="center"/>
    </xf>
    <xf numFmtId="0" fontId="3" fillId="12" borderId="32" xfId="0" applyFont="1" applyFill="1" applyBorder="1" applyAlignment="1">
      <alignment horizontal="center" vertical="center" wrapText="1"/>
    </xf>
    <xf numFmtId="166" fontId="7" fillId="0" borderId="5" xfId="3" applyNumberFormat="1" applyFont="1" applyBorder="1" applyAlignment="1">
      <alignment horizontal="center" vertical="center" wrapText="1"/>
    </xf>
    <xf numFmtId="166" fontId="7" fillId="0" borderId="13" xfId="3" applyNumberFormat="1" applyFont="1" applyBorder="1" applyAlignment="1">
      <alignment horizontal="center" vertical="center" wrapText="1"/>
    </xf>
    <xf numFmtId="1" fontId="7" fillId="2" borderId="15" xfId="3" applyNumberFormat="1" applyFont="1" applyFill="1" applyBorder="1" applyAlignment="1">
      <alignment horizontal="center" vertical="center" wrapText="1"/>
    </xf>
    <xf numFmtId="0" fontId="3" fillId="6" borderId="23" xfId="0" applyFont="1" applyFill="1" applyBorder="1" applyAlignment="1">
      <alignment vertical="center"/>
    </xf>
    <xf numFmtId="0" fontId="3" fillId="6" borderId="36" xfId="0" applyFont="1" applyFill="1" applyBorder="1" applyAlignment="1">
      <alignment vertical="center"/>
    </xf>
    <xf numFmtId="0" fontId="3" fillId="6" borderId="72" xfId="0" applyFont="1" applyFill="1" applyBorder="1" applyAlignment="1">
      <alignment vertical="center"/>
    </xf>
    <xf numFmtId="0" fontId="3" fillId="6" borderId="73" xfId="0" applyFont="1" applyFill="1" applyBorder="1" applyAlignment="1">
      <alignment vertical="center"/>
    </xf>
    <xf numFmtId="0" fontId="3" fillId="6" borderId="40" xfId="0" applyFont="1" applyFill="1" applyBorder="1" applyAlignment="1">
      <alignment vertical="center"/>
    </xf>
    <xf numFmtId="0" fontId="3" fillId="6" borderId="18" xfId="0" applyFont="1" applyFill="1" applyBorder="1" applyAlignment="1">
      <alignment vertical="center"/>
    </xf>
    <xf numFmtId="0" fontId="3" fillId="6" borderId="0" xfId="0" applyFont="1" applyFill="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1" fontId="3" fillId="1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3" fontId="3" fillId="12" borderId="1" xfId="0" applyNumberFormat="1" applyFont="1" applyFill="1" applyBorder="1" applyAlignment="1">
      <alignment horizontal="center" vertical="center" wrapText="1"/>
    </xf>
    <xf numFmtId="0" fontId="5" fillId="1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2" xfId="3" applyFont="1" applyFill="1" applyBorder="1" applyAlignment="1">
      <alignment horizontal="center" vertical="center" wrapText="1"/>
    </xf>
    <xf numFmtId="0" fontId="7" fillId="2" borderId="12"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1" fontId="7" fillId="2" borderId="3"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12" borderId="1" xfId="0" applyFont="1" applyFill="1" applyBorder="1" applyAlignment="1">
      <alignment horizontal="center" vertical="center" wrapText="1"/>
    </xf>
    <xf numFmtId="165" fontId="3" fillId="12" borderId="1" xfId="0" applyNumberFormat="1" applyFont="1" applyFill="1" applyBorder="1" applyAlignment="1">
      <alignment horizontal="center" vertical="center" wrapText="1"/>
    </xf>
    <xf numFmtId="166" fontId="3" fillId="12" borderId="1" xfId="0" applyNumberFormat="1" applyFont="1" applyFill="1" applyBorder="1" applyAlignment="1">
      <alignment horizontal="center" vertical="center" wrapText="1"/>
    </xf>
    <xf numFmtId="1" fontId="7" fillId="2" borderId="42" xfId="0" applyNumberFormat="1" applyFont="1" applyFill="1" applyBorder="1" applyAlignment="1">
      <alignment horizontal="center" vertical="center" wrapText="1"/>
    </xf>
    <xf numFmtId="1" fontId="7" fillId="2" borderId="14" xfId="0" applyNumberFormat="1" applyFont="1" applyFill="1" applyBorder="1" applyAlignment="1">
      <alignment horizontal="center" vertical="center" wrapText="1"/>
    </xf>
    <xf numFmtId="0" fontId="3" fillId="12"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32" xfId="0" applyFont="1" applyFill="1" applyBorder="1" applyAlignment="1">
      <alignment horizontal="center" vertical="center" wrapText="1"/>
    </xf>
    <xf numFmtId="0" fontId="2" fillId="0" borderId="0" xfId="0" applyFont="1" applyAlignment="1">
      <alignment horizontal="center" vertical="center"/>
    </xf>
    <xf numFmtId="1" fontId="3" fillId="12" borderId="0" xfId="0" applyNumberFormat="1" applyFont="1" applyFill="1" applyBorder="1" applyAlignment="1">
      <alignment horizontal="center" vertical="center" wrapText="1"/>
    </xf>
    <xf numFmtId="0" fontId="3" fillId="12" borderId="38" xfId="0" applyFont="1" applyFill="1" applyBorder="1" applyAlignment="1">
      <alignment horizontal="center" vertical="center" wrapText="1"/>
    </xf>
    <xf numFmtId="166" fontId="3" fillId="12" borderId="0" xfId="0" applyNumberFormat="1" applyFont="1" applyFill="1" applyBorder="1" applyAlignment="1">
      <alignment horizontal="center" vertical="center" wrapText="1"/>
    </xf>
    <xf numFmtId="165" fontId="3" fillId="12" borderId="0" xfId="0" applyNumberFormat="1" applyFont="1" applyFill="1" applyBorder="1" applyAlignment="1">
      <alignment horizontal="center" vertical="center" wrapText="1"/>
    </xf>
    <xf numFmtId="175" fontId="3" fillId="12" borderId="1" xfId="0" applyNumberFormat="1" applyFont="1" applyFill="1" applyBorder="1" applyAlignment="1">
      <alignment horizontal="center" vertical="center" wrapText="1"/>
    </xf>
    <xf numFmtId="0" fontId="3" fillId="12" borderId="0" xfId="0" applyFont="1" applyFill="1" applyBorder="1" applyAlignment="1">
      <alignment horizontal="center" vertical="center" textRotation="90" wrapText="1"/>
    </xf>
    <xf numFmtId="0" fontId="5" fillId="11" borderId="9" xfId="0" applyFont="1" applyFill="1" applyBorder="1" applyAlignment="1">
      <alignment horizontal="center" vertical="center" wrapText="1"/>
    </xf>
    <xf numFmtId="0" fontId="5" fillId="11" borderId="37" xfId="0" applyFont="1" applyFill="1" applyBorder="1" applyAlignment="1">
      <alignment horizontal="left" vertical="center" wrapText="1"/>
    </xf>
    <xf numFmtId="0" fontId="12" fillId="11" borderId="37" xfId="0" applyFont="1" applyFill="1" applyBorder="1" applyAlignment="1">
      <alignment horizontal="center" vertical="center" wrapText="1"/>
    </xf>
    <xf numFmtId="0" fontId="12" fillId="11"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10" borderId="30"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43" fontId="7" fillId="0" borderId="5" xfId="10" applyFont="1" applyFill="1" applyBorder="1" applyAlignment="1">
      <alignment horizontal="right" vertical="center" wrapText="1"/>
    </xf>
    <xf numFmtId="0" fontId="7" fillId="2" borderId="14" xfId="0" applyFont="1" applyFill="1" applyBorder="1" applyAlignment="1">
      <alignment horizontal="center" vertical="center" wrapText="1"/>
    </xf>
    <xf numFmtId="0" fontId="6" fillId="0" borderId="15" xfId="0" applyFont="1" applyFill="1" applyBorder="1" applyAlignment="1">
      <alignment horizontal="justify" vertical="center" wrapText="1"/>
    </xf>
    <xf numFmtId="167" fontId="7" fillId="0" borderId="40" xfId="29" applyFont="1" applyFill="1" applyBorder="1" applyAlignment="1">
      <alignment horizontal="righ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167" fontId="7" fillId="0" borderId="18" xfId="29" applyFont="1" applyFill="1" applyBorder="1" applyAlignment="1">
      <alignment horizontal="right" vertical="center" wrapText="1"/>
    </xf>
    <xf numFmtId="167" fontId="7" fillId="0" borderId="31" xfId="29" applyFont="1" applyFill="1" applyBorder="1" applyAlignment="1">
      <alignment horizontal="right" vertical="center" wrapText="1"/>
    </xf>
    <xf numFmtId="43" fontId="7" fillId="0" borderId="1" xfId="10" applyFont="1" applyFill="1" applyBorder="1" applyAlignment="1">
      <alignment horizontal="right" vertical="center" wrapText="1"/>
    </xf>
    <xf numFmtId="167" fontId="7" fillId="0" borderId="1" xfId="29" applyFont="1" applyFill="1" applyBorder="1" applyAlignment="1">
      <alignment horizontal="right" vertical="center" wrapText="1"/>
    </xf>
    <xf numFmtId="3" fontId="7" fillId="2" borderId="3" xfId="18" applyNumberFormat="1" applyFont="1" applyFill="1" applyBorder="1" applyAlignment="1">
      <alignment horizontal="center" vertical="center" wrapText="1"/>
    </xf>
    <xf numFmtId="0" fontId="7" fillId="2" borderId="42"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6" borderId="40" xfId="0" applyFont="1" applyFill="1" applyBorder="1" applyAlignment="1">
      <alignment vertical="center"/>
    </xf>
    <xf numFmtId="0" fontId="5" fillId="6" borderId="16" xfId="0" applyFont="1" applyFill="1" applyBorder="1" applyAlignment="1">
      <alignment vertical="center"/>
    </xf>
    <xf numFmtId="167" fontId="12" fillId="6" borderId="0" xfId="29" applyFont="1" applyFill="1" applyBorder="1" applyAlignment="1">
      <alignment horizontal="center" vertical="center" wrapText="1"/>
    </xf>
    <xf numFmtId="0" fontId="12" fillId="6" borderId="0" xfId="0" applyFont="1" applyFill="1" applyBorder="1" applyAlignment="1">
      <alignment horizontal="justify" vertical="center" wrapText="1"/>
    </xf>
    <xf numFmtId="43" fontId="5" fillId="6" borderId="0" xfId="10" applyFont="1" applyFill="1" applyBorder="1" applyAlignment="1">
      <alignment horizontal="right" vertical="center" wrapText="1"/>
    </xf>
    <xf numFmtId="0" fontId="5" fillId="6" borderId="0"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7" fillId="2" borderId="14" xfId="3" applyFont="1" applyFill="1" applyBorder="1" applyAlignment="1">
      <alignment horizontal="center" vertical="center"/>
    </xf>
    <xf numFmtId="0" fontId="6" fillId="7" borderId="2" xfId="0" applyFont="1" applyFill="1" applyBorder="1" applyAlignment="1">
      <alignment horizontal="justify" vertical="center" wrapText="1"/>
    </xf>
    <xf numFmtId="0" fontId="6" fillId="7" borderId="0" xfId="0" applyFont="1" applyFill="1" applyBorder="1" applyAlignment="1">
      <alignment horizontal="center" vertical="center" wrapText="1"/>
    </xf>
    <xf numFmtId="0" fontId="7" fillId="2" borderId="14" xfId="3" applyFont="1" applyFill="1" applyBorder="1" applyAlignment="1">
      <alignment vertical="center" wrapText="1"/>
    </xf>
    <xf numFmtId="0" fontId="6" fillId="5" borderId="21" xfId="0" applyFont="1" applyFill="1" applyBorder="1" applyAlignment="1">
      <alignment horizontal="justify" vertical="center" wrapText="1"/>
    </xf>
    <xf numFmtId="167" fontId="7" fillId="0" borderId="48" xfId="29" applyFont="1" applyFill="1" applyBorder="1" applyAlignment="1">
      <alignment horizontal="right" vertical="center" wrapText="1"/>
    </xf>
    <xf numFmtId="0" fontId="7" fillId="2" borderId="4" xfId="3" applyFont="1" applyFill="1" applyBorder="1" applyAlignment="1">
      <alignment horizontal="center" vertical="center" wrapText="1"/>
    </xf>
    <xf numFmtId="0" fontId="12" fillId="28" borderId="2" xfId="0" applyFont="1" applyFill="1" applyBorder="1" applyAlignment="1">
      <alignment horizontal="center" vertical="center" wrapText="1"/>
    </xf>
    <xf numFmtId="0" fontId="12" fillId="28" borderId="36" xfId="0" applyFont="1" applyFill="1" applyBorder="1" applyAlignment="1">
      <alignment horizontal="center" vertical="center" wrapText="1"/>
    </xf>
    <xf numFmtId="167" fontId="12" fillId="28" borderId="36" xfId="29" applyFont="1" applyFill="1" applyBorder="1" applyAlignment="1">
      <alignment horizontal="center" vertical="center" wrapText="1"/>
    </xf>
    <xf numFmtId="167" fontId="5" fillId="28" borderId="1" xfId="29" applyFont="1" applyFill="1" applyBorder="1" applyAlignment="1">
      <alignment horizontal="center" vertical="center" wrapText="1"/>
    </xf>
    <xf numFmtId="1" fontId="12" fillId="28" borderId="36" xfId="0" applyNumberFormat="1" applyFont="1" applyFill="1" applyBorder="1" applyAlignment="1">
      <alignment horizontal="center" vertical="center" wrapText="1"/>
    </xf>
    <xf numFmtId="167" fontId="12" fillId="28" borderId="36" xfId="0" applyNumberFormat="1" applyFont="1" applyFill="1" applyBorder="1" applyAlignment="1">
      <alignment horizontal="center" vertical="center" wrapText="1"/>
    </xf>
    <xf numFmtId="0" fontId="12" fillId="28" borderId="32" xfId="0" applyFont="1" applyFill="1" applyBorder="1" applyAlignment="1">
      <alignment horizontal="center" vertical="center" wrapText="1"/>
    </xf>
    <xf numFmtId="186" fontId="2" fillId="0" borderId="0" xfId="0" applyNumberFormat="1" applyFont="1" applyAlignment="1">
      <alignment horizontal="center" vertical="center"/>
    </xf>
    <xf numFmtId="43" fontId="2" fillId="0" borderId="0" xfId="0" applyNumberFormat="1" applyFont="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70" fontId="16" fillId="0" borderId="1" xfId="0" applyNumberFormat="1" applyFont="1" applyFill="1" applyBorder="1" applyAlignment="1">
      <alignment horizontal="left" vertical="center"/>
    </xf>
    <xf numFmtId="3" fontId="17" fillId="0" borderId="1" xfId="0" applyNumberFormat="1" applyFont="1" applyFill="1" applyBorder="1" applyAlignment="1">
      <alignment horizontal="center" vertical="center" wrapText="1"/>
    </xf>
    <xf numFmtId="3" fontId="3" fillId="0" borderId="0" xfId="0" applyNumberFormat="1" applyFont="1" applyBorder="1" applyAlignment="1">
      <alignment horizontal="center" vertical="center"/>
    </xf>
    <xf numFmtId="0" fontId="12" fillId="11" borderId="1" xfId="0" applyFont="1" applyFill="1" applyBorder="1" applyAlignment="1">
      <alignment horizontal="center" vertical="center" wrapText="1"/>
    </xf>
    <xf numFmtId="0" fontId="12" fillId="11" borderId="36" xfId="0" applyFont="1" applyFill="1" applyBorder="1" applyAlignment="1">
      <alignment horizontal="center" wrapText="1"/>
    </xf>
    <xf numFmtId="0" fontId="12" fillId="11" borderId="37" xfId="0" applyFont="1" applyFill="1" applyBorder="1" applyAlignment="1">
      <alignment horizontal="center" wrapText="1"/>
    </xf>
    <xf numFmtId="0" fontId="25" fillId="11" borderId="37" xfId="0" applyFont="1" applyFill="1" applyBorder="1" applyAlignment="1">
      <alignment horizontal="center" wrapText="1"/>
    </xf>
    <xf numFmtId="3" fontId="12" fillId="11" borderId="37" xfId="0" applyNumberFormat="1" applyFont="1" applyFill="1" applyBorder="1" applyAlignment="1">
      <alignment horizontal="center" wrapText="1"/>
    </xf>
    <xf numFmtId="0" fontId="12" fillId="11" borderId="28" xfId="0" applyFont="1" applyFill="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2" fillId="10" borderId="30" xfId="0" applyFont="1" applyFill="1" applyBorder="1" applyAlignment="1">
      <alignment horizontal="center" wrapText="1"/>
    </xf>
    <xf numFmtId="0" fontId="12" fillId="10" borderId="30" xfId="0" applyFont="1" applyFill="1" applyBorder="1" applyAlignment="1">
      <alignment horizontal="center" vertical="center" wrapText="1"/>
    </xf>
    <xf numFmtId="0" fontId="25" fillId="10" borderId="30" xfId="0" applyFont="1" applyFill="1" applyBorder="1" applyAlignment="1">
      <alignment horizontal="center" wrapText="1"/>
    </xf>
    <xf numFmtId="3" fontId="12" fillId="10" borderId="30" xfId="0" applyNumberFormat="1" applyFont="1" applyFill="1" applyBorder="1" applyAlignment="1">
      <alignment horizontal="center" wrapText="1"/>
    </xf>
    <xf numFmtId="0" fontId="12" fillId="10" borderId="29" xfId="0" applyFont="1" applyFill="1" applyBorder="1" applyAlignment="1">
      <alignment horizontal="center" wrapText="1"/>
    </xf>
    <xf numFmtId="0" fontId="7" fillId="0" borderId="6" xfId="0" applyFont="1" applyBorder="1" applyAlignment="1">
      <alignment horizontal="center" wrapText="1"/>
    </xf>
    <xf numFmtId="0" fontId="5" fillId="0" borderId="0" xfId="0" applyFont="1" applyBorder="1" applyAlignment="1">
      <alignment horizontal="center" wrapText="1"/>
    </xf>
    <xf numFmtId="0" fontId="5" fillId="0" borderId="13" xfId="0" applyFont="1" applyBorder="1" applyAlignment="1">
      <alignment horizontal="center" wrapText="1"/>
    </xf>
    <xf numFmtId="0" fontId="5" fillId="0" borderId="28" xfId="0" applyFont="1" applyBorder="1" applyAlignment="1">
      <alignment horizontal="center" wrapText="1"/>
    </xf>
    <xf numFmtId="0" fontId="5" fillId="8" borderId="29" xfId="0" applyFont="1" applyFill="1" applyBorder="1" applyAlignment="1">
      <alignment horizontal="center" vertical="center" wrapText="1"/>
    </xf>
    <xf numFmtId="0" fontId="5" fillId="8" borderId="16" xfId="0" applyFont="1" applyFill="1" applyBorder="1" applyAlignment="1">
      <alignment horizontal="center" wrapText="1"/>
    </xf>
    <xf numFmtId="3" fontId="5" fillId="8" borderId="16" xfId="0" applyNumberFormat="1" applyFont="1" applyFill="1" applyBorder="1" applyAlignment="1">
      <alignment horizontal="center" wrapText="1"/>
    </xf>
    <xf numFmtId="3" fontId="7" fillId="8" borderId="16" xfId="0" applyNumberFormat="1" applyFont="1" applyFill="1" applyBorder="1" applyAlignment="1">
      <alignment horizontal="center" wrapText="1"/>
    </xf>
    <xf numFmtId="3" fontId="7" fillId="8" borderId="30" xfId="0" applyNumberFormat="1" applyFont="1" applyFill="1" applyBorder="1" applyAlignment="1">
      <alignment horizontal="center" wrapText="1"/>
    </xf>
    <xf numFmtId="0" fontId="7" fillId="8" borderId="16" xfId="0" applyFont="1" applyFill="1" applyBorder="1" applyAlignment="1">
      <alignment horizontal="center" wrapText="1"/>
    </xf>
    <xf numFmtId="0" fontId="7" fillId="8" borderId="19" xfId="0" applyFont="1" applyFill="1" applyBorder="1" applyAlignment="1">
      <alignment horizontal="center" wrapText="1"/>
    </xf>
    <xf numFmtId="0" fontId="2" fillId="0" borderId="6" xfId="0" applyFont="1" applyBorder="1" applyAlignment="1">
      <alignment horizontal="center"/>
    </xf>
    <xf numFmtId="0" fontId="6" fillId="0" borderId="38" xfId="0" applyFont="1" applyBorder="1" applyAlignment="1">
      <alignment horizontal="justify" vertical="center" wrapText="1"/>
    </xf>
    <xf numFmtId="0" fontId="6" fillId="2" borderId="4" xfId="0" applyFont="1" applyFill="1" applyBorder="1" applyAlignment="1">
      <alignment horizontal="justify" vertical="center" wrapText="1"/>
    </xf>
    <xf numFmtId="43" fontId="6" fillId="0" borderId="10" xfId="10" applyFont="1" applyFill="1" applyBorder="1" applyAlignment="1">
      <alignment horizontal="center" vertical="center" wrapText="1"/>
    </xf>
    <xf numFmtId="185" fontId="42" fillId="0" borderId="1" xfId="0" applyNumberFormat="1" applyFont="1" applyFill="1" applyBorder="1" applyAlignment="1">
      <alignment horizontal="right" vertical="center"/>
    </xf>
    <xf numFmtId="0" fontId="6" fillId="0" borderId="10" xfId="0" applyFont="1" applyBorder="1" applyAlignment="1">
      <alignment horizontal="center" vertical="center" wrapText="1"/>
    </xf>
    <xf numFmtId="0" fontId="6" fillId="0" borderId="0" xfId="0" applyFont="1" applyAlignment="1">
      <alignment horizontal="justify" vertical="center" wrapText="1"/>
    </xf>
    <xf numFmtId="0" fontId="6" fillId="2" borderId="3" xfId="0" applyFont="1" applyFill="1" applyBorder="1" applyAlignment="1">
      <alignment horizontal="justify" vertical="center" wrapText="1"/>
    </xf>
    <xf numFmtId="43" fontId="6" fillId="0" borderId="7" xfId="10" applyFont="1" applyFill="1" applyBorder="1" applyAlignment="1">
      <alignment horizontal="center" vertical="center" wrapText="1"/>
    </xf>
    <xf numFmtId="0" fontId="5" fillId="19" borderId="0" xfId="0" applyFont="1" applyFill="1" applyBorder="1" applyAlignment="1">
      <alignment horizontal="center" vertical="center" wrapText="1"/>
    </xf>
    <xf numFmtId="0" fontId="6" fillId="10" borderId="30" xfId="0" applyFont="1" applyFill="1" applyBorder="1" applyAlignment="1">
      <alignment horizontal="justify" vertical="center" wrapText="1"/>
    </xf>
    <xf numFmtId="9" fontId="6" fillId="10" borderId="30" xfId="0" applyNumberFormat="1" applyFont="1" applyFill="1" applyBorder="1" applyAlignment="1">
      <alignment horizontal="center" vertical="center" wrapText="1"/>
    </xf>
    <xf numFmtId="167" fontId="6" fillId="10" borderId="30" xfId="29" applyFont="1" applyFill="1" applyBorder="1" applyAlignment="1">
      <alignment horizontal="center" vertical="center" wrapText="1"/>
    </xf>
    <xf numFmtId="43" fontId="6" fillId="10" borderId="30" xfId="10" applyFont="1" applyFill="1" applyBorder="1" applyAlignment="1">
      <alignment horizontal="center" vertical="center" wrapText="1"/>
    </xf>
    <xf numFmtId="187" fontId="6" fillId="10" borderId="30" xfId="11" applyNumberFormat="1"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29"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40" xfId="0" applyFont="1" applyFill="1" applyBorder="1" applyAlignment="1">
      <alignment vertical="center"/>
    </xf>
    <xf numFmtId="0" fontId="5" fillId="8" borderId="16" xfId="0" applyFont="1" applyFill="1" applyBorder="1" applyAlignment="1">
      <alignment vertical="center"/>
    </xf>
    <xf numFmtId="0" fontId="5" fillId="8" borderId="16" xfId="0" applyFont="1" applyFill="1" applyBorder="1" applyAlignment="1">
      <alignment horizontal="justify" vertical="center"/>
    </xf>
    <xf numFmtId="167" fontId="5" fillId="8" borderId="16" xfId="29" applyFont="1" applyFill="1" applyBorder="1" applyAlignment="1">
      <alignment horizontal="center" vertical="center" wrapText="1"/>
    </xf>
    <xf numFmtId="0" fontId="5" fillId="8" borderId="16" xfId="0" applyFont="1" applyFill="1" applyBorder="1" applyAlignment="1">
      <alignment horizontal="justify" vertical="center" wrapText="1"/>
    </xf>
    <xf numFmtId="43" fontId="5" fillId="8" borderId="16" xfId="10" applyFont="1" applyFill="1" applyBorder="1" applyAlignment="1">
      <alignment horizontal="center" vertical="center" wrapText="1"/>
    </xf>
    <xf numFmtId="3" fontId="5" fillId="8" borderId="16" xfId="0" applyNumberFormat="1" applyFont="1" applyFill="1" applyBorder="1" applyAlignment="1">
      <alignment horizontal="center" vertical="center" wrapText="1"/>
    </xf>
    <xf numFmtId="3" fontId="7" fillId="8" borderId="16" xfId="0" applyNumberFormat="1" applyFont="1" applyFill="1" applyBorder="1" applyAlignment="1">
      <alignment horizontal="center" vertical="center" wrapText="1"/>
    </xf>
    <xf numFmtId="187" fontId="7" fillId="8" borderId="16" xfId="11" applyNumberFormat="1" applyFont="1" applyFill="1" applyBorder="1" applyAlignment="1">
      <alignment horizontal="center" vertical="center" wrapText="1"/>
    </xf>
    <xf numFmtId="3" fontId="7" fillId="8" borderId="30" xfId="0" applyNumberFormat="1"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6" fillId="0" borderId="6" xfId="0" applyFont="1" applyBorder="1" applyAlignment="1">
      <alignment horizontal="center" wrapText="1"/>
    </xf>
    <xf numFmtId="0" fontId="6" fillId="0" borderId="0" xfId="0" applyFont="1" applyBorder="1" applyAlignment="1">
      <alignment horizontal="center" vertical="center" wrapText="1"/>
    </xf>
    <xf numFmtId="173" fontId="43" fillId="0" borderId="1" xfId="0" applyNumberFormat="1" applyFont="1" applyFill="1" applyBorder="1" applyAlignment="1" applyProtection="1">
      <alignment vertical="center"/>
    </xf>
    <xf numFmtId="43" fontId="6" fillId="0" borderId="1" xfId="10" applyFont="1" applyBorder="1" applyAlignment="1">
      <alignment horizontal="center" vertical="center" wrapText="1"/>
    </xf>
    <xf numFmtId="0" fontId="6" fillId="0" borderId="11" xfId="0" applyFont="1" applyBorder="1" applyAlignment="1">
      <alignment horizontal="center" wrapText="1"/>
    </xf>
    <xf numFmtId="0" fontId="6" fillId="0" borderId="38" xfId="0" applyFont="1" applyBorder="1" applyAlignment="1">
      <alignment horizontal="center" vertical="center" wrapText="1"/>
    </xf>
    <xf numFmtId="0" fontId="6" fillId="0" borderId="37" xfId="0" applyFont="1" applyBorder="1" applyAlignment="1">
      <alignment horizontal="justify" vertical="center" wrapText="1"/>
    </xf>
    <xf numFmtId="0" fontId="6" fillId="2" borderId="12" xfId="0" applyFont="1" applyFill="1" applyBorder="1" applyAlignment="1">
      <alignment horizontal="justify" vertical="center" wrapText="1"/>
    </xf>
    <xf numFmtId="0" fontId="5" fillId="11" borderId="16" xfId="0" applyFont="1" applyFill="1" applyBorder="1" applyAlignment="1">
      <alignment horizontal="center" vertical="center" wrapText="1"/>
    </xf>
    <xf numFmtId="0" fontId="7" fillId="11" borderId="16" xfId="0" applyFont="1" applyFill="1" applyBorder="1" applyAlignment="1">
      <alignment horizontal="center" vertical="center" wrapText="1"/>
    </xf>
    <xf numFmtId="167" fontId="5" fillId="11" borderId="16" xfId="29" applyFont="1" applyFill="1" applyBorder="1" applyAlignment="1">
      <alignment horizontal="center" vertical="center" wrapText="1"/>
    </xf>
    <xf numFmtId="43" fontId="5" fillId="11" borderId="16" xfId="10" applyFont="1" applyFill="1" applyBorder="1" applyAlignment="1">
      <alignment horizontal="center" vertical="center" wrapText="1"/>
    </xf>
    <xf numFmtId="3" fontId="5" fillId="11" borderId="16" xfId="0" applyNumberFormat="1" applyFont="1" applyFill="1" applyBorder="1" applyAlignment="1">
      <alignment horizontal="center" vertical="center" wrapText="1"/>
    </xf>
    <xf numFmtId="3" fontId="7" fillId="11" borderId="16" xfId="0" applyNumberFormat="1" applyFont="1" applyFill="1" applyBorder="1" applyAlignment="1">
      <alignment horizontal="center" vertical="center" wrapText="1"/>
    </xf>
    <xf numFmtId="187" fontId="7" fillId="11" borderId="16" xfId="11" applyNumberFormat="1" applyFont="1" applyFill="1" applyBorder="1" applyAlignment="1">
      <alignment horizontal="center" vertical="center" wrapText="1"/>
    </xf>
    <xf numFmtId="3" fontId="7" fillId="11" borderId="17" xfId="0" applyNumberFormat="1" applyFont="1" applyFill="1" applyBorder="1" applyAlignment="1">
      <alignment horizontal="center" vertical="center" wrapText="1"/>
    </xf>
    <xf numFmtId="0" fontId="7" fillId="11" borderId="19" xfId="0" applyFont="1" applyFill="1" applyBorder="1" applyAlignment="1">
      <alignment horizontal="center" vertical="center" wrapText="1"/>
    </xf>
    <xf numFmtId="0" fontId="5" fillId="19" borderId="29" xfId="0" applyFont="1" applyFill="1" applyBorder="1" applyAlignment="1">
      <alignment horizontal="center" wrapText="1"/>
    </xf>
    <xf numFmtId="167" fontId="5" fillId="10" borderId="0" xfId="29" applyFont="1" applyFill="1" applyBorder="1" applyAlignment="1">
      <alignment horizontal="center" vertical="center" wrapText="1"/>
    </xf>
    <xf numFmtId="43" fontId="5" fillId="10" borderId="0" xfId="10" applyFont="1" applyFill="1" applyBorder="1" applyAlignment="1">
      <alignment horizontal="center" vertical="center" wrapText="1"/>
    </xf>
    <xf numFmtId="3" fontId="5" fillId="10" borderId="0" xfId="0" applyNumberFormat="1" applyFont="1" applyFill="1" applyBorder="1" applyAlignment="1">
      <alignment horizontal="center" vertical="center" wrapText="1"/>
    </xf>
    <xf numFmtId="3" fontId="7" fillId="10" borderId="0" xfId="0" applyNumberFormat="1" applyFont="1" applyFill="1" applyBorder="1" applyAlignment="1">
      <alignment horizontal="center" vertical="center" wrapText="1"/>
    </xf>
    <xf numFmtId="187" fontId="7" fillId="10" borderId="0" xfId="11" applyNumberFormat="1" applyFont="1" applyFill="1" applyBorder="1" applyAlignment="1">
      <alignment horizontal="center" vertical="center" wrapText="1"/>
    </xf>
    <xf numFmtId="0" fontId="7" fillId="10" borderId="22" xfId="0" applyFont="1" applyFill="1" applyBorder="1" applyAlignment="1">
      <alignment horizontal="center" vertical="center" wrapText="1"/>
    </xf>
    <xf numFmtId="167" fontId="5" fillId="6" borderId="16" xfId="29" applyFont="1" applyFill="1" applyBorder="1" applyAlignment="1">
      <alignment horizontal="center" vertical="center" wrapText="1"/>
    </xf>
    <xf numFmtId="0" fontId="5" fillId="6" borderId="30" xfId="0" applyFont="1" applyFill="1" applyBorder="1" applyAlignment="1">
      <alignment horizontal="center" vertical="center" wrapText="1"/>
    </xf>
    <xf numFmtId="3" fontId="5" fillId="6" borderId="16" xfId="0" applyNumberFormat="1" applyFont="1" applyFill="1" applyBorder="1" applyAlignment="1">
      <alignment horizontal="center" vertical="center" wrapText="1"/>
    </xf>
    <xf numFmtId="3" fontId="7" fillId="6" borderId="16" xfId="0" applyNumberFormat="1" applyFont="1" applyFill="1" applyBorder="1" applyAlignment="1">
      <alignment horizontal="center" vertical="center" wrapText="1"/>
    </xf>
    <xf numFmtId="187" fontId="7" fillId="6" borderId="16" xfId="11" applyNumberFormat="1" applyFont="1" applyFill="1" applyBorder="1" applyAlignment="1">
      <alignment horizontal="center" vertical="center" wrapText="1"/>
    </xf>
    <xf numFmtId="3" fontId="7" fillId="6" borderId="30" xfId="0" applyNumberFormat="1" applyFont="1" applyFill="1" applyBorder="1" applyAlignment="1">
      <alignment horizontal="center" vertical="center" wrapText="1"/>
    </xf>
    <xf numFmtId="43" fontId="6" fillId="0" borderId="10" xfId="10" applyFont="1" applyBorder="1" applyAlignment="1">
      <alignment horizontal="center" vertical="center" wrapText="1"/>
    </xf>
    <xf numFmtId="185" fontId="43" fillId="0" borderId="1" xfId="0" applyNumberFormat="1" applyFont="1" applyFill="1" applyBorder="1" applyAlignment="1">
      <alignment horizontal="right" vertical="center"/>
    </xf>
    <xf numFmtId="0" fontId="6" fillId="0" borderId="11" xfId="0" applyFont="1" applyBorder="1" applyAlignment="1">
      <alignment horizontal="center" vertical="center" wrapText="1"/>
    </xf>
    <xf numFmtId="0" fontId="5" fillId="10" borderId="20" xfId="0" applyFont="1" applyFill="1" applyBorder="1" applyAlignment="1">
      <alignment vertical="center"/>
    </xf>
    <xf numFmtId="0" fontId="5" fillId="10" borderId="16" xfId="0" applyFont="1" applyFill="1" applyBorder="1" applyAlignment="1">
      <alignment vertical="center"/>
    </xf>
    <xf numFmtId="43" fontId="6" fillId="10" borderId="0" xfId="10" applyFont="1" applyFill="1" applyBorder="1" applyAlignment="1">
      <alignment horizontal="center" vertical="center" wrapText="1"/>
    </xf>
    <xf numFmtId="0" fontId="0" fillId="0" borderId="0" xfId="0" applyAlignment="1">
      <alignment vertical="center"/>
    </xf>
    <xf numFmtId="0" fontId="5" fillId="8" borderId="16" xfId="0" applyFont="1" applyFill="1" applyBorder="1" applyAlignment="1">
      <alignment horizontal="left" vertical="center"/>
    </xf>
    <xf numFmtId="0" fontId="5" fillId="8" borderId="30" xfId="0" applyFont="1" applyFill="1" applyBorder="1" applyAlignment="1">
      <alignment horizontal="center" vertical="center" wrapText="1"/>
    </xf>
    <xf numFmtId="43" fontId="5" fillId="8" borderId="30" xfId="10" applyFont="1" applyFill="1" applyBorder="1" applyAlignment="1">
      <alignment horizontal="center" vertical="center" wrapText="1"/>
    </xf>
    <xf numFmtId="0" fontId="6" fillId="0" borderId="60" xfId="0" applyFont="1" applyBorder="1" applyAlignment="1">
      <alignment horizontal="justify" vertical="center" wrapText="1"/>
    </xf>
    <xf numFmtId="0" fontId="6" fillId="0" borderId="14" xfId="0" applyFont="1" applyBorder="1" applyAlignment="1">
      <alignment horizontal="justify" vertical="center" wrapText="1"/>
    </xf>
    <xf numFmtId="10" fontId="6" fillId="0" borderId="14" xfId="0" applyNumberFormat="1" applyFont="1" applyBorder="1" applyAlignment="1">
      <alignment horizontal="center" vertical="center" wrapText="1"/>
    </xf>
    <xf numFmtId="167" fontId="2" fillId="0" borderId="1" xfId="7" applyFont="1" applyFill="1" applyBorder="1" applyAlignment="1" applyProtection="1">
      <alignment horizontal="right" vertical="center"/>
      <protection locked="0"/>
    </xf>
    <xf numFmtId="0" fontId="6" fillId="0" borderId="32" xfId="0" applyFont="1" applyBorder="1" applyAlignment="1">
      <alignment horizontal="center" vertical="center" wrapText="1"/>
    </xf>
    <xf numFmtId="0" fontId="12" fillId="28" borderId="38" xfId="0" applyFont="1" applyFill="1" applyBorder="1" applyAlignment="1">
      <alignment horizontal="center" vertical="center" wrapText="1"/>
    </xf>
    <xf numFmtId="167" fontId="12" fillId="28" borderId="1" xfId="29" applyFont="1" applyFill="1" applyBorder="1" applyAlignment="1">
      <alignment horizontal="center" vertical="center" wrapText="1"/>
    </xf>
    <xf numFmtId="0" fontId="25" fillId="28" borderId="38" xfId="0" applyFont="1" applyFill="1" applyBorder="1" applyAlignment="1">
      <alignment horizontal="center" vertical="center" wrapText="1"/>
    </xf>
    <xf numFmtId="43" fontId="12" fillId="28" borderId="1" xfId="10" applyFont="1" applyFill="1" applyBorder="1" applyAlignment="1">
      <alignment horizontal="center" vertical="center" wrapText="1"/>
    </xf>
    <xf numFmtId="3" fontId="12" fillId="28" borderId="38" xfId="0" applyNumberFormat="1" applyFont="1" applyFill="1" applyBorder="1" applyAlignment="1">
      <alignment horizontal="center" wrapText="1"/>
    </xf>
    <xf numFmtId="177" fontId="12" fillId="28" borderId="38" xfId="11" applyNumberFormat="1" applyFont="1" applyFill="1" applyBorder="1" applyAlignment="1">
      <alignment horizontal="center" vertical="center" wrapText="1"/>
    </xf>
    <xf numFmtId="177" fontId="12" fillId="28" borderId="1" xfId="11" applyNumberFormat="1" applyFont="1" applyFill="1" applyBorder="1" applyAlignment="1">
      <alignment horizontal="center" vertical="center" wrapText="1"/>
    </xf>
    <xf numFmtId="0" fontId="12" fillId="28" borderId="38" xfId="0" applyFont="1" applyFill="1" applyBorder="1" applyAlignment="1">
      <alignment horizontal="center" wrapText="1"/>
    </xf>
    <xf numFmtId="0" fontId="12" fillId="28" borderId="10" xfId="0" applyFont="1" applyFill="1" applyBorder="1" applyAlignment="1">
      <alignment horizontal="center" wrapText="1"/>
    </xf>
    <xf numFmtId="177" fontId="2" fillId="0" borderId="0" xfId="11" applyNumberFormat="1" applyFont="1" applyAlignment="1">
      <alignment horizontal="center"/>
    </xf>
    <xf numFmtId="3" fontId="2" fillId="0" borderId="0" xfId="0" applyNumberFormat="1" applyFont="1" applyAlignment="1">
      <alignment horizontal="center"/>
    </xf>
    <xf numFmtId="167" fontId="2" fillId="0" borderId="0" xfId="0" applyNumberFormat="1" applyFont="1" applyAlignment="1">
      <alignment horizontal="center"/>
    </xf>
    <xf numFmtId="43" fontId="44" fillId="0" borderId="0" xfId="0" applyNumberFormat="1" applyFont="1" applyAlignment="1">
      <alignment horizontal="center"/>
    </xf>
    <xf numFmtId="0" fontId="3" fillId="0" borderId="82" xfId="0" applyFont="1" applyFill="1" applyBorder="1" applyAlignment="1">
      <alignment horizontal="center" vertical="center"/>
    </xf>
    <xf numFmtId="0" fontId="2" fillId="0" borderId="65" xfId="0" applyFont="1" applyFill="1" applyBorder="1" applyAlignment="1">
      <alignment vertical="center"/>
    </xf>
    <xf numFmtId="14" fontId="2" fillId="0" borderId="65" xfId="0" applyNumberFormat="1" applyFont="1" applyFill="1" applyBorder="1" applyAlignment="1">
      <alignment horizontal="left" vertical="center" wrapText="1"/>
    </xf>
    <xf numFmtId="3" fontId="27" fillId="0" borderId="65" xfId="0" applyNumberFormat="1"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13" borderId="10" xfId="0" applyFont="1" applyFill="1" applyBorder="1" applyAlignment="1">
      <alignment horizontal="center" vertical="center" wrapText="1"/>
    </xf>
    <xf numFmtId="172" fontId="3" fillId="12" borderId="1" xfId="0" applyNumberFormat="1" applyFont="1" applyFill="1" applyBorder="1" applyAlignment="1">
      <alignment horizontal="center" vertical="center" wrapText="1"/>
    </xf>
    <xf numFmtId="172" fontId="5" fillId="12" borderId="1" xfId="0" applyNumberFormat="1" applyFont="1" applyFill="1" applyBorder="1" applyAlignment="1">
      <alignment horizontal="center" vertical="center" wrapText="1"/>
    </xf>
    <xf numFmtId="185" fontId="2" fillId="0" borderId="1" xfId="0" applyNumberFormat="1" applyFont="1" applyFill="1" applyBorder="1" applyAlignment="1">
      <alignment horizontal="right" vertical="center"/>
    </xf>
    <xf numFmtId="0" fontId="7" fillId="0" borderId="5" xfId="0" applyFont="1" applyFill="1" applyBorder="1" applyAlignment="1">
      <alignment horizontal="left" vertical="center" wrapText="1"/>
    </xf>
    <xf numFmtId="43" fontId="7" fillId="0" borderId="40" xfId="10" applyFont="1" applyFill="1" applyBorder="1" applyAlignment="1">
      <alignment horizontal="right" vertical="center" wrapText="1"/>
    </xf>
    <xf numFmtId="185" fontId="2" fillId="0" borderId="12" xfId="0" applyNumberFormat="1" applyFont="1" applyFill="1" applyBorder="1" applyAlignment="1">
      <alignment horizontal="right" vertical="center"/>
    </xf>
    <xf numFmtId="0" fontId="7" fillId="0" borderId="9"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3" fontId="7" fillId="2" borderId="1" xfId="10" applyFont="1" applyFill="1" applyBorder="1" applyAlignment="1">
      <alignment horizontal="right" vertical="center" wrapText="1"/>
    </xf>
    <xf numFmtId="0" fontId="12" fillId="6" borderId="0" xfId="0" applyFont="1" applyFill="1" applyBorder="1" applyAlignment="1">
      <alignment horizontal="center" vertical="center" wrapText="1"/>
    </xf>
    <xf numFmtId="0" fontId="5" fillId="6" borderId="0" xfId="0" applyFont="1" applyFill="1" applyBorder="1" applyAlignment="1">
      <alignment horizontal="left" vertical="center" wrapText="1"/>
    </xf>
    <xf numFmtId="43" fontId="7" fillId="0" borderId="4" xfId="10" applyFont="1" applyFill="1" applyBorder="1" applyAlignment="1">
      <alignment horizontal="right" vertical="center" wrapText="1"/>
    </xf>
    <xf numFmtId="167" fontId="7" fillId="0" borderId="62" xfId="29" applyFont="1" applyFill="1" applyBorder="1" applyAlignment="1">
      <alignment horizontal="right" vertical="center" wrapText="1"/>
    </xf>
    <xf numFmtId="43" fontId="7" fillId="0" borderId="3" xfId="10" applyFont="1" applyFill="1" applyBorder="1" applyAlignment="1">
      <alignment horizontal="right" vertical="center" wrapText="1"/>
    </xf>
    <xf numFmtId="167" fontId="7" fillId="0" borderId="55" xfId="29" applyFont="1" applyFill="1" applyBorder="1" applyAlignment="1">
      <alignment horizontal="right" vertical="center" wrapText="1"/>
    </xf>
    <xf numFmtId="167" fontId="7" fillId="0" borderId="86" xfId="29" applyFont="1" applyFill="1" applyBorder="1" applyAlignment="1">
      <alignment vertical="center" wrapText="1"/>
    </xf>
    <xf numFmtId="0" fontId="7" fillId="0" borderId="8" xfId="0" applyFont="1" applyFill="1" applyBorder="1" applyAlignment="1">
      <alignment horizontal="left" vertical="center" wrapText="1"/>
    </xf>
    <xf numFmtId="9" fontId="12" fillId="28" borderId="36" xfId="2" applyFont="1" applyFill="1" applyBorder="1" applyAlignment="1">
      <alignment horizontal="center" vertical="center" wrapText="1"/>
    </xf>
    <xf numFmtId="0" fontId="6" fillId="5" borderId="1" xfId="0" applyFont="1" applyFill="1" applyBorder="1" applyAlignment="1">
      <alignment horizontal="justify" vertical="center" wrapText="1"/>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14"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4" fontId="6" fillId="5" borderId="12" xfId="0" applyNumberFormat="1" applyFont="1" applyFill="1" applyBorder="1" applyAlignment="1">
      <alignment horizontal="center" vertical="center" wrapText="1"/>
    </xf>
    <xf numFmtId="14" fontId="6" fillId="5" borderId="3" xfId="0" applyNumberFormat="1" applyFont="1" applyFill="1" applyBorder="1" applyAlignment="1">
      <alignment horizontal="center" vertical="center" wrapText="1"/>
    </xf>
    <xf numFmtId="14" fontId="6" fillId="5"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7" fontId="6" fillId="2" borderId="1" xfId="1" applyNumberFormat="1" applyFont="1" applyFill="1" applyBorder="1" applyAlignment="1">
      <alignment horizontal="center" vertical="center" wrapText="1"/>
    </xf>
    <xf numFmtId="9" fontId="6" fillId="5" borderId="1" xfId="2" applyFont="1" applyFill="1" applyBorder="1" applyAlignment="1">
      <alignment horizontal="center" vertical="center" wrapText="1"/>
    </xf>
    <xf numFmtId="0" fontId="2" fillId="0" borderId="7" xfId="0" applyFont="1" applyBorder="1" applyAlignment="1">
      <alignment horizontal="center" vertical="center"/>
    </xf>
    <xf numFmtId="0" fontId="2" fillId="2" borderId="1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7" fillId="0" borderId="3" xfId="0" applyFont="1" applyBorder="1" applyAlignment="1">
      <alignment horizontal="center" vertical="center" wrapText="1"/>
    </xf>
    <xf numFmtId="0" fontId="6" fillId="0" borderId="13" xfId="0" applyFont="1" applyFill="1" applyBorder="1" applyAlignment="1">
      <alignment horizontal="justify" vertical="center" wrapText="1"/>
    </xf>
    <xf numFmtId="0" fontId="6" fillId="0" borderId="6" xfId="0" applyFont="1" applyFill="1" applyBorder="1" applyAlignment="1">
      <alignment horizontal="justify" vertical="center" wrapText="1"/>
    </xf>
    <xf numFmtId="9" fontId="2" fillId="2" borderId="1" xfId="2" applyFont="1" applyFill="1" applyBorder="1" applyAlignment="1">
      <alignment horizontal="center" vertical="center" wrapText="1"/>
    </xf>
    <xf numFmtId="167" fontId="2" fillId="0" borderId="1" xfId="1" applyNumberFormat="1" applyFont="1" applyBorder="1" applyAlignment="1">
      <alignment horizontal="center" vertical="center"/>
    </xf>
    <xf numFmtId="0" fontId="6" fillId="0" borderId="1" xfId="0" applyFont="1" applyFill="1" applyBorder="1" applyAlignment="1">
      <alignment horizontal="justify" vertical="center" wrapText="1"/>
    </xf>
    <xf numFmtId="0" fontId="5" fillId="6" borderId="18" xfId="0" applyFont="1" applyFill="1" applyBorder="1" applyAlignment="1">
      <alignment horizontal="left" vertical="center"/>
    </xf>
    <xf numFmtId="0" fontId="5" fillId="6" borderId="17" xfId="0" applyFont="1" applyFill="1" applyBorder="1" applyAlignment="1">
      <alignment horizontal="left" vertical="center"/>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2" fillId="0" borderId="15"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7" fillId="2" borderId="9"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7" fillId="2" borderId="9" xfId="3" applyFont="1" applyFill="1" applyBorder="1" applyAlignment="1">
      <alignment horizontal="center" vertical="center" wrapText="1"/>
    </xf>
    <xf numFmtId="0" fontId="7" fillId="2" borderId="8" xfId="3" applyFont="1" applyFill="1" applyBorder="1" applyAlignment="1">
      <alignment horizontal="center" vertical="center" wrapText="1"/>
    </xf>
    <xf numFmtId="0" fontId="2" fillId="0" borderId="8" xfId="0" applyFont="1" applyBorder="1" applyAlignment="1">
      <alignment horizontal="justify" vertical="center" wrapText="1"/>
    </xf>
    <xf numFmtId="0" fontId="7" fillId="0" borderId="9" xfId="3" applyFont="1" applyBorder="1" applyAlignment="1">
      <alignment horizontal="justify" vertical="center" wrapText="1"/>
    </xf>
    <xf numFmtId="0" fontId="7" fillId="0" borderId="8" xfId="3" applyFont="1" applyBorder="1" applyAlignment="1">
      <alignment horizontal="justify" vertical="center" wrapText="1"/>
    </xf>
    <xf numFmtId="3" fontId="6" fillId="5" borderId="1"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7" borderId="1" xfId="0" applyFont="1" applyFill="1" applyBorder="1" applyAlignment="1">
      <alignment horizontal="justify" vertical="center" wrapText="1"/>
    </xf>
    <xf numFmtId="0" fontId="6" fillId="0" borderId="1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9" fontId="6" fillId="5" borderId="12" xfId="2" applyFont="1" applyFill="1" applyBorder="1" applyAlignment="1">
      <alignment horizontal="center" vertical="center" wrapText="1"/>
    </xf>
    <xf numFmtId="9" fontId="6" fillId="5" borderId="3" xfId="2" applyFont="1" applyFill="1" applyBorder="1" applyAlignment="1">
      <alignment horizontal="center" vertical="center" wrapText="1"/>
    </xf>
    <xf numFmtId="9" fontId="6" fillId="5" borderId="4" xfId="2"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8"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0" xfId="0" applyFont="1" applyBorder="1" applyAlignment="1">
      <alignment horizontal="justify" vertical="center" wrapText="1"/>
    </xf>
    <xf numFmtId="9" fontId="2" fillId="2" borderId="1" xfId="2"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7" fillId="2" borderId="1" xfId="0" applyFont="1" applyFill="1" applyBorder="1" applyAlignment="1">
      <alignment horizontal="justify" vertical="center" wrapText="1"/>
    </xf>
    <xf numFmtId="0" fontId="7" fillId="2" borderId="12" xfId="0" applyFont="1" applyFill="1" applyBorder="1" applyAlignment="1">
      <alignment horizontal="justify" vertical="center" wrapText="1"/>
    </xf>
    <xf numFmtId="0" fontId="7" fillId="7" borderId="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2" fillId="0" borderId="24" xfId="0" applyFont="1" applyBorder="1" applyAlignment="1">
      <alignment horizontal="justify" vertical="center" wrapText="1"/>
    </xf>
    <xf numFmtId="0" fontId="2" fillId="0" borderId="24" xfId="0" applyFont="1" applyBorder="1" applyAlignment="1">
      <alignment horizontal="center" vertical="center" wrapText="1"/>
    </xf>
    <xf numFmtId="3" fontId="6" fillId="5" borderId="1" xfId="0" applyNumberFormat="1"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3"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167" fontId="6" fillId="5" borderId="1" xfId="1" applyNumberFormat="1" applyFont="1" applyFill="1" applyBorder="1" applyAlignment="1">
      <alignment horizontal="center" vertical="center" wrapText="1"/>
    </xf>
    <xf numFmtId="3" fontId="6" fillId="5" borderId="12" xfId="0" applyNumberFormat="1" applyFont="1" applyFill="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5" borderId="4"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0" borderId="23"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18" xfId="0" applyFont="1" applyFill="1" applyBorder="1" applyAlignment="1">
      <alignment horizontal="justify" vertical="center" wrapText="1"/>
    </xf>
    <xf numFmtId="167" fontId="7" fillId="2" borderId="1" xfId="1" applyNumberFormat="1" applyFont="1" applyFill="1" applyBorder="1" applyAlignment="1">
      <alignment horizontal="center" vertical="center"/>
    </xf>
    <xf numFmtId="0" fontId="5" fillId="10" borderId="31" xfId="0" applyFont="1" applyFill="1" applyBorder="1" applyAlignment="1">
      <alignment horizontal="left" vertical="center"/>
    </xf>
    <xf numFmtId="0" fontId="5" fillId="10" borderId="16"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3" fontId="10" fillId="13" borderId="1" xfId="0" applyNumberFormat="1" applyFont="1" applyFill="1" applyBorder="1" applyAlignment="1">
      <alignment horizontal="center" vertical="center" wrapText="1"/>
    </xf>
    <xf numFmtId="0" fontId="10" fillId="13" borderId="1" xfId="0" applyFont="1" applyFill="1" applyBorder="1" applyAlignment="1">
      <alignment horizontal="center" vertical="center" wrapText="1"/>
    </xf>
    <xf numFmtId="9" fontId="10" fillId="13" borderId="1" xfId="4"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5" fillId="11" borderId="20" xfId="0" applyFont="1" applyFill="1" applyBorder="1" applyAlignment="1">
      <alignment horizontal="left" vertical="center"/>
    </xf>
    <xf numFmtId="0" fontId="5" fillId="11" borderId="17" xfId="0" applyFont="1" applyFill="1" applyBorder="1" applyAlignment="1">
      <alignment horizontal="left" vertical="center"/>
    </xf>
    <xf numFmtId="49" fontId="3" fillId="12" borderId="1" xfId="0" applyNumberFormat="1" applyFont="1" applyFill="1" applyBorder="1" applyAlignment="1">
      <alignment horizontal="center" vertical="center" textRotation="90" wrapText="1"/>
    </xf>
    <xf numFmtId="1" fontId="3" fillId="12" borderId="1" xfId="0" applyNumberFormat="1" applyFont="1" applyFill="1" applyBorder="1" applyAlignment="1">
      <alignment horizontal="center" vertical="center" wrapText="1"/>
    </xf>
    <xf numFmtId="165" fontId="3" fillId="13" borderId="1" xfId="0" applyNumberFormat="1" applyFont="1" applyFill="1" applyBorder="1" applyAlignment="1">
      <alignment horizontal="center" vertical="center" wrapText="1"/>
    </xf>
    <xf numFmtId="1" fontId="3" fillId="12" borderId="12" xfId="0" applyNumberFormat="1" applyFont="1" applyFill="1" applyBorder="1" applyAlignment="1">
      <alignment horizontal="center" vertical="center" wrapText="1"/>
    </xf>
    <xf numFmtId="1" fontId="3" fillId="12" borderId="4" xfId="0" applyNumberFormat="1" applyFont="1" applyFill="1" applyBorder="1" applyAlignment="1">
      <alignment horizontal="center" vertical="center" wrapText="1"/>
    </xf>
    <xf numFmtId="49" fontId="3" fillId="12" borderId="2" xfId="0" applyNumberFormat="1" applyFont="1" applyFill="1" applyBorder="1" applyAlignment="1">
      <alignment horizontal="center" vertical="center" textRotation="90" wrapText="1"/>
    </xf>
    <xf numFmtId="49" fontId="3" fillId="12" borderId="32" xfId="0" applyNumberFormat="1" applyFont="1" applyFill="1" applyBorder="1" applyAlignment="1">
      <alignment horizontal="center" vertical="center" textRotation="90" wrapText="1"/>
    </xf>
    <xf numFmtId="0" fontId="3" fillId="13" borderId="2" xfId="0" applyFont="1" applyFill="1" applyBorder="1" applyAlignment="1">
      <alignment horizontal="center" vertical="center" wrapText="1"/>
    </xf>
    <xf numFmtId="0" fontId="3" fillId="13" borderId="3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1" fontId="3" fillId="4" borderId="1" xfId="0" applyNumberFormat="1" applyFont="1" applyFill="1" applyBorder="1" applyAlignment="1">
      <alignment horizontal="center" vertical="center" wrapText="1"/>
    </xf>
    <xf numFmtId="3" fontId="5" fillId="4" borderId="2" xfId="0" applyNumberFormat="1" applyFont="1" applyFill="1" applyBorder="1" applyAlignment="1">
      <alignment horizontal="center" vertical="center" wrapText="1"/>
    </xf>
    <xf numFmtId="3" fontId="5" fillId="4" borderId="36" xfId="0" applyNumberFormat="1" applyFont="1" applyFill="1" applyBorder="1" applyAlignment="1">
      <alignment horizontal="center" vertical="center" wrapText="1"/>
    </xf>
    <xf numFmtId="3" fontId="5" fillId="4" borderId="3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12" borderId="2" xfId="0" applyFont="1" applyFill="1" applyBorder="1" applyAlignment="1">
      <alignment horizontal="center" vertical="center" textRotation="90" wrapText="1"/>
    </xf>
    <xf numFmtId="0" fontId="3" fillId="12" borderId="32" xfId="0" applyFont="1" applyFill="1" applyBorder="1" applyAlignment="1">
      <alignment horizontal="center" vertical="center" textRotation="90" wrapText="1"/>
    </xf>
    <xf numFmtId="169" fontId="11" fillId="13" borderId="35" xfId="5" applyFont="1" applyFill="1" applyBorder="1" applyAlignment="1">
      <alignment horizontal="center" vertical="center"/>
    </xf>
    <xf numFmtId="169" fontId="11" fillId="13" borderId="34" xfId="5" applyFont="1" applyFill="1" applyBorder="1" applyAlignment="1">
      <alignment horizontal="center" vertical="center"/>
    </xf>
    <xf numFmtId="169" fontId="11" fillId="13" borderId="33" xfId="5" applyFont="1" applyFill="1" applyBorder="1" applyAlignment="1">
      <alignment horizontal="center" vertical="center"/>
    </xf>
    <xf numFmtId="164" fontId="3" fillId="12" borderId="13" xfId="0" applyNumberFormat="1" applyFont="1" applyFill="1" applyBorder="1" applyAlignment="1">
      <alignment horizontal="center" vertical="center" wrapText="1"/>
    </xf>
    <xf numFmtId="164" fontId="3" fillId="12" borderId="28" xfId="0" applyNumberFormat="1" applyFont="1" applyFill="1" applyBorder="1" applyAlignment="1">
      <alignment horizontal="center" vertical="center" wrapText="1"/>
    </xf>
    <xf numFmtId="164" fontId="3" fillId="12" borderId="11" xfId="0" applyNumberFormat="1" applyFont="1" applyFill="1" applyBorder="1" applyAlignment="1">
      <alignment horizontal="center" vertical="center" wrapText="1"/>
    </xf>
    <xf numFmtId="164" fontId="3" fillId="12" borderId="10" xfId="0" applyNumberFormat="1" applyFont="1" applyFill="1" applyBorder="1" applyAlignment="1">
      <alignment horizontal="center" vertical="center" wrapText="1"/>
    </xf>
    <xf numFmtId="3" fontId="3" fillId="12" borderId="12" xfId="0" applyNumberFormat="1" applyFont="1" applyFill="1" applyBorder="1" applyAlignment="1">
      <alignment horizontal="center" vertical="center" wrapText="1"/>
    </xf>
    <xf numFmtId="3" fontId="3" fillId="12" borderId="3" xfId="0" applyNumberFormat="1" applyFont="1" applyFill="1" applyBorder="1" applyAlignment="1">
      <alignment horizontal="center" vertical="center" wrapText="1"/>
    </xf>
    <xf numFmtId="3" fontId="3" fillId="12" borderId="4"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1" fontId="3" fillId="4" borderId="36" xfId="0" applyNumberFormat="1" applyFont="1" applyFill="1" applyBorder="1" applyAlignment="1">
      <alignment horizontal="center" vertical="center" wrapText="1"/>
    </xf>
    <xf numFmtId="1" fontId="3" fillId="4" borderId="32" xfId="0" applyNumberFormat="1"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1" fontId="3" fillId="4" borderId="13" xfId="0" applyNumberFormat="1" applyFont="1" applyFill="1" applyBorder="1" applyAlignment="1">
      <alignment horizontal="center" vertical="center" wrapText="1"/>
    </xf>
    <xf numFmtId="1" fontId="3" fillId="4" borderId="28" xfId="0" applyNumberFormat="1" applyFont="1" applyFill="1" applyBorder="1" applyAlignment="1">
      <alignment horizontal="center" vertical="center" wrapText="1"/>
    </xf>
    <xf numFmtId="1" fontId="3" fillId="4" borderId="11"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0" fontId="5" fillId="4" borderId="13" xfId="0" applyFont="1" applyFill="1" applyBorder="1" applyAlignment="1">
      <alignment horizontal="center" vertical="center" textRotation="90" wrapText="1"/>
    </xf>
    <xf numFmtId="0" fontId="5" fillId="4" borderId="28" xfId="0" applyFont="1" applyFill="1" applyBorder="1" applyAlignment="1">
      <alignment horizontal="center" vertical="center" textRotation="90" wrapText="1"/>
    </xf>
    <xf numFmtId="0" fontId="5" fillId="4" borderId="11" xfId="0" applyFont="1" applyFill="1" applyBorder="1" applyAlignment="1">
      <alignment horizontal="center" vertical="center" textRotation="90" wrapText="1"/>
    </xf>
    <xf numFmtId="0" fontId="5" fillId="4" borderId="10" xfId="0" applyFont="1" applyFill="1" applyBorder="1" applyAlignment="1">
      <alignment horizontal="center" vertical="center" textRotation="90" wrapText="1"/>
    </xf>
    <xf numFmtId="0" fontId="5" fillId="4" borderId="2" xfId="0" applyFont="1" applyFill="1" applyBorder="1" applyAlignment="1">
      <alignment horizontal="center" textRotation="1"/>
    </xf>
    <xf numFmtId="0" fontId="5" fillId="4" borderId="36" xfId="0" applyFont="1" applyFill="1" applyBorder="1" applyAlignment="1">
      <alignment horizontal="center" textRotation="1"/>
    </xf>
    <xf numFmtId="0" fontId="5" fillId="4" borderId="32" xfId="0" applyFont="1" applyFill="1" applyBorder="1" applyAlignment="1">
      <alignment horizontal="center" textRotation="1"/>
    </xf>
    <xf numFmtId="164" fontId="3" fillId="12" borderId="6" xfId="0" applyNumberFormat="1" applyFont="1" applyFill="1" applyBorder="1" applyAlignment="1">
      <alignment horizontal="center" vertical="center" wrapText="1"/>
    </xf>
    <xf numFmtId="164" fontId="3" fillId="12" borderId="7" xfId="0" applyNumberFormat="1" applyFont="1" applyFill="1" applyBorder="1" applyAlignment="1">
      <alignment horizontal="center" vertical="center" wrapText="1"/>
    </xf>
    <xf numFmtId="1" fontId="3" fillId="12" borderId="28" xfId="0" applyNumberFormat="1" applyFont="1" applyFill="1" applyBorder="1" applyAlignment="1">
      <alignment horizontal="center" vertical="center" wrapText="1"/>
    </xf>
    <xf numFmtId="1" fontId="3" fillId="12" borderId="10" xfId="0" applyNumberFormat="1"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28" xfId="0" applyFont="1" applyFill="1" applyBorder="1" applyAlignment="1">
      <alignment horizontal="center" vertical="center" wrapText="1"/>
    </xf>
    <xf numFmtId="166" fontId="3" fillId="12" borderId="12" xfId="0" applyNumberFormat="1" applyFont="1" applyFill="1" applyBorder="1" applyAlignment="1">
      <alignment horizontal="center" vertical="center" wrapText="1"/>
    </xf>
    <xf numFmtId="166" fontId="3" fillId="12" borderId="4" xfId="0" applyNumberFormat="1" applyFont="1" applyFill="1" applyBorder="1" applyAlignment="1">
      <alignment horizontal="center" vertical="center" wrapText="1"/>
    </xf>
    <xf numFmtId="4" fontId="3" fillId="12" borderId="12" xfId="0" applyNumberFormat="1" applyFont="1" applyFill="1" applyBorder="1" applyAlignment="1">
      <alignment horizontal="center" vertical="center" wrapText="1"/>
    </xf>
    <xf numFmtId="4" fontId="3" fillId="12" borderId="4" xfId="0" applyNumberFormat="1" applyFont="1" applyFill="1" applyBorder="1" applyAlignment="1">
      <alignment horizontal="center" vertical="center" wrapText="1"/>
    </xf>
    <xf numFmtId="4" fontId="3" fillId="12" borderId="2" xfId="0" applyNumberFormat="1" applyFont="1" applyFill="1" applyBorder="1" applyAlignment="1">
      <alignment horizontal="center" vertical="center" wrapText="1"/>
    </xf>
    <xf numFmtId="4" fontId="3" fillId="12" borderId="36" xfId="0" applyNumberFormat="1" applyFont="1" applyFill="1" applyBorder="1" applyAlignment="1">
      <alignment horizontal="center" vertical="center" wrapText="1"/>
    </xf>
    <xf numFmtId="4" fontId="3" fillId="12" borderId="32" xfId="0" applyNumberFormat="1" applyFont="1" applyFill="1" applyBorder="1" applyAlignment="1">
      <alignment horizontal="center" vertical="center" wrapText="1"/>
    </xf>
    <xf numFmtId="3" fontId="8" fillId="13" borderId="3" xfId="0" applyNumberFormat="1" applyFont="1" applyFill="1" applyBorder="1" applyAlignment="1">
      <alignment horizontal="center" vertical="center" wrapText="1"/>
    </xf>
    <xf numFmtId="3" fontId="8" fillId="13" borderId="4" xfId="0" applyNumberFormat="1" applyFont="1" applyFill="1" applyBorder="1" applyAlignment="1">
      <alignment horizontal="center" vertical="center" wrapText="1"/>
    </xf>
    <xf numFmtId="9" fontId="8" fillId="13" borderId="3" xfId="4" applyFont="1" applyFill="1" applyBorder="1" applyAlignment="1">
      <alignment horizontal="center" vertical="center" wrapText="1"/>
    </xf>
    <xf numFmtId="9" fontId="8" fillId="13" borderId="4" xfId="4"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7" fillId="2" borderId="1" xfId="3"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2" xfId="0" applyFont="1" applyBorder="1" applyAlignment="1">
      <alignment horizontal="justify" vertical="center" wrapText="1"/>
    </xf>
    <xf numFmtId="9" fontId="2" fillId="2" borderId="12" xfId="2" applyFont="1" applyFill="1" applyBorder="1" applyAlignment="1">
      <alignment horizontal="center" vertical="center" wrapText="1"/>
    </xf>
    <xf numFmtId="4" fontId="7" fillId="2" borderId="1" xfId="17" applyNumberFormat="1" applyFont="1" applyFill="1" applyBorder="1" applyAlignment="1">
      <alignment horizontal="center" vertical="center"/>
    </xf>
    <xf numFmtId="4" fontId="7" fillId="2" borderId="12" xfId="17" applyNumberFormat="1" applyFont="1" applyFill="1" applyBorder="1" applyAlignment="1">
      <alignment horizontal="center" vertical="center"/>
    </xf>
    <xf numFmtId="0" fontId="2" fillId="0" borderId="2" xfId="0" applyFont="1" applyBorder="1" applyAlignment="1">
      <alignment horizontal="justify" vertical="center" wrapText="1"/>
    </xf>
    <xf numFmtId="0" fontId="2" fillId="0" borderId="13" xfId="0" applyFont="1" applyBorder="1" applyAlignment="1">
      <alignment horizontal="justify" vertical="center" wrapText="1"/>
    </xf>
    <xf numFmtId="49" fontId="7" fillId="0" borderId="1" xfId="18" applyNumberFormat="1" applyFont="1" applyBorder="1" applyAlignment="1">
      <alignment horizontal="justify" vertical="center" wrapText="1"/>
    </xf>
    <xf numFmtId="0" fontId="7" fillId="0" borderId="1" xfId="3" applyFont="1" applyBorder="1" applyAlignment="1">
      <alignment horizontal="justify" vertical="center" wrapText="1"/>
    </xf>
    <xf numFmtId="0" fontId="7" fillId="5" borderId="1" xfId="0" applyFont="1" applyFill="1" applyBorder="1" applyAlignment="1">
      <alignment horizontal="center" vertical="center" wrapText="1"/>
    </xf>
    <xf numFmtId="0" fontId="7" fillId="5" borderId="12" xfId="0" applyFont="1" applyFill="1" applyBorder="1" applyAlignment="1">
      <alignment horizontal="center" vertical="center" wrapText="1"/>
    </xf>
    <xf numFmtId="3" fontId="2" fillId="2" borderId="5" xfId="0" applyNumberFormat="1" applyFont="1" applyFill="1" applyBorder="1" applyAlignment="1">
      <alignment horizontal="center" vertical="center"/>
    </xf>
    <xf numFmtId="3" fontId="2" fillId="0" borderId="9" xfId="0" applyNumberFormat="1" applyFont="1" applyBorder="1" applyAlignment="1">
      <alignment horizontal="center" vertical="center" wrapText="1"/>
    </xf>
    <xf numFmtId="0" fontId="2" fillId="0" borderId="15" xfId="0" applyFont="1" applyBorder="1" applyAlignment="1">
      <alignment horizontal="center" vertical="center" wrapText="1"/>
    </xf>
    <xf numFmtId="3" fontId="2" fillId="2" borderId="9"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2" fillId="2" borderId="15" xfId="0" applyNumberFormat="1" applyFont="1" applyFill="1" applyBorder="1" applyAlignment="1">
      <alignment horizontal="center" vertical="center"/>
    </xf>
    <xf numFmtId="0" fontId="2" fillId="0" borderId="5" xfId="0" applyFont="1" applyBorder="1" applyAlignment="1">
      <alignment horizontal="center" vertical="center" wrapText="1"/>
    </xf>
    <xf numFmtId="3" fontId="2" fillId="2" borderId="16"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16" xfId="0" applyFont="1" applyFill="1" applyBorder="1" applyAlignment="1">
      <alignment horizontal="center" vertical="center"/>
    </xf>
    <xf numFmtId="14" fontId="2" fillId="0" borderId="9" xfId="0" applyNumberFormat="1" applyFont="1" applyBorder="1" applyAlignment="1">
      <alignment horizontal="center" vertical="center" wrapText="1"/>
    </xf>
    <xf numFmtId="1" fontId="2" fillId="2" borderId="19" xfId="0" applyNumberFormat="1" applyFont="1" applyFill="1" applyBorder="1" applyAlignment="1">
      <alignment horizontal="center" vertical="center" wrapText="1"/>
    </xf>
    <xf numFmtId="49" fontId="7" fillId="0" borderId="12" xfId="18" applyNumberFormat="1" applyFont="1" applyBorder="1" applyAlignment="1">
      <alignment horizontal="justify" vertical="center" wrapText="1"/>
    </xf>
    <xf numFmtId="49" fontId="7" fillId="0" borderId="4" xfId="18" applyNumberFormat="1" applyFont="1" applyBorder="1" applyAlignment="1">
      <alignment horizontal="justify" vertical="center" wrapText="1"/>
    </xf>
    <xf numFmtId="0" fontId="7" fillId="0" borderId="1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180" fontId="2" fillId="2" borderId="16" xfId="0" applyNumberFormat="1" applyFont="1" applyFill="1" applyBorder="1" applyAlignment="1">
      <alignment horizontal="center" vertical="center" wrapText="1"/>
    </xf>
    <xf numFmtId="180" fontId="2" fillId="2" borderId="5" xfId="0" applyNumberFormat="1" applyFont="1" applyFill="1" applyBorder="1" applyAlignment="1">
      <alignment horizontal="center" vertical="center" wrapText="1"/>
    </xf>
    <xf numFmtId="0" fontId="2" fillId="0" borderId="5" xfId="0" applyFont="1" applyBorder="1" applyAlignment="1">
      <alignment horizontal="center" vertical="center"/>
    </xf>
    <xf numFmtId="177" fontId="2" fillId="0" borderId="9"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2" fillId="0" borderId="19" xfId="0" applyFont="1" applyBorder="1" applyAlignment="1">
      <alignment horizontal="justify" vertical="center" wrapText="1"/>
    </xf>
    <xf numFmtId="0" fontId="7" fillId="2" borderId="1" xfId="3" applyFont="1" applyFill="1" applyBorder="1" applyAlignment="1">
      <alignment horizontal="justify"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9" fontId="2" fillId="2" borderId="5" xfId="2" applyFont="1" applyFill="1" applyBorder="1" applyAlignment="1">
      <alignment horizontal="center" vertical="center" wrapText="1"/>
    </xf>
    <xf numFmtId="4" fontId="2" fillId="0" borderId="5" xfId="17" applyNumberFormat="1" applyFont="1" applyBorder="1" applyAlignment="1">
      <alignment horizontal="center" vertical="center"/>
    </xf>
    <xf numFmtId="0" fontId="2" fillId="0" borderId="40" xfId="0" applyFont="1" applyBorder="1" applyAlignment="1">
      <alignment horizontal="justify" vertical="center" wrapText="1"/>
    </xf>
    <xf numFmtId="14" fontId="2" fillId="0" borderId="14" xfId="0" applyNumberFormat="1" applyFont="1" applyBorder="1" applyAlignment="1">
      <alignment horizontal="center" vertical="center" wrapText="1"/>
    </xf>
    <xf numFmtId="167" fontId="2" fillId="0" borderId="14" xfId="8" applyFont="1" applyFill="1" applyBorder="1" applyAlignment="1">
      <alignment horizontal="center" vertical="center" wrapText="1"/>
    </xf>
    <xf numFmtId="167" fontId="2" fillId="0" borderId="3" xfId="8" applyFont="1" applyFill="1" applyBorder="1" applyAlignment="1">
      <alignment horizontal="center" vertical="center" wrapText="1"/>
    </xf>
    <xf numFmtId="167" fontId="2" fillId="0" borderId="4" xfId="8" applyFont="1" applyFill="1" applyBorder="1" applyAlignment="1">
      <alignment horizontal="center" vertical="center" wrapText="1"/>
    </xf>
    <xf numFmtId="9" fontId="2" fillId="0" borderId="14" xfId="2" applyFont="1" applyFill="1" applyBorder="1" applyAlignment="1">
      <alignment horizontal="center" vertical="center" wrapText="1"/>
    </xf>
    <xf numFmtId="9" fontId="2" fillId="0" borderId="3" xfId="2" applyFont="1" applyFill="1" applyBorder="1" applyAlignment="1">
      <alignment horizontal="center" vertical="center" wrapText="1"/>
    </xf>
    <xf numFmtId="9" fontId="2" fillId="0" borderId="4" xfId="2" applyFont="1" applyFill="1" applyBorder="1" applyAlignment="1">
      <alignment horizontal="center" vertical="center" wrapText="1"/>
    </xf>
    <xf numFmtId="0" fontId="7" fillId="0" borderId="32" xfId="0" applyFont="1" applyBorder="1" applyAlignment="1">
      <alignment horizontal="center" vertical="center" wrapText="1"/>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2" xfId="0" applyFont="1" applyBorder="1" applyAlignment="1">
      <alignment horizontal="justify" vertical="center" wrapText="1"/>
    </xf>
    <xf numFmtId="14" fontId="2" fillId="0" borderId="12" xfId="0" applyNumberFormat="1" applyFont="1" applyBorder="1" applyAlignment="1">
      <alignment horizontal="center" vertical="center" wrapText="1"/>
    </xf>
    <xf numFmtId="14" fontId="2" fillId="0" borderId="3" xfId="0" applyNumberFormat="1" applyFont="1" applyBorder="1" applyAlignment="1">
      <alignment horizontal="center" vertical="center"/>
    </xf>
    <xf numFmtId="14" fontId="2" fillId="0" borderId="4" xfId="0" applyNumberFormat="1" applyFont="1" applyBorder="1" applyAlignment="1">
      <alignment horizontal="center" vertical="center"/>
    </xf>
    <xf numFmtId="14" fontId="2" fillId="0" borderId="12" xfId="0" applyNumberFormat="1" applyFont="1" applyBorder="1" applyAlignment="1">
      <alignment horizontal="center" vertical="center"/>
    </xf>
    <xf numFmtId="167" fontId="2" fillId="0" borderId="12" xfId="8" applyFont="1" applyBorder="1" applyAlignment="1">
      <alignment horizontal="center" vertical="center"/>
    </xf>
    <xf numFmtId="167" fontId="2" fillId="0" borderId="3" xfId="8" applyFont="1" applyBorder="1" applyAlignment="1">
      <alignment horizontal="center" vertical="center"/>
    </xf>
    <xf numFmtId="167" fontId="2" fillId="0" borderId="4" xfId="8" applyFont="1" applyBorder="1" applyAlignment="1">
      <alignment horizontal="center" vertical="center"/>
    </xf>
    <xf numFmtId="9" fontId="2" fillId="0" borderId="12" xfId="2" applyFont="1" applyBorder="1" applyAlignment="1">
      <alignment horizontal="center" vertical="center"/>
    </xf>
    <xf numFmtId="9" fontId="2" fillId="0" borderId="3" xfId="2" applyFont="1" applyBorder="1" applyAlignment="1">
      <alignment horizontal="center" vertical="center"/>
    </xf>
    <xf numFmtId="9" fontId="2" fillId="0" borderId="4" xfId="2" applyFont="1" applyBorder="1" applyAlignment="1">
      <alignment horizontal="center" vertical="center"/>
    </xf>
    <xf numFmtId="0" fontId="7" fillId="0" borderId="12" xfId="0" applyFont="1" applyBorder="1" applyAlignment="1">
      <alignment horizontal="center" vertical="center" wrapText="1"/>
    </xf>
    <xf numFmtId="0" fontId="2" fillId="2" borderId="1" xfId="0" applyFont="1" applyFill="1" applyBorder="1" applyAlignment="1">
      <alignment horizontal="center" vertical="center"/>
    </xf>
    <xf numFmtId="9" fontId="2" fillId="0" borderId="12" xfId="0" applyNumberFormat="1" applyFont="1" applyBorder="1" applyAlignment="1">
      <alignment horizontal="center" vertical="center"/>
    </xf>
    <xf numFmtId="9" fontId="2" fillId="0" borderId="3" xfId="0" applyNumberFormat="1" applyFont="1" applyBorder="1" applyAlignment="1">
      <alignment horizontal="center" vertical="center"/>
    </xf>
    <xf numFmtId="4" fontId="2" fillId="0" borderId="12" xfId="0" applyNumberFormat="1" applyFont="1" applyBorder="1" applyAlignment="1">
      <alignment horizontal="center" vertical="center"/>
    </xf>
    <xf numFmtId="4" fontId="2" fillId="0" borderId="3" xfId="0" applyNumberFormat="1" applyFont="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2"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7" fontId="2" fillId="2" borderId="12" xfId="8" applyFont="1" applyFill="1" applyBorder="1" applyAlignment="1">
      <alignment horizontal="center" vertical="center"/>
    </xf>
    <xf numFmtId="167" fontId="2" fillId="2" borderId="3" xfId="8" applyFont="1" applyFill="1" applyBorder="1" applyAlignment="1">
      <alignment horizontal="center" vertical="center"/>
    </xf>
    <xf numFmtId="167" fontId="2" fillId="2" borderId="4" xfId="8" applyFont="1" applyFill="1" applyBorder="1" applyAlignment="1">
      <alignment horizontal="center" vertical="center"/>
    </xf>
    <xf numFmtId="9" fontId="2" fillId="2" borderId="12" xfId="2" applyFont="1" applyFill="1" applyBorder="1" applyAlignment="1">
      <alignment horizontal="center" vertical="center"/>
    </xf>
    <xf numFmtId="9" fontId="2" fillId="2" borderId="3" xfId="2" applyFont="1" applyFill="1" applyBorder="1" applyAlignment="1">
      <alignment horizontal="center" vertical="center"/>
    </xf>
    <xf numFmtId="9" fontId="2" fillId="2" borderId="4" xfId="2"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5" xfId="0" applyFont="1" applyFill="1" applyBorder="1" applyAlignment="1">
      <alignment horizontal="justify" vertical="center" wrapText="1"/>
    </xf>
    <xf numFmtId="0" fontId="7" fillId="2" borderId="49"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2" borderId="5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61" xfId="0" applyFont="1" applyFill="1" applyBorder="1" applyAlignment="1">
      <alignment horizontal="center" vertical="center" wrapText="1"/>
    </xf>
    <xf numFmtId="9" fontId="7" fillId="0" borderId="12"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177" fontId="7" fillId="0" borderId="12" xfId="11" applyNumberFormat="1" applyFont="1" applyFill="1" applyBorder="1" applyAlignment="1">
      <alignment horizontal="center" vertical="center" wrapText="1"/>
    </xf>
    <xf numFmtId="177" fontId="7" fillId="0" borderId="3" xfId="11" applyNumberFormat="1" applyFont="1" applyFill="1" applyBorder="1" applyAlignment="1">
      <alignment horizontal="center"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2" borderId="1" xfId="0" applyFont="1" applyFill="1" applyBorder="1" applyAlignment="1">
      <alignment horizontal="center" vertical="center" wrapText="1"/>
    </xf>
    <xf numFmtId="167" fontId="2" fillId="2" borderId="1" xfId="8" applyFont="1" applyFill="1" applyBorder="1" applyAlignment="1">
      <alignment horizontal="center" vertical="center"/>
    </xf>
    <xf numFmtId="9" fontId="2" fillId="2" borderId="1" xfId="2" applyFont="1" applyFill="1" applyBorder="1" applyAlignment="1">
      <alignment horizontal="center" vertical="center"/>
    </xf>
    <xf numFmtId="4" fontId="2" fillId="0" borderId="4" xfId="0" applyNumberFormat="1" applyFont="1" applyBorder="1" applyAlignment="1">
      <alignment horizontal="center" vertical="center"/>
    </xf>
    <xf numFmtId="167" fontId="2" fillId="0" borderId="12" xfId="8" applyFont="1" applyFill="1" applyBorder="1" applyAlignment="1">
      <alignment horizontal="center" vertical="center"/>
    </xf>
    <xf numFmtId="167" fontId="2" fillId="0" borderId="3" xfId="8" applyFont="1" applyFill="1" applyBorder="1" applyAlignment="1">
      <alignment horizontal="center" vertical="center"/>
    </xf>
    <xf numFmtId="167" fontId="2" fillId="0" borderId="4" xfId="8" applyFont="1" applyFill="1" applyBorder="1" applyAlignment="1">
      <alignment horizontal="center" vertical="center"/>
    </xf>
    <xf numFmtId="9" fontId="2" fillId="0" borderId="12" xfId="2" applyFont="1" applyFill="1" applyBorder="1" applyAlignment="1">
      <alignment horizontal="center" vertical="center"/>
    </xf>
    <xf numFmtId="9" fontId="2" fillId="0" borderId="3" xfId="2" applyFont="1" applyFill="1" applyBorder="1" applyAlignment="1">
      <alignment horizontal="center" vertical="center"/>
    </xf>
    <xf numFmtId="9" fontId="2" fillId="0" borderId="4" xfId="2" applyFont="1" applyFill="1" applyBorder="1" applyAlignment="1">
      <alignment horizontal="center" vertical="center"/>
    </xf>
    <xf numFmtId="9" fontId="7" fillId="0" borderId="1" xfId="2" applyFont="1" applyFill="1" applyBorder="1" applyAlignment="1">
      <alignment horizontal="center" vertical="center" wrapText="1"/>
    </xf>
    <xf numFmtId="14" fontId="2" fillId="0" borderId="13" xfId="0" applyNumberFormat="1"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14" fontId="6" fillId="2" borderId="12"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67" fontId="6" fillId="7" borderId="1" xfId="1" applyNumberFormat="1" applyFont="1" applyFill="1" applyBorder="1" applyAlignment="1">
      <alignment horizontal="center" vertical="center" wrapText="1"/>
    </xf>
    <xf numFmtId="9" fontId="6" fillId="7" borderId="1" xfId="2" applyFont="1" applyFill="1" applyBorder="1" applyAlignment="1">
      <alignment horizontal="center" vertical="center" wrapText="1"/>
    </xf>
    <xf numFmtId="3" fontId="6" fillId="7" borderId="1" xfId="0" applyNumberFormat="1" applyFont="1" applyFill="1" applyBorder="1" applyAlignment="1">
      <alignment horizontal="justify" vertical="center" wrapText="1"/>
    </xf>
    <xf numFmtId="3" fontId="6" fillId="0" borderId="1" xfId="0" quotePrefix="1" applyNumberFormat="1" applyFont="1" applyFill="1" applyBorder="1" applyAlignment="1">
      <alignment horizontal="justify" vertical="center" wrapText="1"/>
    </xf>
    <xf numFmtId="3" fontId="6" fillId="0" borderId="1" xfId="0" applyNumberFormat="1" applyFont="1" applyFill="1" applyBorder="1" applyAlignment="1">
      <alignment horizontal="justify" vertical="center" wrapText="1"/>
    </xf>
    <xf numFmtId="3" fontId="6" fillId="0" borderId="1" xfId="0" applyNumberFormat="1" applyFont="1" applyFill="1" applyBorder="1" applyAlignment="1">
      <alignment horizontal="center" vertical="center" wrapText="1"/>
    </xf>
    <xf numFmtId="3" fontId="6" fillId="7" borderId="12" xfId="0" applyNumberFormat="1" applyFont="1" applyFill="1" applyBorder="1" applyAlignment="1">
      <alignment horizontal="center" vertical="center" wrapText="1"/>
    </xf>
    <xf numFmtId="3" fontId="6" fillId="7" borderId="3" xfId="0" applyNumberFormat="1" applyFont="1" applyFill="1" applyBorder="1" applyAlignment="1">
      <alignment horizontal="center" vertical="center" wrapText="1"/>
    </xf>
    <xf numFmtId="3" fontId="6" fillId="7" borderId="4" xfId="0" applyNumberFormat="1" applyFont="1" applyFill="1" applyBorder="1" applyAlignment="1">
      <alignment horizontal="center" vertical="center" wrapText="1"/>
    </xf>
    <xf numFmtId="0" fontId="6" fillId="0" borderId="1" xfId="0" applyFont="1" applyBorder="1" applyAlignment="1">
      <alignment horizontal="justify" vertical="center" wrapText="1"/>
    </xf>
    <xf numFmtId="0" fontId="7" fillId="7" borderId="1" xfId="0" applyFont="1" applyFill="1" applyBorder="1" applyAlignment="1">
      <alignment horizontal="justify" vertical="center" wrapText="1"/>
    </xf>
    <xf numFmtId="9" fontId="6" fillId="7" borderId="1" xfId="0" applyNumberFormat="1" applyFont="1" applyFill="1" applyBorder="1" applyAlignment="1">
      <alignment horizontal="center" vertical="center" wrapText="1"/>
    </xf>
    <xf numFmtId="167" fontId="6" fillId="0" borderId="1" xfId="0" applyNumberFormat="1" applyFont="1" applyBorder="1" applyAlignment="1">
      <alignment horizontal="center" vertical="center" wrapText="1"/>
    </xf>
    <xf numFmtId="167" fontId="6" fillId="0" borderId="1" xfId="0" applyNumberFormat="1" applyFont="1" applyFill="1" applyBorder="1" applyAlignment="1">
      <alignment horizontal="center" vertical="center" wrapText="1"/>
    </xf>
    <xf numFmtId="0" fontId="7" fillId="0" borderId="12" xfId="0" applyFont="1" applyFill="1" applyBorder="1" applyAlignment="1" applyProtection="1">
      <alignment horizontal="justify" vertical="center" wrapText="1"/>
      <protection locked="0"/>
    </xf>
    <xf numFmtId="0" fontId="7" fillId="0" borderId="3" xfId="0" applyFont="1" applyFill="1" applyBorder="1" applyAlignment="1" applyProtection="1">
      <alignment horizontal="justify" vertical="center" wrapText="1"/>
      <protection locked="0"/>
    </xf>
    <xf numFmtId="0" fontId="7" fillId="0" borderId="4" xfId="0" applyFont="1" applyFill="1" applyBorder="1" applyAlignment="1" applyProtection="1">
      <alignment horizontal="justify" vertical="center" wrapText="1"/>
      <protection locked="0"/>
    </xf>
    <xf numFmtId="0" fontId="7" fillId="7" borderId="39"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15" xfId="0" applyFont="1" applyFill="1" applyBorder="1" applyAlignment="1">
      <alignment horizontal="justify" vertical="center" wrapText="1"/>
    </xf>
    <xf numFmtId="0" fontId="7" fillId="7" borderId="5" xfId="0" applyFont="1" applyFill="1" applyBorder="1" applyAlignment="1">
      <alignment horizontal="justify" vertical="center" wrapText="1"/>
    </xf>
    <xf numFmtId="0" fontId="7" fillId="7" borderId="9" xfId="0" applyFont="1" applyFill="1" applyBorder="1" applyAlignment="1">
      <alignment horizontal="justify" vertical="center" wrapText="1"/>
    </xf>
    <xf numFmtId="0" fontId="7" fillId="2" borderId="8" xfId="0" applyFont="1" applyFill="1" applyBorder="1" applyAlignment="1" applyProtection="1">
      <alignment horizontal="justify" vertical="center" wrapText="1"/>
      <protection locked="0"/>
    </xf>
    <xf numFmtId="0" fontId="7" fillId="2" borderId="21" xfId="0" applyFont="1" applyFill="1" applyBorder="1" applyAlignment="1" applyProtection="1">
      <alignment horizontal="justify" vertical="center" wrapText="1"/>
      <protection locked="0"/>
    </xf>
    <xf numFmtId="0" fontId="7" fillId="7" borderId="15"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0" borderId="18" xfId="0" applyFont="1" applyBorder="1" applyAlignment="1">
      <alignment horizontal="justify" vertical="center" wrapText="1"/>
    </xf>
    <xf numFmtId="0" fontId="7" fillId="0" borderId="40" xfId="0" applyFont="1" applyFill="1" applyBorder="1" applyAlignment="1">
      <alignment horizontal="justify" vertical="center" wrapText="1"/>
    </xf>
    <xf numFmtId="0" fontId="7" fillId="0" borderId="31" xfId="0" applyFont="1" applyFill="1" applyBorder="1" applyAlignment="1">
      <alignment horizontal="justify" vertical="center" wrapText="1"/>
    </xf>
    <xf numFmtId="0" fontId="7" fillId="0" borderId="6" xfId="0" applyFont="1" applyBorder="1" applyAlignment="1">
      <alignment horizontal="justify" vertical="center" wrapText="1"/>
    </xf>
    <xf numFmtId="0" fontId="7" fillId="0" borderId="6" xfId="0" applyFont="1" applyFill="1" applyBorder="1" applyAlignment="1">
      <alignment horizontal="justify" vertical="center" wrapText="1"/>
    </xf>
    <xf numFmtId="0" fontId="6" fillId="7" borderId="4" xfId="0" applyFont="1" applyFill="1" applyBorder="1" applyAlignment="1">
      <alignment horizontal="center" vertical="center" wrapText="1"/>
    </xf>
    <xf numFmtId="3" fontId="6" fillId="0" borderId="12" xfId="0" applyNumberFormat="1" applyFont="1" applyFill="1" applyBorder="1" applyAlignment="1" applyProtection="1">
      <alignment horizontal="justify" vertical="center" wrapText="1"/>
      <protection locked="0"/>
    </xf>
    <xf numFmtId="3" fontId="6" fillId="0" borderId="3" xfId="0" applyNumberFormat="1" applyFont="1" applyFill="1" applyBorder="1" applyAlignment="1" applyProtection="1">
      <alignment horizontal="justify" vertical="center" wrapText="1"/>
      <protection locked="0"/>
    </xf>
    <xf numFmtId="3" fontId="6" fillId="0" borderId="4" xfId="0" applyNumberFormat="1" applyFont="1" applyFill="1" applyBorder="1" applyAlignment="1" applyProtection="1">
      <alignment horizontal="justify" vertical="center" wrapText="1"/>
      <protection locked="0"/>
    </xf>
    <xf numFmtId="3" fontId="6" fillId="0" borderId="12" xfId="0" quotePrefix="1" applyNumberFormat="1" applyFont="1" applyFill="1" applyBorder="1" applyAlignment="1" applyProtection="1">
      <alignment horizontal="justify" vertical="center" wrapText="1"/>
      <protection locked="0"/>
    </xf>
    <xf numFmtId="3" fontId="6" fillId="0" borderId="3" xfId="0" quotePrefix="1" applyNumberFormat="1" applyFont="1" applyFill="1" applyBorder="1" applyAlignment="1" applyProtection="1">
      <alignment horizontal="justify" vertical="center" wrapText="1"/>
      <protection locked="0"/>
    </xf>
    <xf numFmtId="3" fontId="6" fillId="0" borderId="4" xfId="0" quotePrefix="1" applyNumberFormat="1" applyFont="1" applyFill="1" applyBorder="1" applyAlignment="1" applyProtection="1">
      <alignment horizontal="justify" vertical="center" wrapText="1"/>
      <protection locked="0"/>
    </xf>
    <xf numFmtId="14" fontId="6" fillId="7" borderId="12" xfId="0" applyNumberFormat="1" applyFont="1" applyFill="1" applyBorder="1" applyAlignment="1" applyProtection="1">
      <alignment horizontal="center" vertical="center" wrapText="1"/>
      <protection locked="0"/>
    </xf>
    <xf numFmtId="14" fontId="6" fillId="7" borderId="3" xfId="0" applyNumberFormat="1" applyFont="1" applyFill="1" applyBorder="1" applyAlignment="1" applyProtection="1">
      <alignment horizontal="center" vertical="center" wrapText="1"/>
      <protection locked="0"/>
    </xf>
    <xf numFmtId="14" fontId="6" fillId="7" borderId="4" xfId="0" applyNumberFormat="1" applyFont="1" applyFill="1" applyBorder="1" applyAlignment="1" applyProtection="1">
      <alignment horizontal="center" vertical="center" wrapText="1"/>
      <protection locked="0"/>
    </xf>
    <xf numFmtId="14" fontId="6" fillId="5" borderId="12" xfId="0" applyNumberFormat="1" applyFont="1" applyFill="1" applyBorder="1" applyAlignment="1" applyProtection="1">
      <alignment horizontal="center" vertical="center" wrapText="1"/>
      <protection locked="0"/>
    </xf>
    <xf numFmtId="14" fontId="6" fillId="5" borderId="3" xfId="0" applyNumberFormat="1" applyFont="1" applyFill="1" applyBorder="1" applyAlignment="1" applyProtection="1">
      <alignment horizontal="center" vertical="center" wrapText="1"/>
      <protection locked="0"/>
    </xf>
    <xf numFmtId="14" fontId="6" fillId="5" borderId="4" xfId="0" applyNumberFormat="1" applyFont="1" applyFill="1" applyBorder="1" applyAlignment="1" applyProtection="1">
      <alignment horizontal="center" vertical="center" wrapText="1"/>
      <protection locked="0"/>
    </xf>
    <xf numFmtId="14" fontId="6" fillId="2" borderId="12" xfId="0" applyNumberFormat="1" applyFont="1" applyFill="1" applyBorder="1" applyAlignment="1" applyProtection="1">
      <alignment horizontal="center" vertical="center" wrapText="1"/>
      <protection locked="0"/>
    </xf>
    <xf numFmtId="14" fontId="6" fillId="2" borderId="3" xfId="0" applyNumberFormat="1" applyFont="1" applyFill="1" applyBorder="1" applyAlignment="1" applyProtection="1">
      <alignment horizontal="center" vertical="center" wrapText="1"/>
      <protection locked="0"/>
    </xf>
    <xf numFmtId="14" fontId="6" fillId="2" borderId="4" xfId="0" applyNumberFormat="1" applyFont="1" applyFill="1" applyBorder="1" applyAlignment="1" applyProtection="1">
      <alignment horizontal="center" vertical="center" wrapText="1"/>
      <protection locked="0"/>
    </xf>
    <xf numFmtId="3" fontId="6" fillId="0" borderId="12" xfId="0" applyNumberFormat="1" applyFont="1" applyFill="1" applyBorder="1" applyAlignment="1" applyProtection="1">
      <alignment horizontal="center" vertical="center" wrapText="1"/>
      <protection locked="0"/>
    </xf>
    <xf numFmtId="3" fontId="6" fillId="0" borderId="3" xfId="0" applyNumberFormat="1" applyFont="1" applyFill="1" applyBorder="1" applyAlignment="1" applyProtection="1">
      <alignment horizontal="center" vertical="center" wrapText="1"/>
      <protection locked="0"/>
    </xf>
    <xf numFmtId="3" fontId="6" fillId="0" borderId="4" xfId="0" applyNumberFormat="1" applyFont="1" applyFill="1" applyBorder="1" applyAlignment="1" applyProtection="1">
      <alignment horizontal="center" vertical="center" wrapText="1"/>
      <protection locked="0"/>
    </xf>
    <xf numFmtId="167" fontId="6" fillId="0" borderId="12" xfId="1" applyNumberFormat="1" applyFont="1" applyFill="1" applyBorder="1" applyAlignment="1" applyProtection="1">
      <alignment horizontal="center" vertical="center" wrapText="1"/>
      <protection locked="0"/>
    </xf>
    <xf numFmtId="167" fontId="6" fillId="0" borderId="3" xfId="1" applyNumberFormat="1" applyFont="1" applyFill="1" applyBorder="1" applyAlignment="1" applyProtection="1">
      <alignment horizontal="center" vertical="center" wrapText="1"/>
      <protection locked="0"/>
    </xf>
    <xf numFmtId="167" fontId="6" fillId="0" borderId="4" xfId="1" applyNumberFormat="1" applyFont="1" applyFill="1" applyBorder="1" applyAlignment="1" applyProtection="1">
      <alignment horizontal="center" vertical="center" wrapText="1"/>
      <protection locked="0"/>
    </xf>
    <xf numFmtId="9" fontId="6" fillId="0" borderId="12" xfId="2" applyFont="1" applyFill="1" applyBorder="1" applyAlignment="1" applyProtection="1">
      <alignment horizontal="center" vertical="center" wrapText="1"/>
      <protection locked="0"/>
    </xf>
    <xf numFmtId="9" fontId="6" fillId="0" borderId="3" xfId="2" applyFont="1" applyFill="1" applyBorder="1" applyAlignment="1" applyProtection="1">
      <alignment horizontal="center" vertical="center" wrapText="1"/>
      <protection locked="0"/>
    </xf>
    <xf numFmtId="9" fontId="6" fillId="0" borderId="4" xfId="2" applyFont="1" applyFill="1" applyBorder="1" applyAlignment="1" applyProtection="1">
      <alignment horizontal="center" vertical="center" wrapText="1"/>
      <protection locked="0"/>
    </xf>
    <xf numFmtId="3" fontId="6" fillId="0" borderId="12"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9" fontId="6" fillId="7" borderId="12" xfId="0" applyNumberFormat="1" applyFont="1" applyFill="1" applyBorder="1" applyAlignment="1">
      <alignment horizontal="center" vertical="center" wrapText="1"/>
    </xf>
    <xf numFmtId="9" fontId="6" fillId="7" borderId="3" xfId="0" applyNumberFormat="1" applyFont="1" applyFill="1" applyBorder="1" applyAlignment="1">
      <alignment horizontal="center" vertical="center" wrapText="1"/>
    </xf>
    <xf numFmtId="9" fontId="6" fillId="7" borderId="4" xfId="0" applyNumberFormat="1" applyFont="1" applyFill="1" applyBorder="1" applyAlignment="1">
      <alignment horizontal="center" vertical="center" wrapText="1"/>
    </xf>
    <xf numFmtId="167" fontId="6" fillId="0" borderId="12" xfId="0" applyNumberFormat="1" applyFont="1" applyBorder="1" applyAlignment="1">
      <alignment horizontal="center" vertical="center" wrapText="1"/>
    </xf>
    <xf numFmtId="167" fontId="6" fillId="0" borderId="3" xfId="0" applyNumberFormat="1" applyFont="1" applyBorder="1" applyAlignment="1">
      <alignment horizontal="center" vertical="center" wrapText="1"/>
    </xf>
    <xf numFmtId="167" fontId="6" fillId="0" borderId="4" xfId="0" applyNumberFormat="1" applyFont="1" applyBorder="1" applyAlignment="1">
      <alignment horizontal="center" vertical="center" wrapText="1"/>
    </xf>
    <xf numFmtId="0" fontId="7" fillId="7" borderId="1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5" fillId="11" borderId="1" xfId="0" applyNumberFormat="1" applyFont="1" applyFill="1" applyBorder="1" applyAlignment="1">
      <alignment horizontal="left" vertical="center"/>
    </xf>
    <xf numFmtId="0" fontId="5" fillId="10" borderId="20" xfId="0" applyFont="1" applyFill="1" applyBorder="1" applyAlignment="1">
      <alignment horizontal="left" vertical="center"/>
    </xf>
    <xf numFmtId="0" fontId="5" fillId="10" borderId="0" xfId="0" applyFont="1" applyFill="1" applyBorder="1" applyAlignment="1">
      <alignment horizontal="left" vertical="center"/>
    </xf>
    <xf numFmtId="0" fontId="5" fillId="6" borderId="31" xfId="0" applyFont="1" applyFill="1" applyBorder="1" applyAlignment="1">
      <alignment horizontal="left" vertical="center"/>
    </xf>
    <xf numFmtId="0" fontId="5" fillId="6" borderId="30" xfId="0" applyFont="1" applyFill="1" applyBorder="1" applyAlignment="1">
      <alignment horizontal="left" vertical="center"/>
    </xf>
    <xf numFmtId="0" fontId="7" fillId="7" borderId="12" xfId="0" applyFont="1" applyFill="1" applyBorder="1" applyAlignment="1">
      <alignment horizontal="justify" vertical="center" wrapText="1"/>
    </xf>
    <xf numFmtId="0" fontId="7" fillId="7" borderId="3" xfId="0" applyFont="1" applyFill="1" applyBorder="1" applyAlignment="1">
      <alignment horizontal="justify" vertical="center" wrapText="1"/>
    </xf>
    <xf numFmtId="0" fontId="7" fillId="7" borderId="4" xfId="0" applyFont="1" applyFill="1" applyBorder="1" applyAlignment="1">
      <alignment horizontal="justify" vertical="center" wrapText="1"/>
    </xf>
    <xf numFmtId="1" fontId="3" fillId="12" borderId="1" xfId="0" applyNumberFormat="1" applyFont="1" applyFill="1" applyBorder="1" applyAlignment="1">
      <alignment horizontal="justify" vertical="center" wrapText="1"/>
    </xf>
    <xf numFmtId="0" fontId="3" fillId="12" borderId="1" xfId="0" applyFont="1" applyFill="1" applyBorder="1" applyAlignment="1">
      <alignment horizontal="center" vertical="center" textRotation="90" wrapText="1"/>
    </xf>
    <xf numFmtId="1" fontId="3" fillId="12" borderId="2" xfId="0" applyNumberFormat="1"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4" borderId="1" xfId="0" applyFont="1" applyFill="1" applyBorder="1" applyAlignment="1">
      <alignment horizontal="center" vertical="center"/>
    </xf>
    <xf numFmtId="169" fontId="11" fillId="13" borderId="1" xfId="5" applyFont="1" applyFill="1" applyBorder="1" applyAlignment="1">
      <alignment horizontal="center" vertical="center"/>
    </xf>
    <xf numFmtId="164" fontId="3" fillId="12" borderId="1" xfId="0" applyNumberFormat="1" applyFont="1" applyFill="1" applyBorder="1" applyAlignment="1">
      <alignment horizontal="center" vertical="center" wrapText="1"/>
    </xf>
    <xf numFmtId="3" fontId="3" fillId="12"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1" fontId="3" fillId="12" borderId="13" xfId="0" applyNumberFormat="1" applyFont="1" applyFill="1" applyBorder="1" applyAlignment="1">
      <alignment horizontal="center" vertical="center" wrapText="1"/>
    </xf>
    <xf numFmtId="1" fontId="3" fillId="12" borderId="11" xfId="0" applyNumberFormat="1" applyFont="1" applyFill="1" applyBorder="1" applyAlignment="1">
      <alignment horizontal="center" vertical="center" wrapText="1"/>
    </xf>
    <xf numFmtId="3" fontId="3" fillId="12" borderId="12" xfId="0" applyNumberFormat="1" applyFont="1" applyFill="1" applyBorder="1" applyAlignment="1">
      <alignment horizontal="justify" vertical="center" wrapText="1"/>
    </xf>
    <xf numFmtId="3" fontId="3" fillId="12" borderId="3" xfId="0" applyNumberFormat="1" applyFont="1" applyFill="1" applyBorder="1" applyAlignment="1">
      <alignment horizontal="justify" vertical="center" wrapText="1"/>
    </xf>
    <xf numFmtId="3" fontId="3" fillId="12" borderId="4" xfId="0" applyNumberFormat="1" applyFont="1" applyFill="1" applyBorder="1" applyAlignment="1">
      <alignment horizontal="justify" vertical="center" wrapText="1"/>
    </xf>
    <xf numFmtId="0" fontId="10" fillId="13" borderId="12" xfId="0" applyFont="1" applyFill="1" applyBorder="1" applyAlignment="1">
      <alignment horizontal="justify" vertical="center" wrapText="1"/>
    </xf>
    <xf numFmtId="0" fontId="10" fillId="13" borderId="4" xfId="0" applyFont="1" applyFill="1" applyBorder="1" applyAlignment="1">
      <alignment horizontal="justify" vertical="center" wrapText="1"/>
    </xf>
    <xf numFmtId="0" fontId="3" fillId="11" borderId="1" xfId="0" applyFont="1" applyFill="1" applyBorder="1" applyAlignment="1">
      <alignment horizontal="left" vertical="center"/>
    </xf>
    <xf numFmtId="1" fontId="3" fillId="0" borderId="37" xfId="0" applyNumberFormat="1" applyFont="1" applyFill="1" applyBorder="1" applyAlignment="1">
      <alignment horizontal="center" vertical="center" wrapText="1"/>
    </xf>
    <xf numFmtId="1" fontId="3" fillId="0" borderId="28"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 fillId="10" borderId="20" xfId="0" applyFont="1" applyFill="1" applyBorder="1" applyAlignment="1">
      <alignment horizontal="left" vertical="center"/>
    </xf>
    <xf numFmtId="0" fontId="3" fillId="10" borderId="0" xfId="0" applyFont="1" applyFill="1" applyBorder="1" applyAlignment="1">
      <alignment horizontal="left" vertical="center"/>
    </xf>
    <xf numFmtId="1" fontId="3" fillId="2" borderId="13" xfId="0" applyNumberFormat="1" applyFont="1" applyFill="1" applyBorder="1" applyAlignment="1">
      <alignment horizontal="center" vertical="center" wrapText="1"/>
    </xf>
    <xf numFmtId="1" fontId="3" fillId="2" borderId="28"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0" fontId="3" fillId="6" borderId="31" xfId="0" applyFont="1" applyFill="1" applyBorder="1" applyAlignment="1">
      <alignment horizontal="left" vertical="center"/>
    </xf>
    <xf numFmtId="0" fontId="3" fillId="6" borderId="30"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12" applyNumberFormat="1" applyFont="1" applyFill="1" applyBorder="1" applyAlignment="1">
      <alignment horizontal="justify" vertical="center" wrapText="1"/>
    </xf>
    <xf numFmtId="0" fontId="10" fillId="12" borderId="1" xfId="0" applyFont="1" applyFill="1" applyBorder="1" applyAlignment="1">
      <alignment horizontal="center" vertical="center" wrapText="1"/>
    </xf>
    <xf numFmtId="9" fontId="10" fillId="13" borderId="1" xfId="2"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28" xfId="0"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167" fontId="7" fillId="0" borderId="1" xfId="13" applyFont="1" applyFill="1" applyBorder="1" applyAlignment="1">
      <alignment horizontal="center" vertical="center" wrapText="1"/>
    </xf>
    <xf numFmtId="0" fontId="7" fillId="0" borderId="1" xfId="12" applyNumberFormat="1" applyFont="1" applyFill="1" applyBorder="1" applyAlignment="1">
      <alignment horizontal="center" vertical="center" wrapText="1"/>
    </xf>
    <xf numFmtId="3" fontId="2" fillId="0" borderId="1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3" fontId="2" fillId="2" borderId="1" xfId="0" applyNumberFormat="1" applyFont="1" applyFill="1" applyBorder="1" applyAlignment="1">
      <alignment horizontal="justify" vertical="center" wrapText="1"/>
    </xf>
    <xf numFmtId="1" fontId="2" fillId="0" borderId="1"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4" xfId="0" applyFont="1" applyFill="1" applyBorder="1" applyAlignment="1">
      <alignment horizontal="justify" vertical="center" wrapText="1"/>
    </xf>
    <xf numFmtId="3"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5" fillId="10" borderId="1" xfId="0" applyFont="1" applyFill="1" applyBorder="1" applyAlignment="1">
      <alignment horizontal="left" vertical="center"/>
    </xf>
    <xf numFmtId="167" fontId="2" fillId="2" borderId="12" xfId="1" applyNumberFormat="1" applyFont="1" applyFill="1" applyBorder="1" applyAlignment="1">
      <alignment horizontal="center" vertical="center"/>
    </xf>
    <xf numFmtId="167" fontId="2" fillId="2" borderId="3" xfId="1" applyNumberFormat="1" applyFont="1" applyFill="1" applyBorder="1" applyAlignment="1">
      <alignment horizontal="center" vertical="center"/>
    </xf>
    <xf numFmtId="167" fontId="2" fillId="2" borderId="4" xfId="1" applyNumberFormat="1" applyFont="1" applyFill="1" applyBorder="1" applyAlignment="1">
      <alignment horizontal="center" vertical="center"/>
    </xf>
    <xf numFmtId="3" fontId="2" fillId="0" borderId="1" xfId="0" applyNumberFormat="1" applyFont="1" applyBorder="1" applyAlignment="1">
      <alignment horizontal="justify" vertical="center"/>
    </xf>
    <xf numFmtId="3" fontId="2" fillId="0" borderId="12" xfId="0" applyNumberFormat="1" applyFont="1" applyBorder="1" applyAlignment="1">
      <alignment horizontal="justify" vertical="center" wrapText="1"/>
    </xf>
    <xf numFmtId="3" fontId="2" fillId="0" borderId="3" xfId="0" applyNumberFormat="1" applyFont="1" applyBorder="1" applyAlignment="1">
      <alignment horizontal="justify" vertical="center" wrapText="1"/>
    </xf>
    <xf numFmtId="3" fontId="2" fillId="0" borderId="4" xfId="0" applyNumberFormat="1" applyFont="1" applyBorder="1" applyAlignment="1">
      <alignment horizontal="justify" vertical="center" wrapText="1"/>
    </xf>
    <xf numFmtId="3" fontId="2" fillId="2" borderId="1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0" fontId="7" fillId="0" borderId="1" xfId="14" applyFont="1" applyFill="1" applyBorder="1" applyAlignment="1">
      <alignment horizontal="justify" vertical="center" wrapText="1"/>
    </xf>
    <xf numFmtId="0" fontId="3" fillId="6" borderId="1"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7" fillId="0" borderId="1" xfId="14"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0" borderId="12" xfId="3" applyFont="1" applyFill="1" applyBorder="1" applyAlignment="1">
      <alignment horizontal="justify" vertical="center" wrapText="1"/>
    </xf>
    <xf numFmtId="0" fontId="2" fillId="0" borderId="4" xfId="3" applyFont="1" applyFill="1" applyBorder="1" applyAlignment="1">
      <alignment horizontal="justify" vertical="center" wrapText="1"/>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justify" vertical="center" wrapText="1"/>
    </xf>
    <xf numFmtId="167" fontId="2" fillId="2" borderId="1" xfId="1" applyNumberFormat="1" applyFont="1" applyFill="1" applyBorder="1" applyAlignment="1">
      <alignment horizontal="center" vertical="center" wrapText="1"/>
    </xf>
    <xf numFmtId="9" fontId="2" fillId="0" borderId="1" xfId="2" applyFont="1" applyBorder="1" applyAlignment="1">
      <alignment horizontal="center" vertical="center" wrapText="1"/>
    </xf>
    <xf numFmtId="0" fontId="2" fillId="2" borderId="12" xfId="3" applyFont="1" applyFill="1" applyBorder="1" applyAlignment="1">
      <alignment horizontal="justify" vertical="center" wrapText="1"/>
    </xf>
    <xf numFmtId="0" fontId="2" fillId="2" borderId="4" xfId="3" applyFont="1" applyFill="1" applyBorder="1" applyAlignment="1">
      <alignment horizontal="justify" vertical="center" wrapText="1"/>
    </xf>
    <xf numFmtId="1" fontId="2" fillId="2" borderId="12"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64" fontId="2" fillId="0" borderId="12" xfId="0" applyNumberFormat="1" applyFont="1" applyFill="1" applyBorder="1" applyAlignment="1">
      <alignment horizontal="justify" vertical="center" wrapText="1"/>
    </xf>
    <xf numFmtId="164" fontId="2" fillId="0" borderId="3" xfId="0" applyNumberFormat="1" applyFont="1" applyFill="1" applyBorder="1" applyAlignment="1">
      <alignment horizontal="justify" vertical="center" wrapText="1"/>
    </xf>
    <xf numFmtId="164" fontId="2" fillId="0" borderId="4" xfId="0" applyNumberFormat="1" applyFont="1" applyFill="1" applyBorder="1" applyAlignment="1">
      <alignment horizontal="justify" vertical="center" wrapText="1"/>
    </xf>
    <xf numFmtId="0" fontId="7" fillId="2" borderId="3" xfId="0" applyFont="1" applyFill="1" applyBorder="1" applyAlignment="1">
      <alignment horizontal="justify" vertical="center" wrapText="1"/>
    </xf>
    <xf numFmtId="0" fontId="7" fillId="2" borderId="42" xfId="0" applyFont="1" applyFill="1" applyBorder="1" applyAlignment="1">
      <alignment horizontal="justify" vertical="center" wrapText="1"/>
    </xf>
    <xf numFmtId="0" fontId="7" fillId="0" borderId="12" xfId="12" applyNumberFormat="1" applyFont="1" applyFill="1" applyBorder="1" applyAlignment="1">
      <alignment horizontal="center" vertical="center" wrapText="1"/>
    </xf>
    <xf numFmtId="0" fontId="7" fillId="0" borderId="3" xfId="12" applyNumberFormat="1" applyFont="1" applyFill="1" applyBorder="1" applyAlignment="1">
      <alignment horizontal="center" vertical="center" wrapText="1"/>
    </xf>
    <xf numFmtId="0" fontId="7" fillId="0" borderId="4" xfId="12" applyNumberFormat="1" applyFont="1" applyFill="1" applyBorder="1" applyAlignment="1">
      <alignment horizontal="center" vertical="center" wrapText="1"/>
    </xf>
    <xf numFmtId="0" fontId="7" fillId="0" borderId="12" xfId="12" applyNumberFormat="1" applyFont="1" applyFill="1" applyBorder="1" applyAlignment="1">
      <alignment horizontal="justify" vertical="center" wrapText="1"/>
    </xf>
    <xf numFmtId="0" fontId="7" fillId="0" borderId="3" xfId="12" applyNumberFormat="1" applyFont="1" applyFill="1" applyBorder="1" applyAlignment="1">
      <alignment horizontal="justify" vertical="center" wrapText="1"/>
    </xf>
    <xf numFmtId="0" fontId="7" fillId="0" borderId="4" xfId="12" applyNumberFormat="1"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justify" vertical="center" wrapText="1"/>
    </xf>
    <xf numFmtId="0" fontId="7" fillId="0" borderId="12" xfId="0" applyNumberFormat="1" applyFont="1" applyBorder="1" applyAlignment="1">
      <alignment horizontal="justify" vertical="center" wrapText="1"/>
    </xf>
    <xf numFmtId="0" fontId="7" fillId="0" borderId="3" xfId="0" applyNumberFormat="1" applyFont="1" applyBorder="1" applyAlignment="1">
      <alignment horizontal="justify" vertical="center" wrapText="1"/>
    </xf>
    <xf numFmtId="0" fontId="7" fillId="0" borderId="4" xfId="0" applyNumberFormat="1" applyFont="1" applyBorder="1" applyAlignment="1">
      <alignment horizontal="justify" vertical="center" wrapText="1"/>
    </xf>
    <xf numFmtId="167" fontId="2" fillId="2" borderId="12" xfId="1" applyNumberFormat="1" applyFont="1" applyFill="1" applyBorder="1" applyAlignment="1">
      <alignment horizontal="center" vertical="center" wrapText="1"/>
    </xf>
    <xf numFmtId="167" fontId="2" fillId="2" borderId="3" xfId="1" applyNumberFormat="1" applyFont="1" applyFill="1" applyBorder="1" applyAlignment="1">
      <alignment horizontal="center" vertical="center" wrapText="1"/>
    </xf>
    <xf numFmtId="167" fontId="2" fillId="2" borderId="4" xfId="1" applyNumberFormat="1" applyFont="1" applyFill="1" applyBorder="1" applyAlignment="1">
      <alignment horizontal="center" vertical="center" wrapText="1"/>
    </xf>
    <xf numFmtId="0" fontId="2" fillId="2" borderId="13"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11" xfId="0" applyFont="1" applyFill="1" applyBorder="1" applyAlignment="1">
      <alignment horizontal="justify" vertical="center" wrapText="1"/>
    </xf>
    <xf numFmtId="1" fontId="2" fillId="2" borderId="49" xfId="0" applyNumberFormat="1" applyFont="1" applyFill="1" applyBorder="1" applyAlignment="1">
      <alignment horizontal="center" vertical="center" wrapText="1"/>
    </xf>
    <xf numFmtId="1" fontId="2" fillId="2" borderId="52" xfId="0" applyNumberFormat="1" applyFont="1" applyFill="1" applyBorder="1" applyAlignment="1">
      <alignment horizontal="center" vertical="center" wrapText="1"/>
    </xf>
    <xf numFmtId="1" fontId="2" fillId="2" borderId="50" xfId="0" applyNumberFormat="1" applyFont="1" applyFill="1" applyBorder="1" applyAlignment="1">
      <alignment horizontal="center" vertical="center" wrapText="1"/>
    </xf>
    <xf numFmtId="164" fontId="2" fillId="2" borderId="1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3" fontId="2" fillId="2" borderId="12" xfId="0" applyNumberFormat="1" applyFont="1" applyFill="1" applyBorder="1" applyAlignment="1">
      <alignment horizontal="justify" vertical="center" wrapText="1"/>
    </xf>
    <xf numFmtId="3" fontId="2" fillId="2" borderId="3" xfId="0" applyNumberFormat="1" applyFont="1" applyFill="1" applyBorder="1" applyAlignment="1">
      <alignment horizontal="justify" vertical="center" wrapText="1"/>
    </xf>
    <xf numFmtId="3" fontId="2" fillId="2" borderId="4" xfId="0" applyNumberFormat="1"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42" xfId="0" applyFont="1" applyFill="1" applyBorder="1" applyAlignment="1">
      <alignment horizontal="justify" vertical="center" wrapText="1"/>
    </xf>
    <xf numFmtId="0" fontId="5" fillId="10" borderId="2" xfId="0" applyFont="1" applyFill="1" applyBorder="1" applyAlignment="1">
      <alignment horizontal="left" vertical="center"/>
    </xf>
    <xf numFmtId="0" fontId="5" fillId="10" borderId="36" xfId="0" applyFont="1" applyFill="1" applyBorder="1" applyAlignment="1">
      <alignment horizontal="left" vertical="center"/>
    </xf>
    <xf numFmtId="0" fontId="5" fillId="10" borderId="32" xfId="0" applyFont="1" applyFill="1" applyBorder="1" applyAlignment="1">
      <alignment horizontal="left" vertical="center"/>
    </xf>
    <xf numFmtId="0" fontId="7" fillId="2" borderId="1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12" xfId="12" applyNumberFormat="1" applyFont="1" applyFill="1" applyBorder="1" applyAlignment="1">
      <alignment horizontal="justify" vertical="center" wrapText="1"/>
    </xf>
    <xf numFmtId="0" fontId="7" fillId="2" borderId="3" xfId="12" applyNumberFormat="1" applyFont="1" applyFill="1" applyBorder="1" applyAlignment="1">
      <alignment horizontal="justify" vertical="center" wrapText="1"/>
    </xf>
    <xf numFmtId="0" fontId="7" fillId="2" borderId="4" xfId="12" applyNumberFormat="1" applyFont="1" applyFill="1" applyBorder="1" applyAlignment="1">
      <alignment horizontal="justify" vertical="center" wrapText="1"/>
    </xf>
    <xf numFmtId="164" fontId="2" fillId="0" borderId="1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9" fontId="2" fillId="0" borderId="12" xfId="2" applyFont="1" applyBorder="1" applyAlignment="1">
      <alignment horizontal="center" vertical="center" wrapText="1"/>
    </xf>
    <xf numFmtId="9" fontId="2" fillId="0" borderId="3" xfId="2" applyFont="1" applyBorder="1" applyAlignment="1">
      <alignment horizontal="center" vertical="center" wrapText="1"/>
    </xf>
    <xf numFmtId="9" fontId="2" fillId="0" borderId="4" xfId="2" applyFont="1" applyBorder="1" applyAlignment="1">
      <alignment horizontal="center" vertical="center" wrapText="1"/>
    </xf>
    <xf numFmtId="9" fontId="2" fillId="2" borderId="3" xfId="2" applyFont="1" applyFill="1" applyBorder="1" applyAlignment="1">
      <alignment horizontal="center" vertical="center" wrapText="1"/>
    </xf>
    <xf numFmtId="9" fontId="2" fillId="2" borderId="4" xfId="2" applyFont="1" applyFill="1" applyBorder="1" applyAlignment="1">
      <alignment horizontal="center" vertical="center" wrapText="1"/>
    </xf>
    <xf numFmtId="0" fontId="7" fillId="2" borderId="12" xfId="0" applyNumberFormat="1" applyFont="1" applyFill="1" applyBorder="1" applyAlignment="1" applyProtection="1">
      <alignment horizontal="center" vertical="center" wrapText="1"/>
      <protection locked="0"/>
    </xf>
    <xf numFmtId="0" fontId="7" fillId="2" borderId="3" xfId="0" applyNumberFormat="1" applyFont="1" applyFill="1" applyBorder="1" applyAlignment="1" applyProtection="1">
      <alignment horizontal="center" vertical="center" wrapText="1"/>
      <protection locked="0"/>
    </xf>
    <xf numFmtId="0" fontId="7" fillId="2" borderId="4" xfId="0" applyNumberFormat="1" applyFont="1" applyFill="1" applyBorder="1" applyAlignment="1" applyProtection="1">
      <alignment horizontal="center" vertical="center" wrapText="1"/>
      <protection locked="0"/>
    </xf>
    <xf numFmtId="0" fontId="2" fillId="0" borderId="12" xfId="3" applyFont="1" applyBorder="1" applyAlignment="1">
      <alignment horizontal="justify" vertical="center" wrapText="1"/>
    </xf>
    <xf numFmtId="0" fontId="2" fillId="0" borderId="4" xfId="3" applyFont="1" applyBorder="1" applyAlignment="1">
      <alignment horizontal="justify" vertical="center" wrapText="1"/>
    </xf>
    <xf numFmtId="49" fontId="2" fillId="2" borderId="1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7" fillId="0" borderId="4" xfId="0" applyFont="1" applyFill="1" applyBorder="1" applyAlignment="1">
      <alignment horizontal="justify" vertical="center" wrapText="1"/>
    </xf>
    <xf numFmtId="3" fontId="2" fillId="0" borderId="12" xfId="0" applyNumberFormat="1" applyFont="1" applyFill="1" applyBorder="1" applyAlignment="1">
      <alignment horizontal="justify" vertical="center" wrapText="1"/>
    </xf>
    <xf numFmtId="3" fontId="2" fillId="0" borderId="3" xfId="0" applyNumberFormat="1" applyFont="1" applyFill="1" applyBorder="1" applyAlignment="1">
      <alignment horizontal="justify" vertical="center" wrapText="1"/>
    </xf>
    <xf numFmtId="3" fontId="2" fillId="0" borderId="4" xfId="0" applyNumberFormat="1" applyFont="1" applyFill="1" applyBorder="1" applyAlignment="1">
      <alignment horizontal="justify" vertical="center" wrapText="1"/>
    </xf>
    <xf numFmtId="49" fontId="2" fillId="0" borderId="1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7" fillId="2" borderId="12" xfId="12" applyNumberFormat="1" applyFont="1" applyFill="1" applyBorder="1" applyAlignment="1">
      <alignment horizontal="center" vertical="center" wrapText="1"/>
    </xf>
    <xf numFmtId="0" fontId="7" fillId="2" borderId="3" xfId="12" applyNumberFormat="1" applyFont="1" applyFill="1" applyBorder="1" applyAlignment="1">
      <alignment horizontal="center" vertical="center" wrapText="1"/>
    </xf>
    <xf numFmtId="0" fontId="7" fillId="2" borderId="4" xfId="12" applyNumberFormat="1" applyFont="1" applyFill="1" applyBorder="1" applyAlignment="1">
      <alignment horizontal="center" vertical="center" wrapText="1"/>
    </xf>
    <xf numFmtId="0" fontId="3" fillId="11" borderId="12" xfId="0" applyFont="1" applyFill="1" applyBorder="1" applyAlignment="1">
      <alignment horizontal="left" vertical="center"/>
    </xf>
    <xf numFmtId="1" fontId="3" fillId="0" borderId="13"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175" fontId="7" fillId="0" borderId="12" xfId="0" applyNumberFormat="1" applyFont="1" applyFill="1" applyBorder="1" applyAlignment="1">
      <alignment horizontal="justify" vertical="center" wrapText="1"/>
    </xf>
    <xf numFmtId="175" fontId="7" fillId="0" borderId="3" xfId="0" applyNumberFormat="1" applyFont="1" applyFill="1" applyBorder="1" applyAlignment="1">
      <alignment horizontal="justify" vertical="center" wrapText="1"/>
    </xf>
    <xf numFmtId="175" fontId="7" fillId="0" borderId="4" xfId="0" applyNumberFormat="1" applyFont="1" applyFill="1" applyBorder="1" applyAlignment="1">
      <alignment horizontal="justify" vertical="center" wrapText="1"/>
    </xf>
    <xf numFmtId="175" fontId="7" fillId="2" borderId="12" xfId="0" applyNumberFormat="1" applyFont="1" applyFill="1" applyBorder="1" applyAlignment="1">
      <alignment horizontal="justify" vertical="center" wrapText="1"/>
    </xf>
    <xf numFmtId="175" fontId="7" fillId="2" borderId="4" xfId="0" applyNumberFormat="1" applyFont="1" applyFill="1" applyBorder="1" applyAlignment="1">
      <alignment horizontal="justify" vertical="center" wrapText="1"/>
    </xf>
    <xf numFmtId="3" fontId="2" fillId="0" borderId="1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7" fillId="2" borderId="1" xfId="12" applyNumberFormat="1" applyFont="1" applyFill="1" applyBorder="1" applyAlignment="1">
      <alignment horizontal="center" vertical="center" wrapText="1"/>
    </xf>
    <xf numFmtId="0" fontId="7" fillId="2" borderId="1" xfId="12" applyNumberFormat="1" applyFont="1" applyFill="1" applyBorder="1" applyAlignment="1">
      <alignment horizontal="justify" vertical="center" wrapText="1"/>
    </xf>
    <xf numFmtId="0" fontId="7" fillId="2" borderId="1" xfId="13"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 xfId="0" applyFont="1" applyFill="1" applyBorder="1" applyAlignment="1">
      <alignment horizontal="justify" vertical="center" wrapText="1"/>
    </xf>
    <xf numFmtId="175" fontId="7" fillId="0" borderId="42" xfId="0" applyNumberFormat="1" applyFont="1" applyFill="1" applyBorder="1" applyAlignment="1">
      <alignment horizontal="justify" vertical="center" wrapText="1"/>
    </xf>
    <xf numFmtId="175" fontId="7" fillId="0" borderId="14" xfId="0" applyNumberFormat="1" applyFont="1" applyFill="1" applyBorder="1" applyAlignment="1">
      <alignment horizontal="justify" vertical="center" wrapText="1"/>
    </xf>
    <xf numFmtId="0" fontId="7" fillId="0" borderId="1" xfId="3" applyFont="1" applyBorder="1" applyAlignment="1">
      <alignment horizontal="center" vertical="center" wrapText="1"/>
    </xf>
    <xf numFmtId="0" fontId="7" fillId="0" borderId="1" xfId="13"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11" borderId="3" xfId="0" applyFont="1" applyFill="1" applyBorder="1" applyAlignment="1">
      <alignment horizontal="left" vertical="center"/>
    </xf>
    <xf numFmtId="0" fontId="5" fillId="11" borderId="1" xfId="0" applyFont="1" applyFill="1" applyBorder="1" applyAlignment="1">
      <alignment horizontal="left" vertical="center"/>
    </xf>
    <xf numFmtId="0" fontId="7" fillId="2" borderId="12" xfId="0" applyNumberFormat="1" applyFont="1" applyFill="1" applyBorder="1" applyAlignment="1">
      <alignment horizontal="justify" vertical="center" wrapText="1"/>
    </xf>
    <xf numFmtId="0" fontId="7" fillId="2" borderId="3" xfId="0" applyNumberFormat="1" applyFont="1" applyFill="1" applyBorder="1" applyAlignment="1">
      <alignment horizontal="justify" vertical="center" wrapText="1"/>
    </xf>
    <xf numFmtId="0" fontId="7" fillId="2" borderId="4" xfId="0" applyNumberFormat="1"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3" fillId="11" borderId="3" xfId="0" applyFont="1" applyFill="1" applyBorder="1" applyAlignment="1">
      <alignment horizontal="left" vertical="center"/>
    </xf>
    <xf numFmtId="0" fontId="2" fillId="0" borderId="1" xfId="2" applyNumberFormat="1" applyFont="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167" fontId="7" fillId="0" borderId="1" xfId="1" applyNumberFormat="1" applyFont="1" applyFill="1" applyBorder="1" applyAlignment="1">
      <alignment horizontal="center" vertical="center"/>
    </xf>
    <xf numFmtId="0" fontId="7" fillId="0" borderId="12" xfId="12" applyNumberFormat="1" applyFont="1" applyFill="1" applyBorder="1" applyAlignment="1">
      <alignment horizontal="center" vertical="center"/>
    </xf>
    <xf numFmtId="0" fontId="7" fillId="0" borderId="3" xfId="12" applyNumberFormat="1" applyFont="1" applyFill="1" applyBorder="1" applyAlignment="1">
      <alignment horizontal="center" vertical="center"/>
    </xf>
    <xf numFmtId="0" fontId="7" fillId="0" borderId="4" xfId="12" applyNumberFormat="1" applyFont="1" applyFill="1" applyBorder="1" applyAlignment="1">
      <alignment horizontal="center" vertical="center"/>
    </xf>
    <xf numFmtId="2" fontId="7" fillId="2" borderId="12" xfId="12" applyNumberFormat="1" applyFont="1" applyFill="1" applyBorder="1" applyAlignment="1">
      <alignment horizontal="center" vertical="center"/>
    </xf>
    <xf numFmtId="2" fontId="7" fillId="2" borderId="3" xfId="12" applyNumberFormat="1" applyFont="1" applyFill="1" applyBorder="1" applyAlignment="1">
      <alignment horizontal="center" vertical="center"/>
    </xf>
    <xf numFmtId="2" fontId="7" fillId="2" borderId="4" xfId="12" applyNumberFormat="1" applyFont="1" applyFill="1" applyBorder="1" applyAlignment="1">
      <alignment horizontal="center" vertical="center"/>
    </xf>
    <xf numFmtId="10" fontId="2" fillId="0" borderId="12" xfId="2" applyNumberFormat="1" applyFont="1" applyFill="1" applyBorder="1" applyAlignment="1">
      <alignment horizontal="center" vertical="center"/>
    </xf>
    <xf numFmtId="10" fontId="2" fillId="0" borderId="3" xfId="2" applyNumberFormat="1" applyFont="1" applyFill="1" applyBorder="1" applyAlignment="1">
      <alignment horizontal="center" vertical="center"/>
    </xf>
    <xf numFmtId="10" fontId="2" fillId="0" borderId="4" xfId="2" applyNumberFormat="1" applyFont="1" applyFill="1" applyBorder="1" applyAlignment="1">
      <alignment horizontal="center" vertical="center"/>
    </xf>
    <xf numFmtId="1" fontId="3" fillId="11" borderId="9" xfId="0" applyNumberFormat="1" applyFont="1" applyFill="1" applyBorder="1" applyAlignment="1">
      <alignment horizontal="left" vertical="center" wrapText="1"/>
    </xf>
    <xf numFmtId="1" fontId="3" fillId="11" borderId="5" xfId="0" applyNumberFormat="1" applyFont="1" applyFill="1" applyBorder="1" applyAlignment="1">
      <alignment horizontal="left" vertical="center" wrapText="1"/>
    </xf>
    <xf numFmtId="0" fontId="5" fillId="10" borderId="9" xfId="0" applyFont="1" applyFill="1" applyBorder="1" applyAlignment="1">
      <alignment horizontal="left" vertical="center" wrapText="1"/>
    </xf>
    <xf numFmtId="0" fontId="5" fillId="10" borderId="5" xfId="0" applyFont="1" applyFill="1" applyBorder="1" applyAlignment="1">
      <alignment horizontal="left" vertical="center" wrapText="1"/>
    </xf>
    <xf numFmtId="3" fontId="2" fillId="0" borderId="1" xfId="0" applyNumberFormat="1" applyFont="1" applyFill="1" applyBorder="1" applyAlignment="1">
      <alignment horizontal="justify" vertical="center" wrapText="1"/>
    </xf>
    <xf numFmtId="0" fontId="2" fillId="2" borderId="9" xfId="3" applyFont="1" applyFill="1" applyBorder="1" applyAlignment="1">
      <alignment horizontal="center" vertical="center" wrapText="1"/>
    </xf>
    <xf numFmtId="0" fontId="2" fillId="2" borderId="8" xfId="3" applyFont="1" applyFill="1" applyBorder="1" applyAlignment="1">
      <alignment horizontal="center" vertical="center" wrapText="1"/>
    </xf>
    <xf numFmtId="0" fontId="2" fillId="2" borderId="15" xfId="3" applyFont="1" applyFill="1" applyBorder="1" applyAlignment="1">
      <alignment horizontal="center" vertical="center" wrapText="1"/>
    </xf>
    <xf numFmtId="0" fontId="2" fillId="2" borderId="49" xfId="3" applyFont="1" applyFill="1" applyBorder="1" applyAlignment="1">
      <alignment horizontal="justify" vertical="center" wrapText="1"/>
    </xf>
    <xf numFmtId="0" fontId="2" fillId="2" borderId="52" xfId="3" applyFont="1" applyFill="1" applyBorder="1" applyAlignment="1">
      <alignment horizontal="justify" vertical="center" wrapText="1"/>
    </xf>
    <xf numFmtId="0" fontId="2" fillId="2" borderId="50" xfId="3" applyFont="1" applyFill="1" applyBorder="1" applyAlignment="1">
      <alignment horizontal="justify" vertical="center" wrapText="1"/>
    </xf>
    <xf numFmtId="0" fontId="2" fillId="2" borderId="14" xfId="3" applyFont="1" applyFill="1" applyBorder="1" applyAlignment="1">
      <alignment horizontal="center" vertical="center" wrapText="1"/>
    </xf>
    <xf numFmtId="0" fontId="2" fillId="2" borderId="3" xfId="3" applyFont="1" applyFill="1" applyBorder="1" applyAlignment="1">
      <alignment horizontal="center" vertical="center" wrapText="1"/>
    </xf>
    <xf numFmtId="0" fontId="2" fillId="2" borderId="4" xfId="3" applyFont="1" applyFill="1" applyBorder="1" applyAlignment="1">
      <alignment horizontal="center" vertical="center" wrapText="1"/>
    </xf>
    <xf numFmtId="0" fontId="2" fillId="2" borderId="3" xfId="3" applyFont="1" applyFill="1" applyBorder="1" applyAlignment="1">
      <alignment horizontal="justify" vertical="center" wrapText="1"/>
    </xf>
    <xf numFmtId="0" fontId="7" fillId="0" borderId="1" xfId="3" applyFont="1" applyBorder="1" applyAlignment="1">
      <alignment horizontal="center" vertical="center"/>
    </xf>
    <xf numFmtId="0" fontId="2" fillId="0" borderId="37" xfId="23" applyFont="1" applyBorder="1" applyAlignment="1">
      <alignment horizontal="justify" vertical="center" wrapText="1"/>
    </xf>
    <xf numFmtId="0" fontId="2" fillId="0" borderId="38" xfId="23" applyFont="1" applyBorder="1" applyAlignment="1">
      <alignment horizontal="justify" vertical="center" wrapText="1"/>
    </xf>
    <xf numFmtId="1" fontId="2" fillId="0" borderId="16" xfId="3" applyNumberFormat="1" applyFont="1" applyBorder="1" applyAlignment="1">
      <alignment horizontal="center" vertical="center"/>
    </xf>
    <xf numFmtId="0" fontId="2" fillId="0" borderId="5" xfId="3" applyFont="1" applyBorder="1" applyAlignment="1">
      <alignment horizontal="justify" vertical="center" wrapText="1"/>
    </xf>
    <xf numFmtId="0" fontId="6" fillId="0" borderId="23" xfId="23" applyFont="1" applyBorder="1" applyAlignment="1">
      <alignment horizontal="justify" vertical="center" wrapText="1"/>
    </xf>
    <xf numFmtId="0" fontId="6" fillId="0" borderId="48" xfId="23" applyFont="1" applyBorder="1" applyAlignment="1">
      <alignment horizontal="justify" vertical="center" wrapText="1"/>
    </xf>
    <xf numFmtId="0" fontId="2" fillId="0" borderId="23" xfId="23" applyFont="1" applyBorder="1" applyAlignment="1">
      <alignment horizontal="justify" vertical="center" wrapText="1"/>
    </xf>
    <xf numFmtId="0" fontId="2" fillId="0" borderId="48" xfId="23" applyFont="1" applyBorder="1" applyAlignment="1">
      <alignment horizontal="justify" vertical="center" wrapText="1"/>
    </xf>
    <xf numFmtId="0" fontId="2" fillId="0" borderId="0" xfId="23" applyFont="1" applyAlignment="1">
      <alignment horizontal="justify" vertical="center" wrapText="1"/>
    </xf>
    <xf numFmtId="1" fontId="2" fillId="0" borderId="19" xfId="3" applyNumberFormat="1" applyFont="1" applyBorder="1" applyAlignment="1">
      <alignment horizontal="center" vertical="center"/>
    </xf>
    <xf numFmtId="0" fontId="7" fillId="0" borderId="1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14" fontId="7" fillId="0" borderId="1" xfId="3" applyNumberFormat="1" applyFont="1" applyBorder="1" applyAlignment="1">
      <alignment horizontal="center" vertical="center"/>
    </xf>
    <xf numFmtId="3" fontId="7" fillId="7" borderId="12" xfId="0" applyNumberFormat="1" applyFont="1" applyFill="1" applyBorder="1" applyAlignment="1">
      <alignment horizontal="center" vertical="center"/>
    </xf>
    <xf numFmtId="3" fontId="7" fillId="7" borderId="3" xfId="0" applyNumberFormat="1" applyFont="1" applyFill="1" applyBorder="1" applyAlignment="1">
      <alignment horizontal="center" vertical="center"/>
    </xf>
    <xf numFmtId="3" fontId="7" fillId="7" borderId="42" xfId="0" applyNumberFormat="1" applyFont="1" applyFill="1" applyBorder="1" applyAlignment="1">
      <alignment horizontal="center" vertical="center"/>
    </xf>
    <xf numFmtId="177" fontId="7" fillId="0" borderId="12" xfId="11" applyNumberFormat="1" applyFont="1" applyBorder="1" applyAlignment="1">
      <alignment horizontal="center" vertical="center"/>
    </xf>
    <xf numFmtId="177" fontId="7" fillId="0" borderId="3" xfId="11" applyNumberFormat="1" applyFont="1" applyBorder="1" applyAlignment="1">
      <alignment horizontal="center" vertical="center"/>
    </xf>
    <xf numFmtId="177" fontId="7" fillId="0" borderId="4" xfId="11" applyNumberFormat="1" applyFont="1" applyBorder="1" applyAlignment="1">
      <alignment horizontal="center" vertical="center"/>
    </xf>
    <xf numFmtId="10" fontId="7" fillId="0" borderId="12" xfId="2" applyNumberFormat="1" applyFont="1" applyBorder="1" applyAlignment="1">
      <alignment horizontal="center" vertical="center"/>
    </xf>
    <xf numFmtId="10" fontId="7" fillId="0" borderId="3" xfId="2" applyNumberFormat="1" applyFont="1" applyBorder="1" applyAlignment="1">
      <alignment horizontal="center" vertical="center"/>
    </xf>
    <xf numFmtId="10" fontId="7" fillId="0" borderId="4" xfId="2" applyNumberFormat="1" applyFont="1" applyBorder="1" applyAlignment="1">
      <alignment horizontal="center" vertical="center"/>
    </xf>
    <xf numFmtId="0" fontId="7" fillId="0" borderId="12" xfId="3" applyFont="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3" fontId="7" fillId="0" borderId="12" xfId="0" applyNumberFormat="1" applyFont="1" applyBorder="1" applyAlignment="1">
      <alignment horizontal="center" vertical="center"/>
    </xf>
    <xf numFmtId="3" fontId="7" fillId="0" borderId="3" xfId="0" applyNumberFormat="1" applyFont="1" applyBorder="1" applyAlignment="1">
      <alignment horizontal="center" vertical="center"/>
    </xf>
    <xf numFmtId="3" fontId="7" fillId="0" borderId="42" xfId="0" applyNumberFormat="1" applyFont="1" applyBorder="1" applyAlignment="1">
      <alignment horizontal="center" vertical="center"/>
    </xf>
    <xf numFmtId="9" fontId="2" fillId="2" borderId="18" xfId="3" applyNumberFormat="1" applyFont="1" applyFill="1" applyBorder="1" applyAlignment="1">
      <alignment horizontal="center" vertical="center"/>
    </xf>
    <xf numFmtId="9" fontId="2" fillId="2" borderId="40" xfId="3" applyNumberFormat="1" applyFont="1" applyFill="1" applyBorder="1" applyAlignment="1">
      <alignment horizontal="center" vertical="center"/>
    </xf>
    <xf numFmtId="9" fontId="2" fillId="2" borderId="31" xfId="3" applyNumberFormat="1" applyFont="1" applyFill="1" applyBorder="1" applyAlignment="1">
      <alignment horizontal="center" vertical="center"/>
    </xf>
    <xf numFmtId="0" fontId="2" fillId="2" borderId="23" xfId="23" applyFont="1" applyFill="1" applyBorder="1" applyAlignment="1">
      <alignment horizontal="justify" vertical="center" wrapText="1"/>
    </xf>
    <xf numFmtId="0" fontId="2" fillId="2" borderId="48" xfId="23" applyFont="1" applyFill="1" applyBorder="1" applyAlignment="1">
      <alignment horizontal="justify" vertical="center" wrapText="1"/>
    </xf>
    <xf numFmtId="0" fontId="2" fillId="2" borderId="12" xfId="3" applyFont="1" applyFill="1" applyBorder="1" applyAlignment="1">
      <alignment horizontal="center" vertical="center"/>
    </xf>
    <xf numFmtId="0" fontId="2" fillId="2" borderId="3" xfId="3" applyFont="1" applyFill="1" applyBorder="1" applyAlignment="1">
      <alignment horizontal="center" vertical="center"/>
    </xf>
    <xf numFmtId="0" fontId="2" fillId="2" borderId="4" xfId="3" applyFont="1" applyFill="1" applyBorder="1" applyAlignment="1">
      <alignment horizontal="center" vertical="center"/>
    </xf>
    <xf numFmtId="0" fontId="2" fillId="0" borderId="12" xfId="3" applyFont="1" applyBorder="1" applyAlignment="1">
      <alignment horizontal="center"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2" borderId="12" xfId="3" applyFont="1" applyFill="1" applyBorder="1" applyAlignment="1">
      <alignment horizontal="center" vertical="center" wrapText="1"/>
    </xf>
    <xf numFmtId="0" fontId="2" fillId="2" borderId="13" xfId="3" applyFont="1" applyFill="1" applyBorder="1" applyAlignment="1">
      <alignment horizontal="justify" vertical="center" wrapText="1"/>
    </xf>
    <xf numFmtId="0" fontId="2" fillId="2" borderId="6" xfId="3" applyFont="1" applyFill="1" applyBorder="1" applyAlignment="1">
      <alignment horizontal="justify" vertical="center" wrapText="1"/>
    </xf>
    <xf numFmtId="0" fontId="2" fillId="0" borderId="40" xfId="23" applyFont="1" applyBorder="1" applyAlignment="1">
      <alignment horizontal="justify" vertical="center" wrapText="1" readingOrder="2"/>
    </xf>
    <xf numFmtId="0" fontId="2" fillId="0" borderId="0" xfId="23" applyFont="1" applyAlignment="1">
      <alignment horizontal="justify" vertical="center" wrapText="1" readingOrder="2"/>
    </xf>
    <xf numFmtId="0" fontId="2" fillId="0" borderId="38" xfId="23" applyFont="1" applyBorder="1" applyAlignment="1">
      <alignment horizontal="justify" vertical="center" wrapText="1" readingOrder="2"/>
    </xf>
    <xf numFmtId="0" fontId="2" fillId="0" borderId="20" xfId="23" applyFont="1" applyBorder="1" applyAlignment="1">
      <alignment horizontal="justify" vertical="center" wrapText="1"/>
    </xf>
    <xf numFmtId="0" fontId="2" fillId="2" borderId="9" xfId="3" applyFont="1" applyFill="1" applyBorder="1" applyAlignment="1">
      <alignment horizontal="justify" vertical="center" wrapText="1"/>
    </xf>
    <xf numFmtId="0" fontId="2" fillId="2" borderId="8" xfId="3" applyFont="1" applyFill="1" applyBorder="1" applyAlignment="1">
      <alignment horizontal="justify" vertical="center" wrapText="1"/>
    </xf>
    <xf numFmtId="166" fontId="2" fillId="0" borderId="12" xfId="3" applyNumberFormat="1" applyFont="1" applyBorder="1" applyAlignment="1">
      <alignment horizontal="center" vertical="center" wrapText="1"/>
    </xf>
    <xf numFmtId="166" fontId="2" fillId="0" borderId="3" xfId="3" applyNumberFormat="1" applyFont="1" applyBorder="1" applyAlignment="1">
      <alignment horizontal="center" vertical="center" wrapText="1"/>
    </xf>
    <xf numFmtId="183" fontId="2" fillId="0" borderId="12" xfId="0" applyNumberFormat="1" applyFont="1" applyBorder="1" applyAlignment="1">
      <alignment horizontal="center" vertical="center"/>
    </xf>
    <xf numFmtId="183" fontId="2" fillId="0" borderId="3" xfId="0" applyNumberFormat="1" applyFont="1" applyBorder="1" applyAlignment="1">
      <alignment horizontal="center" vertical="center"/>
    </xf>
    <xf numFmtId="183" fontId="2" fillId="0" borderId="4" xfId="0" applyNumberFormat="1" applyFont="1" applyBorder="1" applyAlignment="1">
      <alignment horizontal="center" vertical="center"/>
    </xf>
    <xf numFmtId="0" fontId="6" fillId="0" borderId="13"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6" xfId="0" applyFont="1" applyBorder="1" applyAlignment="1">
      <alignment horizontal="justify" vertical="center" wrapText="1"/>
    </xf>
    <xf numFmtId="177" fontId="7" fillId="0" borderId="1" xfId="11" applyNumberFormat="1" applyFont="1" applyFill="1" applyBorder="1" applyAlignment="1">
      <alignment horizontal="center" vertical="center"/>
    </xf>
    <xf numFmtId="10" fontId="7" fillId="0" borderId="1" xfId="2" applyNumberFormat="1" applyFont="1" applyFill="1" applyBorder="1" applyAlignment="1">
      <alignment horizontal="center" vertical="center"/>
    </xf>
    <xf numFmtId="183" fontId="2" fillId="0" borderId="28" xfId="0" applyNumberFormat="1" applyFont="1" applyBorder="1" applyAlignment="1">
      <alignment horizontal="center" vertical="center"/>
    </xf>
    <xf numFmtId="183" fontId="2" fillId="0" borderId="7" xfId="0" applyNumberFormat="1" applyFont="1" applyBorder="1" applyAlignment="1">
      <alignment horizontal="center" vertical="center"/>
    </xf>
    <xf numFmtId="183" fontId="2" fillId="0" borderId="10" xfId="0" applyNumberFormat="1" applyFont="1" applyBorder="1" applyAlignment="1">
      <alignment horizontal="center" vertical="center"/>
    </xf>
    <xf numFmtId="0" fontId="7" fillId="0" borderId="19" xfId="0" applyFont="1" applyBorder="1" applyAlignment="1">
      <alignment horizontal="center" vertical="center"/>
    </xf>
    <xf numFmtId="0" fontId="7" fillId="0" borderId="5"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9" fontId="7" fillId="0" borderId="13" xfId="0" applyNumberFormat="1" applyFont="1" applyBorder="1" applyAlignment="1">
      <alignment horizontal="center" vertical="center"/>
    </xf>
    <xf numFmtId="9" fontId="7" fillId="0" borderId="6" xfId="0" applyNumberFormat="1" applyFont="1" applyBorder="1" applyAlignment="1">
      <alignment horizontal="center" vertical="center"/>
    </xf>
    <xf numFmtId="43" fontId="7" fillId="0" borderId="5" xfId="21" applyNumberFormat="1" applyFont="1" applyFill="1" applyBorder="1" applyAlignment="1">
      <alignment horizontal="center" vertical="center"/>
    </xf>
    <xf numFmtId="43" fontId="7" fillId="0" borderId="9" xfId="21" applyNumberFormat="1" applyFont="1" applyFill="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justify" vertical="center" wrapText="1"/>
    </xf>
    <xf numFmtId="0" fontId="7" fillId="0" borderId="10" xfId="0" applyFont="1" applyBorder="1" applyAlignment="1">
      <alignment horizontal="justify" vertical="center" wrapText="1"/>
    </xf>
    <xf numFmtId="0" fontId="5" fillId="11" borderId="6" xfId="0" applyFont="1" applyFill="1" applyBorder="1" applyAlignment="1">
      <alignment horizontal="left" vertical="center"/>
    </xf>
    <xf numFmtId="0" fontId="5" fillId="11" borderId="0" xfId="0" applyFont="1" applyFill="1" applyAlignment="1">
      <alignment horizontal="left" vertical="center"/>
    </xf>
    <xf numFmtId="0" fontId="5" fillId="10" borderId="40" xfId="0" applyFont="1" applyFill="1" applyBorder="1" applyAlignment="1">
      <alignment horizontal="left" vertical="center"/>
    </xf>
    <xf numFmtId="0" fontId="5" fillId="10" borderId="30" xfId="0" applyFont="1" applyFill="1" applyBorder="1" applyAlignment="1">
      <alignment horizontal="left"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6" borderId="40" xfId="0" applyFont="1" applyFill="1" applyBorder="1" applyAlignment="1">
      <alignment horizontal="left" vertical="center"/>
    </xf>
    <xf numFmtId="0" fontId="5" fillId="6" borderId="16" xfId="0" applyFont="1" applyFill="1" applyBorder="1" applyAlignment="1">
      <alignment horizontal="left" vertical="center"/>
    </xf>
    <xf numFmtId="0" fontId="5" fillId="0" borderId="0" xfId="0" applyFont="1" applyAlignment="1">
      <alignment horizontal="center" vertical="center"/>
    </xf>
    <xf numFmtId="0" fontId="2" fillId="2" borderId="5" xfId="3" applyFont="1" applyFill="1" applyBorder="1" applyAlignment="1">
      <alignment horizontal="center" vertical="center" wrapText="1"/>
    </xf>
    <xf numFmtId="0" fontId="2" fillId="2" borderId="28" xfId="3" applyFont="1" applyFill="1" applyBorder="1" applyAlignment="1">
      <alignment horizontal="justify" vertical="center" wrapText="1"/>
    </xf>
    <xf numFmtId="0" fontId="2" fillId="2" borderId="7" xfId="3" applyFont="1" applyFill="1" applyBorder="1" applyAlignment="1">
      <alignment horizontal="justify" vertical="center" wrapText="1"/>
    </xf>
    <xf numFmtId="0" fontId="2" fillId="2" borderId="10" xfId="3" applyFont="1" applyFill="1" applyBorder="1" applyAlignment="1">
      <alignment horizontal="justify" vertical="center" wrapText="1"/>
    </xf>
    <xf numFmtId="0" fontId="2" fillId="2" borderId="13" xfId="3" applyFont="1" applyFill="1" applyBorder="1" applyAlignment="1">
      <alignment horizontal="center" vertical="center" wrapText="1"/>
    </xf>
    <xf numFmtId="0" fontId="2" fillId="2" borderId="6" xfId="3" applyFont="1" applyFill="1" applyBorder="1" applyAlignment="1">
      <alignment horizontal="center" vertical="center" wrapText="1"/>
    </xf>
    <xf numFmtId="0" fontId="2" fillId="2" borderId="5" xfId="3" applyFont="1" applyFill="1" applyBorder="1" applyAlignment="1">
      <alignment horizontal="justify" vertical="center" wrapText="1"/>
    </xf>
    <xf numFmtId="0" fontId="2" fillId="0" borderId="5" xfId="3" applyFont="1" applyBorder="1" applyAlignment="1">
      <alignment horizontal="center" vertical="center"/>
    </xf>
    <xf numFmtId="9" fontId="2" fillId="2" borderId="5" xfId="3" applyNumberFormat="1" applyFont="1" applyFill="1" applyBorder="1" applyAlignment="1">
      <alignment horizontal="center" vertical="center"/>
    </xf>
    <xf numFmtId="0" fontId="2" fillId="2" borderId="0" xfId="3" applyFont="1" applyFill="1" applyAlignment="1">
      <alignment horizontal="justify" vertical="center" wrapText="1"/>
    </xf>
    <xf numFmtId="0" fontId="2" fillId="2" borderId="41" xfId="3" applyFont="1" applyFill="1" applyBorder="1" applyAlignment="1">
      <alignment horizontal="justify" vertical="center" wrapText="1"/>
    </xf>
    <xf numFmtId="0" fontId="7" fillId="0" borderId="28" xfId="0" applyFont="1" applyBorder="1" applyAlignment="1">
      <alignment horizontal="justify" vertical="center" wrapText="1"/>
    </xf>
    <xf numFmtId="0" fontId="2" fillId="2" borderId="5" xfId="3" applyFont="1" applyFill="1" applyBorder="1" applyAlignment="1">
      <alignment horizontal="center" vertical="center"/>
    </xf>
    <xf numFmtId="9" fontId="2" fillId="2" borderId="5" xfId="3" applyNumberFormat="1" applyFont="1" applyFill="1" applyBorder="1" applyAlignment="1">
      <alignment horizontal="center" vertical="center" wrapText="1"/>
    </xf>
    <xf numFmtId="43" fontId="2" fillId="2" borderId="19" xfId="21" applyNumberFormat="1" applyFont="1" applyFill="1" applyBorder="1" applyAlignment="1">
      <alignment horizontal="center" vertical="center" wrapText="1"/>
    </xf>
    <xf numFmtId="43" fontId="2" fillId="2" borderId="5" xfId="21" applyNumberFormat="1" applyFont="1" applyFill="1" applyBorder="1" applyAlignment="1">
      <alignment horizontal="center" vertical="center" wrapText="1"/>
    </xf>
    <xf numFmtId="0" fontId="2" fillId="2" borderId="29" xfId="3" applyFont="1" applyFill="1" applyBorder="1" applyAlignment="1">
      <alignment horizontal="justify" vertical="center" wrapText="1"/>
    </xf>
    <xf numFmtId="0" fontId="2" fillId="2" borderId="22" xfId="3" applyFont="1" applyFill="1" applyBorder="1" applyAlignment="1">
      <alignment horizontal="justify" vertical="center" wrapText="1"/>
    </xf>
    <xf numFmtId="0" fontId="2" fillId="2" borderId="20" xfId="3" applyFont="1" applyFill="1" applyBorder="1" applyAlignment="1">
      <alignment horizontal="justify" vertical="center" wrapText="1"/>
    </xf>
    <xf numFmtId="9" fontId="2" fillId="2" borderId="9" xfId="3" applyNumberFormat="1" applyFont="1" applyFill="1" applyBorder="1" applyAlignment="1">
      <alignment horizontal="center" vertical="center"/>
    </xf>
    <xf numFmtId="9" fontId="2" fillId="2" borderId="8" xfId="3" applyNumberFormat="1" applyFont="1" applyFill="1" applyBorder="1" applyAlignment="1">
      <alignment horizontal="center" vertical="center"/>
    </xf>
    <xf numFmtId="9" fontId="2" fillId="2" borderId="15" xfId="3" applyNumberFormat="1" applyFont="1" applyFill="1" applyBorder="1" applyAlignment="1">
      <alignment horizontal="center" vertical="center"/>
    </xf>
    <xf numFmtId="0" fontId="2" fillId="2" borderId="24" xfId="3" applyFont="1" applyFill="1" applyBorder="1" applyAlignment="1">
      <alignment horizontal="justify" vertical="center" wrapText="1"/>
    </xf>
    <xf numFmtId="0" fontId="2" fillId="2" borderId="21" xfId="3" applyFont="1" applyFill="1" applyBorder="1" applyAlignment="1">
      <alignment horizontal="justify" vertical="center" wrapText="1"/>
    </xf>
    <xf numFmtId="0" fontId="2" fillId="2" borderId="13" xfId="3" applyFont="1" applyFill="1" applyBorder="1" applyAlignment="1">
      <alignment horizontal="center" vertical="center"/>
    </xf>
    <xf numFmtId="0" fontId="2" fillId="2" borderId="6" xfId="3" applyFont="1" applyFill="1" applyBorder="1" applyAlignment="1">
      <alignment horizontal="center" vertical="center"/>
    </xf>
    <xf numFmtId="0" fontId="6" fillId="0" borderId="16" xfId="0" applyFont="1" applyBorder="1" applyAlignment="1">
      <alignment horizontal="justify" vertical="center" wrapText="1"/>
    </xf>
    <xf numFmtId="0" fontId="6" fillId="0" borderId="19" xfId="0" applyFont="1" applyBorder="1" applyAlignment="1">
      <alignment horizontal="justify" vertical="center" wrapText="1"/>
    </xf>
    <xf numFmtId="1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0" fontId="7" fillId="2" borderId="23" xfId="25" applyFont="1" applyFill="1" applyBorder="1" applyAlignment="1">
      <alignment horizontal="justify" vertical="center" wrapText="1"/>
    </xf>
    <xf numFmtId="0" fontId="7" fillId="2" borderId="48" xfId="25" applyFont="1" applyFill="1" applyBorder="1" applyAlignment="1">
      <alignment horizontal="justify" vertical="center" wrapText="1"/>
    </xf>
    <xf numFmtId="0" fontId="7" fillId="2" borderId="20" xfId="25" applyFont="1" applyFill="1" applyBorder="1" applyAlignment="1">
      <alignment horizontal="justify" vertical="center" wrapText="1"/>
    </xf>
    <xf numFmtId="0" fontId="7" fillId="7" borderId="40" xfId="0" applyFont="1" applyFill="1" applyBorder="1" applyAlignment="1">
      <alignment horizontal="justify" vertical="center" wrapText="1"/>
    </xf>
    <xf numFmtId="0" fontId="7" fillId="0" borderId="31" xfId="0" applyFont="1" applyBorder="1" applyAlignment="1">
      <alignment horizontal="justify" vertical="center" wrapText="1"/>
    </xf>
    <xf numFmtId="0" fontId="7" fillId="0" borderId="20" xfId="0" applyFont="1" applyBorder="1" applyAlignment="1">
      <alignment horizontal="justify" vertical="center" wrapText="1"/>
    </xf>
    <xf numFmtId="177" fontId="7" fillId="0" borderId="12" xfId="11" applyNumberFormat="1" applyFont="1" applyFill="1" applyBorder="1" applyAlignment="1">
      <alignment horizontal="center" vertical="center"/>
    </xf>
    <xf numFmtId="177" fontId="7" fillId="0" borderId="3" xfId="11" applyNumberFormat="1" applyFont="1" applyFill="1" applyBorder="1" applyAlignment="1">
      <alignment horizontal="center" vertical="center"/>
    </xf>
    <xf numFmtId="177" fontId="7" fillId="0" borderId="4" xfId="11" applyNumberFormat="1" applyFont="1" applyFill="1" applyBorder="1" applyAlignment="1">
      <alignment horizontal="center" vertical="center"/>
    </xf>
    <xf numFmtId="10" fontId="7" fillId="0" borderId="12" xfId="2" applyNumberFormat="1" applyFont="1" applyFill="1" applyBorder="1" applyAlignment="1">
      <alignment horizontal="center" vertical="center"/>
    </xf>
    <xf numFmtId="10" fontId="7" fillId="0" borderId="3" xfId="2" applyNumberFormat="1" applyFont="1" applyFill="1" applyBorder="1" applyAlignment="1">
      <alignment horizontal="center" vertical="center"/>
    </xf>
    <xf numFmtId="10" fontId="7" fillId="0" borderId="4" xfId="2" applyNumberFormat="1" applyFont="1" applyFill="1" applyBorder="1" applyAlignment="1">
      <alignment horizontal="center" vertical="center"/>
    </xf>
    <xf numFmtId="3" fontId="7" fillId="0" borderId="4" xfId="0" applyNumberFormat="1" applyFont="1" applyBorder="1" applyAlignment="1">
      <alignment horizontal="center" vertical="center"/>
    </xf>
    <xf numFmtId="3" fontId="7" fillId="0" borderId="12"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2" fillId="2" borderId="7" xfId="0" applyNumberFormat="1" applyFont="1" applyFill="1" applyBorder="1" applyAlignment="1">
      <alignment horizontal="center" vertical="center"/>
    </xf>
    <xf numFmtId="0" fontId="7" fillId="0" borderId="19" xfId="3" applyFont="1" applyBorder="1" applyAlignment="1">
      <alignment horizontal="justify" vertical="center" wrapText="1"/>
    </xf>
    <xf numFmtId="0" fontId="7" fillId="0" borderId="29" xfId="3" applyFont="1" applyBorder="1" applyAlignment="1">
      <alignment horizontal="justify" vertical="center" wrapText="1"/>
    </xf>
    <xf numFmtId="0" fontId="2" fillId="2" borderId="19" xfId="3" applyFont="1" applyFill="1" applyBorder="1" applyAlignment="1">
      <alignment horizontal="justify" vertical="center" wrapText="1"/>
    </xf>
    <xf numFmtId="0" fontId="7" fillId="7" borderId="20" xfId="0" applyFont="1" applyFill="1" applyBorder="1" applyAlignment="1">
      <alignment horizontal="justify" vertical="center" wrapText="1"/>
    </xf>
    <xf numFmtId="0" fontId="7" fillId="7" borderId="18" xfId="0" applyFont="1" applyFill="1" applyBorder="1" applyAlignment="1">
      <alignment horizontal="justify" vertical="center" wrapText="1"/>
    </xf>
    <xf numFmtId="0" fontId="7" fillId="7" borderId="31" xfId="0" applyFont="1" applyFill="1" applyBorder="1" applyAlignment="1">
      <alignment horizontal="justify" vertical="center" wrapText="1"/>
    </xf>
    <xf numFmtId="0" fontId="7" fillId="7" borderId="48" xfId="0" applyFont="1" applyFill="1" applyBorder="1" applyAlignment="1">
      <alignment horizontal="justify" vertical="center" wrapText="1"/>
    </xf>
    <xf numFmtId="0" fontId="7" fillId="7" borderId="23" xfId="0" applyFont="1" applyFill="1" applyBorder="1" applyAlignment="1">
      <alignment horizontal="justify" vertical="center" wrapText="1"/>
    </xf>
    <xf numFmtId="0" fontId="7" fillId="0" borderId="5" xfId="3" applyFont="1" applyBorder="1" applyAlignment="1">
      <alignment horizontal="center" vertical="center" wrapText="1"/>
    </xf>
    <xf numFmtId="0" fontId="7" fillId="0" borderId="5" xfId="3" applyFont="1" applyBorder="1" applyAlignment="1">
      <alignment horizontal="justify" vertical="center" wrapText="1"/>
    </xf>
    <xf numFmtId="43" fontId="7" fillId="0" borderId="5" xfId="21" applyNumberFormat="1" applyFont="1" applyBorder="1" applyAlignment="1">
      <alignment horizontal="center" vertical="center" wrapText="1"/>
    </xf>
    <xf numFmtId="0" fontId="7" fillId="2" borderId="31"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0" borderId="15" xfId="3" applyFont="1" applyBorder="1" applyAlignment="1">
      <alignment horizontal="center" vertical="center"/>
    </xf>
    <xf numFmtId="0" fontId="7" fillId="0" borderId="5" xfId="3" applyFont="1" applyBorder="1" applyAlignment="1">
      <alignment horizontal="center" vertical="center"/>
    </xf>
    <xf numFmtId="0" fontId="7" fillId="0" borderId="7" xfId="3" applyFont="1" applyBorder="1" applyAlignment="1">
      <alignment horizontal="justify" vertical="center" wrapText="1"/>
    </xf>
    <xf numFmtId="0" fontId="7" fillId="0" borderId="10" xfId="3" applyFont="1" applyBorder="1" applyAlignment="1">
      <alignment horizontal="justify" vertical="center" wrapText="1"/>
    </xf>
    <xf numFmtId="0" fontId="7" fillId="0" borderId="6" xfId="14" applyFont="1" applyFill="1" applyBorder="1">
      <alignment horizontal="center" vertical="center" wrapText="1"/>
    </xf>
    <xf numFmtId="0" fontId="7" fillId="0" borderId="11" xfId="14" applyFont="1" applyFill="1" applyBorder="1">
      <alignment horizontal="center" vertical="center" wrapText="1"/>
    </xf>
    <xf numFmtId="0" fontId="7" fillId="0" borderId="15" xfId="3" applyFont="1" applyBorder="1" applyAlignment="1">
      <alignment horizontal="justify" vertical="center" wrapText="1"/>
    </xf>
    <xf numFmtId="14" fontId="7" fillId="0" borderId="12" xfId="0" applyNumberFormat="1" applyFont="1" applyBorder="1" applyAlignment="1">
      <alignment horizontal="center" vertical="center"/>
    </xf>
    <xf numFmtId="14" fontId="7" fillId="0" borderId="3" xfId="0" applyNumberFormat="1" applyFont="1" applyBorder="1" applyAlignment="1">
      <alignment horizontal="center" vertical="center"/>
    </xf>
    <xf numFmtId="0" fontId="7" fillId="7" borderId="13" xfId="0" applyFont="1" applyFill="1" applyBorder="1" applyAlignment="1">
      <alignment horizontal="justify" vertical="center" wrapText="1"/>
    </xf>
    <xf numFmtId="0" fontId="7" fillId="7" borderId="51" xfId="0" applyFont="1" applyFill="1" applyBorder="1" applyAlignment="1">
      <alignment horizontal="justify" vertical="center" wrapText="1"/>
    </xf>
    <xf numFmtId="0" fontId="5" fillId="10" borderId="18" xfId="0" applyFont="1" applyFill="1" applyBorder="1" applyAlignment="1">
      <alignment horizontal="left" vertical="center"/>
    </xf>
    <xf numFmtId="0" fontId="5" fillId="10" borderId="17" xfId="0" applyFont="1" applyFill="1" applyBorder="1" applyAlignment="1">
      <alignment horizontal="left" vertical="center"/>
    </xf>
    <xf numFmtId="0" fontId="2" fillId="0" borderId="0" xfId="3" applyFont="1" applyAlignment="1">
      <alignment horizontal="center" vertical="center"/>
    </xf>
    <xf numFmtId="0" fontId="2" fillId="0" borderId="17" xfId="3" applyFont="1" applyBorder="1" applyAlignment="1">
      <alignment horizontal="center" vertical="center"/>
    </xf>
    <xf numFmtId="14" fontId="7" fillId="0" borderId="12" xfId="2" applyNumberFormat="1" applyFont="1" applyFill="1" applyBorder="1" applyAlignment="1">
      <alignment horizontal="center" vertical="center"/>
    </xf>
    <xf numFmtId="14" fontId="7" fillId="0" borderId="3" xfId="2" applyNumberFormat="1" applyFont="1" applyFill="1" applyBorder="1" applyAlignment="1">
      <alignment horizontal="center" vertical="center"/>
    </xf>
    <xf numFmtId="3" fontId="2" fillId="2" borderId="32" xfId="0" applyNumberFormat="1" applyFont="1" applyFill="1" applyBorder="1" applyAlignment="1">
      <alignment horizontal="center" vertical="center"/>
    </xf>
    <xf numFmtId="3" fontId="2" fillId="2" borderId="28" xfId="0" applyNumberFormat="1" applyFont="1" applyFill="1" applyBorder="1" applyAlignment="1">
      <alignment horizontal="center" vertical="center"/>
    </xf>
    <xf numFmtId="3" fontId="7" fillId="2" borderId="12"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3" fontId="7" fillId="2" borderId="42" xfId="0" applyNumberFormat="1" applyFont="1" applyFill="1" applyBorder="1" applyAlignment="1">
      <alignment horizontal="center" vertical="center"/>
    </xf>
    <xf numFmtId="3" fontId="7" fillId="2" borderId="49" xfId="0" applyNumberFormat="1" applyFont="1" applyFill="1" applyBorder="1" applyAlignment="1">
      <alignment horizontal="center" vertical="center"/>
    </xf>
    <xf numFmtId="3" fontId="7" fillId="2" borderId="52" xfId="0" applyNumberFormat="1" applyFont="1" applyFill="1" applyBorder="1" applyAlignment="1">
      <alignment horizontal="center" vertical="center"/>
    </xf>
    <xf numFmtId="3" fontId="7" fillId="2" borderId="55" xfId="0" applyNumberFormat="1" applyFont="1" applyFill="1" applyBorder="1" applyAlignment="1">
      <alignment horizontal="center" vertical="center"/>
    </xf>
    <xf numFmtId="0" fontId="7" fillId="0" borderId="4" xfId="3" applyFont="1" applyBorder="1" applyAlignment="1">
      <alignment horizontal="justify" vertical="center" wrapText="1"/>
    </xf>
    <xf numFmtId="0" fontId="7" fillId="0" borderId="3" xfId="3" applyFont="1" applyBorder="1" applyAlignment="1">
      <alignment horizontal="justify" vertical="center" wrapText="1"/>
    </xf>
    <xf numFmtId="0" fontId="7" fillId="0" borderId="12" xfId="3" applyFont="1" applyBorder="1" applyAlignment="1">
      <alignment horizontal="justify" vertical="center" wrapText="1"/>
    </xf>
    <xf numFmtId="9" fontId="2" fillId="2" borderId="12" xfId="3" applyNumberFormat="1" applyFont="1" applyFill="1" applyBorder="1" applyAlignment="1">
      <alignment horizontal="center" vertical="center"/>
    </xf>
    <xf numFmtId="9" fontId="2" fillId="2" borderId="3" xfId="3" applyNumberFormat="1" applyFont="1" applyFill="1" applyBorder="1" applyAlignment="1">
      <alignment horizontal="center" vertical="center"/>
    </xf>
    <xf numFmtId="43" fontId="7" fillId="0" borderId="1" xfId="21" applyNumberFormat="1" applyFont="1" applyBorder="1" applyAlignment="1">
      <alignment horizontal="center" vertical="center" wrapText="1"/>
    </xf>
    <xf numFmtId="43" fontId="7" fillId="0" borderId="12" xfId="21" applyNumberFormat="1" applyFont="1" applyBorder="1" applyAlignment="1">
      <alignment horizontal="center" vertical="center" wrapText="1"/>
    </xf>
    <xf numFmtId="0" fontId="2" fillId="2" borderId="1" xfId="3" applyFont="1" applyFill="1" applyBorder="1" applyAlignment="1">
      <alignment horizontal="justify" vertical="center" wrapText="1"/>
    </xf>
    <xf numFmtId="0" fontId="7" fillId="7" borderId="11" xfId="0" applyFont="1" applyFill="1" applyBorder="1" applyAlignment="1">
      <alignment horizontal="justify" vertical="center" wrapText="1"/>
    </xf>
    <xf numFmtId="0" fontId="7" fillId="0" borderId="4" xfId="14" applyFont="1" applyFill="1" applyBorder="1">
      <alignment horizontal="center" vertical="center" wrapText="1"/>
    </xf>
    <xf numFmtId="0" fontId="7" fillId="0" borderId="3" xfId="14" applyFont="1" applyFill="1" applyBorder="1">
      <alignment horizontal="center" vertical="center" wrapText="1"/>
    </xf>
    <xf numFmtId="0" fontId="7" fillId="0" borderId="12" xfId="14" applyFont="1" applyFill="1" applyBorder="1">
      <alignment horizontal="center" vertical="center" wrapText="1"/>
    </xf>
    <xf numFmtId="0" fontId="3" fillId="11" borderId="20" xfId="3" applyFont="1" applyFill="1" applyBorder="1" applyAlignment="1">
      <alignment horizontal="left" vertical="center"/>
    </xf>
    <xf numFmtId="0" fontId="3" fillId="11" borderId="0" xfId="3" applyFont="1" applyFill="1" applyAlignment="1">
      <alignment horizontal="left" vertical="center"/>
    </xf>
    <xf numFmtId="0" fontId="5" fillId="6" borderId="74" xfId="0" applyFont="1" applyFill="1" applyBorder="1" applyAlignment="1">
      <alignment horizontal="left" vertical="center"/>
    </xf>
    <xf numFmtId="0" fontId="7" fillId="0" borderId="70" xfId="3" applyFont="1" applyBorder="1" applyAlignment="1">
      <alignment horizontal="justify" vertical="center" wrapText="1"/>
    </xf>
    <xf numFmtId="0" fontId="7" fillId="0" borderId="28" xfId="3" applyFont="1" applyBorder="1" applyAlignment="1">
      <alignment horizontal="justify" vertical="center" wrapText="1"/>
    </xf>
    <xf numFmtId="14" fontId="7" fillId="2" borderId="49" xfId="0" applyNumberFormat="1" applyFont="1" applyFill="1" applyBorder="1" applyAlignment="1">
      <alignment horizontal="center" vertical="center"/>
    </xf>
    <xf numFmtId="14" fontId="7" fillId="2" borderId="52" xfId="0" applyNumberFormat="1" applyFont="1" applyFill="1" applyBorder="1" applyAlignment="1">
      <alignment horizontal="center" vertical="center"/>
    </xf>
    <xf numFmtId="183" fontId="7" fillId="2" borderId="49" xfId="0" applyNumberFormat="1" applyFont="1" applyFill="1" applyBorder="1" applyAlignment="1">
      <alignment horizontal="center" vertical="center"/>
    </xf>
    <xf numFmtId="183" fontId="7" fillId="2" borderId="52" xfId="0" applyNumberFormat="1" applyFont="1" applyFill="1" applyBorder="1" applyAlignment="1">
      <alignment horizontal="center" vertical="center"/>
    </xf>
    <xf numFmtId="0" fontId="7" fillId="2" borderId="13"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0" borderId="28"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justify" vertical="center" wrapText="1"/>
    </xf>
    <xf numFmtId="10" fontId="7" fillId="2" borderId="49" xfId="2" applyNumberFormat="1" applyFont="1" applyFill="1" applyBorder="1" applyAlignment="1">
      <alignment horizontal="center" vertical="center"/>
    </xf>
    <xf numFmtId="10" fontId="7" fillId="2" borderId="52" xfId="2" applyNumberFormat="1" applyFont="1" applyFill="1" applyBorder="1" applyAlignment="1">
      <alignment horizontal="center" vertical="center"/>
    </xf>
    <xf numFmtId="183" fontId="7" fillId="2" borderId="49" xfId="0" applyNumberFormat="1" applyFont="1" applyFill="1" applyBorder="1" applyAlignment="1">
      <alignment horizontal="center" vertical="center" wrapText="1"/>
    </xf>
    <xf numFmtId="183" fontId="7" fillId="2" borderId="52" xfId="0"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xf>
    <xf numFmtId="0" fontId="7" fillId="2" borderId="1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2" xfId="0" applyFont="1" applyFill="1" applyBorder="1" applyAlignment="1">
      <alignment horizontal="center" vertical="center"/>
    </xf>
    <xf numFmtId="177" fontId="7" fillId="2" borderId="49" xfId="11" applyNumberFormat="1" applyFont="1" applyFill="1" applyBorder="1" applyAlignment="1">
      <alignment horizontal="center" vertical="center"/>
    </xf>
    <xf numFmtId="177" fontId="7" fillId="2" borderId="52" xfId="11"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42" xfId="0" applyFont="1" applyBorder="1" applyAlignment="1">
      <alignment horizontal="center" vertical="center"/>
    </xf>
    <xf numFmtId="0" fontId="7" fillId="2" borderId="11" xfId="0" applyFont="1" applyFill="1" applyBorder="1" applyAlignment="1">
      <alignment horizontal="justify" vertical="center" wrapText="1"/>
    </xf>
    <xf numFmtId="0" fontId="7" fillId="0" borderId="60"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7" fillId="0" borderId="12" xfId="0" applyFont="1" applyBorder="1" applyAlignment="1">
      <alignment horizontal="center" vertical="center"/>
    </xf>
    <xf numFmtId="9" fontId="7" fillId="0" borderId="3" xfId="0" applyNumberFormat="1" applyFont="1" applyBorder="1" applyAlignment="1">
      <alignment horizontal="center" vertical="center"/>
    </xf>
    <xf numFmtId="43" fontId="7" fillId="0" borderId="3" xfId="21" applyNumberFormat="1" applyFont="1" applyFill="1" applyBorder="1" applyAlignment="1">
      <alignment horizontal="center" vertical="center"/>
    </xf>
    <xf numFmtId="0" fontId="7" fillId="0" borderId="42" xfId="0" applyFont="1" applyBorder="1" applyAlignment="1">
      <alignment horizontal="justify" vertical="center" wrapText="1"/>
    </xf>
    <xf numFmtId="0" fontId="5" fillId="0" borderId="17" xfId="0" applyFont="1" applyBorder="1" applyAlignment="1">
      <alignment horizontal="center" vertical="center"/>
    </xf>
    <xf numFmtId="0" fontId="7" fillId="0" borderId="41" xfId="0" applyFont="1" applyBorder="1" applyAlignment="1">
      <alignment horizontal="justify" vertical="center" wrapText="1"/>
    </xf>
    <xf numFmtId="164" fontId="7" fillId="0" borderId="9" xfId="0" applyNumberFormat="1" applyFont="1" applyBorder="1" applyAlignment="1">
      <alignment horizontal="center" vertical="center"/>
    </xf>
    <xf numFmtId="164" fontId="7" fillId="0" borderId="8" xfId="0" applyNumberFormat="1" applyFont="1" applyBorder="1" applyAlignment="1">
      <alignment horizontal="center" vertical="center"/>
    </xf>
    <xf numFmtId="164" fontId="7" fillId="0" borderId="15" xfId="0" applyNumberFormat="1" applyFont="1" applyBorder="1" applyAlignment="1">
      <alignment horizontal="center" vertical="center"/>
    </xf>
    <xf numFmtId="1" fontId="7" fillId="2" borderId="5" xfId="0" applyNumberFormat="1" applyFont="1" applyFill="1" applyBorder="1" applyAlignment="1">
      <alignment horizontal="center" vertical="center" wrapText="1"/>
    </xf>
    <xf numFmtId="0" fontId="2" fillId="2" borderId="23" xfId="27" applyFont="1" applyFill="1" applyBorder="1" applyAlignment="1">
      <alignment horizontal="justify" vertical="center" wrapText="1"/>
    </xf>
    <xf numFmtId="0" fontId="2" fillId="2" borderId="48" xfId="27" applyFont="1" applyFill="1" applyBorder="1" applyAlignment="1">
      <alignment horizontal="justify" vertical="center" wrapText="1"/>
    </xf>
    <xf numFmtId="0" fontId="2" fillId="2" borderId="37" xfId="27" applyFont="1" applyFill="1" applyBorder="1" applyAlignment="1">
      <alignment horizontal="justify" vertical="center" wrapText="1"/>
    </xf>
    <xf numFmtId="0" fontId="2" fillId="2" borderId="38" xfId="27" applyFont="1" applyFill="1" applyBorder="1" applyAlignment="1">
      <alignment horizontal="justify" vertical="center" wrapText="1"/>
    </xf>
    <xf numFmtId="0" fontId="7" fillId="0" borderId="10" xfId="0" applyFont="1" applyBorder="1" applyAlignment="1">
      <alignment horizontal="center" vertical="center"/>
    </xf>
    <xf numFmtId="0" fontId="7" fillId="0" borderId="11" xfId="0" applyFont="1" applyBorder="1" applyAlignment="1">
      <alignment horizontal="justify" vertical="center" wrapText="1"/>
    </xf>
    <xf numFmtId="0" fontId="2" fillId="2" borderId="0" xfId="27" applyFont="1" applyFill="1" applyAlignment="1">
      <alignment horizontal="justify" vertical="center" wrapText="1"/>
    </xf>
    <xf numFmtId="0" fontId="2" fillId="0" borderId="23" xfId="27" applyFont="1" applyBorder="1" applyAlignment="1">
      <alignment horizontal="justify" vertical="center" wrapText="1"/>
    </xf>
    <xf numFmtId="0" fontId="2" fillId="0" borderId="20" xfId="27" applyFont="1" applyBorder="1" applyAlignment="1">
      <alignment horizontal="justify" vertical="center" wrapText="1"/>
    </xf>
    <xf numFmtId="0" fontId="2" fillId="0" borderId="48" xfId="27" applyFont="1" applyBorder="1" applyAlignment="1">
      <alignment horizontal="justify" vertical="center" wrapText="1"/>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5" xfId="0" applyFont="1" applyFill="1" applyBorder="1" applyAlignment="1">
      <alignment horizontal="center" vertical="center"/>
    </xf>
    <xf numFmtId="164" fontId="7" fillId="0" borderId="5" xfId="0" applyNumberFormat="1" applyFont="1" applyBorder="1" applyAlignment="1">
      <alignment horizontal="center" vertical="center"/>
    </xf>
    <xf numFmtId="0" fontId="7" fillId="2" borderId="5" xfId="0" applyFont="1" applyFill="1" applyBorder="1" applyAlignment="1">
      <alignment horizontal="center" vertical="center"/>
    </xf>
    <xf numFmtId="0" fontId="7" fillId="2" borderId="19" xfId="0" applyFont="1" applyFill="1" applyBorder="1" applyAlignment="1">
      <alignment horizontal="center" vertical="center"/>
    </xf>
    <xf numFmtId="41" fontId="7" fillId="2" borderId="9" xfId="0" applyNumberFormat="1" applyFont="1" applyFill="1" applyBorder="1" applyAlignment="1">
      <alignment horizontal="center" vertical="center"/>
    </xf>
    <xf numFmtId="10" fontId="7" fillId="2" borderId="9" xfId="2" applyNumberFormat="1" applyFont="1" applyFill="1" applyBorder="1" applyAlignment="1">
      <alignment horizontal="center" vertical="center"/>
    </xf>
    <xf numFmtId="10" fontId="7" fillId="2" borderId="8" xfId="2" applyNumberFormat="1" applyFont="1" applyFill="1" applyBorder="1" applyAlignment="1">
      <alignment horizontal="center" vertical="center"/>
    </xf>
    <xf numFmtId="10" fontId="7" fillId="2" borderId="15" xfId="2" applyNumberFormat="1" applyFont="1" applyFill="1" applyBorder="1" applyAlignment="1">
      <alignment horizontal="center" vertical="center"/>
    </xf>
    <xf numFmtId="9" fontId="7" fillId="0" borderId="5" xfId="0" applyNumberFormat="1" applyFont="1" applyBorder="1" applyAlignment="1">
      <alignment horizontal="center" vertical="center"/>
    </xf>
    <xf numFmtId="43" fontId="7" fillId="0" borderId="5" xfId="21" applyNumberFormat="1" applyFont="1" applyBorder="1" applyAlignment="1">
      <alignment horizontal="center" vertical="center"/>
    </xf>
    <xf numFmtId="0" fontId="2" fillId="2" borderId="20" xfId="27" applyFont="1" applyFill="1" applyBorder="1" applyAlignment="1">
      <alignment horizontal="justify" vertical="center" wrapText="1"/>
    </xf>
    <xf numFmtId="0" fontId="7" fillId="0" borderId="40" xfId="0" applyFont="1" applyBorder="1" applyAlignment="1">
      <alignment horizontal="center" vertical="center"/>
    </xf>
    <xf numFmtId="0" fontId="7" fillId="0" borderId="76" xfId="0" applyFont="1" applyBorder="1" applyAlignment="1">
      <alignment horizontal="center" vertical="center"/>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0" borderId="19" xfId="0" applyFont="1" applyBorder="1" applyAlignment="1">
      <alignment horizontal="justify" vertical="center" wrapText="1"/>
    </xf>
    <xf numFmtId="1" fontId="7" fillId="2" borderId="52" xfId="0" applyNumberFormat="1" applyFont="1" applyFill="1" applyBorder="1" applyAlignment="1">
      <alignment horizontal="center" vertical="center" wrapText="1"/>
    </xf>
    <xf numFmtId="0" fontId="2" fillId="2" borderId="40" xfId="24" applyFont="1" applyFill="1" applyBorder="1" applyAlignment="1">
      <alignment horizontal="justify" vertical="center" wrapText="1"/>
    </xf>
    <xf numFmtId="0" fontId="2" fillId="2" borderId="31" xfId="24" applyFont="1" applyFill="1" applyBorder="1" applyAlignment="1">
      <alignment horizontal="justify" vertical="center" wrapText="1"/>
    </xf>
    <xf numFmtId="0" fontId="5" fillId="10" borderId="0" xfId="0" applyFont="1" applyFill="1" applyAlignment="1">
      <alignment horizontal="left" vertical="center"/>
    </xf>
    <xf numFmtId="0" fontId="7" fillId="0" borderId="1" xfId="0" applyFont="1" applyBorder="1" applyAlignment="1">
      <alignment horizontal="center" vertical="center"/>
    </xf>
    <xf numFmtId="164" fontId="7" fillId="0" borderId="24" xfId="0" applyNumberFormat="1"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24"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49" xfId="0" applyFont="1" applyBorder="1" applyAlignment="1">
      <alignment horizontal="justify" vertical="center" wrapText="1"/>
    </xf>
    <xf numFmtId="0" fontId="7" fillId="0" borderId="52" xfId="0" applyFont="1" applyBorder="1" applyAlignment="1">
      <alignment horizontal="justify" vertical="center" wrapText="1"/>
    </xf>
    <xf numFmtId="0" fontId="7" fillId="0" borderId="50" xfId="0" applyFont="1" applyBorder="1" applyAlignment="1">
      <alignment horizontal="justify" vertical="center" wrapText="1"/>
    </xf>
    <xf numFmtId="0" fontId="7" fillId="2" borderId="23" xfId="0" applyFont="1" applyFill="1" applyBorder="1" applyAlignment="1">
      <alignment horizontal="justify" vertical="center" wrapText="1"/>
    </xf>
    <xf numFmtId="0" fontId="7" fillId="2" borderId="48" xfId="0" applyFont="1" applyFill="1" applyBorder="1" applyAlignment="1">
      <alignment horizontal="justify" vertical="center" wrapText="1"/>
    </xf>
    <xf numFmtId="9" fontId="7" fillId="0" borderId="12" xfId="0" applyNumberFormat="1" applyFont="1" applyBorder="1" applyAlignment="1">
      <alignment horizontal="center" vertical="center"/>
    </xf>
    <xf numFmtId="43" fontId="7" fillId="0" borderId="12" xfId="21" applyNumberFormat="1" applyFont="1" applyFill="1" applyBorder="1" applyAlignment="1">
      <alignment horizontal="center" vertical="center"/>
    </xf>
    <xf numFmtId="0" fontId="5" fillId="6" borderId="51" xfId="0" applyFont="1" applyFill="1" applyBorder="1" applyAlignment="1">
      <alignment horizontal="left" vertical="center"/>
    </xf>
    <xf numFmtId="9" fontId="7" fillId="0" borderId="40" xfId="0" applyNumberFormat="1" applyFont="1" applyBorder="1" applyAlignment="1">
      <alignment horizontal="center" vertical="center"/>
    </xf>
    <xf numFmtId="9" fontId="7" fillId="0" borderId="9" xfId="0" applyNumberFormat="1" applyFont="1" applyBorder="1" applyAlignment="1">
      <alignment horizontal="center" vertical="center"/>
    </xf>
    <xf numFmtId="9" fontId="7" fillId="0" borderId="8" xfId="0" applyNumberFormat="1" applyFont="1" applyBorder="1" applyAlignment="1">
      <alignment horizontal="center" vertical="center"/>
    </xf>
    <xf numFmtId="9" fontId="7" fillId="0" borderId="15" xfId="0" applyNumberFormat="1" applyFont="1" applyBorder="1" applyAlignment="1">
      <alignment horizontal="center" vertical="center"/>
    </xf>
    <xf numFmtId="0" fontId="7" fillId="0" borderId="15" xfId="0" applyFont="1" applyBorder="1" applyAlignment="1">
      <alignment horizontal="justify" vertical="center" wrapText="1"/>
    </xf>
    <xf numFmtId="164" fontId="7" fillId="0" borderId="12" xfId="0" applyNumberFormat="1" applyFont="1" applyBorder="1" applyAlignment="1">
      <alignment horizontal="center" vertical="center"/>
    </xf>
    <xf numFmtId="164" fontId="7" fillId="0" borderId="3" xfId="0" applyNumberFormat="1" applyFont="1" applyBorder="1" applyAlignment="1">
      <alignment horizontal="center" vertical="center"/>
    </xf>
    <xf numFmtId="14" fontId="7" fillId="2" borderId="13" xfId="0" applyNumberFormat="1" applyFont="1" applyFill="1" applyBorder="1" applyAlignment="1">
      <alignment horizontal="center" vertical="center" wrapText="1"/>
    </xf>
    <xf numFmtId="14" fontId="7" fillId="2" borderId="6" xfId="0" applyNumberFormat="1" applyFont="1" applyFill="1" applyBorder="1" applyAlignment="1">
      <alignment horizontal="center" vertical="center" wrapText="1"/>
    </xf>
    <xf numFmtId="1" fontId="7" fillId="2" borderId="12"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0" fontId="7" fillId="2" borderId="12" xfId="2" applyNumberFormat="1" applyFont="1" applyFill="1" applyBorder="1" applyAlignment="1">
      <alignment horizontal="center" vertical="center" wrapText="1"/>
    </xf>
    <xf numFmtId="10" fontId="7" fillId="2" borderId="3" xfId="2" applyNumberFormat="1" applyFont="1" applyFill="1" applyBorder="1" applyAlignment="1">
      <alignment horizontal="center" vertical="center" wrapText="1"/>
    </xf>
    <xf numFmtId="10" fontId="7" fillId="2" borderId="4" xfId="2" applyNumberFormat="1" applyFont="1" applyFill="1" applyBorder="1" applyAlignment="1">
      <alignment horizontal="center" vertical="center" wrapText="1"/>
    </xf>
    <xf numFmtId="168" fontId="7" fillId="2" borderId="12" xfId="26" applyFont="1" applyFill="1" applyBorder="1" applyAlignment="1">
      <alignment horizontal="center" vertical="center" wrapText="1"/>
    </xf>
    <xf numFmtId="168" fontId="7" fillId="2" borderId="3" xfId="26" applyFont="1" applyFill="1" applyBorder="1" applyAlignment="1">
      <alignment horizontal="center" vertical="center" wrapText="1"/>
    </xf>
    <xf numFmtId="168" fontId="7" fillId="2" borderId="4" xfId="26"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3" fontId="2" fillId="0" borderId="28" xfId="0" applyNumberFormat="1" applyFont="1" applyBorder="1" applyAlignment="1">
      <alignment horizontal="center" vertical="center"/>
    </xf>
    <xf numFmtId="3" fontId="2" fillId="0" borderId="7" xfId="0" applyNumberFormat="1" applyFont="1" applyBorder="1" applyAlignment="1">
      <alignment horizontal="center" vertical="center"/>
    </xf>
    <xf numFmtId="0" fontId="7" fillId="0" borderId="51" xfId="0" applyFont="1" applyBorder="1" applyAlignment="1">
      <alignment horizontal="justify" vertical="center" wrapText="1"/>
    </xf>
    <xf numFmtId="0" fontId="7" fillId="2" borderId="40" xfId="0" applyFont="1" applyFill="1" applyBorder="1" applyAlignment="1">
      <alignment horizontal="justify" vertical="center" wrapText="1"/>
    </xf>
    <xf numFmtId="1" fontId="7" fillId="0" borderId="1" xfId="11" applyNumberFormat="1" applyFont="1" applyFill="1" applyBorder="1" applyAlignment="1">
      <alignment horizontal="center" vertical="center" wrapText="1"/>
    </xf>
    <xf numFmtId="0" fontId="6" fillId="2" borderId="12" xfId="25" applyFont="1" applyFill="1" applyBorder="1" applyAlignment="1">
      <alignment horizontal="justify" vertical="center" wrapText="1"/>
    </xf>
    <xf numFmtId="0" fontId="6" fillId="2" borderId="42" xfId="25" applyFont="1" applyFill="1" applyBorder="1" applyAlignment="1">
      <alignment horizontal="justify" vertical="center" wrapText="1"/>
    </xf>
    <xf numFmtId="0" fontId="6" fillId="2" borderId="40" xfId="25" applyFont="1" applyFill="1" applyBorder="1" applyAlignment="1">
      <alignment horizontal="justify" vertical="center" wrapText="1"/>
    </xf>
    <xf numFmtId="14" fontId="7" fillId="0" borderId="1" xfId="11" applyNumberFormat="1" applyFont="1" applyFill="1" applyBorder="1" applyAlignment="1">
      <alignment horizontal="center" vertical="center" wrapText="1"/>
    </xf>
    <xf numFmtId="177" fontId="7" fillId="0" borderId="1" xfId="11" applyNumberFormat="1"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0" fontId="6" fillId="2" borderId="13" xfId="25" applyFont="1" applyFill="1" applyBorder="1" applyAlignment="1">
      <alignment horizontal="justify" vertical="center" wrapText="1"/>
    </xf>
    <xf numFmtId="0" fontId="6" fillId="2" borderId="11" xfId="25" applyFont="1" applyFill="1" applyBorder="1" applyAlignment="1">
      <alignment horizontal="justify" vertical="center" wrapText="1"/>
    </xf>
    <xf numFmtId="14" fontId="7" fillId="2" borderId="23" xfId="11" applyNumberFormat="1" applyFont="1" applyFill="1" applyBorder="1" applyAlignment="1">
      <alignment horizontal="center" vertical="center" wrapText="1"/>
    </xf>
    <xf numFmtId="14" fontId="7" fillId="2" borderId="20" xfId="11" applyNumberFormat="1" applyFont="1" applyFill="1" applyBorder="1" applyAlignment="1">
      <alignment horizontal="center" vertical="center" wrapText="1"/>
    </xf>
    <xf numFmtId="1" fontId="7" fillId="2" borderId="1" xfId="11" applyNumberFormat="1" applyFont="1" applyFill="1" applyBorder="1" applyAlignment="1">
      <alignment horizontal="center" vertical="center" wrapText="1"/>
    </xf>
    <xf numFmtId="1" fontId="7" fillId="2" borderId="12" xfId="11" applyNumberFormat="1" applyFont="1" applyFill="1" applyBorder="1" applyAlignment="1">
      <alignment horizontal="center" vertical="center" wrapText="1"/>
    </xf>
    <xf numFmtId="0" fontId="6" fillId="2" borderId="13" xfId="24" applyFont="1" applyFill="1" applyBorder="1" applyAlignment="1">
      <alignment horizontal="justify" vertical="center" wrapText="1"/>
    </xf>
    <xf numFmtId="0" fontId="6" fillId="2" borderId="6" xfId="24" applyFont="1" applyFill="1" applyBorder="1" applyAlignment="1">
      <alignment horizontal="justify" vertical="center" wrapText="1"/>
    </xf>
    <xf numFmtId="1" fontId="2" fillId="2" borderId="19" xfId="3" applyNumberFormat="1" applyFont="1" applyFill="1" applyBorder="1" applyAlignment="1">
      <alignment horizontal="center" vertical="center" wrapText="1"/>
    </xf>
    <xf numFmtId="0" fontId="7" fillId="0" borderId="25" xfId="3" applyFont="1" applyBorder="1" applyAlignment="1">
      <alignment horizontal="justify" vertical="center" wrapText="1"/>
    </xf>
    <xf numFmtId="0" fontId="7" fillId="0" borderId="22" xfId="3" applyFont="1" applyBorder="1" applyAlignment="1">
      <alignment horizontal="justify" vertical="center" wrapText="1"/>
    </xf>
    <xf numFmtId="0" fontId="7" fillId="0" borderId="56" xfId="3" applyFont="1" applyBorder="1" applyAlignment="1">
      <alignment horizontal="justify" vertical="center" wrapText="1"/>
    </xf>
    <xf numFmtId="177" fontId="7" fillId="2" borderId="23" xfId="11" applyNumberFormat="1" applyFont="1" applyFill="1" applyBorder="1" applyAlignment="1">
      <alignment horizontal="center" vertical="center" wrapText="1"/>
    </xf>
    <xf numFmtId="177" fontId="7" fillId="2" borderId="20" xfId="11" applyNumberFormat="1" applyFont="1" applyFill="1" applyBorder="1" applyAlignment="1">
      <alignment horizontal="center" vertical="center" wrapText="1"/>
    </xf>
    <xf numFmtId="10" fontId="7" fillId="2" borderId="23" xfId="2" applyNumberFormat="1" applyFont="1" applyFill="1" applyBorder="1" applyAlignment="1">
      <alignment horizontal="center" vertical="center" wrapText="1"/>
    </xf>
    <xf numFmtId="10" fontId="7" fillId="2" borderId="20" xfId="2" applyNumberFormat="1" applyFont="1" applyFill="1" applyBorder="1" applyAlignment="1">
      <alignment horizontal="center" vertical="center" wrapText="1"/>
    </xf>
    <xf numFmtId="1" fontId="7" fillId="2" borderId="23" xfId="11" applyNumberFormat="1" applyFont="1" applyFill="1" applyBorder="1" applyAlignment="1">
      <alignment horizontal="center" vertical="center" wrapText="1"/>
    </xf>
    <xf numFmtId="1" fontId="7" fillId="2" borderId="20" xfId="11" applyNumberFormat="1" applyFont="1" applyFill="1" applyBorder="1" applyAlignment="1">
      <alignment horizontal="center" vertical="center" wrapText="1"/>
    </xf>
    <xf numFmtId="3" fontId="7" fillId="0" borderId="28" xfId="0" applyNumberFormat="1" applyFont="1" applyBorder="1" applyAlignment="1">
      <alignment horizontal="center" vertical="center"/>
    </xf>
    <xf numFmtId="3" fontId="7" fillId="0" borderId="7" xfId="0" applyNumberFormat="1" applyFont="1" applyBorder="1" applyAlignment="1">
      <alignment horizontal="center" vertical="center"/>
    </xf>
    <xf numFmtId="43" fontId="7" fillId="2" borderId="1" xfId="21" applyNumberFormat="1" applyFont="1" applyFill="1" applyBorder="1" applyAlignment="1">
      <alignment horizontal="center" vertical="center"/>
    </xf>
    <xf numFmtId="43" fontId="7" fillId="2" borderId="12" xfId="21" applyNumberFormat="1" applyFont="1" applyFill="1" applyBorder="1" applyAlignment="1">
      <alignment horizontal="center" vertical="center"/>
    </xf>
    <xf numFmtId="0" fontId="7" fillId="2" borderId="28" xfId="3" applyFont="1" applyFill="1" applyBorder="1" applyAlignment="1">
      <alignment horizontal="justify" vertical="center" wrapText="1"/>
    </xf>
    <xf numFmtId="0" fontId="7" fillId="2" borderId="7" xfId="3" applyFont="1" applyFill="1" applyBorder="1" applyAlignment="1">
      <alignment horizontal="justify" vertical="center" wrapText="1"/>
    </xf>
    <xf numFmtId="3" fontId="2" fillId="2" borderId="12" xfId="3" applyNumberFormat="1" applyFont="1" applyFill="1" applyBorder="1" applyAlignment="1">
      <alignment horizontal="justify" vertical="center" wrapText="1"/>
    </xf>
    <xf numFmtId="3" fontId="2" fillId="2" borderId="3" xfId="3" applyNumberFormat="1" applyFont="1" applyFill="1" applyBorder="1" applyAlignment="1">
      <alignment horizontal="justify" vertical="center" wrapText="1"/>
    </xf>
    <xf numFmtId="3" fontId="2" fillId="2" borderId="6" xfId="3" applyNumberFormat="1" applyFont="1" applyFill="1" applyBorder="1" applyAlignment="1">
      <alignment horizontal="justify" vertical="center" wrapText="1"/>
    </xf>
    <xf numFmtId="0" fontId="7" fillId="2" borderId="12" xfId="3" applyFont="1" applyFill="1" applyBorder="1" applyAlignment="1">
      <alignment horizontal="justify" vertical="center" wrapText="1"/>
    </xf>
    <xf numFmtId="9" fontId="2" fillId="2" borderId="1" xfId="3" applyNumberFormat="1" applyFont="1" applyFill="1" applyBorder="1" applyAlignment="1">
      <alignment horizontal="center" vertical="center" wrapText="1"/>
    </xf>
    <xf numFmtId="9" fontId="2" fillId="2" borderId="12" xfId="3" applyNumberFormat="1" applyFont="1" applyFill="1" applyBorder="1" applyAlignment="1">
      <alignment horizontal="center" vertical="center" wrapText="1"/>
    </xf>
    <xf numFmtId="0" fontId="2" fillId="2" borderId="0" xfId="3" applyFont="1" applyFill="1" applyAlignment="1">
      <alignment horizontal="center" vertical="center" wrapText="1"/>
    </xf>
    <xf numFmtId="0" fontId="2" fillId="2" borderId="17" xfId="3" applyFont="1" applyFill="1" applyBorder="1" applyAlignment="1">
      <alignment horizontal="center" vertical="center" wrapText="1"/>
    </xf>
    <xf numFmtId="0" fontId="7" fillId="0" borderId="15" xfId="12" applyNumberFormat="1" applyFont="1" applyFill="1" applyBorder="1">
      <alignment horizontal="center" vertical="center" wrapText="1"/>
    </xf>
    <xf numFmtId="0" fontId="7" fillId="0" borderId="5" xfId="12" applyNumberFormat="1" applyFont="1" applyFill="1" applyBorder="1">
      <alignment horizontal="center" vertical="center" wrapText="1"/>
    </xf>
    <xf numFmtId="0" fontId="7" fillId="0" borderId="41" xfId="3" applyFont="1" applyBorder="1" applyAlignment="1">
      <alignment horizontal="justify" vertical="center" wrapText="1"/>
    </xf>
    <xf numFmtId="43" fontId="7" fillId="0" borderId="1" xfId="21" applyNumberFormat="1" applyFont="1" applyFill="1" applyBorder="1" applyAlignment="1">
      <alignment horizontal="center" vertical="center" wrapText="1"/>
    </xf>
    <xf numFmtId="3" fontId="2" fillId="2" borderId="4" xfId="3" applyNumberFormat="1" applyFont="1" applyFill="1" applyBorder="1" applyAlignment="1">
      <alignment horizontal="justify" vertical="center" wrapText="1"/>
    </xf>
    <xf numFmtId="0" fontId="2" fillId="2" borderId="11" xfId="3" applyFont="1" applyFill="1" applyBorder="1" applyAlignment="1">
      <alignment horizontal="justify" vertical="center" wrapText="1"/>
    </xf>
    <xf numFmtId="0" fontId="7" fillId="2" borderId="14" xfId="3" applyFont="1" applyFill="1" applyBorder="1" applyAlignment="1">
      <alignment horizontal="justify" vertical="center" wrapText="1"/>
    </xf>
    <xf numFmtId="0" fontId="7" fillId="2" borderId="3" xfId="3" applyFont="1" applyFill="1" applyBorder="1" applyAlignment="1">
      <alignment horizontal="justify" vertical="center" wrapText="1"/>
    </xf>
    <xf numFmtId="0" fontId="7" fillId="2" borderId="42" xfId="3" applyFont="1" applyFill="1" applyBorder="1" applyAlignment="1">
      <alignment horizontal="justify" vertical="center" wrapText="1"/>
    </xf>
    <xf numFmtId="0" fontId="7" fillId="0" borderId="14" xfId="3" applyFont="1" applyBorder="1" applyAlignment="1">
      <alignment horizontal="center" vertical="center" wrapText="1"/>
    </xf>
    <xf numFmtId="0" fontId="7" fillId="0" borderId="42" xfId="3" applyFont="1" applyBorder="1" applyAlignment="1">
      <alignment horizontal="center" vertical="center" wrapText="1"/>
    </xf>
    <xf numFmtId="9" fontId="2" fillId="2" borderId="3" xfId="3" applyNumberFormat="1" applyFont="1" applyFill="1" applyBorder="1" applyAlignment="1">
      <alignment horizontal="center" vertical="center" wrapText="1"/>
    </xf>
    <xf numFmtId="9" fontId="2" fillId="2" borderId="4" xfId="3" applyNumberFormat="1" applyFont="1" applyFill="1" applyBorder="1" applyAlignment="1">
      <alignment horizontal="center" vertical="center" wrapText="1"/>
    </xf>
    <xf numFmtId="0" fontId="5" fillId="6" borderId="6" xfId="0" applyFont="1" applyFill="1" applyBorder="1" applyAlignment="1">
      <alignment horizontal="left" vertical="center"/>
    </xf>
    <xf numFmtId="0" fontId="5" fillId="6" borderId="0" xfId="0" applyFont="1" applyFill="1" applyAlignment="1">
      <alignment horizontal="left" vertical="center"/>
    </xf>
    <xf numFmtId="0" fontId="2" fillId="2" borderId="30" xfId="3" applyFont="1" applyFill="1" applyBorder="1" applyAlignment="1">
      <alignment horizontal="center" vertical="center" wrapText="1"/>
    </xf>
    <xf numFmtId="0" fontId="7" fillId="2" borderId="5" xfId="12" applyNumberFormat="1" applyFont="1" applyFill="1" applyBorder="1">
      <alignment horizontal="center" vertical="center" wrapText="1"/>
    </xf>
    <xf numFmtId="0" fontId="7" fillId="2" borderId="69" xfId="3" applyFont="1" applyFill="1" applyBorder="1" applyAlignment="1">
      <alignment horizontal="justify" vertical="center" wrapText="1"/>
    </xf>
    <xf numFmtId="0" fontId="7" fillId="2" borderId="41" xfId="3" applyFont="1" applyFill="1" applyBorder="1" applyAlignment="1">
      <alignment horizontal="justify" vertical="center" wrapText="1"/>
    </xf>
    <xf numFmtId="0" fontId="7" fillId="2" borderId="14" xfId="14" applyFont="1" applyFill="1" applyBorder="1">
      <alignment horizontal="center" vertical="center" wrapText="1"/>
    </xf>
    <xf numFmtId="0" fontId="7" fillId="2" borderId="3" xfId="14" applyFont="1" applyFill="1" applyBorder="1">
      <alignment horizontal="center" vertical="center" wrapText="1"/>
    </xf>
    <xf numFmtId="0" fontId="7" fillId="2" borderId="42" xfId="14" applyFont="1" applyFill="1" applyBorder="1">
      <alignment horizontal="center" vertical="center" wrapText="1"/>
    </xf>
    <xf numFmtId="14" fontId="7" fillId="2" borderId="13" xfId="22" applyNumberFormat="1" applyFont="1" applyFill="1" applyBorder="1" applyAlignment="1">
      <alignment horizontal="center" vertical="center" wrapText="1"/>
    </xf>
    <xf numFmtId="14" fontId="7" fillId="2" borderId="6" xfId="22" applyNumberFormat="1" applyFont="1" applyFill="1" applyBorder="1" applyAlignment="1">
      <alignment horizontal="center" vertical="center" wrapText="1"/>
    </xf>
    <xf numFmtId="0" fontId="7" fillId="2" borderId="12"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177" fontId="7" fillId="2" borderId="12" xfId="11" applyNumberFormat="1" applyFont="1" applyFill="1" applyBorder="1" applyAlignment="1">
      <alignment horizontal="center" vertical="center" wrapText="1"/>
    </xf>
    <xf numFmtId="177" fontId="7" fillId="2" borderId="3" xfId="11" applyNumberFormat="1" applyFont="1" applyFill="1" applyBorder="1" applyAlignment="1">
      <alignment horizontal="center" vertical="center" wrapText="1"/>
    </xf>
    <xf numFmtId="177" fontId="7" fillId="2" borderId="4" xfId="11" applyNumberFormat="1" applyFont="1" applyFill="1" applyBorder="1" applyAlignment="1">
      <alignment horizontal="center" vertical="center" wrapText="1"/>
    </xf>
    <xf numFmtId="1" fontId="7" fillId="2" borderId="3" xfId="11" applyNumberFormat="1" applyFont="1" applyFill="1" applyBorder="1" applyAlignment="1">
      <alignment horizontal="center" vertical="center" wrapText="1"/>
    </xf>
    <xf numFmtId="1" fontId="7" fillId="2" borderId="13" xfId="11" applyNumberFormat="1" applyFont="1" applyFill="1" applyBorder="1" applyAlignment="1">
      <alignment horizontal="center" vertical="center" wrapText="1"/>
    </xf>
    <xf numFmtId="1" fontId="7" fillId="2" borderId="6" xfId="11" applyNumberFormat="1" applyFont="1" applyFill="1" applyBorder="1" applyAlignment="1">
      <alignment horizontal="center" vertical="center" wrapText="1"/>
    </xf>
    <xf numFmtId="1" fontId="7" fillId="2" borderId="4" xfId="11" applyNumberFormat="1" applyFont="1" applyFill="1" applyBorder="1" applyAlignment="1">
      <alignment horizontal="center" vertical="center" wrapText="1"/>
    </xf>
    <xf numFmtId="1" fontId="7" fillId="0" borderId="28" xfId="11" applyNumberFormat="1" applyFont="1" applyFill="1" applyBorder="1" applyAlignment="1">
      <alignment horizontal="center" vertical="center" wrapText="1"/>
    </xf>
    <xf numFmtId="1" fontId="7" fillId="0" borderId="7" xfId="11" applyNumberFormat="1" applyFont="1" applyFill="1" applyBorder="1" applyAlignment="1">
      <alignment horizontal="center" vertical="center" wrapText="1"/>
    </xf>
    <xf numFmtId="1" fontId="7" fillId="0" borderId="10" xfId="11" applyNumberFormat="1" applyFont="1" applyFill="1" applyBorder="1" applyAlignment="1">
      <alignment horizontal="center" vertical="center" wrapText="1"/>
    </xf>
    <xf numFmtId="0" fontId="7" fillId="0" borderId="71" xfId="3" applyFont="1" applyBorder="1" applyAlignment="1">
      <alignment horizontal="center" vertical="center" wrapText="1"/>
    </xf>
    <xf numFmtId="0" fontId="7" fillId="9" borderId="37" xfId="3" applyFont="1" applyFill="1" applyBorder="1" applyAlignment="1">
      <alignment horizontal="justify" vertical="center" wrapText="1"/>
    </xf>
    <xf numFmtId="0" fontId="7" fillId="9" borderId="0" xfId="3" applyFont="1" applyFill="1" applyAlignment="1">
      <alignment horizontal="justify" vertical="center" wrapText="1"/>
    </xf>
    <xf numFmtId="0" fontId="7" fillId="9" borderId="38" xfId="3" applyFont="1" applyFill="1" applyBorder="1" applyAlignment="1">
      <alignment horizontal="justify" vertical="center" wrapText="1"/>
    </xf>
    <xf numFmtId="43" fontId="7" fillId="0" borderId="1" xfId="21" applyNumberFormat="1" applyFont="1" applyBorder="1" applyAlignment="1">
      <alignment horizontal="center" vertical="center"/>
    </xf>
    <xf numFmtId="0" fontId="7" fillId="2" borderId="3" xfId="3" applyFont="1" applyFill="1" applyBorder="1" applyAlignment="1">
      <alignment horizontal="center" vertical="center" wrapText="1"/>
    </xf>
    <xf numFmtId="0" fontId="7" fillId="2" borderId="42" xfId="3" applyFont="1" applyFill="1" applyBorder="1" applyAlignment="1">
      <alignment horizontal="center" vertical="center" wrapText="1"/>
    </xf>
    <xf numFmtId="0" fontId="5" fillId="12" borderId="11" xfId="3" applyFont="1" applyFill="1" applyBorder="1" applyAlignment="1">
      <alignment horizontal="center" vertical="center" textRotation="90" wrapText="1"/>
    </xf>
    <xf numFmtId="0" fontId="5" fillId="12" borderId="10" xfId="3" applyFont="1" applyFill="1" applyBorder="1" applyAlignment="1">
      <alignment horizontal="center" vertical="center" textRotation="90" wrapText="1"/>
    </xf>
    <xf numFmtId="0" fontId="5" fillId="12" borderId="2" xfId="3" applyFont="1" applyFill="1" applyBorder="1" applyAlignment="1">
      <alignment horizontal="center" vertical="center" textRotation="90" wrapText="1"/>
    </xf>
    <xf numFmtId="0" fontId="5" fillId="12" borderId="32" xfId="3" applyFont="1" applyFill="1" applyBorder="1" applyAlignment="1">
      <alignment horizontal="center" vertical="center" textRotation="90" wrapText="1"/>
    </xf>
    <xf numFmtId="43" fontId="3" fillId="12" borderId="6" xfId="3" applyNumberFormat="1" applyFont="1" applyFill="1" applyBorder="1" applyAlignment="1">
      <alignment horizontal="center" vertical="center" wrapText="1"/>
    </xf>
    <xf numFmtId="43" fontId="3" fillId="12" borderId="51" xfId="3" applyNumberFormat="1" applyFont="1" applyFill="1" applyBorder="1" applyAlignment="1">
      <alignment horizontal="center" vertical="center" wrapText="1"/>
    </xf>
    <xf numFmtId="0" fontId="3" fillId="12" borderId="6" xfId="3" applyFont="1" applyFill="1" applyBorder="1" applyAlignment="1">
      <alignment horizontal="center" vertical="center" wrapText="1"/>
    </xf>
    <xf numFmtId="0" fontId="3" fillId="12" borderId="51" xfId="3" applyFont="1" applyFill="1" applyBorder="1" applyAlignment="1">
      <alignment horizontal="center" vertical="center" wrapText="1"/>
    </xf>
    <xf numFmtId="0" fontId="7" fillId="9" borderId="1" xfId="3" applyFont="1" applyFill="1" applyBorder="1" applyAlignment="1">
      <alignment horizontal="justify" vertical="center" wrapText="1"/>
    </xf>
    <xf numFmtId="1" fontId="3" fillId="12" borderId="1" xfId="3" applyNumberFormat="1" applyFont="1" applyFill="1" applyBorder="1" applyAlignment="1">
      <alignment horizontal="center" vertical="center" wrapText="1"/>
    </xf>
    <xf numFmtId="0" fontId="5" fillId="4" borderId="2" xfId="3" applyFont="1" applyFill="1" applyBorder="1" applyAlignment="1">
      <alignment horizontal="center" vertical="center" wrapText="1"/>
    </xf>
    <xf numFmtId="0" fontId="5" fillId="4" borderId="36" xfId="3" applyFont="1" applyFill="1" applyBorder="1" applyAlignment="1">
      <alignment horizontal="center" vertical="center" wrapText="1"/>
    </xf>
    <xf numFmtId="0" fontId="5" fillId="4" borderId="32" xfId="3" applyFont="1" applyFill="1" applyBorder="1" applyAlignment="1">
      <alignment horizontal="center" vertical="center" wrapText="1"/>
    </xf>
    <xf numFmtId="164" fontId="5" fillId="12" borderId="1" xfId="3"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0" borderId="72" xfId="0" applyFont="1" applyFill="1" applyBorder="1" applyAlignment="1">
      <alignment horizontal="left" vertical="center"/>
    </xf>
    <xf numFmtId="0" fontId="5" fillId="10" borderId="73" xfId="0" applyFont="1" applyFill="1" applyBorder="1" applyAlignment="1">
      <alignment horizontal="left" vertical="center"/>
    </xf>
    <xf numFmtId="0" fontId="5" fillId="6" borderId="68" xfId="0" applyFont="1" applyFill="1" applyBorder="1" applyAlignment="1">
      <alignment horizontal="left" vertical="center"/>
    </xf>
    <xf numFmtId="0" fontId="5" fillId="6" borderId="44" xfId="0" applyFont="1" applyFill="1" applyBorder="1" applyAlignment="1">
      <alignment horizontal="left" vertical="center"/>
    </xf>
    <xf numFmtId="0" fontId="5" fillId="12" borderId="1" xfId="0" applyFont="1" applyFill="1" applyBorder="1" applyAlignment="1">
      <alignment horizontal="center" vertical="center" wrapText="1"/>
    </xf>
    <xf numFmtId="177" fontId="5" fillId="12" borderId="1" xfId="11" applyNumberFormat="1" applyFont="1" applyFill="1" applyBorder="1" applyAlignment="1">
      <alignment horizontal="center" vertical="center" wrapText="1"/>
    </xf>
    <xf numFmtId="10" fontId="5" fillId="13" borderId="1" xfId="4" applyNumberFormat="1" applyFont="1" applyFill="1" applyBorder="1" applyAlignment="1">
      <alignment horizontal="center" vertical="center" wrapText="1"/>
    </xf>
    <xf numFmtId="0" fontId="3" fillId="0" borderId="0" xfId="3" applyFont="1" applyAlignment="1">
      <alignment horizontal="center" vertical="center" wrapText="1"/>
    </xf>
    <xf numFmtId="0" fontId="3" fillId="0" borderId="7" xfId="3" applyFont="1" applyBorder="1" applyAlignment="1">
      <alignment horizontal="center" vertical="center" wrapText="1"/>
    </xf>
    <xf numFmtId="0" fontId="3" fillId="0" borderId="38"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37" xfId="3" applyFont="1" applyBorder="1" applyAlignment="1">
      <alignment horizontal="center" vertical="center"/>
    </xf>
    <xf numFmtId="0" fontId="3" fillId="0" borderId="38" xfId="3" applyFont="1" applyBorder="1" applyAlignment="1">
      <alignment horizontal="center" vertical="center"/>
    </xf>
    <xf numFmtId="0" fontId="3" fillId="0" borderId="0" xfId="3" applyFont="1" applyAlignment="1">
      <alignment horizontal="center" vertical="center"/>
    </xf>
    <xf numFmtId="0" fontId="3" fillId="0" borderId="1" xfId="3" applyFont="1" applyBorder="1" applyAlignment="1">
      <alignment horizontal="center" vertical="center"/>
    </xf>
    <xf numFmtId="0" fontId="3" fillId="0" borderId="11" xfId="3" applyFont="1" applyBorder="1" applyAlignment="1">
      <alignment horizontal="center" vertical="center"/>
    </xf>
    <xf numFmtId="0" fontId="3" fillId="0" borderId="10" xfId="3" applyFont="1" applyBorder="1" applyAlignment="1">
      <alignment horizontal="center" vertical="center"/>
    </xf>
    <xf numFmtId="1" fontId="3" fillId="4" borderId="36" xfId="3" applyNumberFormat="1" applyFont="1" applyFill="1" applyBorder="1" applyAlignment="1">
      <alignment horizontal="center" vertical="center" wrapText="1"/>
    </xf>
    <xf numFmtId="1" fontId="3" fillId="4" borderId="32" xfId="3" applyNumberFormat="1" applyFont="1" applyFill="1" applyBorder="1" applyAlignment="1">
      <alignment horizontal="center" vertical="center" wrapText="1"/>
    </xf>
    <xf numFmtId="1" fontId="3" fillId="4" borderId="2" xfId="3" applyNumberFormat="1" applyFont="1" applyFill="1" applyBorder="1" applyAlignment="1">
      <alignment horizontal="center" vertical="center" wrapText="1"/>
    </xf>
    <xf numFmtId="0" fontId="3" fillId="14" borderId="2" xfId="3" applyFont="1" applyFill="1" applyBorder="1" applyAlignment="1">
      <alignment horizontal="center" vertical="center"/>
    </xf>
    <xf numFmtId="0" fontId="3" fillId="14" borderId="36" xfId="3" applyFont="1" applyFill="1" applyBorder="1" applyAlignment="1">
      <alignment horizontal="center" vertical="center"/>
    </xf>
    <xf numFmtId="0" fontId="3" fillId="14" borderId="32" xfId="3" applyFont="1" applyFill="1" applyBorder="1" applyAlignment="1">
      <alignment horizontal="center" vertical="center"/>
    </xf>
    <xf numFmtId="164" fontId="3" fillId="12" borderId="1" xfId="3" applyNumberFormat="1" applyFont="1" applyFill="1" applyBorder="1" applyAlignment="1">
      <alignment horizontal="center" vertical="center" wrapText="1"/>
    </xf>
    <xf numFmtId="1" fontId="3" fillId="12" borderId="37" xfId="3" applyNumberFormat="1" applyFont="1" applyFill="1" applyBorder="1" applyAlignment="1">
      <alignment horizontal="center" vertical="center" wrapText="1"/>
    </xf>
    <xf numFmtId="1" fontId="3" fillId="12" borderId="17" xfId="3" applyNumberFormat="1" applyFont="1" applyFill="1" applyBorder="1" applyAlignment="1">
      <alignment horizontal="center" vertical="center" wrapText="1"/>
    </xf>
    <xf numFmtId="1" fontId="3" fillId="4" borderId="37" xfId="3" applyNumberFormat="1" applyFont="1" applyFill="1" applyBorder="1" applyAlignment="1">
      <alignment horizontal="center" vertical="center" wrapText="1"/>
    </xf>
    <xf numFmtId="1" fontId="3" fillId="4" borderId="28" xfId="3" applyNumberFormat="1" applyFont="1" applyFill="1" applyBorder="1" applyAlignment="1">
      <alignment horizontal="center" vertical="center" wrapText="1"/>
    </xf>
    <xf numFmtId="3" fontId="5" fillId="4" borderId="2" xfId="3" applyNumberFormat="1" applyFont="1" applyFill="1" applyBorder="1" applyAlignment="1">
      <alignment horizontal="center" vertical="center" wrapText="1"/>
    </xf>
    <xf numFmtId="3" fontId="5" fillId="4" borderId="36" xfId="3" applyNumberFormat="1" applyFont="1" applyFill="1" applyBorder="1" applyAlignment="1">
      <alignment horizontal="center" vertical="center" wrapText="1"/>
    </xf>
    <xf numFmtId="3" fontId="5" fillId="4" borderId="32" xfId="3" applyNumberFormat="1" applyFont="1" applyFill="1" applyBorder="1" applyAlignment="1">
      <alignment horizontal="center" vertical="center" wrapText="1"/>
    </xf>
    <xf numFmtId="0" fontId="5" fillId="4" borderId="2" xfId="3" applyFont="1" applyFill="1" applyBorder="1" applyAlignment="1">
      <alignment horizontal="center" vertical="center"/>
    </xf>
    <xf numFmtId="0" fontId="5" fillId="4" borderId="36" xfId="3" applyFont="1" applyFill="1" applyBorder="1" applyAlignment="1">
      <alignment horizontal="center" vertical="center"/>
    </xf>
    <xf numFmtId="0" fontId="5" fillId="4" borderId="32" xfId="3" applyFont="1" applyFill="1" applyBorder="1" applyAlignment="1">
      <alignment horizontal="center" vertical="center"/>
    </xf>
    <xf numFmtId="0" fontId="5" fillId="4" borderId="1" xfId="3" applyFont="1" applyFill="1" applyBorder="1" applyAlignment="1">
      <alignment horizontal="center" vertical="center" wrapText="1"/>
    </xf>
    <xf numFmtId="0" fontId="5" fillId="4" borderId="13" xfId="3" applyFont="1" applyFill="1" applyBorder="1" applyAlignment="1">
      <alignment horizontal="center" vertical="center" textRotation="90" wrapText="1"/>
    </xf>
    <xf numFmtId="0" fontId="5" fillId="4" borderId="28" xfId="3" applyFont="1" applyFill="1" applyBorder="1" applyAlignment="1">
      <alignment horizontal="center" vertical="center" textRotation="90" wrapText="1"/>
    </xf>
    <xf numFmtId="0" fontId="5" fillId="4" borderId="11" xfId="3" applyFont="1" applyFill="1" applyBorder="1" applyAlignment="1">
      <alignment horizontal="center" vertical="center" textRotation="90" wrapText="1"/>
    </xf>
    <xf numFmtId="0" fontId="5" fillId="4" borderId="10" xfId="3" applyFont="1" applyFill="1" applyBorder="1" applyAlignment="1">
      <alignment horizontal="center" vertical="center" textRotation="90" wrapText="1"/>
    </xf>
    <xf numFmtId="0" fontId="3" fillId="12" borderId="1" xfId="3" applyFont="1" applyFill="1" applyBorder="1" applyAlignment="1">
      <alignment horizontal="center" vertical="center" wrapText="1"/>
    </xf>
    <xf numFmtId="49" fontId="5" fillId="12" borderId="2" xfId="3" applyNumberFormat="1" applyFont="1" applyFill="1" applyBorder="1" applyAlignment="1">
      <alignment horizontal="center" vertical="center" textRotation="90" wrapText="1"/>
    </xf>
    <xf numFmtId="49" fontId="5" fillId="12" borderId="32" xfId="3" applyNumberFormat="1" applyFont="1" applyFill="1" applyBorder="1" applyAlignment="1">
      <alignment horizontal="center" vertical="center" textRotation="90" wrapText="1"/>
    </xf>
    <xf numFmtId="41" fontId="5" fillId="12" borderId="4" xfId="11" applyFont="1" applyFill="1" applyBorder="1" applyAlignment="1">
      <alignment horizontal="center" vertical="center" wrapText="1"/>
    </xf>
    <xf numFmtId="0" fontId="5" fillId="12" borderId="1" xfId="3" applyFont="1" applyFill="1" applyBorder="1" applyAlignment="1">
      <alignment horizontal="center" vertical="center" wrapText="1"/>
    </xf>
    <xf numFmtId="0" fontId="3" fillId="12" borderId="4" xfId="3" applyFont="1" applyFill="1" applyBorder="1" applyAlignment="1">
      <alignment horizontal="center" vertical="center" wrapText="1"/>
    </xf>
    <xf numFmtId="0" fontId="3"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10" xfId="0" applyFont="1" applyBorder="1" applyAlignment="1">
      <alignment horizontal="center" vertical="center" wrapText="1"/>
    </xf>
    <xf numFmtId="0" fontId="3" fillId="0" borderId="13" xfId="3" applyFont="1" applyBorder="1" applyAlignment="1">
      <alignment horizontal="center" vertical="center"/>
    </xf>
    <xf numFmtId="0" fontId="3" fillId="0" borderId="28" xfId="3" applyFont="1" applyBorder="1" applyAlignment="1">
      <alignment horizontal="center" vertical="center"/>
    </xf>
    <xf numFmtId="0" fontId="3" fillId="14" borderId="13" xfId="0" applyFont="1" applyFill="1" applyBorder="1" applyAlignment="1">
      <alignment horizontal="center" vertical="center"/>
    </xf>
    <xf numFmtId="0" fontId="3" fillId="14" borderId="37" xfId="0" applyFont="1" applyFill="1" applyBorder="1" applyAlignment="1">
      <alignment horizontal="center" vertical="center"/>
    </xf>
    <xf numFmtId="165" fontId="3" fillId="12"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3" fillId="12" borderId="17" xfId="0" applyFont="1" applyFill="1" applyBorder="1" applyAlignment="1">
      <alignment horizontal="center" vertical="center" wrapText="1"/>
    </xf>
    <xf numFmtId="4" fontId="3" fillId="12" borderId="1" xfId="0" applyNumberFormat="1" applyFont="1" applyFill="1" applyBorder="1" applyAlignment="1">
      <alignment horizontal="center" vertical="center" wrapText="1"/>
    </xf>
    <xf numFmtId="0" fontId="3" fillId="12" borderId="45" xfId="0" applyFont="1" applyFill="1" applyBorder="1" applyAlignment="1">
      <alignment horizontal="center" vertical="center" wrapText="1"/>
    </xf>
    <xf numFmtId="166" fontId="3" fillId="12" borderId="1" xfId="0" applyNumberFormat="1" applyFont="1" applyFill="1" applyBorder="1" applyAlignment="1">
      <alignment horizontal="center" vertical="center" wrapText="1"/>
    </xf>
    <xf numFmtId="3" fontId="3" fillId="12" borderId="42" xfId="0" applyNumberFormat="1" applyFont="1" applyFill="1" applyBorder="1" applyAlignment="1">
      <alignment horizontal="center" vertical="center" wrapText="1"/>
    </xf>
    <xf numFmtId="1" fontId="3" fillId="4" borderId="37" xfId="0" applyNumberFormat="1" applyFont="1" applyFill="1" applyBorder="1" applyAlignment="1">
      <alignment horizontal="center" vertical="center" wrapText="1"/>
    </xf>
    <xf numFmtId="169" fontId="18" fillId="4" borderId="2" xfId="5" applyFont="1" applyFill="1" applyBorder="1" applyAlignment="1">
      <alignment horizontal="center" vertical="center"/>
    </xf>
    <xf numFmtId="169" fontId="18" fillId="4" borderId="36" xfId="5" applyFont="1" applyFill="1" applyBorder="1" applyAlignment="1">
      <alignment horizontal="center" vertical="center"/>
    </xf>
    <xf numFmtId="169" fontId="18" fillId="4" borderId="32" xfId="5" applyFont="1" applyFill="1" applyBorder="1" applyAlignment="1">
      <alignment horizontal="center" vertical="center"/>
    </xf>
    <xf numFmtId="0" fontId="3" fillId="12" borderId="11" xfId="0" applyFont="1" applyFill="1" applyBorder="1" applyAlignment="1">
      <alignment horizontal="center" vertical="center" textRotation="90" wrapText="1"/>
    </xf>
    <xf numFmtId="0" fontId="3" fillId="12" borderId="10" xfId="0" applyFont="1" applyFill="1" applyBorder="1" applyAlignment="1">
      <alignment horizontal="center" vertical="center" textRotation="90"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11"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11" borderId="20" xfId="0" applyFont="1" applyFill="1" applyBorder="1" applyAlignment="1">
      <alignment horizontal="left" vertical="center"/>
    </xf>
    <xf numFmtId="0" fontId="3" fillId="11" borderId="0" xfId="0" applyFont="1" applyFill="1" applyBorder="1" applyAlignment="1">
      <alignment horizontal="left" vertical="center"/>
    </xf>
    <xf numFmtId="0" fontId="5" fillId="10" borderId="23" xfId="0" applyFont="1" applyFill="1" applyBorder="1" applyAlignment="1">
      <alignment horizontal="left" vertical="center"/>
    </xf>
    <xf numFmtId="0" fontId="5" fillId="10" borderId="37"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9" xfId="0" applyFont="1" applyFill="1" applyBorder="1" applyAlignment="1">
      <alignment vertical="center" wrapText="1"/>
    </xf>
    <xf numFmtId="0" fontId="2" fillId="0" borderId="22" xfId="0" applyFont="1" applyFill="1" applyBorder="1" applyAlignment="1">
      <alignment vertical="center" wrapText="1"/>
    </xf>
    <xf numFmtId="0" fontId="2" fillId="0" borderId="29"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9" xfId="0" applyFont="1" applyFill="1" applyBorder="1" applyAlignment="1">
      <alignment vertical="center" wrapText="1"/>
    </xf>
    <xf numFmtId="0" fontId="2" fillId="0" borderId="8" xfId="0" applyFont="1" applyFill="1" applyBorder="1" applyAlignment="1">
      <alignment vertical="center" wrapText="1"/>
    </xf>
    <xf numFmtId="0" fontId="3" fillId="12" borderId="6" xfId="0" applyFont="1" applyFill="1" applyBorder="1" applyAlignment="1">
      <alignment horizontal="center" vertical="center" textRotation="90" wrapText="1"/>
    </xf>
    <xf numFmtId="0" fontId="3" fillId="12" borderId="7" xfId="0" applyFont="1" applyFill="1" applyBorder="1" applyAlignment="1">
      <alignment horizontal="center" vertical="center" textRotation="90" wrapText="1"/>
    </xf>
    <xf numFmtId="1" fontId="2" fillId="0" borderId="12" xfId="0" applyNumberFormat="1" applyFont="1" applyFill="1" applyBorder="1" applyAlignment="1">
      <alignment horizontal="center" vertical="center" textRotation="91" wrapText="1"/>
    </xf>
    <xf numFmtId="1" fontId="2" fillId="0" borderId="3" xfId="0" applyNumberFormat="1" applyFont="1" applyFill="1" applyBorder="1" applyAlignment="1">
      <alignment horizontal="center" vertical="center" textRotation="91" wrapText="1"/>
    </xf>
    <xf numFmtId="1" fontId="2" fillId="0" borderId="7" xfId="0" applyNumberFormat="1" applyFont="1" applyFill="1" applyBorder="1" applyAlignment="1">
      <alignment horizontal="center" vertical="center" textRotation="91" wrapText="1"/>
    </xf>
    <xf numFmtId="10" fontId="2" fillId="0" borderId="12" xfId="2" applyNumberFormat="1" applyFont="1" applyFill="1" applyBorder="1" applyAlignment="1">
      <alignment horizontal="center" vertical="center" wrapText="1"/>
    </xf>
    <xf numFmtId="10" fontId="2" fillId="0" borderId="3" xfId="2" applyNumberFormat="1" applyFont="1" applyFill="1" applyBorder="1" applyAlignment="1">
      <alignment horizontal="center" vertical="center" wrapText="1"/>
    </xf>
    <xf numFmtId="43" fontId="2" fillId="0" borderId="28" xfId="10" applyFont="1" applyFill="1" applyBorder="1" applyAlignment="1">
      <alignment horizontal="center" vertical="center" wrapText="1"/>
    </xf>
    <xf numFmtId="43" fontId="2" fillId="0" borderId="7" xfId="10" applyFont="1" applyFill="1" applyBorder="1" applyAlignment="1">
      <alignment horizontal="center" vertical="center" wrapText="1"/>
    </xf>
    <xf numFmtId="0" fontId="2" fillId="0" borderId="4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26" xfId="0" applyFont="1" applyFill="1" applyBorder="1" applyAlignment="1">
      <alignment horizontal="justify" vertical="center" wrapText="1"/>
    </xf>
    <xf numFmtId="3" fontId="2" fillId="0" borderId="9" xfId="0" applyNumberFormat="1" applyFont="1" applyFill="1" applyBorder="1" applyAlignment="1">
      <alignment horizontal="justify" vertical="center" wrapText="1"/>
    </xf>
    <xf numFmtId="3" fontId="2" fillId="0" borderId="8" xfId="0" applyNumberFormat="1" applyFont="1" applyFill="1" applyBorder="1" applyAlignment="1">
      <alignment horizontal="justify" vertical="center" wrapText="1"/>
    </xf>
    <xf numFmtId="3" fontId="2" fillId="0" borderId="15" xfId="0" applyNumberFormat="1" applyFont="1" applyFill="1" applyBorder="1" applyAlignment="1">
      <alignment horizontal="justify" vertical="center" wrapText="1"/>
    </xf>
    <xf numFmtId="0" fontId="2" fillId="0" borderId="23" xfId="0" applyFont="1" applyFill="1" applyBorder="1" applyAlignment="1">
      <alignment horizontal="left" vertical="center" wrapText="1"/>
    </xf>
    <xf numFmtId="0" fontId="2" fillId="0" borderId="48" xfId="0" applyFont="1" applyFill="1" applyBorder="1" applyAlignment="1">
      <alignment horizontal="left" vertical="center" wrapText="1"/>
    </xf>
    <xf numFmtId="10" fontId="2" fillId="0" borderId="5" xfId="2" applyNumberFormat="1" applyFont="1" applyFill="1" applyBorder="1" applyAlignment="1">
      <alignment horizontal="center" vertical="center" wrapText="1"/>
    </xf>
    <xf numFmtId="3" fontId="2" fillId="0" borderId="31" xfId="0" applyNumberFormat="1" applyFont="1" applyFill="1" applyBorder="1" applyAlignment="1">
      <alignment horizontal="justify" vertical="center" wrapText="1"/>
    </xf>
    <xf numFmtId="3" fontId="2" fillId="0" borderId="20" xfId="0" applyNumberFormat="1" applyFont="1" applyFill="1" applyBorder="1" applyAlignment="1">
      <alignment horizontal="justify"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8" xfId="0" applyFont="1" applyFill="1" applyBorder="1" applyAlignment="1">
      <alignment horizontal="justify" vertical="center" wrapText="1"/>
    </xf>
    <xf numFmtId="0" fontId="7" fillId="0" borderId="40" xfId="0" applyFont="1" applyFill="1" applyBorder="1" applyAlignment="1">
      <alignment horizontal="center" vertical="center" wrapText="1"/>
    </xf>
    <xf numFmtId="0" fontId="2" fillId="0" borderId="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vertical="center" wrapText="1"/>
    </xf>
    <xf numFmtId="174" fontId="21" fillId="0" borderId="47" xfId="12" applyFont="1" applyFill="1">
      <alignment horizontal="center" vertical="center" wrapText="1"/>
    </xf>
    <xf numFmtId="173" fontId="2" fillId="0" borderId="12" xfId="10" applyNumberFormat="1" applyFont="1" applyFill="1" applyBorder="1" applyAlignment="1">
      <alignment horizontal="center" vertical="center" textRotation="91" wrapText="1"/>
    </xf>
    <xf numFmtId="173" fontId="2" fillId="0" borderId="3" xfId="10" applyNumberFormat="1" applyFont="1" applyFill="1" applyBorder="1" applyAlignment="1">
      <alignment horizontal="center" vertical="center" textRotation="91" wrapText="1"/>
    </xf>
    <xf numFmtId="9" fontId="2" fillId="0" borderId="12" xfId="2" applyFont="1" applyFill="1" applyBorder="1" applyAlignment="1">
      <alignment horizontal="center" vertical="center" textRotation="91" wrapText="1"/>
    </xf>
    <xf numFmtId="9" fontId="2" fillId="0" borderId="3" xfId="2" applyFont="1" applyFill="1" applyBorder="1" applyAlignment="1">
      <alignment horizontal="center" vertical="center" textRotation="91"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justify" vertical="center" wrapText="1"/>
    </xf>
    <xf numFmtId="9" fontId="2" fillId="0" borderId="5" xfId="2" applyFont="1" applyFill="1" applyBorder="1" applyAlignment="1">
      <alignment horizontal="center" vertical="center" wrapText="1"/>
    </xf>
    <xf numFmtId="43" fontId="2" fillId="0" borderId="5" xfId="10" applyFont="1" applyFill="1" applyBorder="1" applyAlignment="1">
      <alignment horizontal="center" vertical="center" wrapText="1"/>
    </xf>
    <xf numFmtId="0" fontId="7" fillId="0" borderId="5" xfId="0" applyFont="1" applyFill="1" applyBorder="1" applyAlignment="1">
      <alignment vertical="center" wrapText="1"/>
    </xf>
    <xf numFmtId="0" fontId="7" fillId="0" borderId="15" xfId="0" applyFont="1" applyFill="1" applyBorder="1" applyAlignment="1">
      <alignment horizontal="justify" vertical="center" wrapText="1"/>
    </xf>
    <xf numFmtId="0" fontId="7" fillId="0" borderId="5" xfId="1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0" fontId="2" fillId="0" borderId="37"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7" xfId="0" applyFont="1" applyFill="1" applyBorder="1" applyAlignment="1">
      <alignment horizontal="justify" vertical="center" wrapText="1"/>
    </xf>
    <xf numFmtId="3" fontId="2" fillId="0" borderId="45" xfId="0" applyNumberFormat="1" applyFont="1" applyFill="1" applyBorder="1" applyAlignment="1">
      <alignment horizontal="justify" vertical="center" wrapText="1"/>
    </xf>
    <xf numFmtId="3" fontId="2" fillId="0" borderId="6" xfId="0" applyNumberFormat="1" applyFont="1" applyFill="1" applyBorder="1" applyAlignment="1">
      <alignment horizontal="justify" vertical="center" wrapText="1"/>
    </xf>
    <xf numFmtId="3" fontId="2" fillId="0" borderId="51" xfId="0" applyNumberFormat="1" applyFont="1" applyFill="1" applyBorder="1" applyAlignment="1">
      <alignment horizontal="justify" vertical="center" wrapText="1"/>
    </xf>
    <xf numFmtId="0" fontId="2" fillId="0" borderId="40"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18" xfId="0" applyFont="1" applyFill="1" applyBorder="1" applyAlignment="1">
      <alignment horizontal="justify" vertical="center" wrapText="1"/>
    </xf>
    <xf numFmtId="164" fontId="2" fillId="0" borderId="5"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31" xfId="0" applyFont="1" applyFill="1" applyBorder="1" applyAlignment="1">
      <alignment horizontal="justify" vertical="center" wrapText="1"/>
    </xf>
    <xf numFmtId="0" fontId="2" fillId="0" borderId="18" xfId="0" applyFont="1" applyFill="1" applyBorder="1" applyAlignment="1">
      <alignment horizontal="justify" vertical="center" wrapText="1"/>
    </xf>
    <xf numFmtId="9" fontId="2" fillId="0" borderId="5" xfId="2" applyNumberFormat="1" applyFont="1" applyFill="1" applyBorder="1" applyAlignment="1">
      <alignment horizontal="center" vertical="center" wrapText="1"/>
    </xf>
    <xf numFmtId="0" fontId="2" fillId="0" borderId="5" xfId="2"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9" xfId="0" applyFont="1" applyFill="1" applyBorder="1" applyAlignment="1">
      <alignment vertical="center" wrapText="1"/>
    </xf>
    <xf numFmtId="1" fontId="2" fillId="0" borderId="15" xfId="0" applyNumberFormat="1" applyFont="1" applyFill="1" applyBorder="1" applyAlignment="1">
      <alignment horizontal="center" vertical="center" wrapText="1"/>
    </xf>
    <xf numFmtId="9" fontId="2" fillId="0" borderId="15" xfId="2" applyFont="1" applyFill="1" applyBorder="1" applyAlignment="1">
      <alignment horizontal="center" vertical="center" wrapText="1"/>
    </xf>
    <xf numFmtId="43" fontId="2" fillId="0" borderId="15" xfId="10" applyFont="1" applyFill="1" applyBorder="1" applyAlignment="1">
      <alignment horizontal="center" vertical="center" wrapText="1"/>
    </xf>
    <xf numFmtId="3" fontId="2" fillId="0" borderId="18" xfId="0" applyNumberFormat="1" applyFont="1" applyFill="1" applyBorder="1" applyAlignment="1">
      <alignment horizontal="justify" vertical="center" wrapText="1"/>
    </xf>
    <xf numFmtId="1" fontId="2" fillId="0" borderId="39" xfId="0" applyNumberFormat="1" applyFont="1" applyFill="1" applyBorder="1" applyAlignment="1">
      <alignment horizontal="center" vertical="center" wrapText="1"/>
    </xf>
    <xf numFmtId="9" fontId="2" fillId="0" borderId="19" xfId="2"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2" fillId="0" borderId="52" xfId="0" applyFont="1" applyFill="1" applyBorder="1" applyAlignment="1">
      <alignment horizontal="justify" vertical="center" wrapText="1"/>
    </xf>
    <xf numFmtId="0" fontId="2" fillId="0" borderId="50" xfId="0" applyFont="1" applyFill="1" applyBorder="1" applyAlignment="1">
      <alignment horizontal="justify" vertical="center" wrapText="1"/>
    </xf>
    <xf numFmtId="43" fontId="2" fillId="0" borderId="3" xfId="10" applyFont="1" applyFill="1" applyBorder="1" applyAlignment="1">
      <alignment horizontal="center" vertical="center" wrapText="1"/>
    </xf>
    <xf numFmtId="43" fontId="2" fillId="0" borderId="4" xfId="10" applyFont="1" applyFill="1" applyBorder="1" applyAlignment="1">
      <alignment horizontal="center" vertical="center" wrapText="1"/>
    </xf>
    <xf numFmtId="0" fontId="2" fillId="0" borderId="53" xfId="0" applyFont="1" applyFill="1" applyBorder="1" applyAlignment="1">
      <alignment horizontal="justify" vertical="center" wrapText="1"/>
    </xf>
    <xf numFmtId="164" fontId="2" fillId="0" borderId="15" xfId="0" applyNumberFormat="1" applyFont="1" applyFill="1" applyBorder="1" applyAlignment="1">
      <alignment horizontal="center" vertical="center" wrapText="1"/>
    </xf>
    <xf numFmtId="43" fontId="2" fillId="0" borderId="19" xfId="10" applyFont="1" applyFill="1" applyBorder="1" applyAlignment="1">
      <alignment horizontal="center" vertical="center" wrapText="1"/>
    </xf>
    <xf numFmtId="0" fontId="2" fillId="0" borderId="28"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7" fillId="0" borderId="12" xfId="10" applyNumberFormat="1" applyFont="1" applyFill="1" applyBorder="1" applyAlignment="1">
      <alignment horizontal="center" vertical="center" wrapText="1"/>
    </xf>
    <xf numFmtId="0" fontId="7" fillId="0" borderId="3" xfId="10" applyNumberFormat="1" applyFont="1" applyFill="1" applyBorder="1" applyAlignment="1">
      <alignment horizontal="center" vertical="center" wrapText="1"/>
    </xf>
    <xf numFmtId="0" fontId="7" fillId="0" borderId="4" xfId="10" applyNumberFormat="1" applyFont="1" applyFill="1" applyBorder="1" applyAlignment="1">
      <alignment horizontal="center" vertical="center" wrapText="1"/>
    </xf>
    <xf numFmtId="0" fontId="7" fillId="0" borderId="46" xfId="3" applyFont="1" applyFill="1" applyBorder="1" applyAlignment="1">
      <alignment horizontal="justify" vertical="center" wrapText="1"/>
    </xf>
    <xf numFmtId="0" fontId="7" fillId="0" borderId="27" xfId="3" applyFont="1" applyFill="1" applyBorder="1" applyAlignment="1">
      <alignment horizontal="justify" vertical="center" wrapText="1"/>
    </xf>
    <xf numFmtId="0" fontId="7" fillId="0" borderId="26" xfId="3" applyFont="1" applyFill="1" applyBorder="1" applyAlignment="1">
      <alignment horizontal="justify" vertical="center" wrapText="1"/>
    </xf>
    <xf numFmtId="9" fontId="2" fillId="0" borderId="12" xfId="2" applyFont="1" applyFill="1" applyBorder="1" applyAlignment="1">
      <alignment horizontal="center" vertical="center" wrapText="1"/>
    </xf>
    <xf numFmtId="0" fontId="2" fillId="0" borderId="49" xfId="0" applyFont="1" applyFill="1" applyBorder="1" applyAlignment="1">
      <alignment horizontal="justify"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1" fontId="5" fillId="4" borderId="36" xfId="0" applyNumberFormat="1" applyFont="1" applyFill="1" applyBorder="1" applyAlignment="1">
      <alignment horizontal="center" vertical="center" wrapText="1"/>
    </xf>
    <xf numFmtId="1" fontId="5" fillId="4" borderId="32"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0" fontId="5" fillId="14" borderId="13" xfId="0" applyFont="1" applyFill="1" applyBorder="1" applyAlignment="1">
      <alignment horizontal="center" vertical="center"/>
    </xf>
    <xf numFmtId="0" fontId="5" fillId="14" borderId="37" xfId="0" applyFont="1" applyFill="1" applyBorder="1" applyAlignment="1">
      <alignment horizontal="center" vertical="center"/>
    </xf>
    <xf numFmtId="0" fontId="5" fillId="14" borderId="28" xfId="0" applyFont="1" applyFill="1" applyBorder="1" applyAlignment="1">
      <alignment horizontal="center" vertical="center"/>
    </xf>
    <xf numFmtId="3" fontId="5" fillId="12" borderId="1" xfId="0" applyNumberFormat="1" applyFont="1" applyFill="1" applyBorder="1" applyAlignment="1">
      <alignment horizontal="center" vertical="center" wrapText="1"/>
    </xf>
    <xf numFmtId="1" fontId="5" fillId="12" borderId="37" xfId="0" applyNumberFormat="1" applyFont="1" applyFill="1" applyBorder="1" applyAlignment="1">
      <alignment horizontal="center" vertical="center" wrapText="1"/>
    </xf>
    <xf numFmtId="1" fontId="5" fillId="12" borderId="17" xfId="0" applyNumberFormat="1" applyFont="1" applyFill="1" applyBorder="1" applyAlignment="1">
      <alignment horizontal="center" vertical="center" wrapText="1"/>
    </xf>
    <xf numFmtId="1" fontId="5" fillId="12" borderId="1" xfId="0" applyNumberFormat="1" applyFont="1" applyFill="1" applyBorder="1" applyAlignment="1">
      <alignment horizontal="center" vertical="center" wrapText="1"/>
    </xf>
    <xf numFmtId="1" fontId="5" fillId="4" borderId="13" xfId="0" applyNumberFormat="1" applyFont="1" applyFill="1" applyBorder="1" applyAlignment="1">
      <alignment horizontal="center" vertical="center" wrapText="1"/>
    </xf>
    <xf numFmtId="1" fontId="5" fillId="4" borderId="37" xfId="0" applyNumberFormat="1" applyFont="1" applyFill="1" applyBorder="1" applyAlignment="1">
      <alignment horizontal="center" vertical="center" wrapText="1"/>
    </xf>
    <xf numFmtId="1" fontId="5" fillId="4" borderId="28" xfId="0" applyNumberFormat="1" applyFont="1" applyFill="1" applyBorder="1" applyAlignment="1">
      <alignment horizontal="center" vertical="center" wrapText="1"/>
    </xf>
    <xf numFmtId="0" fontId="5" fillId="12" borderId="45" xfId="0" applyFont="1" applyFill="1" applyBorder="1" applyAlignment="1">
      <alignment horizontal="center" vertical="center" wrapText="1"/>
    </xf>
    <xf numFmtId="0" fontId="5" fillId="12" borderId="51" xfId="0" applyFont="1" applyFill="1" applyBorder="1" applyAlignment="1">
      <alignment horizontal="center" vertical="center" wrapText="1"/>
    </xf>
    <xf numFmtId="164" fontId="5" fillId="12" borderId="1" xfId="0" applyNumberFormat="1" applyFont="1" applyFill="1" applyBorder="1" applyAlignment="1">
      <alignment horizontal="center" vertical="center" wrapText="1"/>
    </xf>
    <xf numFmtId="167" fontId="5" fillId="12" borderId="1" xfId="0" applyNumberFormat="1" applyFont="1" applyFill="1" applyBorder="1" applyAlignment="1">
      <alignment horizontal="center" vertical="center" wrapText="1"/>
    </xf>
    <xf numFmtId="0" fontId="5" fillId="12" borderId="2" xfId="0" applyFont="1" applyFill="1" applyBorder="1" applyAlignment="1">
      <alignment horizontal="center" vertical="center" textRotation="90" wrapText="1"/>
    </xf>
    <xf numFmtId="0" fontId="5" fillId="12" borderId="32" xfId="0" applyFont="1" applyFill="1" applyBorder="1" applyAlignment="1">
      <alignment horizontal="center" vertical="center" textRotation="90" wrapText="1"/>
    </xf>
    <xf numFmtId="49" fontId="5" fillId="12" borderId="2" xfId="0" applyNumberFormat="1" applyFont="1" applyFill="1" applyBorder="1" applyAlignment="1">
      <alignment horizontal="center" vertical="center" textRotation="90" wrapText="1"/>
    </xf>
    <xf numFmtId="49" fontId="5" fillId="12" borderId="32" xfId="0" applyNumberFormat="1" applyFont="1" applyFill="1" applyBorder="1" applyAlignment="1">
      <alignment horizontal="center" vertical="center" textRotation="90" wrapText="1"/>
    </xf>
    <xf numFmtId="1" fontId="7" fillId="2" borderId="4" xfId="0" applyNumberFormat="1" applyFont="1" applyFill="1" applyBorder="1" applyAlignment="1">
      <alignment horizontal="center" vertical="center" wrapText="1"/>
    </xf>
    <xf numFmtId="0" fontId="19" fillId="13" borderId="3" xfId="0" applyFont="1" applyFill="1" applyBorder="1" applyAlignment="1">
      <alignment horizontal="center" vertical="center" wrapText="1"/>
    </xf>
    <xf numFmtId="0" fontId="19" fillId="13" borderId="4" xfId="0" applyFont="1" applyFill="1" applyBorder="1" applyAlignment="1">
      <alignment horizontal="center" vertical="center" wrapText="1"/>
    </xf>
    <xf numFmtId="0" fontId="7" fillId="9" borderId="5" xfId="0" applyFont="1" applyFill="1" applyBorder="1" applyAlignment="1">
      <alignment horizontal="justify" vertical="center" wrapText="1"/>
    </xf>
    <xf numFmtId="177" fontId="7" fillId="0" borderId="27" xfId="11" applyNumberFormat="1" applyFont="1" applyBorder="1" applyAlignment="1">
      <alignment horizontal="center" vertical="center"/>
    </xf>
    <xf numFmtId="177" fontId="7" fillId="0" borderId="61" xfId="11" applyNumberFormat="1" applyFont="1" applyBorder="1" applyAlignment="1">
      <alignment horizontal="center" vertical="center"/>
    </xf>
    <xf numFmtId="0" fontId="7" fillId="9" borderId="15" xfId="0" applyFont="1" applyFill="1" applyBorder="1" applyAlignment="1">
      <alignment horizontal="justify" vertical="center" wrapText="1"/>
    </xf>
    <xf numFmtId="0" fontId="5" fillId="12" borderId="12" xfId="0" applyFont="1" applyFill="1" applyBorder="1" applyAlignment="1">
      <alignment horizontal="center" vertical="center" wrapText="1"/>
    </xf>
    <xf numFmtId="0" fontId="5" fillId="12" borderId="4" xfId="0" applyFont="1" applyFill="1" applyBorder="1" applyAlignment="1">
      <alignment horizontal="center" vertical="center" wrapText="1"/>
    </xf>
    <xf numFmtId="41" fontId="5" fillId="12" borderId="12" xfId="11" applyFont="1" applyFill="1" applyBorder="1" applyAlignment="1">
      <alignment horizontal="center" vertical="center" wrapText="1"/>
    </xf>
    <xf numFmtId="10" fontId="19" fillId="13" borderId="3" xfId="4" applyNumberFormat="1" applyFont="1" applyFill="1" applyBorder="1" applyAlignment="1">
      <alignment horizontal="center" vertical="center" wrapText="1"/>
    </xf>
    <xf numFmtId="10" fontId="19" fillId="13" borderId="4" xfId="4" applyNumberFormat="1"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32" xfId="0" applyFont="1" applyFill="1" applyBorder="1" applyAlignment="1">
      <alignment horizontal="center" vertical="center" wrapText="1"/>
    </xf>
    <xf numFmtId="164" fontId="7" fillId="2" borderId="14" xfId="0" applyNumberFormat="1"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1" fontId="7" fillId="2" borderId="14" xfId="0" applyNumberFormat="1" applyFont="1" applyFill="1" applyBorder="1" applyAlignment="1">
      <alignment horizontal="center" vertical="center" wrapText="1"/>
    </xf>
    <xf numFmtId="41" fontId="7" fillId="2" borderId="14" xfId="11" applyFont="1" applyFill="1" applyBorder="1" applyAlignment="1">
      <alignment horizontal="center" vertical="center" wrapText="1"/>
    </xf>
    <xf numFmtId="41" fontId="7" fillId="2" borderId="3" xfId="11" applyFont="1" applyFill="1" applyBorder="1" applyAlignment="1">
      <alignment horizontal="center" vertical="center" wrapText="1"/>
    </xf>
    <xf numFmtId="41" fontId="7" fillId="2" borderId="4" xfId="11" applyFont="1" applyFill="1" applyBorder="1" applyAlignment="1">
      <alignment horizontal="center" vertical="center" wrapText="1"/>
    </xf>
    <xf numFmtId="10" fontId="7" fillId="2" borderId="14" xfId="2"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7" fillId="0" borderId="13" xfId="3" applyFont="1" applyBorder="1" applyAlignment="1">
      <alignment horizontal="justify" vertical="center" wrapText="1"/>
    </xf>
    <xf numFmtId="0" fontId="7" fillId="0" borderId="6" xfId="3" applyFont="1" applyBorder="1" applyAlignment="1">
      <alignment horizontal="justify" vertical="center" wrapText="1"/>
    </xf>
    <xf numFmtId="0" fontId="7" fillId="0" borderId="11" xfId="3" applyFont="1" applyBorder="1" applyAlignment="1">
      <alignment horizontal="justify" vertical="center" wrapText="1"/>
    </xf>
    <xf numFmtId="1" fontId="7" fillId="2" borderId="5" xfId="3" applyNumberFormat="1" applyFont="1" applyFill="1" applyBorder="1" applyAlignment="1">
      <alignment horizontal="center" vertical="center" wrapText="1"/>
    </xf>
    <xf numFmtId="0" fontId="7" fillId="2" borderId="5" xfId="3" applyFont="1" applyFill="1" applyBorder="1" applyAlignment="1">
      <alignment horizontal="center" vertical="center" wrapText="1"/>
    </xf>
    <xf numFmtId="1" fontId="7" fillId="0" borderId="5" xfId="3" applyNumberFormat="1" applyFont="1" applyBorder="1" applyAlignment="1">
      <alignment horizontal="center" vertical="center" wrapText="1"/>
    </xf>
    <xf numFmtId="10" fontId="7" fillId="2" borderId="28" xfId="0" applyNumberFormat="1" applyFont="1" applyFill="1" applyBorder="1" applyAlignment="1">
      <alignment horizontal="center" vertical="center" wrapText="1"/>
    </xf>
    <xf numFmtId="10" fontId="7" fillId="2" borderId="7" xfId="0" applyNumberFormat="1" applyFont="1" applyFill="1" applyBorder="1" applyAlignment="1">
      <alignment horizontal="center" vertical="center" wrapText="1"/>
    </xf>
    <xf numFmtId="10" fontId="7" fillId="2" borderId="10" xfId="0" applyNumberFormat="1" applyFont="1" applyFill="1" applyBorder="1" applyAlignment="1">
      <alignment horizontal="center" vertical="center" wrapText="1"/>
    </xf>
    <xf numFmtId="3" fontId="7" fillId="2" borderId="49" xfId="0" applyNumberFormat="1" applyFont="1" applyFill="1" applyBorder="1" applyAlignment="1">
      <alignment horizontal="justify" vertical="center" wrapText="1"/>
    </xf>
    <xf numFmtId="3" fontId="7" fillId="2" borderId="52" xfId="0" applyNumberFormat="1" applyFont="1" applyFill="1" applyBorder="1" applyAlignment="1">
      <alignment horizontal="justify" vertical="center" wrapText="1"/>
    </xf>
    <xf numFmtId="3" fontId="7" fillId="2" borderId="50" xfId="0" applyNumberFormat="1" applyFont="1" applyFill="1" applyBorder="1" applyAlignment="1">
      <alignment horizontal="justify" vertical="center" wrapText="1"/>
    </xf>
    <xf numFmtId="0" fontId="7" fillId="2" borderId="46" xfId="0" applyFont="1" applyFill="1" applyBorder="1" applyAlignment="1">
      <alignment horizontal="justify" vertical="center" wrapText="1"/>
    </xf>
    <xf numFmtId="0" fontId="7" fillId="2" borderId="26" xfId="0" applyFont="1" applyFill="1" applyBorder="1" applyAlignment="1">
      <alignment horizontal="justify" vertical="center" wrapText="1"/>
    </xf>
    <xf numFmtId="10" fontId="7" fillId="2" borderId="25" xfId="0" applyNumberFormat="1" applyFont="1" applyFill="1" applyBorder="1" applyAlignment="1">
      <alignment horizontal="center" vertical="center" wrapText="1"/>
    </xf>
    <xf numFmtId="10" fontId="7" fillId="2" borderId="22" xfId="0" applyNumberFormat="1" applyFont="1" applyFill="1" applyBorder="1" applyAlignment="1">
      <alignment horizontal="center" vertical="center" wrapText="1"/>
    </xf>
    <xf numFmtId="10" fontId="7" fillId="2" borderId="56" xfId="0" applyNumberFormat="1" applyFont="1" applyFill="1" applyBorder="1" applyAlignment="1">
      <alignment horizontal="center" vertical="center" wrapText="1"/>
    </xf>
    <xf numFmtId="177" fontId="7" fillId="0" borderId="29" xfId="11" applyNumberFormat="1" applyFont="1" applyBorder="1" applyAlignment="1">
      <alignment horizontal="center" vertical="center" wrapText="1"/>
    </xf>
    <xf numFmtId="177" fontId="7" fillId="0" borderId="22" xfId="11" applyNumberFormat="1" applyFont="1" applyBorder="1" applyAlignment="1">
      <alignment horizontal="center" vertical="center" wrapText="1"/>
    </xf>
    <xf numFmtId="1" fontId="7" fillId="2" borderId="1" xfId="0" applyNumberFormat="1" applyFont="1" applyFill="1" applyBorder="1" applyAlignment="1">
      <alignment horizontal="center" vertical="center" wrapText="1"/>
    </xf>
    <xf numFmtId="164" fontId="7" fillId="2" borderId="12" xfId="0" applyNumberFormat="1" applyFont="1" applyFill="1" applyBorder="1" applyAlignment="1">
      <alignment horizontal="center" vertical="center" wrapText="1"/>
    </xf>
    <xf numFmtId="3" fontId="7" fillId="2" borderId="12" xfId="0" applyNumberFormat="1" applyFont="1" applyFill="1" applyBorder="1" applyAlignment="1">
      <alignment horizontal="center" vertical="center" wrapText="1"/>
    </xf>
    <xf numFmtId="41" fontId="7" fillId="2" borderId="1" xfId="11" applyFont="1" applyFill="1" applyBorder="1" applyAlignment="1">
      <alignment horizontal="center" vertical="center" wrapText="1"/>
    </xf>
    <xf numFmtId="10" fontId="7" fillId="2" borderId="1" xfId="2" applyNumberFormat="1" applyFont="1" applyFill="1" applyBorder="1" applyAlignment="1">
      <alignment horizontal="center" vertical="center" wrapText="1"/>
    </xf>
    <xf numFmtId="1" fontId="7" fillId="0" borderId="53" xfId="3" applyNumberFormat="1" applyFont="1" applyBorder="1" applyAlignment="1">
      <alignment horizontal="center" vertical="center" wrapText="1"/>
    </xf>
    <xf numFmtId="1" fontId="7" fillId="0" borderId="26" xfId="3" applyNumberFormat="1" applyFont="1" applyBorder="1" applyAlignment="1">
      <alignment horizontal="center" vertical="center" wrapText="1"/>
    </xf>
    <xf numFmtId="0" fontId="7" fillId="0" borderId="53" xfId="3" applyFont="1" applyBorder="1" applyAlignment="1">
      <alignment horizontal="center" vertical="center" wrapText="1"/>
    </xf>
    <xf numFmtId="0" fontId="7" fillId="0" borderId="26" xfId="3" applyFont="1" applyBorder="1" applyAlignment="1">
      <alignment horizontal="center" vertical="center" wrapText="1"/>
    </xf>
    <xf numFmtId="0" fontId="7" fillId="0" borderId="2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0" xfId="0" applyFont="1" applyBorder="1" applyAlignment="1">
      <alignment horizontal="justify" vertical="center" wrapText="1"/>
    </xf>
    <xf numFmtId="0" fontId="7" fillId="0" borderId="40" xfId="3" applyFont="1" applyBorder="1" applyAlignment="1">
      <alignment horizontal="center" vertical="center" wrapText="1"/>
    </xf>
    <xf numFmtId="0" fontId="7" fillId="0" borderId="9" xfId="12" applyNumberFormat="1" applyFont="1" applyFill="1" applyBorder="1">
      <alignment horizontal="center" vertical="center" wrapText="1"/>
    </xf>
    <xf numFmtId="0" fontId="7" fillId="0" borderId="53" xfId="12" applyNumberFormat="1" applyFont="1" applyFill="1" applyBorder="1">
      <alignment horizontal="center" vertical="center" wrapText="1"/>
    </xf>
    <xf numFmtId="0" fontId="7" fillId="0" borderId="61" xfId="12" applyNumberFormat="1" applyFont="1" applyFill="1" applyBorder="1">
      <alignment horizontal="center" vertical="center" wrapText="1"/>
    </xf>
    <xf numFmtId="10" fontId="7" fillId="2" borderId="24" xfId="0" applyNumberFormat="1" applyFont="1" applyFill="1" applyBorder="1" applyAlignment="1">
      <alignment horizontal="center" vertical="center" wrapText="1"/>
    </xf>
    <xf numFmtId="10" fontId="7" fillId="2" borderId="21" xfId="0" applyNumberFormat="1" applyFont="1" applyFill="1" applyBorder="1" applyAlignment="1">
      <alignment horizontal="center" vertical="center" wrapText="1"/>
    </xf>
    <xf numFmtId="177" fontId="7" fillId="0" borderId="5" xfId="11" applyNumberFormat="1" applyFont="1" applyBorder="1" applyAlignment="1">
      <alignment horizontal="center" vertical="center" wrapText="1"/>
    </xf>
    <xf numFmtId="177" fontId="7" fillId="0" borderId="19" xfId="11" applyNumberFormat="1" applyFont="1" applyBorder="1" applyAlignment="1">
      <alignment horizontal="center" vertical="center" wrapText="1"/>
    </xf>
    <xf numFmtId="3" fontId="7" fillId="2" borderId="5" xfId="0" applyNumberFormat="1" applyFont="1" applyFill="1" applyBorder="1" applyAlignment="1">
      <alignment horizontal="justify" vertical="center" wrapText="1"/>
    </xf>
    <xf numFmtId="0" fontId="7" fillId="2" borderId="24" xfId="0" applyFont="1" applyFill="1" applyBorder="1" applyAlignment="1">
      <alignment horizontal="justify" vertical="center" wrapText="1"/>
    </xf>
    <xf numFmtId="0" fontId="7" fillId="2" borderId="21" xfId="0" applyFont="1" applyFill="1" applyBorder="1" applyAlignment="1">
      <alignment horizontal="justify" vertical="center" wrapText="1"/>
    </xf>
    <xf numFmtId="10" fontId="7" fillId="2" borderId="5" xfId="0" applyNumberFormat="1" applyFont="1" applyFill="1" applyBorder="1" applyAlignment="1">
      <alignment horizontal="center" vertical="center" wrapText="1"/>
    </xf>
    <xf numFmtId="0" fontId="7" fillId="2" borderId="19" xfId="0" applyFont="1" applyFill="1" applyBorder="1" applyAlignment="1">
      <alignment horizontal="justify" vertical="center" wrapText="1"/>
    </xf>
    <xf numFmtId="0" fontId="7" fillId="2" borderId="5" xfId="14" applyFont="1" applyFill="1" applyBorder="1">
      <alignment horizontal="center" vertical="center" wrapText="1"/>
    </xf>
    <xf numFmtId="0" fontId="7" fillId="2" borderId="5" xfId="3" applyFont="1" applyFill="1" applyBorder="1" applyAlignment="1">
      <alignment horizontal="justify" vertical="center" wrapText="1"/>
    </xf>
    <xf numFmtId="1" fontId="7" fillId="0" borderId="40" xfId="3" applyNumberFormat="1" applyFont="1" applyBorder="1" applyAlignment="1">
      <alignment horizontal="center" vertical="center" wrapText="1"/>
    </xf>
    <xf numFmtId="164" fontId="7" fillId="2" borderId="28"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164" fontId="7" fillId="2" borderId="10" xfId="0" applyNumberFormat="1" applyFont="1" applyFill="1" applyBorder="1" applyAlignment="1">
      <alignment horizontal="center" vertical="center" wrapText="1"/>
    </xf>
    <xf numFmtId="1" fontId="7" fillId="2" borderId="40" xfId="0" applyNumberFormat="1" applyFont="1" applyFill="1" applyBorder="1" applyAlignment="1">
      <alignment horizontal="center" vertical="center" wrapText="1"/>
    </xf>
    <xf numFmtId="1" fontId="7" fillId="2" borderId="3" xfId="3" applyNumberFormat="1" applyFont="1" applyFill="1" applyBorder="1" applyAlignment="1">
      <alignment horizontal="center" vertical="center" wrapText="1"/>
    </xf>
    <xf numFmtId="0" fontId="7" fillId="2" borderId="52" xfId="0" applyFont="1" applyFill="1" applyBorder="1" applyAlignment="1">
      <alignment horizontal="justify" vertical="center" wrapText="1"/>
    </xf>
    <xf numFmtId="1" fontId="7" fillId="2" borderId="7" xfId="0" applyNumberFormat="1" applyFont="1" applyFill="1" applyBorder="1" applyAlignment="1">
      <alignment horizontal="center" vertical="center" wrapText="1"/>
    </xf>
    <xf numFmtId="9" fontId="7" fillId="2" borderId="27" xfId="0" applyNumberFormat="1" applyFont="1" applyFill="1" applyBorder="1" applyAlignment="1">
      <alignment horizontal="center" vertical="center" wrapText="1"/>
    </xf>
    <xf numFmtId="177" fontId="7" fillId="2" borderId="8" xfId="11" applyNumberFormat="1" applyFont="1" applyFill="1" applyBorder="1" applyAlignment="1">
      <alignment horizontal="center" vertical="center"/>
    </xf>
    <xf numFmtId="0" fontId="7" fillId="2" borderId="60" xfId="0" applyFont="1" applyFill="1" applyBorder="1" applyAlignment="1">
      <alignment horizontal="justify" vertical="center" wrapText="1"/>
    </xf>
    <xf numFmtId="3" fontId="7" fillId="2" borderId="3" xfId="0" applyNumberFormat="1" applyFont="1" applyFill="1" applyBorder="1" applyAlignment="1">
      <alignment horizontal="justify" vertical="center" wrapText="1"/>
    </xf>
    <xf numFmtId="3" fontId="7" fillId="2" borderId="6" xfId="0" applyNumberFormat="1" applyFont="1" applyFill="1" applyBorder="1" applyAlignment="1">
      <alignment horizontal="justify" vertical="center" wrapText="1"/>
    </xf>
    <xf numFmtId="0" fontId="7" fillId="2" borderId="27" xfId="0" applyFont="1" applyFill="1" applyBorder="1" applyAlignment="1">
      <alignment horizontal="justify" vertical="center" wrapText="1"/>
    </xf>
    <xf numFmtId="3" fontId="7" fillId="2" borderId="42" xfId="0" applyNumberFormat="1" applyFont="1" applyFill="1" applyBorder="1" applyAlignment="1">
      <alignment horizontal="center" vertical="center" wrapText="1"/>
    </xf>
    <xf numFmtId="177" fontId="7" fillId="0" borderId="3" xfId="11" applyNumberFormat="1" applyFont="1" applyBorder="1" applyAlignment="1">
      <alignment horizontal="center" vertical="center" wrapText="1"/>
    </xf>
    <xf numFmtId="177" fontId="7" fillId="0" borderId="4" xfId="11" applyNumberFormat="1" applyFont="1" applyBorder="1" applyAlignment="1">
      <alignment horizontal="center" vertical="center" wrapText="1"/>
    </xf>
    <xf numFmtId="1" fontId="7" fillId="2" borderId="42" xfId="0" applyNumberFormat="1" applyFont="1" applyFill="1" applyBorder="1" applyAlignment="1">
      <alignment horizontal="center" vertical="center" wrapText="1"/>
    </xf>
    <xf numFmtId="164" fontId="7" fillId="2" borderId="42" xfId="0" applyNumberFormat="1" applyFont="1" applyFill="1" applyBorder="1" applyAlignment="1">
      <alignment horizontal="center" vertical="center" wrapText="1"/>
    </xf>
    <xf numFmtId="41" fontId="7" fillId="2" borderId="12" xfId="11" applyFont="1" applyFill="1" applyBorder="1" applyAlignment="1">
      <alignment horizontal="center" vertical="center" wrapText="1"/>
    </xf>
    <xf numFmtId="41" fontId="7" fillId="2" borderId="42" xfId="11" applyFont="1" applyFill="1" applyBorder="1" applyAlignment="1">
      <alignment horizontal="center" vertical="center" wrapText="1"/>
    </xf>
    <xf numFmtId="10" fontId="7" fillId="2" borderId="42" xfId="2" applyNumberFormat="1" applyFont="1" applyFill="1" applyBorder="1" applyAlignment="1">
      <alignment horizontal="center" vertical="center" wrapText="1"/>
    </xf>
    <xf numFmtId="0" fontId="7" fillId="0" borderId="1" xfId="14" applyFont="1" applyFill="1" applyBorder="1">
      <alignment horizontal="center" vertical="center" wrapText="1"/>
    </xf>
    <xf numFmtId="41" fontId="7" fillId="0" borderId="14" xfId="11" applyFont="1" applyBorder="1" applyAlignment="1">
      <alignment horizontal="center" vertical="center"/>
    </xf>
    <xf numFmtId="41" fontId="7" fillId="0" borderId="3" xfId="11" applyFont="1" applyBorder="1" applyAlignment="1">
      <alignment horizontal="center" vertical="center"/>
    </xf>
    <xf numFmtId="41" fontId="7" fillId="0" borderId="4" xfId="11" applyFont="1" applyBorder="1" applyAlignment="1">
      <alignment horizontal="center" vertical="center"/>
    </xf>
    <xf numFmtId="10" fontId="7" fillId="0" borderId="14" xfId="2" applyNumberFormat="1" applyFont="1" applyBorder="1" applyAlignment="1">
      <alignment horizontal="center" vertical="center"/>
    </xf>
    <xf numFmtId="0" fontId="7" fillId="0" borderId="14" xfId="0" applyFont="1" applyBorder="1" applyAlignment="1">
      <alignment horizontal="center" vertical="center" wrapText="1"/>
    </xf>
    <xf numFmtId="1" fontId="7" fillId="2" borderId="9" xfId="3" applyNumberFormat="1" applyFont="1" applyFill="1" applyBorder="1" applyAlignment="1">
      <alignment horizontal="center" vertical="center" wrapText="1"/>
    </xf>
    <xf numFmtId="1" fontId="7" fillId="2" borderId="8" xfId="3" applyNumberFormat="1" applyFont="1" applyFill="1" applyBorder="1" applyAlignment="1">
      <alignment horizontal="center" vertical="center" wrapText="1"/>
    </xf>
    <xf numFmtId="1" fontId="7" fillId="2" borderId="15" xfId="3" applyNumberFormat="1" applyFont="1" applyFill="1" applyBorder="1" applyAlignment="1">
      <alignment horizontal="center" vertical="center" wrapText="1"/>
    </xf>
    <xf numFmtId="9" fontId="7" fillId="2" borderId="12" xfId="0" applyNumberFormat="1" applyFont="1" applyFill="1" applyBorder="1" applyAlignment="1">
      <alignment horizontal="center" vertical="center"/>
    </xf>
    <xf numFmtId="9" fontId="7" fillId="2" borderId="4" xfId="0" applyNumberFormat="1" applyFont="1" applyFill="1" applyBorder="1" applyAlignment="1">
      <alignment horizontal="center" vertical="center"/>
    </xf>
    <xf numFmtId="0" fontId="7" fillId="0" borderId="9" xfId="3" applyFont="1" applyBorder="1" applyAlignment="1">
      <alignment horizontal="center" vertical="center" wrapText="1"/>
    </xf>
    <xf numFmtId="9" fontId="7" fillId="2" borderId="3" xfId="0" applyNumberFormat="1" applyFont="1" applyFill="1" applyBorder="1" applyAlignment="1">
      <alignment horizontal="center" vertical="center"/>
    </xf>
    <xf numFmtId="0" fontId="7" fillId="2" borderId="15" xfId="3" applyFont="1" applyFill="1" applyBorder="1" applyAlignment="1">
      <alignment horizontal="center" vertical="center" wrapText="1"/>
    </xf>
    <xf numFmtId="0" fontId="3" fillId="14" borderId="5" xfId="0" applyFont="1" applyFill="1" applyBorder="1" applyAlignment="1">
      <alignment horizontal="center" vertical="center"/>
    </xf>
    <xf numFmtId="1" fontId="3" fillId="12" borderId="3" xfId="0" applyNumberFormat="1"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3" fillId="11" borderId="37" xfId="0" applyFont="1" applyFill="1" applyBorder="1" applyAlignment="1">
      <alignment horizontal="left" vertical="center"/>
    </xf>
    <xf numFmtId="1" fontId="3" fillId="0" borderId="13" xfId="0" applyNumberFormat="1" applyFont="1" applyBorder="1" applyAlignment="1">
      <alignment horizontal="center" vertical="center" wrapText="1"/>
    </xf>
    <xf numFmtId="1" fontId="3" fillId="0" borderId="28"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0" borderId="1" xfId="12" applyNumberFormat="1" applyFont="1" applyFill="1" applyBorder="1">
      <alignment horizontal="center" vertical="center" wrapText="1"/>
    </xf>
    <xf numFmtId="1" fontId="2" fillId="2" borderId="12" xfId="8" applyNumberFormat="1" applyFont="1" applyFill="1" applyBorder="1" applyAlignment="1">
      <alignment horizontal="center" vertical="center"/>
    </xf>
    <xf numFmtId="1" fontId="2" fillId="2" borderId="4" xfId="8" applyNumberFormat="1" applyFont="1" applyFill="1" applyBorder="1" applyAlignment="1">
      <alignment horizontal="center" vertical="center"/>
    </xf>
    <xf numFmtId="9" fontId="2" fillId="2" borderId="1" xfId="0" applyNumberFormat="1" applyFont="1" applyFill="1" applyBorder="1" applyAlignment="1">
      <alignment horizontal="center" vertical="center" wrapText="1"/>
    </xf>
    <xf numFmtId="167" fontId="7" fillId="0" borderId="12" xfId="1" applyNumberFormat="1" applyFont="1" applyBorder="1" applyAlignment="1">
      <alignment horizontal="center" vertical="center" wrapText="1"/>
    </xf>
    <xf numFmtId="167" fontId="7" fillId="0" borderId="3" xfId="1" applyNumberFormat="1" applyFont="1" applyBorder="1" applyAlignment="1">
      <alignment horizontal="center" vertical="center" wrapText="1"/>
    </xf>
    <xf numFmtId="167" fontId="7" fillId="0" borderId="4" xfId="1"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9" fontId="2" fillId="2" borderId="12"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 fontId="7" fillId="0" borderId="12" xfId="14" applyNumberFormat="1" applyFont="1" applyFill="1" applyBorder="1">
      <alignment horizontal="center" vertical="center" wrapText="1"/>
    </xf>
    <xf numFmtId="1" fontId="7" fillId="0" borderId="4" xfId="14" applyNumberFormat="1" applyFont="1" applyFill="1" applyBorder="1">
      <alignment horizontal="center" vertical="center" wrapText="1"/>
    </xf>
    <xf numFmtId="1" fontId="2" fillId="2" borderId="12" xfId="0" applyNumberFormat="1" applyFont="1" applyFill="1" applyBorder="1" applyAlignment="1" applyProtection="1">
      <alignment horizontal="center" vertical="center" wrapText="1"/>
      <protection locked="0"/>
    </xf>
    <xf numFmtId="1" fontId="2" fillId="2" borderId="3" xfId="0" applyNumberFormat="1" applyFont="1" applyFill="1" applyBorder="1" applyAlignment="1" applyProtection="1">
      <alignment horizontal="center" vertical="center" wrapText="1"/>
      <protection locked="0"/>
    </xf>
    <xf numFmtId="1" fontId="2" fillId="2" borderId="4" xfId="0" applyNumberFormat="1" applyFont="1" applyFill="1" applyBorder="1" applyAlignment="1" applyProtection="1">
      <alignment horizontal="center" vertical="center" wrapText="1"/>
      <protection locked="0"/>
    </xf>
    <xf numFmtId="1" fontId="2" fillId="2" borderId="28"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1" fontId="2" fillId="2" borderId="12" xfId="0" applyNumberFormat="1" applyFont="1" applyFill="1" applyBorder="1" applyAlignment="1">
      <alignment horizontal="justify" vertical="center" wrapText="1"/>
    </xf>
    <xf numFmtId="1" fontId="2" fillId="2" borderId="3" xfId="0" applyNumberFormat="1" applyFont="1" applyFill="1" applyBorder="1" applyAlignment="1">
      <alignment horizontal="justify" vertical="center" wrapText="1"/>
    </xf>
    <xf numFmtId="1" fontId="2" fillId="2" borderId="4" xfId="0" applyNumberFormat="1" applyFont="1" applyFill="1" applyBorder="1" applyAlignment="1">
      <alignment horizontal="justify" vertical="center" wrapText="1"/>
    </xf>
    <xf numFmtId="0" fontId="7" fillId="0" borderId="12" xfId="12" applyNumberFormat="1" applyFont="1" applyFill="1" applyBorder="1">
      <alignment horizontal="center" vertical="center" wrapText="1"/>
    </xf>
    <xf numFmtId="0" fontId="7" fillId="0" borderId="4" xfId="12" applyNumberFormat="1" applyFont="1" applyFill="1" applyBorder="1">
      <alignment horizontal="center" vertical="center" wrapText="1"/>
    </xf>
    <xf numFmtId="9" fontId="2" fillId="2" borderId="3" xfId="0" applyNumberFormat="1" applyFont="1" applyFill="1" applyBorder="1" applyAlignment="1">
      <alignment horizontal="center" vertical="center" wrapText="1"/>
    </xf>
    <xf numFmtId="167" fontId="7" fillId="0" borderId="1" xfId="1" applyNumberFormat="1" applyFont="1" applyBorder="1" applyAlignment="1">
      <alignment horizontal="center" vertical="center" wrapText="1"/>
    </xf>
    <xf numFmtId="0" fontId="2" fillId="0" borderId="6" xfId="0" applyFont="1" applyBorder="1" applyAlignment="1">
      <alignment horizontal="justify" vertical="center" wrapText="1"/>
    </xf>
    <xf numFmtId="0" fontId="2" fillId="0" borderId="11" xfId="0" applyFont="1" applyBorder="1" applyAlignment="1">
      <alignment horizontal="justify" vertical="center" wrapText="1"/>
    </xf>
    <xf numFmtId="0" fontId="6" fillId="0" borderId="12" xfId="3" applyFont="1" applyBorder="1" applyAlignment="1">
      <alignment horizontal="center" vertical="center" wrapText="1"/>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1" fontId="2" fillId="2" borderId="3" xfId="8" applyNumberFormat="1" applyFont="1" applyFill="1" applyBorder="1" applyAlignment="1">
      <alignment horizontal="center" vertical="center"/>
    </xf>
    <xf numFmtId="9" fontId="2" fillId="0" borderId="1" xfId="0" applyNumberFormat="1" applyFont="1" applyBorder="1" applyAlignment="1">
      <alignment horizontal="center" vertical="center" wrapText="1"/>
    </xf>
    <xf numFmtId="0" fontId="7" fillId="0" borderId="3" xfId="12" applyNumberFormat="1" applyFont="1" applyFill="1" applyBorder="1">
      <alignment horizontal="center" vertical="center" wrapText="1"/>
    </xf>
    <xf numFmtId="14" fontId="2" fillId="2" borderId="1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67" fontId="2" fillId="0" borderId="12" xfId="1" applyNumberFormat="1" applyFont="1" applyBorder="1" applyAlignment="1">
      <alignment horizontal="center" vertical="center" wrapText="1"/>
    </xf>
    <xf numFmtId="167" fontId="2" fillId="0" borderId="3" xfId="1" applyNumberFormat="1" applyFont="1" applyBorder="1" applyAlignment="1">
      <alignment horizontal="center" vertical="center" wrapText="1"/>
    </xf>
    <xf numFmtId="167" fontId="2" fillId="0" borderId="4" xfId="1" applyNumberFormat="1" applyFont="1" applyBorder="1" applyAlignment="1">
      <alignment horizontal="center" vertical="center" wrapText="1"/>
    </xf>
    <xf numFmtId="1" fontId="2" fillId="0" borderId="12" xfId="0" applyNumberFormat="1" applyFont="1" applyBorder="1" applyAlignment="1">
      <alignment horizontal="justify" vertical="center" wrapText="1"/>
    </xf>
    <xf numFmtId="1" fontId="2" fillId="0" borderId="3" xfId="0" applyNumberFormat="1" applyFont="1" applyBorder="1" applyAlignment="1">
      <alignment horizontal="justify" vertical="center" wrapText="1"/>
    </xf>
    <xf numFmtId="1" fontId="2" fillId="0" borderId="4" xfId="0" applyNumberFormat="1" applyFont="1" applyBorder="1" applyAlignment="1">
      <alignment horizontal="justify" vertical="center" wrapText="1"/>
    </xf>
    <xf numFmtId="9" fontId="2" fillId="0" borderId="12"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167" fontId="7" fillId="0" borderId="12" xfId="1" applyNumberFormat="1" applyFont="1" applyFill="1" applyBorder="1" applyAlignment="1">
      <alignment horizontal="center" vertical="center" wrapText="1"/>
    </xf>
    <xf numFmtId="167" fontId="7" fillId="0" borderId="4" xfId="1"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167" fontId="7" fillId="0" borderId="1" xfId="1" applyNumberFormat="1" applyFont="1" applyBorder="1" applyAlignment="1">
      <alignment horizontal="center" vertical="center"/>
    </xf>
    <xf numFmtId="167" fontId="2" fillId="0" borderId="12" xfId="1" applyNumberFormat="1" applyFont="1" applyFill="1" applyBorder="1" applyAlignment="1">
      <alignment horizontal="center" vertical="center" wrapText="1"/>
    </xf>
    <xf numFmtId="167" fontId="2" fillId="0" borderId="4" xfId="1" applyNumberFormat="1" applyFont="1" applyFill="1" applyBorder="1" applyAlignment="1">
      <alignment horizontal="center" vertical="center" wrapText="1"/>
    </xf>
    <xf numFmtId="9" fontId="2" fillId="0" borderId="1" xfId="2"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2" borderId="13"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5" fillId="24" borderId="1" xfId="0" applyFont="1" applyFill="1" applyBorder="1" applyAlignment="1">
      <alignment horizontal="left" vertical="center"/>
    </xf>
    <xf numFmtId="164" fontId="2" fillId="2" borderId="42" xfId="0"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xf>
    <xf numFmtId="1" fontId="2" fillId="0" borderId="19"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167" fontId="2" fillId="0" borderId="12" xfId="1" applyNumberFormat="1" applyFont="1" applyBorder="1" applyAlignment="1">
      <alignment horizontal="center" vertical="center"/>
    </xf>
    <xf numFmtId="167" fontId="2" fillId="0" borderId="3" xfId="1" applyNumberFormat="1" applyFont="1" applyBorder="1" applyAlignment="1">
      <alignment horizontal="center" vertical="center"/>
    </xf>
    <xf numFmtId="167" fontId="2" fillId="0" borderId="4" xfId="1" applyNumberFormat="1" applyFont="1" applyBorder="1" applyAlignment="1">
      <alignment horizontal="center" vertical="center"/>
    </xf>
    <xf numFmtId="0" fontId="2" fillId="0" borderId="37" xfId="0" applyFont="1" applyBorder="1" applyAlignment="1">
      <alignment horizontal="justify" vertical="center" wrapText="1"/>
    </xf>
    <xf numFmtId="0" fontId="2" fillId="0" borderId="0" xfId="0" applyFont="1" applyAlignment="1">
      <alignment horizontal="justify" vertical="center" wrapText="1"/>
    </xf>
    <xf numFmtId="0" fontId="2" fillId="0" borderId="38" xfId="0" applyFont="1" applyBorder="1" applyAlignment="1">
      <alignment horizontal="justify" vertical="center" wrapText="1"/>
    </xf>
    <xf numFmtId="1" fontId="2" fillId="0" borderId="5" xfId="0" applyNumberFormat="1" applyFont="1" applyBorder="1" applyAlignment="1">
      <alignment horizontal="center" vertical="center"/>
    </xf>
    <xf numFmtId="167" fontId="2" fillId="0" borderId="5" xfId="1" applyNumberFormat="1" applyFont="1" applyFill="1" applyBorder="1" applyAlignment="1">
      <alignment horizontal="center" vertical="center"/>
    </xf>
    <xf numFmtId="9" fontId="2" fillId="0" borderId="5" xfId="2" applyFont="1" applyFill="1" applyBorder="1" applyAlignment="1">
      <alignment horizontal="center" vertical="center"/>
    </xf>
    <xf numFmtId="14" fontId="2" fillId="2" borderId="49" xfId="0" applyNumberFormat="1" applyFont="1" applyFill="1" applyBorder="1" applyAlignment="1">
      <alignment horizontal="center" vertical="center"/>
    </xf>
    <xf numFmtId="14" fontId="2" fillId="2" borderId="50" xfId="0" applyNumberFormat="1" applyFont="1" applyFill="1" applyBorder="1" applyAlignment="1">
      <alignment horizontal="center" vertical="center"/>
    </xf>
    <xf numFmtId="1" fontId="2" fillId="0" borderId="13" xfId="0" applyNumberFormat="1" applyFont="1" applyBorder="1" applyAlignment="1">
      <alignment horizontal="center" vertical="center"/>
    </xf>
    <xf numFmtId="1" fontId="2" fillId="0" borderId="28"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1" fontId="2" fillId="0" borderId="11"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5" xfId="0" applyNumberFormat="1" applyFont="1" applyBorder="1" applyAlignment="1">
      <alignment horizontal="justify" vertical="center"/>
    </xf>
    <xf numFmtId="14" fontId="2" fillId="0" borderId="49" xfId="0" applyNumberFormat="1" applyFont="1" applyBorder="1" applyAlignment="1">
      <alignment horizontal="center" vertical="center"/>
    </xf>
    <xf numFmtId="14" fontId="2" fillId="0" borderId="50" xfId="0" applyNumberFormat="1" applyFont="1" applyBorder="1" applyAlignment="1">
      <alignment horizontal="center" vertical="center"/>
    </xf>
    <xf numFmtId="1" fontId="2" fillId="2" borderId="5" xfId="0" applyNumberFormat="1" applyFont="1" applyFill="1" applyBorder="1" applyAlignment="1">
      <alignment horizontal="center" vertical="center"/>
    </xf>
    <xf numFmtId="1" fontId="2" fillId="2" borderId="1" xfId="0" applyNumberFormat="1" applyFont="1" applyFill="1" applyBorder="1" applyAlignment="1">
      <alignment horizontal="justify" vertical="center" wrapText="1"/>
    </xf>
    <xf numFmtId="14" fontId="2" fillId="0" borderId="6" xfId="0" applyNumberFormat="1" applyFont="1" applyBorder="1" applyAlignment="1">
      <alignment horizontal="center" vertical="center"/>
    </xf>
    <xf numFmtId="14" fontId="2" fillId="0" borderId="11" xfId="0" applyNumberFormat="1" applyFont="1" applyBorder="1" applyAlignment="1">
      <alignment horizontal="center" vertical="center"/>
    </xf>
    <xf numFmtId="14" fontId="2" fillId="2" borderId="13"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14" fontId="2" fillId="2" borderId="11" xfId="0" applyNumberFormat="1" applyFont="1" applyFill="1" applyBorder="1" applyAlignment="1">
      <alignment horizontal="center" vertical="center"/>
    </xf>
    <xf numFmtId="0" fontId="7" fillId="2" borderId="1" xfId="3" applyFont="1" applyFill="1" applyBorder="1" applyAlignment="1">
      <alignment horizontal="center" vertical="center"/>
    </xf>
    <xf numFmtId="0" fontId="2" fillId="0" borderId="48" xfId="0" applyFont="1" applyBorder="1" applyAlignment="1">
      <alignment horizontal="justify" vertical="center" wrapText="1"/>
    </xf>
    <xf numFmtId="2" fontId="7" fillId="2" borderId="12" xfId="3" applyNumberFormat="1" applyFont="1" applyFill="1" applyBorder="1" applyAlignment="1">
      <alignment horizontal="center" vertical="center" wrapText="1"/>
    </xf>
    <xf numFmtId="2" fontId="7" fillId="2" borderId="3" xfId="3" applyNumberFormat="1" applyFont="1" applyFill="1" applyBorder="1" applyAlignment="1">
      <alignment horizontal="center" vertical="center" wrapText="1"/>
    </xf>
    <xf numFmtId="2" fontId="7" fillId="2" borderId="4" xfId="3"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3" fontId="2" fillId="2" borderId="39" xfId="0" applyNumberFormat="1" applyFont="1" applyFill="1" applyBorder="1" applyAlignment="1">
      <alignment horizontal="center" vertical="center" wrapText="1"/>
    </xf>
    <xf numFmtId="3" fontId="2" fillId="2" borderId="29" xfId="0"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1" fontId="2" fillId="0" borderId="1" xfId="0" applyNumberFormat="1" applyFont="1" applyBorder="1" applyAlignment="1">
      <alignment horizontal="justify" vertical="center" wrapText="1"/>
    </xf>
    <xf numFmtId="9" fontId="2" fillId="0" borderId="3" xfId="0" applyNumberFormat="1" applyFont="1" applyBorder="1" applyAlignment="1">
      <alignment horizontal="center" vertical="center" wrapText="1"/>
    </xf>
    <xf numFmtId="167" fontId="7" fillId="0" borderId="12" xfId="1" applyNumberFormat="1" applyFont="1" applyFill="1" applyBorder="1" applyAlignment="1">
      <alignment horizontal="center" vertical="center"/>
    </xf>
    <xf numFmtId="167" fontId="7" fillId="0" borderId="3" xfId="1" applyNumberFormat="1" applyFont="1" applyFill="1" applyBorder="1" applyAlignment="1">
      <alignment horizontal="center" vertical="center"/>
    </xf>
    <xf numFmtId="167" fontId="7" fillId="0" borderId="4" xfId="1" applyNumberFormat="1" applyFont="1" applyFill="1" applyBorder="1" applyAlignment="1">
      <alignment horizontal="center" vertical="center"/>
    </xf>
    <xf numFmtId="1" fontId="2" fillId="2" borderId="17"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3" fillId="6" borderId="68" xfId="0" applyFont="1" applyFill="1" applyBorder="1" applyAlignment="1">
      <alignment horizontal="left" vertical="center"/>
    </xf>
    <xf numFmtId="0" fontId="3" fillId="6" borderId="44" xfId="0" applyFont="1" applyFill="1" applyBorder="1" applyAlignment="1">
      <alignment horizontal="left" vertical="center"/>
    </xf>
    <xf numFmtId="0" fontId="7" fillId="9" borderId="5" xfId="0" applyFont="1" applyFill="1" applyBorder="1" applyAlignment="1">
      <alignment horizontal="center" vertical="center" wrapText="1"/>
    </xf>
    <xf numFmtId="0" fontId="7" fillId="0" borderId="55" xfId="0" applyFont="1" applyBorder="1" applyAlignment="1">
      <alignment horizontal="justify" vertical="center" wrapText="1"/>
    </xf>
    <xf numFmtId="167" fontId="7" fillId="0" borderId="46" xfId="1" applyNumberFormat="1" applyFont="1" applyFill="1" applyBorder="1" applyAlignment="1">
      <alignment horizontal="center" vertical="center"/>
    </xf>
    <xf numFmtId="167" fontId="7" fillId="0" borderId="27" xfId="1" applyNumberFormat="1" applyFont="1" applyFill="1" applyBorder="1" applyAlignment="1">
      <alignment horizontal="center" vertical="center"/>
    </xf>
    <xf numFmtId="167" fontId="7" fillId="0" borderId="26" xfId="1" applyNumberFormat="1" applyFont="1" applyFill="1" applyBorder="1" applyAlignment="1">
      <alignment horizontal="center" vertical="center"/>
    </xf>
    <xf numFmtId="0" fontId="2" fillId="0" borderId="49" xfId="0" applyFont="1" applyBorder="1" applyAlignment="1">
      <alignment horizontal="justify" vertical="center" wrapText="1"/>
    </xf>
    <xf numFmtId="0" fontId="2" fillId="0" borderId="52" xfId="0" applyFont="1" applyBorder="1" applyAlignment="1">
      <alignment horizontal="justify" vertical="center" wrapText="1"/>
    </xf>
    <xf numFmtId="0" fontId="2" fillId="0" borderId="50" xfId="0" applyFont="1" applyBorder="1" applyAlignment="1">
      <alignment horizontal="justify" vertical="center" wrapText="1"/>
    </xf>
    <xf numFmtId="167" fontId="2" fillId="0" borderId="3" xfId="1" applyNumberFormat="1" applyFont="1" applyFill="1" applyBorder="1" applyAlignment="1">
      <alignment horizontal="center" vertical="center" wrapText="1"/>
    </xf>
    <xf numFmtId="0" fontId="2" fillId="2" borderId="12" xfId="2"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167" fontId="7" fillId="0" borderId="4"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3" fontId="2" fillId="0" borderId="12"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167" fontId="7" fillId="2" borderId="12" xfId="0" applyNumberFormat="1" applyFont="1" applyFill="1" applyBorder="1" applyAlignment="1">
      <alignment horizontal="center" vertical="center"/>
    </xf>
    <xf numFmtId="167" fontId="7" fillId="2" borderId="4" xfId="0" applyNumberFormat="1" applyFont="1" applyFill="1" applyBorder="1" applyAlignment="1">
      <alignment horizontal="center" vertical="center"/>
    </xf>
    <xf numFmtId="3" fontId="2" fillId="0" borderId="20" xfId="0" applyNumberFormat="1" applyFont="1" applyBorder="1" applyAlignment="1">
      <alignment horizontal="center" vertical="center"/>
    </xf>
    <xf numFmtId="3" fontId="2" fillId="0" borderId="24" xfId="0" applyNumberFormat="1" applyFont="1" applyBorder="1" applyAlignment="1">
      <alignment horizontal="center" vertical="center"/>
    </xf>
    <xf numFmtId="3" fontId="2" fillId="0" borderId="21" xfId="0" applyNumberFormat="1" applyFont="1" applyBorder="1" applyAlignment="1">
      <alignment horizontal="center" vertical="center"/>
    </xf>
    <xf numFmtId="9" fontId="7" fillId="0" borderId="8"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0" fontId="7" fillId="2" borderId="9" xfId="3" applyFont="1" applyFill="1" applyBorder="1" applyAlignment="1">
      <alignment horizontal="center" vertical="center"/>
    </xf>
    <xf numFmtId="0" fontId="7" fillId="2" borderId="8"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21" xfId="3" applyFont="1" applyFill="1" applyBorder="1" applyAlignment="1">
      <alignment horizontal="center" vertical="center"/>
    </xf>
    <xf numFmtId="0" fontId="7" fillId="9" borderId="9" xfId="0" applyFont="1" applyFill="1" applyBorder="1" applyAlignment="1">
      <alignment horizontal="justify" vertical="center" wrapText="1"/>
    </xf>
    <xf numFmtId="0" fontId="7" fillId="9" borderId="8" xfId="0" applyFont="1" applyFill="1" applyBorder="1" applyAlignment="1">
      <alignment horizontal="justify" vertical="center" wrapText="1"/>
    </xf>
    <xf numFmtId="0" fontId="5" fillId="6" borderId="23" xfId="0" applyFont="1" applyFill="1" applyBorder="1" applyAlignment="1">
      <alignment horizontal="left" vertical="center"/>
    </xf>
    <xf numFmtId="0" fontId="5" fillId="6" borderId="0" xfId="0" applyFont="1" applyFill="1" applyBorder="1" applyAlignment="1">
      <alignment horizontal="left" vertical="center"/>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167" fontId="7" fillId="0" borderId="12" xfId="0" applyNumberFormat="1" applyFont="1" applyBorder="1" applyAlignment="1">
      <alignment horizontal="justify" vertical="center" wrapText="1"/>
    </xf>
    <xf numFmtId="167" fontId="7" fillId="0" borderId="4" xfId="0" applyNumberFormat="1" applyFont="1" applyBorder="1" applyAlignment="1">
      <alignment horizontal="justify" vertical="center" wrapText="1"/>
    </xf>
    <xf numFmtId="3" fontId="2" fillId="0" borderId="3" xfId="0" applyNumberFormat="1" applyFont="1" applyFill="1" applyBorder="1" applyAlignment="1">
      <alignment horizontal="center" vertical="center"/>
    </xf>
    <xf numFmtId="167" fontId="7" fillId="2" borderId="12" xfId="7" applyFont="1" applyFill="1" applyBorder="1" applyAlignment="1" applyProtection="1">
      <alignment horizontal="center" vertical="center"/>
      <protection locked="0"/>
    </xf>
    <xf numFmtId="167" fontId="7" fillId="2" borderId="3" xfId="7" applyFont="1" applyFill="1" applyBorder="1" applyAlignment="1" applyProtection="1">
      <alignment horizontal="center" vertical="center"/>
      <protection locked="0"/>
    </xf>
    <xf numFmtId="167" fontId="7" fillId="2" borderId="4" xfId="7" applyFont="1" applyFill="1" applyBorder="1" applyAlignment="1" applyProtection="1">
      <alignment horizontal="center" vertical="center"/>
      <protection locked="0"/>
    </xf>
    <xf numFmtId="3" fontId="2" fillId="2" borderId="1" xfId="0" applyNumberFormat="1" applyFont="1" applyFill="1" applyBorder="1" applyAlignment="1">
      <alignment horizontal="center" vertical="center"/>
    </xf>
    <xf numFmtId="3" fontId="2" fillId="0" borderId="1" xfId="0" applyNumberFormat="1" applyFont="1" applyBorder="1" applyAlignment="1">
      <alignment horizontal="justify" vertical="center" wrapText="1"/>
    </xf>
    <xf numFmtId="3" fontId="2" fillId="0" borderId="19" xfId="0" applyNumberFormat="1" applyFont="1" applyBorder="1" applyAlignment="1">
      <alignment horizontal="center" vertical="center"/>
    </xf>
    <xf numFmtId="3" fontId="2" fillId="0" borderId="29" xfId="0" applyNumberFormat="1" applyFont="1" applyBorder="1" applyAlignment="1">
      <alignment horizontal="center" vertical="center"/>
    </xf>
    <xf numFmtId="2" fontId="7" fillId="0" borderId="1" xfId="0" applyNumberFormat="1" applyFont="1" applyFill="1" applyBorder="1" applyAlignment="1">
      <alignment horizontal="center" vertical="center" wrapText="1"/>
    </xf>
    <xf numFmtId="0" fontId="7" fillId="0" borderId="1" xfId="7" applyNumberFormat="1" applyFont="1" applyBorder="1" applyAlignment="1">
      <alignment horizontal="center" vertical="center"/>
    </xf>
    <xf numFmtId="0" fontId="7" fillId="0" borderId="12" xfId="7" applyNumberFormat="1" applyFont="1" applyBorder="1" applyAlignment="1">
      <alignment horizontal="center" vertical="center"/>
    </xf>
    <xf numFmtId="167" fontId="7" fillId="0" borderId="1" xfId="7" applyFont="1" applyBorder="1" applyAlignment="1">
      <alignment horizontal="center" vertical="center" wrapText="1"/>
    </xf>
    <xf numFmtId="167" fontId="7" fillId="0" borderId="12" xfId="7" applyFont="1" applyBorder="1" applyAlignment="1">
      <alignment horizontal="center" vertical="center" wrapText="1"/>
    </xf>
    <xf numFmtId="0" fontId="7" fillId="0" borderId="1" xfId="8" applyNumberFormat="1" applyFont="1" applyFill="1" applyBorder="1" applyAlignment="1">
      <alignment horizontal="justify" vertical="center" wrapText="1"/>
    </xf>
    <xf numFmtId="167" fontId="7" fillId="0" borderId="1" xfId="0" applyNumberFormat="1" applyFont="1" applyBorder="1" applyAlignment="1">
      <alignment horizontal="justify" vertical="center" wrapText="1"/>
    </xf>
    <xf numFmtId="0" fontId="7" fillId="0" borderId="8" xfId="3" applyFont="1" applyFill="1" applyBorder="1" applyAlignment="1">
      <alignment horizontal="center" vertical="center"/>
    </xf>
    <xf numFmtId="0" fontId="5" fillId="6" borderId="43" xfId="0" applyFont="1" applyFill="1" applyBorder="1" applyAlignment="1">
      <alignment horizontal="left" vertical="center"/>
    </xf>
    <xf numFmtId="9" fontId="7" fillId="0" borderId="9"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7" applyNumberFormat="1" applyFont="1" applyBorder="1" applyAlignment="1">
      <alignment horizontal="justify" vertical="center" wrapText="1"/>
    </xf>
    <xf numFmtId="167" fontId="7" fillId="0" borderId="31" xfId="7" applyFont="1" applyBorder="1" applyAlignment="1">
      <alignment horizontal="justify" vertical="center" wrapText="1"/>
    </xf>
    <xf numFmtId="1" fontId="3" fillId="12" borderId="42" xfId="0" applyNumberFormat="1" applyFont="1" applyFill="1" applyBorder="1" applyAlignment="1">
      <alignment horizontal="center" vertical="center" wrapText="1"/>
    </xf>
    <xf numFmtId="0" fontId="3" fillId="14" borderId="2" xfId="0" applyFont="1" applyFill="1" applyBorder="1" applyAlignment="1">
      <alignment horizontal="center" vertical="center"/>
    </xf>
    <xf numFmtId="0" fontId="3" fillId="14" borderId="36" xfId="0" applyFont="1" applyFill="1" applyBorder="1" applyAlignment="1">
      <alignment horizontal="center" vertical="center"/>
    </xf>
    <xf numFmtId="0" fontId="3" fillId="14" borderId="32" xfId="0" applyFont="1" applyFill="1" applyBorder="1" applyAlignment="1">
      <alignment horizontal="center" vertical="center"/>
    </xf>
    <xf numFmtId="1" fontId="3" fillId="12" borderId="41" xfId="0" applyNumberFormat="1" applyFont="1" applyFill="1" applyBorder="1" applyAlignment="1">
      <alignment horizontal="center" vertical="center" wrapText="1"/>
    </xf>
    <xf numFmtId="3" fontId="10" fillId="13" borderId="12" xfId="0" applyNumberFormat="1" applyFont="1" applyFill="1" applyBorder="1" applyAlignment="1">
      <alignment horizontal="center" vertical="center" wrapText="1"/>
    </xf>
    <xf numFmtId="3" fontId="10" fillId="13" borderId="4" xfId="0" applyNumberFormat="1" applyFont="1" applyFill="1" applyBorder="1" applyAlignment="1">
      <alignment horizontal="center" vertical="center" wrapText="1"/>
    </xf>
    <xf numFmtId="9" fontId="10" fillId="13" borderId="12" xfId="4" applyFont="1" applyFill="1" applyBorder="1" applyAlignment="1">
      <alignment horizontal="center" vertical="center" wrapText="1"/>
    </xf>
    <xf numFmtId="9" fontId="10" fillId="13" borderId="4" xfId="4"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38" xfId="0" applyFont="1" applyBorder="1" applyAlignment="1">
      <alignment horizontal="center" vertical="center" wrapText="1"/>
    </xf>
    <xf numFmtId="1" fontId="3" fillId="4" borderId="2" xfId="0" applyNumberFormat="1" applyFont="1" applyFill="1" applyBorder="1" applyAlignment="1">
      <alignment horizontal="center" vertical="center"/>
    </xf>
    <xf numFmtId="1" fontId="3" fillId="4" borderId="32" xfId="0" applyNumberFormat="1" applyFont="1" applyFill="1" applyBorder="1" applyAlignment="1">
      <alignment horizontal="center" vertical="center"/>
    </xf>
    <xf numFmtId="1" fontId="3" fillId="12" borderId="12" xfId="0" applyNumberFormat="1" applyFont="1" applyFill="1" applyBorder="1" applyAlignment="1">
      <alignment horizontal="justify" vertical="center" wrapText="1"/>
    </xf>
    <xf numFmtId="1" fontId="3" fillId="12" borderId="42" xfId="0" applyNumberFormat="1" applyFont="1" applyFill="1" applyBorder="1" applyAlignment="1">
      <alignment horizontal="justify"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xf>
    <xf numFmtId="0" fontId="5" fillId="0" borderId="0" xfId="0" applyFont="1" applyBorder="1" applyAlignment="1">
      <alignment horizontal="center" vertical="center"/>
    </xf>
    <xf numFmtId="164" fontId="5" fillId="12" borderId="13" xfId="0" applyNumberFormat="1" applyFont="1" applyFill="1" applyBorder="1" applyAlignment="1">
      <alignment horizontal="center" vertical="center" wrapText="1"/>
    </xf>
    <xf numFmtId="164" fontId="5" fillId="12" borderId="28" xfId="0" applyNumberFormat="1" applyFont="1" applyFill="1" applyBorder="1" applyAlignment="1">
      <alignment horizontal="center" vertical="center" wrapText="1"/>
    </xf>
    <xf numFmtId="164" fontId="5" fillId="12" borderId="11" xfId="0" applyNumberFormat="1" applyFont="1" applyFill="1" applyBorder="1" applyAlignment="1">
      <alignment horizontal="center" vertical="center" wrapText="1"/>
    </xf>
    <xf numFmtId="164" fontId="5" fillId="12" borderId="10" xfId="0" applyNumberFormat="1" applyFont="1" applyFill="1" applyBorder="1" applyAlignment="1">
      <alignment horizontal="center" vertical="center" wrapText="1"/>
    </xf>
    <xf numFmtId="3" fontId="3" fillId="12" borderId="28" xfId="0" applyNumberFormat="1" applyFont="1" applyFill="1" applyBorder="1" applyAlignment="1">
      <alignment horizontal="center" vertical="center" wrapText="1"/>
    </xf>
    <xf numFmtId="3" fontId="3" fillId="12" borderId="7" xfId="0" applyNumberFormat="1" applyFont="1" applyFill="1" applyBorder="1" applyAlignment="1">
      <alignment horizontal="center" vertical="center" wrapText="1"/>
    </xf>
    <xf numFmtId="0" fontId="3" fillId="12" borderId="0" xfId="0" applyFont="1" applyFill="1" applyBorder="1" applyAlignment="1">
      <alignment horizontal="center" vertical="center" wrapText="1"/>
    </xf>
    <xf numFmtId="10" fontId="3" fillId="12" borderId="4" xfId="2" applyNumberFormat="1" applyFont="1" applyFill="1" applyBorder="1" applyAlignment="1">
      <alignment horizontal="center" vertical="center" wrapText="1"/>
    </xf>
    <xf numFmtId="10" fontId="3" fillId="12" borderId="1" xfId="2" applyNumberFormat="1" applyFont="1" applyFill="1" applyBorder="1" applyAlignment="1">
      <alignment horizontal="center" vertical="center" wrapText="1"/>
    </xf>
    <xf numFmtId="165" fontId="3" fillId="12" borderId="4" xfId="0" applyNumberFormat="1" applyFont="1" applyFill="1" applyBorder="1" applyAlignment="1">
      <alignment horizontal="center" vertical="center" wrapText="1"/>
    </xf>
    <xf numFmtId="177" fontId="3" fillId="12" borderId="11" xfId="0" applyNumberFormat="1" applyFont="1" applyFill="1" applyBorder="1" applyAlignment="1">
      <alignment horizontal="center" vertical="center" wrapText="1"/>
    </xf>
    <xf numFmtId="177" fontId="3" fillId="12" borderId="38" xfId="0" applyNumberFormat="1" applyFont="1" applyFill="1" applyBorder="1" applyAlignment="1">
      <alignment horizontal="center" vertical="center" wrapText="1"/>
    </xf>
    <xf numFmtId="177" fontId="3" fillId="12" borderId="10"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3" fontId="7" fillId="0" borderId="13" xfId="3" applyNumberFormat="1" applyFont="1" applyBorder="1" applyAlignment="1">
      <alignment horizontal="center" vertical="center" wrapText="1"/>
    </xf>
    <xf numFmtId="3" fontId="7" fillId="0" borderId="6" xfId="3" applyNumberFormat="1" applyFont="1" applyBorder="1" applyAlignment="1">
      <alignment horizontal="center" vertical="center" wrapText="1"/>
    </xf>
    <xf numFmtId="3" fontId="7" fillId="0" borderId="11" xfId="3" applyNumberFormat="1" applyFont="1" applyBorder="1" applyAlignment="1">
      <alignment horizontal="center" vertical="center" wrapText="1"/>
    </xf>
    <xf numFmtId="0" fontId="5" fillId="11" borderId="13" xfId="0" applyFont="1" applyFill="1" applyBorder="1" applyAlignment="1">
      <alignment horizontal="left" vertical="center"/>
    </xf>
    <xf numFmtId="0" fontId="5" fillId="11" borderId="37" xfId="0" applyFont="1" applyFill="1" applyBorder="1" applyAlignment="1">
      <alignment horizontal="left" vertical="center"/>
    </xf>
    <xf numFmtId="0" fontId="25" fillId="11" borderId="37" xfId="0" applyFont="1" applyFill="1" applyBorder="1" applyAlignment="1">
      <alignment horizontal="center" vertical="center"/>
    </xf>
    <xf numFmtId="0" fontId="3" fillId="11" borderId="37" xfId="0" applyFont="1" applyFill="1" applyBorder="1" applyAlignment="1">
      <alignment horizontal="center" vertical="center"/>
    </xf>
    <xf numFmtId="1" fontId="3" fillId="2" borderId="0" xfId="0" applyNumberFormat="1" applyFont="1" applyFill="1" applyBorder="1" applyAlignment="1">
      <alignment horizontal="center" vertical="center" wrapText="1"/>
    </xf>
    <xf numFmtId="1" fontId="3" fillId="6" borderId="2" xfId="0" applyNumberFormat="1" applyFont="1" applyFill="1" applyBorder="1" applyAlignment="1">
      <alignment horizontal="left" vertical="center"/>
    </xf>
    <xf numFmtId="1" fontId="3" fillId="6" borderId="36" xfId="0" applyNumberFormat="1" applyFont="1" applyFill="1" applyBorder="1" applyAlignment="1">
      <alignment horizontal="left" vertical="center"/>
    </xf>
    <xf numFmtId="1" fontId="3" fillId="6" borderId="32" xfId="0" applyNumberFormat="1" applyFont="1" applyFill="1" applyBorder="1" applyAlignment="1">
      <alignment horizontal="left" vertical="center"/>
    </xf>
    <xf numFmtId="0" fontId="7" fillId="0" borderId="15" xfId="10" applyNumberFormat="1" applyFont="1" applyFill="1" applyBorder="1" applyAlignment="1">
      <alignment horizontal="center" vertical="center" wrapText="1"/>
    </xf>
    <xf numFmtId="9" fontId="5" fillId="13" borderId="1" xfId="4" applyFont="1" applyFill="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0" fontId="2" fillId="0" borderId="14" xfId="2" applyNumberFormat="1" applyFont="1" applyBorder="1" applyAlignment="1">
      <alignment horizontal="center" vertical="center" wrapText="1"/>
    </xf>
    <xf numFmtId="10" fontId="2" fillId="0" borderId="3" xfId="2" applyNumberFormat="1" applyFont="1" applyBorder="1" applyAlignment="1">
      <alignment horizontal="center" vertical="center" wrapText="1"/>
    </xf>
    <xf numFmtId="10" fontId="2" fillId="0" borderId="4" xfId="2" applyNumberFormat="1" applyFont="1" applyBorder="1" applyAlignment="1">
      <alignment horizontal="center" vertical="center" wrapText="1"/>
    </xf>
    <xf numFmtId="3" fontId="2" fillId="0" borderId="14" xfId="0" applyNumberFormat="1" applyFont="1" applyFill="1" applyBorder="1" applyAlignment="1">
      <alignment horizontal="justify" vertical="center" wrapText="1"/>
    </xf>
    <xf numFmtId="3" fontId="2" fillId="0" borderId="7" xfId="0" applyNumberFormat="1" applyFont="1" applyBorder="1" applyAlignment="1">
      <alignment horizontal="center" vertical="center" wrapText="1"/>
    </xf>
    <xf numFmtId="1" fontId="2" fillId="0" borderId="28"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 fontId="2" fillId="2" borderId="7" xfId="0" applyNumberFormat="1" applyFont="1" applyFill="1" applyBorder="1" applyAlignment="1">
      <alignment horizontal="center" vertical="center" wrapText="1"/>
    </xf>
    <xf numFmtId="10" fontId="2" fillId="0" borderId="0" xfId="2" applyNumberFormat="1" applyFont="1" applyBorder="1" applyAlignment="1">
      <alignment horizontal="center" vertical="center"/>
    </xf>
    <xf numFmtId="10" fontId="2" fillId="0" borderId="38" xfId="2" applyNumberFormat="1" applyFont="1" applyBorder="1" applyAlignment="1">
      <alignment horizontal="center" vertical="center"/>
    </xf>
    <xf numFmtId="10" fontId="7" fillId="0" borderId="37" xfId="2" applyNumberFormat="1" applyFont="1" applyBorder="1" applyAlignment="1">
      <alignment horizontal="center" vertical="center" wrapText="1"/>
    </xf>
    <xf numFmtId="10" fontId="7" fillId="0" borderId="0" xfId="2" applyNumberFormat="1" applyFont="1" applyAlignment="1">
      <alignment horizontal="center" vertical="center" wrapText="1"/>
    </xf>
    <xf numFmtId="10" fontId="7" fillId="0" borderId="38" xfId="2" applyNumberFormat="1" applyFont="1" applyBorder="1" applyAlignment="1">
      <alignment horizontal="center" vertical="center" wrapText="1"/>
    </xf>
    <xf numFmtId="3" fontId="7" fillId="0" borderId="18" xfId="3" applyNumberFormat="1" applyFont="1" applyBorder="1" applyAlignment="1">
      <alignment horizontal="center" vertical="center" wrapText="1"/>
    </xf>
    <xf numFmtId="3" fontId="7" fillId="0" borderId="40" xfId="3" applyNumberFormat="1" applyFont="1" applyBorder="1" applyAlignment="1">
      <alignment horizontal="center" vertical="center" wrapText="1"/>
    </xf>
    <xf numFmtId="0" fontId="2" fillId="2" borderId="40" xfId="0" applyFont="1" applyFill="1" applyBorder="1" applyAlignment="1">
      <alignment horizontal="justify" vertical="center" wrapText="1"/>
    </xf>
    <xf numFmtId="0" fontId="2" fillId="2" borderId="5" xfId="0" applyFont="1" applyFill="1" applyBorder="1" applyAlignment="1">
      <alignment horizontal="justify" vertical="center" wrapText="1"/>
    </xf>
    <xf numFmtId="4" fontId="2" fillId="2" borderId="5"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justify" vertical="center" wrapText="1"/>
    </xf>
    <xf numFmtId="3" fontId="2" fillId="0" borderId="12" xfId="0" applyNumberFormat="1" applyFont="1" applyBorder="1" applyAlignment="1">
      <alignment horizontal="center" vertical="center" wrapText="1"/>
    </xf>
    <xf numFmtId="3" fontId="7" fillId="0" borderId="2" xfId="3" applyNumberFormat="1" applyFont="1" applyBorder="1" applyAlignment="1">
      <alignment horizontal="center" vertical="center" wrapText="1"/>
    </xf>
    <xf numFmtId="10" fontId="7" fillId="0" borderId="36" xfId="2" applyNumberFormat="1" applyFont="1" applyBorder="1" applyAlignment="1">
      <alignment horizontal="center" vertical="center" wrapText="1"/>
    </xf>
    <xf numFmtId="165" fontId="2" fillId="2" borderId="3" xfId="0" applyNumberFormat="1" applyFont="1" applyFill="1" applyBorder="1" applyAlignment="1">
      <alignment horizontal="center" vertical="center"/>
    </xf>
    <xf numFmtId="49" fontId="7" fillId="0" borderId="9"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9" fontId="2" fillId="0" borderId="12" xfId="2" applyNumberFormat="1" applyFont="1" applyBorder="1" applyAlignment="1">
      <alignment horizontal="center" vertical="center" wrapText="1"/>
    </xf>
    <xf numFmtId="9" fontId="2" fillId="0" borderId="3" xfId="2" applyNumberFormat="1" applyFont="1" applyBorder="1" applyAlignment="1">
      <alignment horizontal="center" vertical="center" wrapText="1"/>
    </xf>
    <xf numFmtId="3" fontId="7" fillId="0" borderId="31" xfId="3" applyNumberFormat="1" applyFont="1" applyBorder="1" applyAlignment="1">
      <alignment horizontal="center" vertical="center" wrapText="1"/>
    </xf>
    <xf numFmtId="3" fontId="7" fillId="0" borderId="20" xfId="3" applyNumberFormat="1" applyFont="1" applyBorder="1" applyAlignment="1">
      <alignment horizontal="center" vertical="center" wrapText="1"/>
    </xf>
    <xf numFmtId="3" fontId="7" fillId="0" borderId="12" xfId="3" applyNumberFormat="1" applyFont="1" applyBorder="1" applyAlignment="1">
      <alignment horizontal="center" vertical="center" wrapText="1"/>
    </xf>
    <xf numFmtId="3" fontId="7" fillId="0" borderId="3" xfId="3" applyNumberFormat="1" applyFont="1" applyBorder="1" applyAlignment="1">
      <alignment horizontal="center" vertical="center" wrapText="1"/>
    </xf>
    <xf numFmtId="3" fontId="7" fillId="0" borderId="4" xfId="3" applyNumberFormat="1" applyFont="1" applyBorder="1" applyAlignment="1">
      <alignment horizontal="center" vertical="center" wrapText="1"/>
    </xf>
    <xf numFmtId="10" fontId="7" fillId="0" borderId="31" xfId="2" applyNumberFormat="1" applyFont="1" applyBorder="1" applyAlignment="1">
      <alignment horizontal="center" vertical="center" wrapText="1"/>
    </xf>
    <xf numFmtId="10" fontId="7" fillId="0" borderId="20" xfId="2" applyNumberFormat="1" applyFont="1" applyBorder="1" applyAlignment="1">
      <alignment horizontal="center" vertical="center" wrapText="1"/>
    </xf>
    <xf numFmtId="176" fontId="2" fillId="2" borderId="5" xfId="0" applyNumberFormat="1" applyFont="1" applyFill="1" applyBorder="1" applyAlignment="1">
      <alignment horizontal="center" vertical="center"/>
    </xf>
    <xf numFmtId="10" fontId="7" fillId="0" borderId="2" xfId="2" applyNumberFormat="1" applyFont="1" applyBorder="1" applyAlignment="1">
      <alignment horizontal="center" vertical="center" wrapText="1"/>
    </xf>
    <xf numFmtId="3" fontId="7" fillId="0" borderId="23" xfId="3" applyNumberFormat="1" applyFont="1" applyBorder="1" applyAlignment="1">
      <alignment horizontal="center" vertical="center" wrapText="1"/>
    </xf>
    <xf numFmtId="10" fontId="7" fillId="0" borderId="23" xfId="2" applyNumberFormat="1" applyFont="1" applyBorder="1" applyAlignment="1">
      <alignment horizontal="center" vertical="center" wrapText="1"/>
    </xf>
    <xf numFmtId="10" fontId="7" fillId="0" borderId="18" xfId="2" applyNumberFormat="1" applyFont="1" applyBorder="1" applyAlignment="1">
      <alignment horizontal="center" vertical="center" wrapText="1"/>
    </xf>
    <xf numFmtId="10" fontId="7" fillId="0" borderId="13" xfId="2" applyNumberFormat="1" applyFont="1" applyBorder="1" applyAlignment="1">
      <alignment horizontal="center" vertical="center" wrapText="1"/>
    </xf>
    <xf numFmtId="10" fontId="7" fillId="0" borderId="6" xfId="2" applyNumberFormat="1" applyFont="1" applyBorder="1" applyAlignment="1">
      <alignment horizontal="center" vertical="center" wrapText="1"/>
    </xf>
    <xf numFmtId="10" fontId="7" fillId="0" borderId="11" xfId="2" applyNumberFormat="1" applyFont="1" applyBorder="1" applyAlignment="1">
      <alignment horizontal="center" vertical="center" wrapText="1"/>
    </xf>
    <xf numFmtId="3" fontId="2" fillId="0" borderId="28" xfId="0" applyNumberFormat="1" applyFont="1" applyBorder="1" applyAlignment="1">
      <alignment horizontal="center" vertical="center" wrapText="1"/>
    </xf>
    <xf numFmtId="0" fontId="2" fillId="2" borderId="37"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38"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7" fillId="0" borderId="3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7" xfId="0" applyFont="1" applyBorder="1" applyAlignment="1">
      <alignment horizontal="justify" vertical="center" wrapText="1"/>
    </xf>
    <xf numFmtId="1" fontId="2" fillId="2" borderId="28"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2" fillId="2" borderId="10" xfId="0" applyNumberFormat="1" applyFont="1" applyFill="1" applyBorder="1" applyAlignment="1">
      <alignment horizontal="center" vertical="center"/>
    </xf>
    <xf numFmtId="0" fontId="7" fillId="0" borderId="1" xfId="1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10" fontId="2" fillId="0" borderId="12" xfId="2"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7" fillId="0" borderId="24" xfId="12" applyNumberFormat="1" applyFont="1" applyFill="1" applyBorder="1" applyAlignment="1">
      <alignment horizontal="center" vertical="center" wrapText="1"/>
    </xf>
    <xf numFmtId="0" fontId="7" fillId="0" borderId="8" xfId="12" applyNumberFormat="1" applyFont="1" applyFill="1" applyBorder="1" applyAlignment="1">
      <alignment horizontal="center" vertical="center" wrapText="1"/>
    </xf>
    <xf numFmtId="0" fontId="7" fillId="0" borderId="15" xfId="12" applyNumberFormat="1" applyFont="1" applyFill="1" applyBorder="1" applyAlignment="1">
      <alignment horizontal="center" vertical="center" wrapText="1"/>
    </xf>
    <xf numFmtId="10" fontId="7" fillId="0" borderId="23" xfId="2" applyNumberFormat="1" applyFont="1" applyFill="1" applyBorder="1" applyAlignment="1">
      <alignment horizontal="center" vertical="center" wrapText="1"/>
    </xf>
    <xf numFmtId="10" fontId="7" fillId="0" borderId="20" xfId="2" applyNumberFormat="1" applyFont="1" applyFill="1" applyBorder="1" applyAlignment="1">
      <alignment horizontal="center" vertical="center" wrapText="1"/>
    </xf>
    <xf numFmtId="10" fontId="7" fillId="0" borderId="18" xfId="2" applyNumberFormat="1" applyFont="1" applyFill="1" applyBorder="1" applyAlignment="1">
      <alignment horizontal="center" vertical="center" wrapText="1"/>
    </xf>
    <xf numFmtId="0" fontId="7" fillId="0" borderId="16" xfId="0" applyFont="1" applyBorder="1" applyAlignment="1">
      <alignment horizontal="justify" vertical="center" wrapText="1"/>
    </xf>
    <xf numFmtId="10" fontId="7" fillId="0" borderId="5" xfId="2" applyNumberFormat="1" applyFont="1" applyBorder="1" applyAlignment="1">
      <alignment horizontal="center" vertical="center" wrapText="1"/>
    </xf>
    <xf numFmtId="1" fontId="2" fillId="2" borderId="19" xfId="0" applyNumberFormat="1" applyFont="1" applyFill="1" applyBorder="1" applyAlignment="1">
      <alignment horizontal="center" vertical="center"/>
    </xf>
    <xf numFmtId="3" fontId="7" fillId="0" borderId="49" xfId="3" applyNumberFormat="1" applyFont="1" applyBorder="1" applyAlignment="1">
      <alignment horizontal="center" vertical="center" wrapText="1"/>
    </xf>
    <xf numFmtId="3" fontId="7" fillId="0" borderId="52" xfId="3" applyNumberFormat="1" applyFont="1" applyBorder="1" applyAlignment="1">
      <alignment horizontal="center" vertical="center" wrapText="1"/>
    </xf>
    <xf numFmtId="3" fontId="7" fillId="0" borderId="55" xfId="3" applyNumberFormat="1" applyFont="1" applyBorder="1" applyAlignment="1">
      <alignment horizontal="center" vertical="center" wrapText="1"/>
    </xf>
    <xf numFmtId="3" fontId="7" fillId="0" borderId="1" xfId="3" applyNumberFormat="1" applyFont="1" applyBorder="1" applyAlignment="1">
      <alignment horizontal="center" vertical="center" wrapText="1"/>
    </xf>
    <xf numFmtId="10" fontId="7" fillId="0" borderId="5" xfId="2" applyNumberFormat="1" applyFont="1" applyFill="1" applyBorder="1" applyAlignment="1">
      <alignment horizontal="center" vertical="center" wrapText="1"/>
    </xf>
    <xf numFmtId="176" fontId="6" fillId="0" borderId="7" xfId="15" applyNumberFormat="1" applyFont="1" applyFill="1" applyBorder="1" applyAlignment="1">
      <alignment horizontal="center" vertical="center"/>
    </xf>
    <xf numFmtId="176" fontId="6" fillId="0" borderId="10" xfId="15" applyNumberFormat="1" applyFont="1" applyFill="1" applyBorder="1" applyAlignment="1">
      <alignment horizontal="center" vertical="center"/>
    </xf>
    <xf numFmtId="0" fontId="7" fillId="0" borderId="46"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26" xfId="0" applyFont="1" applyBorder="1" applyAlignment="1">
      <alignment horizontal="justify" vertical="center" wrapText="1"/>
    </xf>
    <xf numFmtId="10" fontId="7" fillId="0" borderId="52" xfId="2" applyNumberFormat="1" applyFont="1" applyBorder="1" applyAlignment="1">
      <alignment horizontal="center" vertical="center" wrapText="1"/>
    </xf>
    <xf numFmtId="10" fontId="7" fillId="0" borderId="55" xfId="2" applyNumberFormat="1" applyFont="1" applyBorder="1" applyAlignment="1">
      <alignment horizontal="center" vertical="center" wrapText="1"/>
    </xf>
    <xf numFmtId="176" fontId="6" fillId="0" borderId="12" xfId="15" applyNumberFormat="1" applyFont="1" applyFill="1" applyBorder="1" applyAlignment="1">
      <alignment horizontal="center" vertical="center"/>
    </xf>
    <xf numFmtId="176" fontId="6" fillId="0" borderId="3" xfId="15" applyNumberFormat="1" applyFont="1" applyFill="1" applyBorder="1" applyAlignment="1">
      <alignment horizontal="center" vertical="center"/>
    </xf>
    <xf numFmtId="176" fontId="6" fillId="0" borderId="4" xfId="15" applyNumberFormat="1" applyFont="1" applyFill="1" applyBorder="1" applyAlignment="1">
      <alignment horizontal="center" vertical="center"/>
    </xf>
    <xf numFmtId="10" fontId="7" fillId="0" borderId="49" xfId="2" applyNumberFormat="1" applyFont="1" applyBorder="1" applyAlignment="1">
      <alignment horizontal="center" vertical="center" wrapText="1"/>
    </xf>
    <xf numFmtId="0" fontId="7" fillId="0" borderId="9" xfId="10" applyNumberFormat="1" applyFont="1" applyFill="1" applyBorder="1" applyAlignment="1">
      <alignment horizontal="center" vertical="center" wrapText="1"/>
    </xf>
    <xf numFmtId="0" fontId="7" fillId="0" borderId="8" xfId="10" applyNumberFormat="1" applyFont="1" applyFill="1" applyBorder="1" applyAlignment="1">
      <alignment horizontal="center" vertical="center" wrapText="1"/>
    </xf>
    <xf numFmtId="0" fontId="7" fillId="0" borderId="31" xfId="3" applyFont="1" applyBorder="1" applyAlignment="1">
      <alignment horizontal="justify" vertical="center" wrapText="1"/>
    </xf>
    <xf numFmtId="0" fontId="7" fillId="0" borderId="20" xfId="3" applyFont="1" applyBorder="1" applyAlignment="1">
      <alignment horizontal="justify" vertical="center" wrapText="1"/>
    </xf>
    <xf numFmtId="0" fontId="7" fillId="0" borderId="18" xfId="3" applyFont="1" applyBorder="1" applyAlignment="1">
      <alignment horizontal="justify" vertical="center" wrapText="1"/>
    </xf>
    <xf numFmtId="176" fontId="6" fillId="0" borderId="1" xfId="15" applyNumberFormat="1" applyFont="1" applyFill="1" applyBorder="1" applyAlignment="1">
      <alignment horizontal="center" vertical="center"/>
    </xf>
    <xf numFmtId="0" fontId="7" fillId="0" borderId="9" xfId="12" applyNumberFormat="1" applyFont="1" applyFill="1" applyBorder="1" applyAlignment="1">
      <alignment horizontal="center" vertical="center" wrapText="1"/>
    </xf>
    <xf numFmtId="3" fontId="7" fillId="0" borderId="5" xfId="3" applyNumberFormat="1" applyFont="1" applyBorder="1" applyAlignment="1">
      <alignment horizontal="center" vertical="center" wrapText="1"/>
    </xf>
    <xf numFmtId="3" fontId="7" fillId="0" borderId="24" xfId="3" applyNumberFormat="1" applyFont="1" applyBorder="1" applyAlignment="1">
      <alignment horizontal="center" vertical="center" wrapText="1"/>
    </xf>
    <xf numFmtId="3" fontId="7" fillId="0" borderId="8" xfId="3" applyNumberFormat="1" applyFont="1" applyBorder="1" applyAlignment="1">
      <alignment horizontal="center" vertical="center" wrapText="1"/>
    </xf>
    <xf numFmtId="3" fontId="7" fillId="0" borderId="15" xfId="3" applyNumberFormat="1" applyFont="1" applyBorder="1" applyAlignment="1">
      <alignment horizontal="center" vertical="center" wrapText="1"/>
    </xf>
    <xf numFmtId="0" fontId="7" fillId="18" borderId="7" xfId="0" applyFont="1" applyFill="1" applyBorder="1" applyAlignment="1">
      <alignment horizontal="justify" vertical="center" wrapText="1"/>
    </xf>
    <xf numFmtId="0" fontId="7" fillId="0" borderId="48" xfId="0" applyFont="1" applyBorder="1" applyAlignment="1">
      <alignment horizontal="justify" vertical="center" wrapText="1"/>
    </xf>
    <xf numFmtId="3" fontId="7" fillId="0" borderId="9" xfId="3"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10" fontId="7" fillId="0" borderId="29" xfId="2" applyNumberFormat="1" applyFont="1" applyFill="1" applyBorder="1" applyAlignment="1">
      <alignment horizontal="center" vertical="center" wrapText="1"/>
    </xf>
    <xf numFmtId="10" fontId="7" fillId="0" borderId="22" xfId="2" applyNumberFormat="1" applyFont="1" applyFill="1" applyBorder="1" applyAlignment="1">
      <alignment horizontal="center" vertical="center" wrapText="1"/>
    </xf>
    <xf numFmtId="10" fontId="7" fillId="0" borderId="39" xfId="2" applyNumberFormat="1" applyFont="1" applyFill="1" applyBorder="1" applyAlignment="1">
      <alignment horizontal="center" vertical="center" wrapText="1"/>
    </xf>
    <xf numFmtId="176" fontId="6" fillId="0" borderId="28" xfId="15" applyNumberFormat="1" applyFont="1" applyFill="1" applyBorder="1" applyAlignment="1">
      <alignment horizontal="center" vertical="center"/>
    </xf>
    <xf numFmtId="176" fontId="6" fillId="17" borderId="7" xfId="15" applyNumberFormat="1" applyFont="1" applyFill="1" applyBorder="1" applyAlignment="1">
      <alignment horizontal="center" vertical="center"/>
    </xf>
    <xf numFmtId="176" fontId="6" fillId="18" borderId="7" xfId="15" applyNumberFormat="1" applyFont="1" applyFill="1" applyBorder="1" applyAlignment="1">
      <alignment horizontal="center" vertical="center"/>
    </xf>
    <xf numFmtId="0" fontId="7" fillId="17" borderId="3" xfId="0" applyFont="1" applyFill="1" applyBorder="1" applyAlignment="1">
      <alignment horizontal="justify" vertical="center" wrapText="1"/>
    </xf>
    <xf numFmtId="0" fontId="7" fillId="18" borderId="3" xfId="0" applyFont="1" applyFill="1" applyBorder="1" applyAlignment="1">
      <alignment horizontal="justify" vertical="center" wrapText="1"/>
    </xf>
    <xf numFmtId="0" fontId="7" fillId="0" borderId="30" xfId="0" applyFont="1" applyBorder="1" applyAlignment="1">
      <alignment horizontal="justify" vertical="center" wrapText="1"/>
    </xf>
    <xf numFmtId="10" fontId="7" fillId="0" borderId="56" xfId="2" applyNumberFormat="1" applyFont="1" applyFill="1" applyBorder="1" applyAlignment="1">
      <alignment horizontal="center" vertical="center" wrapText="1"/>
    </xf>
    <xf numFmtId="0" fontId="7" fillId="0" borderId="38" xfId="0" applyFont="1" applyBorder="1" applyAlignment="1">
      <alignment horizontal="justify" vertical="center" wrapText="1"/>
    </xf>
    <xf numFmtId="10" fontId="7" fillId="0" borderId="32" xfId="2" applyNumberFormat="1" applyFont="1" applyFill="1" applyBorder="1" applyAlignment="1">
      <alignment horizontal="center" vertical="center" wrapText="1"/>
    </xf>
    <xf numFmtId="0" fontId="2" fillId="17" borderId="1" xfId="0" applyFont="1" applyFill="1" applyBorder="1" applyAlignment="1">
      <alignment horizontal="justify" vertical="center" wrapText="1"/>
    </xf>
    <xf numFmtId="0" fontId="2" fillId="18" borderId="1" xfId="0" applyFont="1" applyFill="1" applyBorder="1" applyAlignment="1">
      <alignment horizontal="justify" vertical="center" wrapText="1"/>
    </xf>
    <xf numFmtId="0" fontId="7" fillId="17" borderId="1" xfId="0" applyFont="1" applyFill="1" applyBorder="1" applyAlignment="1">
      <alignment horizontal="justify" vertical="center" wrapText="1"/>
    </xf>
    <xf numFmtId="10" fontId="7" fillId="0" borderId="12" xfId="2" applyNumberFormat="1" applyFont="1" applyFill="1" applyBorder="1" applyAlignment="1">
      <alignment horizontal="center" vertical="center" wrapText="1"/>
    </xf>
    <xf numFmtId="10" fontId="7" fillId="0" borderId="3" xfId="2" applyNumberFormat="1"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1" fontId="2" fillId="0" borderId="29" xfId="0" applyNumberFormat="1" applyFont="1" applyBorder="1" applyAlignment="1">
      <alignment horizontal="center" vertical="center"/>
    </xf>
    <xf numFmtId="1" fontId="2" fillId="2" borderId="36" xfId="0" applyNumberFormat="1" applyFont="1" applyFill="1" applyBorder="1" applyAlignment="1">
      <alignment horizontal="center" vertical="center"/>
    </xf>
    <xf numFmtId="1" fontId="2" fillId="2" borderId="37" xfId="0" applyNumberFormat="1" applyFont="1" applyFill="1" applyBorder="1" applyAlignment="1">
      <alignment horizontal="center" vertical="center"/>
    </xf>
    <xf numFmtId="1" fontId="2" fillId="0" borderId="32" xfId="0" applyNumberFormat="1" applyFont="1" applyBorder="1" applyAlignment="1">
      <alignment horizontal="center" vertical="center"/>
    </xf>
    <xf numFmtId="1" fontId="2" fillId="0" borderId="36" xfId="0" applyNumberFormat="1" applyFont="1" applyBorder="1" applyAlignment="1">
      <alignment horizontal="center" vertical="center"/>
    </xf>
    <xf numFmtId="0" fontId="2" fillId="2" borderId="9" xfId="0" applyFont="1" applyFill="1" applyBorder="1" applyAlignment="1">
      <alignment horizontal="justify" vertical="center" wrapText="1"/>
    </xf>
    <xf numFmtId="49" fontId="2" fillId="2" borderId="42" xfId="0" applyNumberFormat="1" applyFont="1" applyFill="1" applyBorder="1" applyAlignment="1">
      <alignment horizontal="center" vertical="center" wrapText="1"/>
    </xf>
    <xf numFmtId="49" fontId="7" fillId="0" borderId="21" xfId="0" applyNumberFormat="1" applyFont="1" applyBorder="1" applyAlignment="1">
      <alignment horizontal="center" vertical="center" wrapText="1"/>
    </xf>
    <xf numFmtId="10" fontId="2" fillId="0" borderId="42" xfId="2" applyNumberFormat="1" applyFont="1" applyBorder="1" applyAlignment="1">
      <alignment horizontal="center" vertical="center" wrapText="1"/>
    </xf>
    <xf numFmtId="3" fontId="2" fillId="0" borderId="42" xfId="0" applyNumberFormat="1" applyFont="1" applyBorder="1" applyAlignment="1">
      <alignment horizontal="center" vertical="center" wrapText="1"/>
    </xf>
    <xf numFmtId="3" fontId="2" fillId="0" borderId="42" xfId="0" applyNumberFormat="1" applyFont="1" applyFill="1" applyBorder="1" applyAlignment="1">
      <alignment horizontal="center" vertical="center" wrapText="1"/>
    </xf>
    <xf numFmtId="10" fontId="2" fillId="2" borderId="5" xfId="2" applyNumberFormat="1" applyFont="1" applyFill="1" applyBorder="1" applyAlignment="1">
      <alignment horizontal="center" vertical="center"/>
    </xf>
    <xf numFmtId="165" fontId="6" fillId="0" borderId="5" xfId="15" applyNumberFormat="1" applyFont="1" applyFill="1" applyBorder="1" applyAlignment="1">
      <alignment horizontal="center" vertical="center"/>
    </xf>
    <xf numFmtId="0" fontId="3" fillId="6" borderId="16" xfId="0" applyFont="1" applyFill="1" applyBorder="1" applyAlignment="1">
      <alignment horizontal="left" vertical="center"/>
    </xf>
    <xf numFmtId="0" fontId="3" fillId="6" borderId="0" xfId="0" applyFont="1" applyFill="1" applyAlignment="1">
      <alignment horizontal="left" vertical="center"/>
    </xf>
    <xf numFmtId="49" fontId="7" fillId="0" borderId="42" xfId="0" applyNumberFormat="1" applyFont="1" applyBorder="1" applyAlignment="1">
      <alignment horizontal="center" vertical="center" wrapText="1"/>
    </xf>
    <xf numFmtId="49" fontId="7" fillId="0" borderId="12" xfId="0" applyNumberFormat="1" applyFont="1" applyBorder="1" applyAlignment="1">
      <alignment horizontal="justify" vertical="center" wrapText="1"/>
    </xf>
    <xf numFmtId="49" fontId="7" fillId="0" borderId="3" xfId="0" applyNumberFormat="1" applyFont="1" applyBorder="1" applyAlignment="1">
      <alignment horizontal="justify" vertical="center" wrapText="1"/>
    </xf>
    <xf numFmtId="49" fontId="7" fillId="0" borderId="42" xfId="0" applyNumberFormat="1" applyFont="1" applyBorder="1" applyAlignment="1">
      <alignment horizontal="justify" vertical="center" wrapText="1"/>
    </xf>
    <xf numFmtId="49" fontId="7" fillId="0" borderId="13" xfId="0" applyNumberFormat="1" applyFont="1" applyBorder="1" applyAlignment="1">
      <alignment horizontal="justify" vertical="center" wrapText="1"/>
    </xf>
    <xf numFmtId="49" fontId="7" fillId="0" borderId="6" xfId="0" applyNumberFormat="1" applyFont="1" applyBorder="1" applyAlignment="1">
      <alignment horizontal="justify" vertical="center" wrapText="1"/>
    </xf>
    <xf numFmtId="49" fontId="7" fillId="0" borderId="51" xfId="0" applyNumberFormat="1" applyFont="1" applyBorder="1" applyAlignment="1">
      <alignment horizontal="justify" vertical="center" wrapText="1"/>
    </xf>
    <xf numFmtId="3" fontId="2" fillId="0" borderId="5" xfId="0" applyNumberFormat="1" applyFont="1" applyBorder="1" applyAlignment="1">
      <alignment horizontal="center" vertical="center" wrapText="1"/>
    </xf>
    <xf numFmtId="0" fontId="2" fillId="2" borderId="31" xfId="0" applyFont="1" applyFill="1" applyBorder="1" applyAlignment="1">
      <alignment horizontal="justify" vertical="center" wrapText="1"/>
    </xf>
    <xf numFmtId="164" fontId="2"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1" fontId="3" fillId="11" borderId="6" xfId="0" applyNumberFormat="1" applyFont="1" applyFill="1" applyBorder="1" applyAlignment="1">
      <alignment horizontal="left" vertical="center"/>
    </xf>
    <xf numFmtId="1" fontId="3" fillId="11" borderId="0" xfId="0" applyNumberFormat="1" applyFont="1" applyFill="1" applyBorder="1" applyAlignment="1">
      <alignment horizontal="left" vertical="center"/>
    </xf>
    <xf numFmtId="1" fontId="3" fillId="11" borderId="37" xfId="0" applyNumberFormat="1" applyFont="1" applyFill="1" applyBorder="1" applyAlignment="1">
      <alignment horizontal="left" vertical="center"/>
    </xf>
    <xf numFmtId="1" fontId="3" fillId="11" borderId="0" xfId="0" applyNumberFormat="1" applyFont="1" applyFill="1" applyAlignment="1">
      <alignment horizontal="left" vertical="center"/>
    </xf>
    <xf numFmtId="3" fontId="2" fillId="0" borderId="8"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10" fontId="2" fillId="0" borderId="9" xfId="2" applyNumberFormat="1" applyFont="1" applyBorder="1" applyAlignment="1">
      <alignment horizontal="center" vertical="center" wrapText="1"/>
    </xf>
    <xf numFmtId="10" fontId="2" fillId="0" borderId="8" xfId="2" applyNumberFormat="1" applyFont="1" applyBorder="1" applyAlignment="1">
      <alignment horizontal="center" vertical="center" wrapText="1"/>
    </xf>
    <xf numFmtId="10" fontId="2" fillId="0" borderId="15" xfId="2" applyNumberFormat="1" applyFont="1" applyBorder="1" applyAlignment="1">
      <alignment horizontal="center" vertical="center" wrapText="1"/>
    </xf>
    <xf numFmtId="3" fontId="2" fillId="0" borderId="9"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10" fontId="2" fillId="2" borderId="3" xfId="2" applyNumberFormat="1" applyFont="1" applyFill="1" applyBorder="1" applyAlignment="1">
      <alignment horizontal="center" vertical="center"/>
    </xf>
    <xf numFmtId="165" fontId="6" fillId="0" borderId="3" xfId="15" applyNumberFormat="1" applyFont="1" applyFill="1" applyBorder="1" applyAlignment="1">
      <alignment horizontal="center" vertical="center"/>
    </xf>
    <xf numFmtId="0" fontId="5" fillId="10" borderId="31" xfId="0" applyFont="1" applyFill="1" applyBorder="1" applyAlignment="1">
      <alignment horizontal="left" vertical="center" wrapText="1"/>
    </xf>
    <xf numFmtId="0" fontId="5" fillId="10" borderId="30" xfId="0" applyFont="1" applyFill="1" applyBorder="1" applyAlignment="1">
      <alignment horizontal="left" vertical="center" wrapText="1"/>
    </xf>
    <xf numFmtId="3" fontId="2" fillId="0" borderId="14" xfId="0" applyNumberFormat="1" applyFont="1" applyFill="1" applyBorder="1" applyAlignment="1">
      <alignment horizontal="center" vertical="center" wrapText="1"/>
    </xf>
    <xf numFmtId="9" fontId="2" fillId="0" borderId="14" xfId="2" applyNumberFormat="1" applyFont="1" applyBorder="1" applyAlignment="1">
      <alignment horizontal="center" vertical="center" wrapText="1"/>
    </xf>
    <xf numFmtId="9" fontId="2" fillId="0" borderId="4" xfId="2" applyNumberFormat="1" applyFont="1" applyBorder="1" applyAlignment="1">
      <alignment horizontal="center" vertical="center" wrapText="1"/>
    </xf>
    <xf numFmtId="1" fontId="3" fillId="4" borderId="38" xfId="0" applyNumberFormat="1"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0" fontId="3" fillId="14" borderId="15" xfId="0" applyFont="1" applyFill="1" applyBorder="1" applyAlignment="1">
      <alignment horizontal="center" vertical="center"/>
    </xf>
    <xf numFmtId="0" fontId="18" fillId="12" borderId="12" xfId="0" applyFont="1" applyFill="1" applyBorder="1" applyAlignment="1">
      <alignment horizontal="center" vertical="center" wrapText="1"/>
    </xf>
    <xf numFmtId="0" fontId="18" fillId="12" borderId="4" xfId="0" applyFont="1" applyFill="1" applyBorder="1" applyAlignment="1">
      <alignment horizontal="center" vertical="center" wrapText="1"/>
    </xf>
    <xf numFmtId="172" fontId="18" fillId="12" borderId="37" xfId="0" applyNumberFormat="1" applyFont="1" applyFill="1" applyBorder="1" applyAlignment="1">
      <alignment horizontal="center" vertical="center" wrapText="1"/>
    </xf>
    <xf numFmtId="172" fontId="18" fillId="12" borderId="28" xfId="0" applyNumberFormat="1" applyFont="1" applyFill="1" applyBorder="1" applyAlignment="1">
      <alignment horizontal="center" vertical="center" wrapText="1"/>
    </xf>
    <xf numFmtId="172" fontId="18" fillId="12" borderId="38" xfId="0" applyNumberFormat="1" applyFont="1" applyFill="1" applyBorder="1" applyAlignment="1">
      <alignment horizontal="center" vertical="center" wrapText="1"/>
    </xf>
    <xf numFmtId="172" fontId="18" fillId="12" borderId="10" xfId="0" applyNumberFormat="1" applyFont="1" applyFill="1" applyBorder="1" applyAlignment="1">
      <alignment horizontal="center" vertical="center" wrapText="1"/>
    </xf>
    <xf numFmtId="0" fontId="18" fillId="12" borderId="57" xfId="0" applyFont="1" applyFill="1" applyBorder="1" applyAlignment="1">
      <alignment horizontal="center" vertical="center" wrapText="1"/>
    </xf>
    <xf numFmtId="0" fontId="18" fillId="12" borderId="58" xfId="0" applyFont="1" applyFill="1" applyBorder="1" applyAlignment="1">
      <alignment horizontal="center" vertical="center" wrapText="1"/>
    </xf>
    <xf numFmtId="0" fontId="5" fillId="4" borderId="6" xfId="0" applyFont="1" applyFill="1" applyBorder="1" applyAlignment="1">
      <alignment horizontal="center" vertical="center" textRotation="90" wrapText="1"/>
    </xf>
    <xf numFmtId="0" fontId="5" fillId="4" borderId="7" xfId="0" applyFont="1" applyFill="1" applyBorder="1" applyAlignment="1">
      <alignment horizontal="center" vertical="center" textRotation="90" wrapText="1"/>
    </xf>
    <xf numFmtId="172" fontId="18" fillId="12" borderId="13" xfId="0" applyNumberFormat="1" applyFont="1" applyFill="1" applyBorder="1" applyAlignment="1">
      <alignment horizontal="center" vertical="center" wrapText="1"/>
    </xf>
    <xf numFmtId="172" fontId="18" fillId="12" borderId="11" xfId="0" applyNumberFormat="1" applyFont="1" applyFill="1" applyBorder="1" applyAlignment="1">
      <alignment horizontal="center" vertical="center" wrapText="1"/>
    </xf>
    <xf numFmtId="0" fontId="3" fillId="11" borderId="13" xfId="0" applyFont="1" applyFill="1" applyBorder="1" applyAlignment="1">
      <alignment horizontal="left" vertical="center"/>
    </xf>
    <xf numFmtId="0" fontId="18" fillId="12" borderId="3"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10" xfId="0" applyFont="1" applyFill="1" applyBorder="1" applyAlignment="1">
      <alignment horizontal="center" vertical="center" wrapText="1"/>
    </xf>
    <xf numFmtId="0" fontId="5" fillId="6" borderId="18" xfId="3" applyFont="1" applyFill="1" applyBorder="1" applyAlignment="1">
      <alignment horizontal="left" vertical="center"/>
    </xf>
    <xf numFmtId="0" fontId="5" fillId="6" borderId="17" xfId="3" applyFont="1" applyFill="1" applyBorder="1" applyAlignment="1">
      <alignment horizontal="left" vertical="center"/>
    </xf>
    <xf numFmtId="0" fontId="5" fillId="6" borderId="44" xfId="3" applyFont="1" applyFill="1" applyBorder="1" applyAlignment="1">
      <alignment horizontal="left" vertical="center"/>
    </xf>
    <xf numFmtId="0" fontId="2" fillId="0" borderId="0" xfId="0" applyFont="1" applyAlignment="1">
      <alignment horizontal="center" vertical="center" wrapText="1"/>
    </xf>
    <xf numFmtId="0" fontId="5" fillId="10" borderId="59" xfId="0" applyFont="1" applyFill="1" applyBorder="1" applyAlignment="1">
      <alignment horizontal="left" vertical="center"/>
    </xf>
    <xf numFmtId="0" fontId="2" fillId="2" borderId="9" xfId="0" applyFont="1" applyFill="1" applyBorder="1" applyAlignment="1">
      <alignment horizontal="center" vertical="center" wrapText="1"/>
    </xf>
    <xf numFmtId="0" fontId="2" fillId="0" borderId="60" xfId="0" applyFont="1" applyBorder="1" applyAlignment="1">
      <alignment horizontal="justify" vertical="center" wrapText="1"/>
    </xf>
    <xf numFmtId="0" fontId="2" fillId="0" borderId="53" xfId="0" applyFont="1" applyBorder="1" applyAlignment="1">
      <alignment horizontal="center" vertical="center" wrapText="1"/>
    </xf>
    <xf numFmtId="0" fontId="2" fillId="0" borderId="61" xfId="0" applyFont="1" applyBorder="1" applyAlignment="1">
      <alignment horizontal="center" vertical="center" wrapText="1"/>
    </xf>
    <xf numFmtId="0" fontId="7" fillId="0" borderId="6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5" xfId="0" applyFont="1" applyBorder="1" applyAlignment="1">
      <alignment horizontal="justify" vertical="center" wrapText="1"/>
    </xf>
    <xf numFmtId="0" fontId="2" fillId="0" borderId="18" xfId="0" applyFont="1" applyBorder="1" applyAlignment="1">
      <alignment horizontal="center" vertical="center" wrapText="1"/>
    </xf>
    <xf numFmtId="0" fontId="2" fillId="0" borderId="40" xfId="0" applyFont="1" applyBorder="1" applyAlignment="1">
      <alignment horizontal="center" vertical="center" wrapText="1"/>
    </xf>
    <xf numFmtId="9" fontId="2" fillId="0" borderId="5" xfId="0" applyNumberFormat="1" applyFont="1" applyBorder="1" applyAlignment="1">
      <alignment horizontal="center" vertical="center" wrapText="1"/>
    </xf>
    <xf numFmtId="43" fontId="2" fillId="2" borderId="5" xfId="10" applyFont="1" applyFill="1" applyBorder="1" applyAlignment="1">
      <alignment horizontal="center" vertical="center" wrapText="1"/>
    </xf>
    <xf numFmtId="3" fontId="2" fillId="2" borderId="5" xfId="0" applyNumberFormat="1" applyFont="1" applyFill="1" applyBorder="1" applyAlignment="1">
      <alignment horizontal="justify" vertical="center" wrapText="1"/>
    </xf>
    <xf numFmtId="3" fontId="2" fillId="2" borderId="40" xfId="0" applyNumberFormat="1" applyFont="1" applyFill="1" applyBorder="1" applyAlignment="1">
      <alignment horizontal="justify" vertical="center" wrapText="1"/>
    </xf>
    <xf numFmtId="1" fontId="2" fillId="0" borderId="16"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164" fontId="2" fillId="0" borderId="5"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1" fontId="6" fillId="0" borderId="1" xfId="11" applyFont="1" applyFill="1" applyBorder="1" applyAlignment="1">
      <alignment horizontal="center" vertical="center" wrapText="1"/>
    </xf>
    <xf numFmtId="9" fontId="6" fillId="0" borderId="1" xfId="2" applyFont="1" applyFill="1" applyBorder="1" applyAlignment="1">
      <alignment horizontal="center" vertical="center" wrapText="1"/>
    </xf>
    <xf numFmtId="0" fontId="6" fillId="0" borderId="3" xfId="0" applyFont="1" applyBorder="1" applyAlignment="1">
      <alignment horizontal="center" vertical="center" wrapText="1"/>
    </xf>
    <xf numFmtId="9" fontId="2" fillId="0" borderId="14" xfId="0" applyNumberFormat="1" applyFont="1" applyBorder="1" applyAlignment="1">
      <alignment horizontal="center" vertical="center" wrapText="1"/>
    </xf>
    <xf numFmtId="43" fontId="2" fillId="2" borderId="3" xfId="10"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0" borderId="14" xfId="3" applyFont="1" applyBorder="1" applyAlignment="1">
      <alignment horizontal="justify" vertical="center" wrapText="1"/>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justify" vertical="center" wrapText="1"/>
    </xf>
    <xf numFmtId="0" fontId="2" fillId="0" borderId="7" xfId="0" applyFont="1" applyBorder="1" applyAlignment="1">
      <alignment horizontal="justify" vertical="center" wrapText="1"/>
    </xf>
    <xf numFmtId="14" fontId="2" fillId="0" borderId="3" xfId="0" applyNumberFormat="1" applyFont="1" applyBorder="1" applyAlignment="1">
      <alignment horizontal="center" vertical="center" wrapText="1"/>
    </xf>
    <xf numFmtId="41" fontId="6" fillId="0" borderId="3" xfId="11" applyFont="1" applyFill="1" applyBorder="1" applyAlignment="1">
      <alignment horizontal="center" vertical="center" wrapText="1"/>
    </xf>
    <xf numFmtId="9" fontId="6" fillId="0" borderId="3" xfId="2" applyFont="1" applyFill="1" applyBorder="1" applyAlignment="1">
      <alignment horizontal="center" vertical="center" wrapText="1"/>
    </xf>
    <xf numFmtId="14" fontId="2" fillId="0" borderId="5" xfId="0" applyNumberFormat="1" applyFont="1" applyBorder="1" applyAlignment="1">
      <alignment horizontal="center" vertical="center" wrapText="1"/>
    </xf>
    <xf numFmtId="1" fontId="2" fillId="2" borderId="20"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41" fontId="2" fillId="0" borderId="5" xfId="11" applyFont="1" applyFill="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1" fontId="2" fillId="0" borderId="15" xfId="0" applyNumberFormat="1"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39" xfId="0" applyFont="1" applyFill="1" applyBorder="1" applyAlignment="1">
      <alignment horizontal="justify" vertical="center" wrapText="1"/>
    </xf>
    <xf numFmtId="0" fontId="2" fillId="2" borderId="16" xfId="0" applyFont="1" applyFill="1" applyBorder="1" applyAlignment="1">
      <alignment horizontal="justify" vertical="center" wrapText="1"/>
    </xf>
    <xf numFmtId="43" fontId="2" fillId="2" borderId="18" xfId="10" applyFont="1" applyFill="1" applyBorder="1" applyAlignment="1">
      <alignment horizontal="center" vertical="center" wrapText="1"/>
    </xf>
    <xf numFmtId="43" fontId="2" fillId="2" borderId="16" xfId="10" applyFont="1" applyFill="1" applyBorder="1" applyAlignment="1">
      <alignment horizontal="center" vertical="center" wrapText="1"/>
    </xf>
    <xf numFmtId="3" fontId="2" fillId="2" borderId="15" xfId="0" applyNumberFormat="1" applyFont="1" applyFill="1" applyBorder="1" applyAlignment="1">
      <alignment horizontal="justify" vertical="center" wrapText="1"/>
    </xf>
    <xf numFmtId="3" fontId="2" fillId="2" borderId="17" xfId="0" applyNumberFormat="1" applyFont="1" applyFill="1" applyBorder="1" applyAlignment="1">
      <alignment horizontal="justify" vertical="center" wrapText="1"/>
    </xf>
    <xf numFmtId="3" fontId="2" fillId="2" borderId="16" xfId="0" applyNumberFormat="1"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6" xfId="0" applyFont="1" applyBorder="1" applyAlignment="1">
      <alignment horizontal="center" vertical="center" wrapText="1"/>
    </xf>
    <xf numFmtId="14" fontId="2" fillId="2" borderId="0" xfId="0" applyNumberFormat="1" applyFont="1" applyFill="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17" xfId="0" applyNumberFormat="1" applyFon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41" fontId="6" fillId="7" borderId="1" xfId="11"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12" xfId="0" applyFont="1" applyFill="1" applyBorder="1" applyAlignment="1">
      <alignment horizontal="center" vertical="center" wrapText="1"/>
    </xf>
    <xf numFmtId="43" fontId="2" fillId="2" borderId="4" xfId="10" applyFont="1" applyFill="1" applyBorder="1" applyAlignment="1">
      <alignment horizontal="center" vertical="center" wrapText="1"/>
    </xf>
    <xf numFmtId="1" fontId="2" fillId="0" borderId="37" xfId="0" applyNumberFormat="1" applyFont="1" applyBorder="1" applyAlignment="1">
      <alignment horizontal="center" vertical="center" wrapText="1"/>
    </xf>
    <xf numFmtId="1" fontId="2" fillId="0" borderId="0" xfId="0" applyNumberFormat="1" applyFont="1" applyAlignment="1">
      <alignment horizontal="center" vertical="center" wrapText="1"/>
    </xf>
    <xf numFmtId="1" fontId="2" fillId="0" borderId="38"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42" xfId="0" applyFont="1" applyBorder="1" applyAlignment="1">
      <alignment horizontal="center" vertical="center" wrapText="1"/>
    </xf>
    <xf numFmtId="43" fontId="2" fillId="2" borderId="12" xfId="10" applyFont="1" applyFill="1" applyBorder="1" applyAlignment="1">
      <alignment horizontal="center" vertical="center" wrapText="1"/>
    </xf>
    <xf numFmtId="14" fontId="2" fillId="0" borderId="4" xfId="0" applyNumberFormat="1" applyFont="1" applyBorder="1" applyAlignment="1">
      <alignment horizontal="center" vertical="center" wrapText="1"/>
    </xf>
    <xf numFmtId="41" fontId="2" fillId="0" borderId="3" xfId="11" applyFont="1" applyFill="1" applyBorder="1" applyAlignment="1">
      <alignment horizontal="center" vertical="center" wrapText="1"/>
    </xf>
    <xf numFmtId="41" fontId="2" fillId="0" borderId="4" xfId="11" applyFont="1" applyFill="1" applyBorder="1" applyAlignment="1">
      <alignment horizontal="center" vertical="center" wrapText="1"/>
    </xf>
    <xf numFmtId="0" fontId="2" fillId="0" borderId="42" xfId="0" applyFont="1" applyBorder="1" applyAlignment="1">
      <alignment horizontal="justify" vertical="center" wrapText="1"/>
    </xf>
    <xf numFmtId="166" fontId="2" fillId="0" borderId="1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41" fontId="6" fillId="0" borderId="12" xfId="11" applyFont="1" applyFill="1" applyBorder="1" applyAlignment="1">
      <alignment horizontal="center" vertical="center" wrapText="1"/>
    </xf>
    <xf numFmtId="41" fontId="6" fillId="0" borderId="42" xfId="11" applyFont="1" applyFill="1" applyBorder="1" applyAlignment="1">
      <alignment horizontal="center" vertical="center" wrapText="1"/>
    </xf>
    <xf numFmtId="9" fontId="6" fillId="0" borderId="12" xfId="2" applyFont="1" applyFill="1" applyBorder="1" applyAlignment="1">
      <alignment horizontal="center" vertical="center" wrapText="1"/>
    </xf>
    <xf numFmtId="9" fontId="6" fillId="0" borderId="42" xfId="2" applyFont="1" applyFill="1" applyBorder="1" applyAlignment="1">
      <alignment horizontal="center" vertical="center" wrapText="1"/>
    </xf>
    <xf numFmtId="41" fontId="2" fillId="0" borderId="12" xfId="11"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39" xfId="0" applyFont="1" applyBorder="1" applyAlignment="1">
      <alignment horizontal="justify" vertical="center" wrapText="1"/>
    </xf>
    <xf numFmtId="0" fontId="7" fillId="0" borderId="42" xfId="0" applyFont="1" applyBorder="1" applyAlignment="1">
      <alignment horizontal="center" vertical="center" wrapText="1"/>
    </xf>
    <xf numFmtId="0" fontId="6" fillId="0" borderId="14" xfId="0" applyFont="1" applyBorder="1" applyAlignment="1">
      <alignment horizontal="center" vertical="center" wrapText="1"/>
    </xf>
    <xf numFmtId="41" fontId="6" fillId="2" borderId="12" xfId="11" applyFont="1" applyFill="1" applyBorder="1" applyAlignment="1">
      <alignment horizontal="center" vertical="center" wrapText="1"/>
    </xf>
    <xf numFmtId="41" fontId="6" fillId="2" borderId="3" xfId="11" applyFont="1" applyFill="1" applyBorder="1" applyAlignment="1">
      <alignment horizontal="center" vertical="center" wrapText="1"/>
    </xf>
    <xf numFmtId="41" fontId="6" fillId="2" borderId="42" xfId="11" applyFont="1" applyFill="1" applyBorder="1" applyAlignment="1">
      <alignment horizontal="center" vertical="center" wrapText="1"/>
    </xf>
    <xf numFmtId="41" fontId="2" fillId="2" borderId="12" xfId="11" applyFont="1" applyFill="1" applyBorder="1" applyAlignment="1">
      <alignment horizontal="center" vertical="center" wrapText="1"/>
    </xf>
    <xf numFmtId="41" fontId="2" fillId="2" borderId="3" xfId="11"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9" fontId="2" fillId="2" borderId="8" xfId="0" applyNumberFormat="1" applyFont="1" applyFill="1" applyBorder="1" applyAlignment="1">
      <alignment horizontal="center" vertical="center" wrapText="1"/>
    </xf>
    <xf numFmtId="9" fontId="2" fillId="2" borderId="15"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6" fillId="0" borderId="30" xfId="0" applyFont="1" applyBorder="1" applyAlignment="1">
      <alignment horizontal="center" vertical="center" wrapText="1"/>
    </xf>
    <xf numFmtId="0" fontId="6" fillId="0" borderId="17" xfId="0" applyFont="1" applyBorder="1" applyAlignment="1">
      <alignment horizontal="center" vertical="center" wrapText="1"/>
    </xf>
    <xf numFmtId="14" fontId="2" fillId="0" borderId="16" xfId="0" applyNumberFormat="1" applyFont="1" applyBorder="1" applyAlignment="1">
      <alignment horizontal="center" vertical="center" wrapText="1"/>
    </xf>
    <xf numFmtId="1" fontId="2" fillId="0" borderId="29" xfId="0" applyNumberFormat="1" applyFont="1" applyBorder="1" applyAlignment="1">
      <alignment horizontal="center" vertical="center" wrapText="1"/>
    </xf>
    <xf numFmtId="1" fontId="2" fillId="0" borderId="22" xfId="0" applyNumberFormat="1" applyFont="1" applyBorder="1" applyAlignment="1">
      <alignment horizontal="center" vertical="center" wrapText="1"/>
    </xf>
    <xf numFmtId="1" fontId="2" fillId="0" borderId="39" xfId="0" applyNumberFormat="1" applyFont="1" applyBorder="1" applyAlignment="1">
      <alignment horizontal="center" vertical="center" wrapText="1"/>
    </xf>
    <xf numFmtId="0" fontId="2" fillId="0" borderId="29" xfId="0" applyFont="1" applyBorder="1" applyAlignment="1">
      <alignment horizontal="justify" vertical="center" wrapText="1"/>
    </xf>
    <xf numFmtId="0" fontId="2" fillId="0" borderId="22" xfId="0" applyFont="1" applyBorder="1" applyAlignment="1">
      <alignment horizontal="justify" vertical="center" wrapText="1"/>
    </xf>
    <xf numFmtId="9" fontId="6" fillId="2" borderId="1" xfId="2" applyFont="1" applyFill="1" applyBorder="1" applyAlignment="1">
      <alignment horizontal="center" vertical="center" wrapText="1"/>
    </xf>
    <xf numFmtId="14" fontId="2" fillId="0" borderId="30" xfId="0" applyNumberFormat="1" applyFont="1" applyBorder="1" applyAlignment="1">
      <alignment horizontal="center" vertical="center" wrapText="1"/>
    </xf>
    <xf numFmtId="14" fontId="2" fillId="0" borderId="0" xfId="0" applyNumberFormat="1" applyFont="1" applyAlignment="1">
      <alignment horizontal="center" vertical="center" wrapText="1"/>
    </xf>
    <xf numFmtId="14" fontId="2" fillId="0" borderId="17" xfId="0" applyNumberFormat="1" applyFont="1" applyBorder="1" applyAlignment="1">
      <alignment horizontal="center" vertical="center" wrapText="1"/>
    </xf>
    <xf numFmtId="41" fontId="6" fillId="2" borderId="1" xfId="11" applyFont="1" applyFill="1" applyBorder="1" applyAlignment="1">
      <alignment horizontal="center" vertical="center" wrapText="1"/>
    </xf>
    <xf numFmtId="0" fontId="2" fillId="2" borderId="49"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 fillId="2" borderId="17" xfId="0" applyFont="1" applyFill="1" applyBorder="1" applyAlignment="1">
      <alignment horizontal="justify" vertical="center" wrapText="1"/>
    </xf>
    <xf numFmtId="9" fontId="2" fillId="2" borderId="5" xfId="0" applyNumberFormat="1" applyFont="1" applyFill="1" applyBorder="1" applyAlignment="1">
      <alignment horizontal="center" vertical="center" wrapText="1"/>
    </xf>
    <xf numFmtId="43" fontId="2" fillId="2" borderId="17" xfId="10" applyFont="1" applyFill="1" applyBorder="1" applyAlignment="1">
      <alignment horizontal="center" vertical="center" wrapText="1"/>
    </xf>
    <xf numFmtId="0" fontId="2" fillId="2" borderId="19" xfId="0" applyFont="1" applyFill="1" applyBorder="1" applyAlignment="1">
      <alignment horizontal="justify" vertical="center" wrapText="1"/>
    </xf>
    <xf numFmtId="0" fontId="2" fillId="0" borderId="17" xfId="0" applyFont="1" applyBorder="1" applyAlignment="1">
      <alignment horizontal="center" vertical="center" wrapText="1"/>
    </xf>
    <xf numFmtId="0" fontId="2" fillId="0" borderId="62" xfId="0" applyFont="1" applyBorder="1" applyAlignment="1">
      <alignment horizontal="center" vertical="center" wrapText="1"/>
    </xf>
    <xf numFmtId="1" fontId="2" fillId="2" borderId="15"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 xfId="0" applyFont="1" applyFill="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27" xfId="0" applyNumberFormat="1" applyFont="1" applyBorder="1" applyAlignment="1">
      <alignment horizontal="center" vertical="center" wrapText="1"/>
    </xf>
    <xf numFmtId="0" fontId="2" fillId="2" borderId="30" xfId="0" applyFont="1" applyFill="1" applyBorder="1" applyAlignment="1">
      <alignment horizontal="center" vertical="center" wrapText="1"/>
    </xf>
    <xf numFmtId="0" fontId="2" fillId="2" borderId="38" xfId="0" applyFont="1" applyFill="1" applyBorder="1" applyAlignment="1">
      <alignment horizontal="center" vertical="center" wrapText="1"/>
    </xf>
    <xf numFmtId="43" fontId="2" fillId="2" borderId="39" xfId="10" applyFont="1" applyFill="1" applyBorder="1" applyAlignment="1">
      <alignment horizontal="center" vertical="center" wrapText="1"/>
    </xf>
    <xf numFmtId="43" fontId="2" fillId="2" borderId="19" xfId="10" applyFont="1" applyFill="1" applyBorder="1" applyAlignment="1">
      <alignment horizontal="center" vertical="center" wrapText="1"/>
    </xf>
    <xf numFmtId="0" fontId="2" fillId="2" borderId="7" xfId="0" applyFont="1" applyFill="1" applyBorder="1" applyAlignment="1">
      <alignment horizontal="justify" vertical="center" wrapText="1"/>
    </xf>
    <xf numFmtId="0" fontId="2" fillId="2" borderId="20" xfId="0" applyFont="1" applyFill="1" applyBorder="1" applyAlignment="1">
      <alignment horizontal="justify" vertical="center" wrapText="1"/>
    </xf>
    <xf numFmtId="41" fontId="2" fillId="2" borderId="1" xfId="11" applyFont="1" applyFill="1" applyBorder="1" applyAlignment="1">
      <alignment horizontal="center" vertical="center" wrapText="1"/>
    </xf>
    <xf numFmtId="0" fontId="2" fillId="2" borderId="30" xfId="0" applyFont="1" applyFill="1" applyBorder="1" applyAlignment="1">
      <alignment horizontal="justify" vertical="center" wrapText="1"/>
    </xf>
    <xf numFmtId="9" fontId="2" fillId="2" borderId="15" xfId="2" applyFont="1" applyFill="1" applyBorder="1" applyAlignment="1">
      <alignment horizontal="center" vertical="center" wrapText="1"/>
    </xf>
    <xf numFmtId="9" fontId="2" fillId="2" borderId="9" xfId="2" applyFont="1" applyFill="1" applyBorder="1" applyAlignment="1">
      <alignment horizontal="center" vertical="center" wrapText="1"/>
    </xf>
    <xf numFmtId="43" fontId="2" fillId="2" borderId="30" xfId="10" applyFont="1" applyFill="1" applyBorder="1" applyAlignment="1">
      <alignment horizontal="center" vertical="center" wrapText="1"/>
    </xf>
    <xf numFmtId="0" fontId="2" fillId="0" borderId="30" xfId="0" applyFont="1" applyBorder="1" applyAlignment="1">
      <alignment horizontal="center" vertical="center" wrapText="1"/>
    </xf>
    <xf numFmtId="0" fontId="2" fillId="2" borderId="39" xfId="0" applyFont="1" applyFill="1" applyBorder="1" applyAlignment="1">
      <alignment horizontal="center" vertical="center" wrapText="1"/>
    </xf>
    <xf numFmtId="0" fontId="2" fillId="2" borderId="29" xfId="0" applyFont="1" applyFill="1" applyBorder="1" applyAlignment="1">
      <alignment horizontal="center" vertical="center" wrapText="1"/>
    </xf>
    <xf numFmtId="9" fontId="2" fillId="2" borderId="21" xfId="0" applyNumberFormat="1" applyFont="1" applyFill="1" applyBorder="1" applyAlignment="1">
      <alignment horizontal="center" vertical="center" wrapText="1"/>
    </xf>
    <xf numFmtId="1" fontId="2" fillId="0" borderId="9" xfId="0" applyNumberFormat="1" applyFont="1" applyBorder="1" applyAlignment="1">
      <alignment horizontal="center" vertical="center" wrapText="1"/>
    </xf>
    <xf numFmtId="0" fontId="2" fillId="0" borderId="18" xfId="0" applyFont="1" applyBorder="1" applyAlignment="1">
      <alignment horizontal="justify" vertical="center" wrapText="1"/>
    </xf>
    <xf numFmtId="0" fontId="2" fillId="0" borderId="31" xfId="0" applyFont="1" applyBorder="1" applyAlignment="1">
      <alignment horizontal="justify" vertical="center" wrapText="1"/>
    </xf>
    <xf numFmtId="9" fontId="6" fillId="2" borderId="5" xfId="2" applyFont="1" applyFill="1" applyBorder="1" applyAlignment="1">
      <alignment horizontal="center" vertical="center" wrapText="1"/>
    </xf>
    <xf numFmtId="9" fontId="6" fillId="2" borderId="9" xfId="2" applyFont="1" applyFill="1" applyBorder="1" applyAlignment="1">
      <alignment horizontal="center" vertical="center" wrapText="1"/>
    </xf>
    <xf numFmtId="41" fontId="6" fillId="2" borderId="5" xfId="11" applyFont="1" applyFill="1" applyBorder="1" applyAlignment="1">
      <alignment horizontal="center" vertical="center" wrapText="1"/>
    </xf>
    <xf numFmtId="41" fontId="6" fillId="2" borderId="9" xfId="11" applyFont="1" applyFill="1" applyBorder="1" applyAlignment="1">
      <alignment horizontal="center" vertical="center" wrapText="1"/>
    </xf>
    <xf numFmtId="3" fontId="2" fillId="2" borderId="30" xfId="0" applyNumberFormat="1" applyFont="1" applyFill="1" applyBorder="1" applyAlignment="1">
      <alignment horizontal="justify" vertical="center" wrapText="1"/>
    </xf>
    <xf numFmtId="0" fontId="6" fillId="0" borderId="45" xfId="0" applyFont="1" applyBorder="1" applyAlignment="1">
      <alignment horizontal="center" vertical="center" wrapText="1"/>
    </xf>
    <xf numFmtId="0" fontId="6" fillId="0" borderId="6" xfId="0" applyFont="1" applyBorder="1" applyAlignment="1">
      <alignment horizontal="center" vertical="center" wrapText="1"/>
    </xf>
    <xf numFmtId="43" fontId="2" fillId="2" borderId="1" xfId="10" applyFont="1" applyFill="1" applyBorder="1" applyAlignment="1">
      <alignment horizontal="center" vertical="center" wrapText="1"/>
    </xf>
    <xf numFmtId="1" fontId="2" fillId="2" borderId="31" xfId="0" applyNumberFormat="1" applyFont="1" applyFill="1" applyBorder="1" applyAlignment="1">
      <alignment horizontal="center" vertical="center" wrapText="1"/>
    </xf>
    <xf numFmtId="178" fontId="2" fillId="0" borderId="1" xfId="0" applyNumberFormat="1" applyFont="1" applyBorder="1" applyAlignment="1">
      <alignment horizontal="center" vertical="center" wrapText="1"/>
    </xf>
    <xf numFmtId="0" fontId="3" fillId="11" borderId="23" xfId="0" applyFont="1" applyFill="1" applyBorder="1" applyAlignment="1">
      <alignment horizontal="left" vertical="center"/>
    </xf>
    <xf numFmtId="0" fontId="3" fillId="11" borderId="0" xfId="0" applyFont="1" applyFill="1" applyAlignment="1">
      <alignment horizontal="left" vertical="center"/>
    </xf>
    <xf numFmtId="41" fontId="2" fillId="0" borderId="1" xfId="11" applyFont="1" applyFill="1" applyBorder="1" applyAlignment="1">
      <alignment horizontal="center" vertical="center" wrapText="1"/>
    </xf>
    <xf numFmtId="1" fontId="2" fillId="2" borderId="0" xfId="0" applyNumberFormat="1" applyFont="1" applyFill="1" applyAlignment="1">
      <alignment horizontal="center" vertical="center" wrapText="1"/>
    </xf>
    <xf numFmtId="0" fontId="2" fillId="2" borderId="29" xfId="0" applyFont="1" applyFill="1" applyBorder="1" applyAlignment="1">
      <alignment horizontal="justify" vertical="center" wrapText="1"/>
    </xf>
    <xf numFmtId="41" fontId="6" fillId="5" borderId="3" xfId="11" applyFont="1" applyFill="1" applyBorder="1" applyAlignment="1">
      <alignment horizontal="center" vertical="center" wrapText="1"/>
    </xf>
    <xf numFmtId="9" fontId="6" fillId="7" borderId="3" xfId="2" applyFont="1" applyFill="1" applyBorder="1" applyAlignment="1">
      <alignment horizontal="center" vertical="center" wrapText="1"/>
    </xf>
    <xf numFmtId="0" fontId="2" fillId="2" borderId="14" xfId="0" applyFont="1" applyFill="1" applyBorder="1" applyAlignment="1">
      <alignment horizontal="left" vertical="center" wrapText="1"/>
    </xf>
    <xf numFmtId="0" fontId="5" fillId="10" borderId="44" xfId="0" applyFont="1" applyFill="1" applyBorder="1" applyAlignment="1">
      <alignment horizontal="left" vertical="center"/>
    </xf>
    <xf numFmtId="14" fontId="2" fillId="2" borderId="5"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1" fontId="2" fillId="2" borderId="24" xfId="0" applyNumberFormat="1" applyFont="1" applyFill="1" applyBorder="1" applyAlignment="1">
      <alignment horizontal="center" vertical="center" wrapText="1"/>
    </xf>
    <xf numFmtId="1" fontId="2" fillId="2" borderId="8" xfId="0" applyNumberFormat="1" applyFont="1" applyFill="1" applyBorder="1" applyAlignment="1">
      <alignment horizontal="center" vertical="center" wrapText="1"/>
    </xf>
    <xf numFmtId="3" fontId="2" fillId="2" borderId="22" xfId="0" applyNumberFormat="1" applyFont="1" applyFill="1" applyBorder="1" applyAlignment="1">
      <alignment horizontal="justify" vertical="center" wrapText="1"/>
    </xf>
    <xf numFmtId="43" fontId="2" fillId="2" borderId="15" xfId="10"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1" fontId="2" fillId="0" borderId="24"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14" fontId="2" fillId="0" borderId="15" xfId="0" applyNumberFormat="1" applyFont="1" applyBorder="1" applyAlignment="1">
      <alignment horizontal="center" vertical="center" wrapText="1"/>
    </xf>
    <xf numFmtId="41" fontId="2" fillId="2" borderId="24" xfId="11" applyFont="1" applyFill="1" applyBorder="1" applyAlignment="1">
      <alignment horizontal="center" vertical="center" wrapText="1"/>
    </xf>
    <xf numFmtId="41" fontId="2" fillId="2" borderId="8" xfId="11" applyFont="1" applyFill="1" applyBorder="1" applyAlignment="1">
      <alignment horizontal="center" vertical="center" wrapText="1"/>
    </xf>
    <xf numFmtId="41" fontId="2" fillId="2" borderId="21" xfId="11" applyFont="1" applyFill="1" applyBorder="1" applyAlignment="1">
      <alignment horizontal="center" vertical="center" wrapText="1"/>
    </xf>
    <xf numFmtId="9" fontId="2" fillId="0" borderId="24" xfId="2" applyFont="1" applyFill="1" applyBorder="1" applyAlignment="1">
      <alignment horizontal="center" vertical="center" wrapText="1"/>
    </xf>
    <xf numFmtId="9" fontId="2" fillId="0" borderId="8" xfId="2" applyFont="1" applyFill="1" applyBorder="1" applyAlignment="1">
      <alignment horizontal="center" vertical="center" wrapText="1"/>
    </xf>
    <xf numFmtId="1" fontId="2" fillId="2" borderId="38"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1" fontId="2" fillId="2" borderId="37" xfId="0" applyNumberFormat="1" applyFont="1" applyFill="1" applyBorder="1" applyAlignment="1">
      <alignment horizontal="center" vertical="center" wrapText="1"/>
    </xf>
    <xf numFmtId="1" fontId="2" fillId="0" borderId="42"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41" fontId="2" fillId="0" borderId="14" xfId="11" applyFont="1" applyFill="1" applyBorder="1" applyAlignment="1">
      <alignment horizontal="center" vertical="center" wrapText="1"/>
    </xf>
    <xf numFmtId="0" fontId="6" fillId="5" borderId="32" xfId="0" applyFont="1" applyFill="1" applyBorder="1" applyAlignment="1">
      <alignment horizontal="justify" vertical="center" wrapText="1"/>
    </xf>
    <xf numFmtId="41" fontId="2" fillId="2" borderId="4" xfId="11" applyFont="1" applyFill="1" applyBorder="1" applyAlignment="1">
      <alignment horizontal="center" vertical="center" wrapText="1"/>
    </xf>
    <xf numFmtId="1" fontId="7" fillId="0" borderId="1" xfId="3" applyNumberFormat="1" applyFont="1" applyFill="1" applyBorder="1" applyAlignment="1">
      <alignment horizontal="center" vertical="center" wrapText="1"/>
    </xf>
    <xf numFmtId="0" fontId="7" fillId="0" borderId="1" xfId="3" applyFont="1" applyFill="1" applyBorder="1" applyAlignment="1">
      <alignment horizontal="justify" vertical="center" wrapText="1"/>
    </xf>
    <xf numFmtId="14" fontId="7" fillId="0" borderId="12" xfId="0" applyNumberFormat="1" applyFont="1" applyBorder="1" applyAlignment="1">
      <alignment horizontal="center" vertical="center" wrapText="1"/>
    </xf>
    <xf numFmtId="43" fontId="7" fillId="0" borderId="12" xfId="0" applyNumberFormat="1" applyFont="1" applyBorder="1" applyAlignment="1">
      <alignment horizontal="center" vertical="center" wrapText="1"/>
    </xf>
    <xf numFmtId="1" fontId="7" fillId="0" borderId="12"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177" fontId="2" fillId="0" borderId="1" xfId="11" applyNumberFormat="1" applyFont="1" applyFill="1" applyBorder="1" applyAlignment="1">
      <alignment horizontal="center" vertical="center"/>
    </xf>
    <xf numFmtId="177" fontId="2" fillId="0" borderId="12" xfId="11"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10" applyNumberFormat="1" applyFont="1" applyFill="1" applyBorder="1" applyAlignment="1">
      <alignment horizontal="center" vertical="center"/>
    </xf>
    <xf numFmtId="0" fontId="7" fillId="0" borderId="1" xfId="3" applyFont="1" applyFill="1" applyBorder="1" applyAlignment="1">
      <alignment horizontal="center" vertical="center" wrapText="1"/>
    </xf>
    <xf numFmtId="0" fontId="7" fillId="0" borderId="1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0" fontId="7" fillId="0" borderId="12" xfId="3" applyFont="1" applyFill="1" applyBorder="1" applyAlignment="1">
      <alignment horizontal="justify" vertical="center" wrapText="1"/>
    </xf>
    <xf numFmtId="0" fontId="7" fillId="0" borderId="3" xfId="3" applyFont="1" applyFill="1" applyBorder="1" applyAlignment="1">
      <alignment horizontal="justify" vertical="center" wrapText="1"/>
    </xf>
    <xf numFmtId="0" fontId="7" fillId="0" borderId="4" xfId="3" applyFont="1" applyFill="1" applyBorder="1" applyAlignment="1">
      <alignment horizontal="justify" vertical="center" wrapText="1"/>
    </xf>
    <xf numFmtId="0" fontId="2" fillId="0" borderId="4" xfId="0" applyFont="1" applyFill="1" applyBorder="1" applyAlignment="1">
      <alignment horizontal="center" vertical="center" wrapText="1"/>
    </xf>
    <xf numFmtId="177" fontId="2" fillId="0" borderId="3" xfId="11" applyNumberFormat="1" applyFont="1" applyFill="1" applyBorder="1" applyAlignment="1">
      <alignment horizontal="center" vertical="center"/>
    </xf>
    <xf numFmtId="177" fontId="2" fillId="0" borderId="4" xfId="11" applyNumberFormat="1" applyFont="1" applyFill="1" applyBorder="1" applyAlignment="1">
      <alignment horizontal="center" vertical="center"/>
    </xf>
    <xf numFmtId="177" fontId="2" fillId="0" borderId="12" xfId="11" applyNumberFormat="1" applyFont="1" applyFill="1" applyBorder="1" applyAlignment="1">
      <alignment horizontal="justify" vertical="center" wrapText="1"/>
    </xf>
    <xf numFmtId="177" fontId="2" fillId="0" borderId="3" xfId="11" applyNumberFormat="1" applyFont="1" applyFill="1" applyBorder="1" applyAlignment="1">
      <alignment horizontal="justify" vertical="center" wrapText="1"/>
    </xf>
    <xf numFmtId="177" fontId="2" fillId="0" borderId="4" xfId="11" applyNumberFormat="1" applyFont="1" applyFill="1" applyBorder="1" applyAlignment="1">
      <alignment horizontal="justify" vertical="center" wrapText="1"/>
    </xf>
    <xf numFmtId="14" fontId="7" fillId="0" borderId="3" xfId="0" applyNumberFormat="1" applyFont="1" applyBorder="1" applyAlignment="1">
      <alignment horizontal="center" vertical="center" wrapText="1"/>
    </xf>
    <xf numFmtId="14" fontId="7" fillId="0" borderId="4" xfId="0" applyNumberFormat="1" applyFont="1" applyBorder="1" applyAlignment="1">
      <alignment horizontal="center" vertical="center" wrapText="1"/>
    </xf>
    <xf numFmtId="177" fontId="7" fillId="0" borderId="12"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9" fontId="7" fillId="0" borderId="12" xfId="2" applyFont="1" applyBorder="1" applyAlignment="1">
      <alignment horizontal="center" vertical="center" wrapText="1"/>
    </xf>
    <xf numFmtId="9" fontId="7" fillId="0" borderId="3" xfId="2" applyFont="1" applyBorder="1" applyAlignment="1">
      <alignment horizontal="center" vertical="center" wrapText="1"/>
    </xf>
    <xf numFmtId="9" fontId="7" fillId="0" borderId="4" xfId="2" applyFont="1" applyBorder="1" applyAlignment="1">
      <alignment horizontal="center" vertical="center" wrapText="1"/>
    </xf>
    <xf numFmtId="0" fontId="2" fillId="0" borderId="12" xfId="10" applyNumberFormat="1" applyFont="1" applyFill="1" applyBorder="1" applyAlignment="1">
      <alignment horizontal="center" vertical="center"/>
    </xf>
    <xf numFmtId="0" fontId="2" fillId="0" borderId="3" xfId="10" applyNumberFormat="1" applyFont="1" applyFill="1" applyBorder="1" applyAlignment="1">
      <alignment horizontal="center" vertical="center"/>
    </xf>
    <xf numFmtId="0" fontId="2" fillId="0" borderId="4" xfId="10" applyNumberFormat="1" applyFont="1" applyFill="1" applyBorder="1" applyAlignment="1">
      <alignment horizontal="center" vertical="center"/>
    </xf>
    <xf numFmtId="0" fontId="2" fillId="0" borderId="13"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7" fillId="0" borderId="32" xfId="0" applyFont="1" applyFill="1" applyBorder="1" applyAlignment="1">
      <alignment horizontal="center" vertical="center" wrapText="1"/>
    </xf>
    <xf numFmtId="14" fontId="7" fillId="0" borderId="46" xfId="0" applyNumberFormat="1" applyFont="1" applyBorder="1" applyAlignment="1">
      <alignment horizontal="center" vertical="center" wrapText="1"/>
    </xf>
    <xf numFmtId="14" fontId="7" fillId="0" borderId="27"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7" fillId="0" borderId="46"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wrapText="1"/>
    </xf>
    <xf numFmtId="9" fontId="2" fillId="0" borderId="1" xfId="2" applyFont="1" applyFill="1" applyBorder="1" applyAlignment="1">
      <alignment horizontal="center" vertical="center"/>
    </xf>
    <xf numFmtId="0" fontId="7" fillId="0" borderId="7" xfId="0" applyFont="1" applyBorder="1" applyAlignment="1">
      <alignment horizontal="center" vertical="center" wrapText="1"/>
    </xf>
    <xf numFmtId="9" fontId="7" fillId="0" borderId="7" xfId="2" applyFont="1" applyBorder="1" applyAlignment="1">
      <alignment horizontal="center" vertical="center" wrapText="1"/>
    </xf>
    <xf numFmtId="0" fontId="7" fillId="0" borderId="4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7" xfId="0" applyFont="1" applyFill="1" applyBorder="1" applyAlignment="1">
      <alignment horizontal="center" vertical="center" wrapText="1"/>
    </xf>
    <xf numFmtId="1" fontId="7" fillId="0" borderId="46" xfId="0" applyNumberFormat="1" applyFont="1" applyFill="1" applyBorder="1" applyAlignment="1">
      <alignment horizontal="center" vertical="center" wrapText="1"/>
    </xf>
    <xf numFmtId="1" fontId="7" fillId="0" borderId="27" xfId="0" applyNumberFormat="1" applyFont="1" applyFill="1" applyBorder="1" applyAlignment="1">
      <alignment horizontal="center" vertical="center" wrapText="1"/>
    </xf>
    <xf numFmtId="0" fontId="2" fillId="0" borderId="42" xfId="1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2" xfId="0" applyFont="1" applyFill="1" applyBorder="1" applyAlignment="1">
      <alignment horizontal="justify" vertical="center" wrapText="1"/>
    </xf>
    <xf numFmtId="0" fontId="7" fillId="0" borderId="28" xfId="0" applyFont="1" applyFill="1" applyBorder="1" applyAlignment="1">
      <alignment horizontal="justify" vertical="center" wrapText="1"/>
    </xf>
    <xf numFmtId="14" fontId="7" fillId="0" borderId="13"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177" fontId="2" fillId="0" borderId="1" xfId="11" applyNumberFormat="1" applyFont="1" applyFill="1" applyBorder="1" applyAlignment="1">
      <alignment horizontal="center" vertical="center" wrapText="1"/>
    </xf>
    <xf numFmtId="43" fontId="2" fillId="0" borderId="12" xfId="10" applyFont="1" applyFill="1" applyBorder="1" applyAlignment="1">
      <alignment horizontal="center" vertical="center" wrapText="1"/>
    </xf>
    <xf numFmtId="177" fontId="7" fillId="0" borderId="13" xfId="0" applyNumberFormat="1" applyFont="1" applyBorder="1" applyAlignment="1">
      <alignment horizontal="center" vertical="center" wrapText="1"/>
    </xf>
    <xf numFmtId="9" fontId="7" fillId="0" borderId="13" xfId="2" applyFont="1" applyFill="1" applyBorder="1" applyAlignment="1">
      <alignment horizontal="center" vertical="center" wrapText="1"/>
    </xf>
    <xf numFmtId="9" fontId="7" fillId="0" borderId="6" xfId="2" applyFont="1" applyFill="1" applyBorder="1" applyAlignment="1">
      <alignment horizontal="center" vertical="center" wrapText="1"/>
    </xf>
    <xf numFmtId="9" fontId="7" fillId="0" borderId="11" xfId="2"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9" fontId="7" fillId="0" borderId="12" xfId="2" applyFont="1" applyFill="1" applyBorder="1" applyAlignment="1">
      <alignment horizontal="center" vertical="center" wrapText="1"/>
    </xf>
    <xf numFmtId="9" fontId="7" fillId="0" borderId="3" xfId="2" applyFont="1" applyFill="1" applyBorder="1" applyAlignment="1">
      <alignment horizontal="center" vertical="center" wrapText="1"/>
    </xf>
    <xf numFmtId="0" fontId="2" fillId="0" borderId="1" xfId="0" applyFont="1" applyFill="1" applyBorder="1" applyAlignment="1">
      <alignment horizontal="justify" vertical="center"/>
    </xf>
    <xf numFmtId="0" fontId="2" fillId="0" borderId="3" xfId="0" applyFont="1" applyFill="1" applyBorder="1" applyAlignment="1">
      <alignment horizontal="center" vertical="center"/>
    </xf>
    <xf numFmtId="0" fontId="7" fillId="0" borderId="5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2" xfId="0" applyFont="1" applyFill="1" applyBorder="1" applyAlignment="1">
      <alignment horizontal="center" vertical="center" wrapText="1"/>
    </xf>
    <xf numFmtId="0" fontId="7" fillId="0" borderId="50" xfId="0" applyFont="1" applyFill="1" applyBorder="1" applyAlignment="1">
      <alignment horizontal="center" vertical="center" wrapText="1"/>
    </xf>
    <xf numFmtId="177" fontId="7" fillId="0" borderId="52" xfId="0" applyNumberFormat="1" applyFont="1" applyBorder="1" applyAlignment="1">
      <alignment horizontal="center" vertical="center" wrapText="1"/>
    </xf>
    <xf numFmtId="9" fontId="7" fillId="0" borderId="52" xfId="2" applyFont="1" applyFill="1" applyBorder="1" applyAlignment="1">
      <alignment horizontal="center" vertical="center" wrapText="1"/>
    </xf>
    <xf numFmtId="9" fontId="7" fillId="0" borderId="50" xfId="2" applyFont="1" applyFill="1" applyBorder="1" applyAlignment="1">
      <alignment horizontal="center" vertical="center" wrapText="1"/>
    </xf>
    <xf numFmtId="1" fontId="7" fillId="0" borderId="52" xfId="0" applyNumberFormat="1" applyFont="1" applyFill="1" applyBorder="1" applyAlignment="1">
      <alignment horizontal="center" vertical="center" wrapText="1"/>
    </xf>
    <xf numFmtId="1" fontId="7" fillId="0" borderId="50" xfId="0" applyNumberFormat="1" applyFont="1" applyFill="1" applyBorder="1" applyAlignment="1">
      <alignment horizontal="center" vertical="center" wrapText="1"/>
    </xf>
    <xf numFmtId="14" fontId="2" fillId="0" borderId="5" xfId="0" applyNumberFormat="1" applyFont="1" applyBorder="1" applyAlignment="1">
      <alignment horizontal="center" vertical="center"/>
    </xf>
    <xf numFmtId="3" fontId="2" fillId="0" borderId="5" xfId="0" applyNumberFormat="1" applyFont="1" applyBorder="1" applyAlignment="1">
      <alignment horizontal="center" vertical="center"/>
    </xf>
    <xf numFmtId="0" fontId="2" fillId="0" borderId="19" xfId="0" applyFont="1" applyFill="1" applyBorder="1" applyAlignment="1">
      <alignment horizontal="center" vertical="center" wrapText="1"/>
    </xf>
    <xf numFmtId="0" fontId="2" fillId="0" borderId="32" xfId="0" applyFont="1" applyFill="1" applyBorder="1" applyAlignment="1">
      <alignment horizontal="justify" vertical="center" wrapText="1"/>
    </xf>
    <xf numFmtId="3" fontId="2" fillId="0" borderId="5"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49" xfId="0" applyFont="1" applyFill="1" applyBorder="1" applyAlignment="1">
      <alignment horizontal="justify" vertical="center" wrapText="1"/>
    </xf>
    <xf numFmtId="0" fontId="7" fillId="0" borderId="52" xfId="0" applyFont="1" applyFill="1" applyBorder="1" applyAlignment="1">
      <alignment horizontal="justify" vertical="center" wrapText="1"/>
    </xf>
    <xf numFmtId="0" fontId="7" fillId="0" borderId="50" xfId="0" applyFont="1" applyFill="1" applyBorder="1" applyAlignment="1">
      <alignment horizontal="justify" vertical="center" wrapText="1"/>
    </xf>
    <xf numFmtId="9" fontId="7" fillId="0" borderId="13" xfId="2" applyFont="1" applyBorder="1" applyAlignment="1">
      <alignment horizontal="center" vertical="center" wrapText="1"/>
    </xf>
    <xf numFmtId="9" fontId="7" fillId="0" borderId="6" xfId="2" applyFont="1" applyBorder="1" applyAlignment="1">
      <alignment horizontal="center" vertical="center" wrapText="1"/>
    </xf>
    <xf numFmtId="0" fontId="7" fillId="26" borderId="3" xfId="0" applyFont="1" applyFill="1" applyBorder="1" applyAlignment="1">
      <alignment horizontal="center" vertical="center" wrapText="1"/>
    </xf>
    <xf numFmtId="14" fontId="7" fillId="26" borderId="3" xfId="0" applyNumberFormat="1" applyFont="1" applyFill="1" applyBorder="1" applyAlignment="1">
      <alignment horizontal="center" vertical="center" wrapText="1"/>
    </xf>
    <xf numFmtId="9" fontId="7" fillId="26" borderId="3" xfId="2" applyFont="1" applyFill="1" applyBorder="1" applyAlignment="1">
      <alignment horizontal="center" vertical="center" wrapText="1"/>
    </xf>
    <xf numFmtId="0" fontId="7" fillId="0" borderId="29" xfId="0" applyFont="1" applyFill="1" applyBorder="1" applyAlignment="1">
      <alignment horizontal="justify" vertical="center" wrapText="1"/>
    </xf>
    <xf numFmtId="0" fontId="7" fillId="0" borderId="22" xfId="0" applyFont="1" applyFill="1" applyBorder="1" applyAlignment="1">
      <alignment horizontal="justify" vertical="center" wrapText="1"/>
    </xf>
    <xf numFmtId="1" fontId="7" fillId="0" borderId="9"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0" fontId="7" fillId="0" borderId="8" xfId="0" applyFont="1" applyFill="1" applyBorder="1" applyAlignment="1">
      <alignment horizontal="justify" vertical="center" wrapText="1"/>
    </xf>
    <xf numFmtId="0" fontId="7" fillId="0" borderId="3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0" xfId="10" applyNumberFormat="1" applyFont="1" applyFill="1" applyBorder="1" applyAlignment="1">
      <alignment horizontal="center" vertical="center" wrapText="1"/>
    </xf>
    <xf numFmtId="0" fontId="7" fillId="0" borderId="52" xfId="10" applyNumberFormat="1" applyFont="1" applyFill="1" applyBorder="1" applyAlignment="1">
      <alignment horizontal="center" vertical="center" wrapText="1"/>
    </xf>
    <xf numFmtId="0" fontId="7" fillId="0" borderId="55" xfId="10" applyNumberFormat="1" applyFont="1" applyFill="1" applyBorder="1" applyAlignment="1">
      <alignment horizontal="center" vertical="center" wrapText="1"/>
    </xf>
    <xf numFmtId="0" fontId="7" fillId="0" borderId="50" xfId="1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9" xfId="0" applyFont="1" applyFill="1" applyBorder="1" applyAlignment="1">
      <alignment horizontal="justify" vertical="center" wrapText="1"/>
    </xf>
    <xf numFmtId="1" fontId="7" fillId="0" borderId="15" xfId="0" applyNumberFormat="1" applyFont="1" applyFill="1" applyBorder="1" applyAlignment="1">
      <alignment horizontal="center" vertical="center" wrapText="1"/>
    </xf>
    <xf numFmtId="0" fontId="7" fillId="0" borderId="19" xfId="0" applyFont="1" applyFill="1" applyBorder="1" applyAlignment="1">
      <alignment horizontal="justify" vertical="center" wrapText="1"/>
    </xf>
    <xf numFmtId="1" fontId="7" fillId="0" borderId="5" xfId="0" applyNumberFormat="1" applyFont="1" applyFill="1" applyBorder="1" applyAlignment="1">
      <alignment horizontal="center" vertical="center" wrapText="1"/>
    </xf>
    <xf numFmtId="1" fontId="7" fillId="0" borderId="79" xfId="0" applyNumberFormat="1" applyFont="1" applyFill="1" applyBorder="1" applyAlignment="1">
      <alignment horizontal="center" vertical="center" wrapText="1"/>
    </xf>
    <xf numFmtId="0" fontId="7" fillId="0" borderId="79" xfId="0" applyFont="1" applyFill="1" applyBorder="1" applyAlignment="1">
      <alignment horizontal="justify" vertical="center" wrapText="1"/>
    </xf>
    <xf numFmtId="0" fontId="7" fillId="0" borderId="79" xfId="0" applyFont="1" applyFill="1" applyBorder="1" applyAlignment="1">
      <alignment horizontal="center" vertical="center" wrapText="1"/>
    </xf>
    <xf numFmtId="0" fontId="7" fillId="0" borderId="24" xfId="10" applyNumberFormat="1"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81" xfId="0" applyFont="1" applyFill="1" applyBorder="1" applyAlignment="1">
      <alignment horizontal="justify" vertical="center" wrapText="1"/>
    </xf>
    <xf numFmtId="0" fontId="2" fillId="0" borderId="62" xfId="0" applyFont="1" applyFill="1" applyBorder="1" applyAlignment="1">
      <alignment horizontal="justify" vertical="center" wrapText="1"/>
    </xf>
    <xf numFmtId="0" fontId="2" fillId="0" borderId="60" xfId="0" applyFont="1" applyFill="1" applyBorder="1" applyAlignment="1">
      <alignment horizontal="justify" vertical="center" wrapText="1"/>
    </xf>
    <xf numFmtId="0" fontId="7" fillId="0" borderId="5" xfId="3" applyFont="1" applyFill="1" applyBorder="1" applyAlignment="1">
      <alignment horizontal="center" vertical="center" wrapText="1"/>
    </xf>
    <xf numFmtId="0" fontId="7" fillId="0" borderId="80" xfId="0" applyFont="1" applyFill="1" applyBorder="1" applyAlignment="1">
      <alignment horizontal="justify" vertical="center" wrapText="1"/>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2" xfId="10" applyNumberFormat="1" applyFont="1" applyFill="1" applyBorder="1" applyAlignment="1">
      <alignment horizontal="center" vertical="center"/>
    </xf>
    <xf numFmtId="0" fontId="7" fillId="0" borderId="3" xfId="10" applyNumberFormat="1" applyFont="1" applyFill="1" applyBorder="1" applyAlignment="1">
      <alignment horizontal="center" vertical="center"/>
    </xf>
    <xf numFmtId="0" fontId="7" fillId="0" borderId="4" xfId="10" applyNumberFormat="1" applyFont="1" applyFill="1" applyBorder="1" applyAlignment="1">
      <alignment horizontal="center" vertical="center"/>
    </xf>
    <xf numFmtId="0" fontId="7" fillId="0" borderId="19" xfId="3" applyFont="1" applyFill="1" applyBorder="1" applyAlignment="1">
      <alignment horizontal="center" vertical="center" wrapText="1"/>
    </xf>
    <xf numFmtId="0" fontId="7" fillId="0" borderId="29" xfId="3" applyFont="1" applyFill="1" applyBorder="1" applyAlignment="1">
      <alignment horizontal="justify" vertical="center" wrapText="1"/>
    </xf>
    <xf numFmtId="0" fontId="7" fillId="0" borderId="22" xfId="3" applyFont="1" applyFill="1" applyBorder="1" applyAlignment="1">
      <alignment horizontal="justify" vertical="center" wrapText="1"/>
    </xf>
    <xf numFmtId="0" fontId="7" fillId="0" borderId="56" xfId="3" applyFont="1" applyFill="1" applyBorder="1" applyAlignment="1">
      <alignment horizontal="justify" vertical="center" wrapText="1"/>
    </xf>
    <xf numFmtId="1" fontId="7" fillId="0" borderId="9" xfId="3" applyNumberFormat="1" applyFont="1" applyFill="1" applyBorder="1" applyAlignment="1">
      <alignment horizontal="center" vertical="center" wrapText="1"/>
    </xf>
    <xf numFmtId="1" fontId="7" fillId="0" borderId="8" xfId="3" applyNumberFormat="1" applyFont="1" applyFill="1" applyBorder="1" applyAlignment="1">
      <alignment horizontal="center" vertical="center" wrapText="1"/>
    </xf>
    <xf numFmtId="1" fontId="7" fillId="0" borderId="21" xfId="3" applyNumberFormat="1" applyFont="1" applyFill="1" applyBorder="1" applyAlignment="1">
      <alignment horizontal="center" vertical="center" wrapText="1"/>
    </xf>
    <xf numFmtId="0" fontId="7" fillId="0" borderId="9" xfId="3" applyFont="1" applyFill="1" applyBorder="1" applyAlignment="1">
      <alignment horizontal="justify" vertical="center" wrapText="1"/>
    </xf>
    <xf numFmtId="0" fontId="7" fillId="0" borderId="8" xfId="3" applyFont="1" applyFill="1" applyBorder="1" applyAlignment="1">
      <alignment horizontal="justify" vertical="center" wrapText="1"/>
    </xf>
    <xf numFmtId="0" fontId="7" fillId="0" borderId="21" xfId="3"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10" xfId="0" applyFont="1" applyFill="1" applyBorder="1" applyAlignment="1">
      <alignment horizontal="justify" vertical="center" wrapText="1"/>
    </xf>
    <xf numFmtId="14" fontId="7" fillId="0" borderId="6" xfId="0" applyNumberFormat="1" applyFont="1" applyBorder="1" applyAlignment="1">
      <alignment horizontal="center" vertical="center" wrapText="1"/>
    </xf>
    <xf numFmtId="0" fontId="7" fillId="0" borderId="60" xfId="3" applyFont="1" applyFill="1" applyBorder="1" applyAlignment="1">
      <alignment horizontal="justify" vertical="center" wrapText="1"/>
    </xf>
    <xf numFmtId="0" fontId="7" fillId="0" borderId="52" xfId="3" applyFont="1" applyFill="1" applyBorder="1" applyAlignment="1">
      <alignment horizontal="justify" vertical="center" wrapText="1"/>
    </xf>
    <xf numFmtId="0" fontId="7" fillId="0" borderId="55" xfId="3" applyFont="1" applyFill="1" applyBorder="1" applyAlignment="1">
      <alignment horizontal="justify" vertical="center" wrapText="1"/>
    </xf>
    <xf numFmtId="0" fontId="7" fillId="0" borderId="60" xfId="3" applyFont="1" applyFill="1" applyBorder="1" applyAlignment="1">
      <alignment horizontal="center" vertical="center" wrapText="1"/>
    </xf>
    <xf numFmtId="0" fontId="7" fillId="0" borderId="52" xfId="3" applyFont="1" applyFill="1" applyBorder="1" applyAlignment="1">
      <alignment horizontal="center" vertical="center" wrapText="1"/>
    </xf>
    <xf numFmtId="0" fontId="7" fillId="0" borderId="50" xfId="3" applyFont="1" applyFill="1" applyBorder="1" applyAlignment="1">
      <alignment horizontal="center" vertical="center" wrapText="1"/>
    </xf>
    <xf numFmtId="0" fontId="7" fillId="0" borderId="14" xfId="10" applyNumberFormat="1" applyFont="1" applyFill="1" applyBorder="1" applyAlignment="1">
      <alignment horizontal="center" vertical="center" wrapText="1"/>
    </xf>
    <xf numFmtId="1" fontId="7" fillId="0" borderId="15" xfId="3" applyNumberFormat="1" applyFont="1" applyFill="1" applyBorder="1" applyAlignment="1">
      <alignment horizontal="center" vertical="center" wrapText="1"/>
    </xf>
    <xf numFmtId="0" fontId="7" fillId="0" borderId="60" xfId="0" applyFont="1" applyFill="1" applyBorder="1" applyAlignment="1">
      <alignment horizontal="justify" vertical="center" wrapText="1"/>
    </xf>
    <xf numFmtId="0" fontId="7" fillId="0" borderId="55" xfId="0" applyFont="1" applyFill="1" applyBorder="1" applyAlignment="1">
      <alignment horizontal="justify" vertical="center" wrapText="1"/>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14" fontId="7" fillId="0" borderId="6" xfId="0" applyNumberFormat="1" applyFont="1" applyFill="1" applyBorder="1" applyAlignment="1">
      <alignment horizontal="center" vertical="center"/>
    </xf>
    <xf numFmtId="14" fontId="7" fillId="0" borderId="11"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9" fontId="7" fillId="0" borderId="6" xfId="2" applyFont="1" applyFill="1" applyBorder="1" applyAlignment="1">
      <alignment horizontal="center" vertical="center"/>
    </xf>
    <xf numFmtId="9" fontId="7" fillId="0" borderId="11" xfId="2" applyFont="1" applyFill="1" applyBorder="1" applyAlignment="1">
      <alignment horizontal="center" vertical="center"/>
    </xf>
    <xf numFmtId="1" fontId="7" fillId="0" borderId="6"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0" fontId="2" fillId="0" borderId="14" xfId="10" applyNumberFormat="1" applyFont="1" applyFill="1" applyBorder="1" applyAlignment="1">
      <alignment horizontal="center" vertical="center" wrapText="1"/>
    </xf>
    <xf numFmtId="0" fontId="2" fillId="0" borderId="3" xfId="10" applyNumberFormat="1" applyFont="1" applyFill="1" applyBorder="1" applyAlignment="1">
      <alignment horizontal="center" vertical="center" wrapText="1"/>
    </xf>
    <xf numFmtId="0" fontId="2" fillId="0" borderId="4" xfId="10" applyNumberFormat="1" applyFont="1" applyFill="1" applyBorder="1" applyAlignment="1">
      <alignment horizontal="center" vertical="center" wrapText="1"/>
    </xf>
    <xf numFmtId="0" fontId="2" fillId="0" borderId="12" xfId="10" applyNumberFormat="1" applyFont="1" applyFill="1" applyBorder="1" applyAlignment="1">
      <alignment horizontal="center" vertical="center" wrapText="1"/>
    </xf>
    <xf numFmtId="0" fontId="2" fillId="0" borderId="42" xfId="1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14" fontId="7" fillId="0" borderId="1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1" fontId="2" fillId="0" borderId="32" xfId="0" applyNumberFormat="1" applyFont="1" applyFill="1" applyBorder="1" applyAlignment="1">
      <alignment horizontal="center" vertical="center" wrapText="1"/>
    </xf>
    <xf numFmtId="1" fontId="2" fillId="0" borderId="28" xfId="0" applyNumberFormat="1" applyFont="1" applyFill="1" applyBorder="1" applyAlignment="1">
      <alignment horizontal="center" vertical="center" wrapText="1"/>
    </xf>
    <xf numFmtId="177" fontId="2" fillId="0" borderId="12" xfId="11" applyNumberFormat="1" applyFont="1" applyFill="1" applyBorder="1" applyAlignment="1">
      <alignment horizontal="center" vertical="center" wrapText="1"/>
    </xf>
    <xf numFmtId="9" fontId="7" fillId="0" borderId="4" xfId="2" applyFont="1" applyFill="1" applyBorder="1" applyAlignment="1">
      <alignment horizontal="center" vertical="center" wrapText="1"/>
    </xf>
    <xf numFmtId="14" fontId="7" fillId="0" borderId="46" xfId="0" applyNumberFormat="1" applyFont="1" applyFill="1" applyBorder="1" applyAlignment="1">
      <alignment horizontal="center" vertical="center" wrapText="1"/>
    </xf>
    <xf numFmtId="14" fontId="7" fillId="0" borderId="27" xfId="0" applyNumberFormat="1" applyFont="1" applyFill="1" applyBorder="1" applyAlignment="1">
      <alignment horizontal="center" vertical="center" wrapText="1"/>
    </xf>
    <xf numFmtId="1" fontId="7" fillId="0" borderId="12" xfId="3" applyNumberFormat="1" applyFont="1" applyFill="1" applyBorder="1" applyAlignment="1">
      <alignment horizontal="center" vertical="center" wrapText="1"/>
    </xf>
    <xf numFmtId="0" fontId="7" fillId="0" borderId="24"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6" xfId="10" applyNumberFormat="1" applyFont="1" applyFill="1" applyBorder="1" applyAlignment="1">
      <alignment horizontal="center" vertical="center" wrapText="1"/>
    </xf>
    <xf numFmtId="0" fontId="2" fillId="0" borderId="26" xfId="10" applyNumberFormat="1" applyFont="1" applyFill="1" applyBorder="1" applyAlignment="1">
      <alignment horizontal="center" vertical="center" wrapText="1"/>
    </xf>
    <xf numFmtId="1" fontId="7" fillId="0" borderId="21" xfId="0" applyNumberFormat="1" applyFont="1" applyFill="1" applyBorder="1" applyAlignment="1">
      <alignment horizontal="center" vertical="center" wrapText="1"/>
    </xf>
    <xf numFmtId="0" fontId="7" fillId="0" borderId="21"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7" xfId="10" applyNumberFormat="1"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78" xfId="0" applyFont="1" applyFill="1" applyBorder="1" applyAlignment="1">
      <alignment horizontal="center" vertical="center" wrapText="1"/>
    </xf>
    <xf numFmtId="1" fontId="7" fillId="0" borderId="24"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1" xfId="0" applyFont="1" applyFill="1" applyBorder="1" applyAlignment="1">
      <alignment horizontal="center" vertical="center" wrapText="1"/>
    </xf>
    <xf numFmtId="177" fontId="2" fillId="0" borderId="28" xfId="11" applyNumberFormat="1" applyFont="1" applyFill="1" applyBorder="1" applyAlignment="1">
      <alignment horizontal="center" vertical="center" wrapText="1"/>
    </xf>
    <xf numFmtId="177" fontId="2" fillId="0" borderId="7" xfId="11" applyNumberFormat="1" applyFont="1" applyFill="1" applyBorder="1" applyAlignment="1">
      <alignment horizontal="center" vertical="center" wrapText="1"/>
    </xf>
    <xf numFmtId="177" fontId="2" fillId="0" borderId="12" xfId="0" applyNumberFormat="1" applyFont="1" applyBorder="1" applyAlignment="1">
      <alignment horizontal="center" vertical="center"/>
    </xf>
    <xf numFmtId="1" fontId="2" fillId="0" borderId="1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wrapText="1"/>
    </xf>
    <xf numFmtId="1" fontId="2" fillId="0" borderId="6"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9" fontId="2" fillId="0" borderId="6" xfId="2" applyFont="1" applyBorder="1" applyAlignment="1">
      <alignment horizontal="center" vertical="center" wrapText="1"/>
    </xf>
    <xf numFmtId="9" fontId="2" fillId="0" borderId="11" xfId="2" applyFont="1" applyBorder="1" applyAlignment="1">
      <alignment horizontal="center" vertical="center" wrapText="1"/>
    </xf>
    <xf numFmtId="177" fontId="2" fillId="0" borderId="4" xfId="11" applyNumberFormat="1" applyFont="1" applyFill="1" applyBorder="1" applyAlignment="1">
      <alignment horizontal="center" vertical="center" wrapText="1"/>
    </xf>
    <xf numFmtId="0" fontId="3" fillId="6" borderId="43" xfId="0" applyFont="1" applyFill="1" applyBorder="1" applyAlignment="1">
      <alignment horizontal="left" vertical="center"/>
    </xf>
    <xf numFmtId="1" fontId="3" fillId="12" borderId="2" xfId="0" applyNumberFormat="1" applyFont="1" applyFill="1" applyBorder="1" applyAlignment="1">
      <alignment horizontal="center" vertical="center" textRotation="90" wrapText="1"/>
    </xf>
    <xf numFmtId="1" fontId="3" fillId="12" borderId="32" xfId="0" applyNumberFormat="1" applyFont="1" applyFill="1" applyBorder="1" applyAlignment="1">
      <alignment horizontal="center" vertical="center" textRotation="90" wrapText="1"/>
    </xf>
    <xf numFmtId="0" fontId="3" fillId="12" borderId="1" xfId="0" applyFont="1" applyFill="1" applyBorder="1" applyAlignment="1">
      <alignment vertical="center" wrapText="1"/>
    </xf>
    <xf numFmtId="165" fontId="3" fillId="12" borderId="16" xfId="0" applyNumberFormat="1" applyFont="1" applyFill="1" applyBorder="1" applyAlignment="1">
      <alignment horizontal="center" vertical="center" wrapText="1"/>
    </xf>
    <xf numFmtId="165" fontId="3" fillId="12" borderId="19"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36" xfId="0" applyFont="1" applyBorder="1" applyAlignment="1">
      <alignment horizontal="center" vertical="center"/>
    </xf>
    <xf numFmtId="0" fontId="3" fillId="14" borderId="9" xfId="0" applyFont="1" applyFill="1" applyBorder="1" applyAlignment="1">
      <alignment horizontal="center" vertical="center"/>
    </xf>
    <xf numFmtId="1" fontId="3" fillId="25" borderId="37" xfId="0" applyNumberFormat="1" applyFont="1" applyFill="1" applyBorder="1" applyAlignment="1">
      <alignment horizontal="center" vertical="center" wrapText="1"/>
    </xf>
    <xf numFmtId="1" fontId="3" fillId="25" borderId="28" xfId="0" applyNumberFormat="1" applyFont="1" applyFill="1" applyBorder="1" applyAlignment="1">
      <alignment horizontal="center" vertical="center" wrapText="1"/>
    </xf>
    <xf numFmtId="3" fontId="5" fillId="25" borderId="2" xfId="0" applyNumberFormat="1" applyFont="1" applyFill="1" applyBorder="1" applyAlignment="1">
      <alignment horizontal="center" vertical="center" wrapText="1"/>
    </xf>
    <xf numFmtId="3" fontId="5" fillId="25" borderId="36" xfId="0" applyNumberFormat="1" applyFont="1" applyFill="1" applyBorder="1" applyAlignment="1">
      <alignment horizontal="center" vertical="center" wrapText="1"/>
    </xf>
    <xf numFmtId="3" fontId="5" fillId="25" borderId="32" xfId="0" applyNumberFormat="1" applyFont="1" applyFill="1" applyBorder="1" applyAlignment="1">
      <alignment horizontal="center" vertical="center" wrapText="1"/>
    </xf>
    <xf numFmtId="0" fontId="5" fillId="25" borderId="2" xfId="0" applyFont="1" applyFill="1" applyBorder="1" applyAlignment="1">
      <alignment horizontal="center" vertical="center" wrapText="1"/>
    </xf>
    <xf numFmtId="0" fontId="5" fillId="25" borderId="36" xfId="0" applyFont="1" applyFill="1" applyBorder="1" applyAlignment="1">
      <alignment horizontal="center" vertical="center" wrapText="1"/>
    </xf>
    <xf numFmtId="0" fontId="5" fillId="25" borderId="32" xfId="0" applyFont="1" applyFill="1" applyBorder="1" applyAlignment="1">
      <alignment horizontal="center" vertical="center" wrapText="1"/>
    </xf>
    <xf numFmtId="0" fontId="5" fillId="25" borderId="2" xfId="0" applyFont="1" applyFill="1" applyBorder="1" applyAlignment="1">
      <alignment horizontal="center" vertical="center"/>
    </xf>
    <xf numFmtId="0" fontId="5" fillId="25" borderId="36" xfId="0" applyFont="1" applyFill="1" applyBorder="1" applyAlignment="1">
      <alignment horizontal="center" vertical="center"/>
    </xf>
    <xf numFmtId="0" fontId="5" fillId="25" borderId="32" xfId="0" applyFont="1" applyFill="1" applyBorder="1" applyAlignment="1">
      <alignment horizontal="center" vertical="center"/>
    </xf>
    <xf numFmtId="0" fontId="5" fillId="25" borderId="1" xfId="0" applyFont="1" applyFill="1" applyBorder="1" applyAlignment="1">
      <alignment horizontal="center" vertical="center" wrapText="1"/>
    </xf>
    <xf numFmtId="0" fontId="5" fillId="25" borderId="13" xfId="0" applyFont="1" applyFill="1" applyBorder="1" applyAlignment="1">
      <alignment horizontal="center" vertical="center" textRotation="90" wrapText="1"/>
    </xf>
    <xf numFmtId="0" fontId="5" fillId="25" borderId="28" xfId="0" applyFont="1" applyFill="1" applyBorder="1" applyAlignment="1">
      <alignment horizontal="center" vertical="center" textRotation="90" wrapText="1"/>
    </xf>
    <xf numFmtId="0" fontId="5" fillId="25" borderId="6" xfId="0" applyFont="1" applyFill="1" applyBorder="1" applyAlignment="1">
      <alignment horizontal="center" vertical="center" textRotation="90" wrapText="1"/>
    </xf>
    <xf numFmtId="0" fontId="5" fillId="25" borderId="7" xfId="0" applyFont="1" applyFill="1" applyBorder="1" applyAlignment="1">
      <alignment horizontal="center" vertical="center" textRotation="90" wrapText="1"/>
    </xf>
    <xf numFmtId="169" fontId="18" fillId="25" borderId="2" xfId="5" applyFont="1" applyFill="1" applyBorder="1" applyAlignment="1">
      <alignment horizontal="center" vertical="center"/>
    </xf>
    <xf numFmtId="169" fontId="18" fillId="25" borderId="36" xfId="5" applyFont="1" applyFill="1" applyBorder="1" applyAlignment="1">
      <alignment horizontal="center" vertical="center"/>
    </xf>
    <xf numFmtId="169" fontId="18" fillId="25" borderId="32" xfId="5" applyFont="1" applyFill="1" applyBorder="1" applyAlignment="1">
      <alignment horizontal="center" vertical="center"/>
    </xf>
    <xf numFmtId="176" fontId="2" fillId="2" borderId="5" xfId="0" applyNumberFormat="1" applyFont="1" applyFill="1" applyBorder="1" applyAlignment="1">
      <alignment horizontal="right" vertical="center" wrapText="1"/>
    </xf>
    <xf numFmtId="176" fontId="2" fillId="2" borderId="9" xfId="0" applyNumberFormat="1" applyFont="1" applyFill="1" applyBorder="1" applyAlignment="1">
      <alignment horizontal="right" vertical="center" wrapText="1"/>
    </xf>
    <xf numFmtId="41" fontId="2" fillId="0" borderId="16" xfId="11" applyFont="1" applyBorder="1" applyAlignment="1">
      <alignment horizontal="center" vertical="center" wrapText="1"/>
    </xf>
    <xf numFmtId="0" fontId="2" fillId="0" borderId="16" xfId="0" applyFont="1" applyBorder="1" applyAlignment="1">
      <alignment horizontal="justify" vertical="center" wrapText="1"/>
    </xf>
    <xf numFmtId="0" fontId="2" fillId="2" borderId="19" xfId="0" applyFont="1" applyFill="1" applyBorder="1" applyAlignment="1">
      <alignment horizontal="center" vertical="center" wrapText="1"/>
    </xf>
    <xf numFmtId="164" fontId="2" fillId="0" borderId="1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5" fillId="0" borderId="45" xfId="0" applyFont="1" applyBorder="1" applyAlignment="1">
      <alignment horizontal="center" vertical="center"/>
    </xf>
    <xf numFmtId="0" fontId="5" fillId="0" borderId="30" xfId="0" applyFont="1" applyBorder="1" applyAlignment="1">
      <alignment horizontal="center" vertical="center"/>
    </xf>
    <xf numFmtId="0" fontId="7" fillId="0" borderId="4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14" applyFont="1" applyFill="1" applyBorder="1" applyAlignment="1">
      <alignment horizontal="center" vertical="center" wrapText="1"/>
    </xf>
    <xf numFmtId="176" fontId="2" fillId="0" borderId="12" xfId="0" applyNumberFormat="1" applyFont="1" applyBorder="1" applyAlignment="1">
      <alignment horizontal="right" vertical="center" wrapText="1"/>
    </xf>
    <xf numFmtId="176" fontId="2" fillId="0" borderId="3" xfId="0" applyNumberFormat="1" applyFont="1" applyBorder="1" applyAlignment="1">
      <alignment horizontal="right" vertical="center" wrapText="1"/>
    </xf>
    <xf numFmtId="176" fontId="2" fillId="0" borderId="4" xfId="0" applyNumberFormat="1" applyFont="1" applyBorder="1" applyAlignment="1">
      <alignment horizontal="right" vertical="center" wrapText="1"/>
    </xf>
    <xf numFmtId="41" fontId="2" fillId="2" borderId="12" xfId="11" applyFont="1" applyFill="1" applyBorder="1" applyAlignment="1">
      <alignment horizontal="center" vertical="center"/>
    </xf>
    <xf numFmtId="41" fontId="2" fillId="2" borderId="3" xfId="11" applyFont="1" applyFill="1" applyBorder="1" applyAlignment="1">
      <alignment horizontal="center" vertical="center"/>
    </xf>
    <xf numFmtId="41" fontId="2" fillId="2" borderId="4" xfId="11" applyFont="1" applyFill="1" applyBorder="1" applyAlignment="1">
      <alignment horizontal="center" vertical="center"/>
    </xf>
    <xf numFmtId="164" fontId="2" fillId="0" borderId="3" xfId="0" applyNumberFormat="1" applyFont="1" applyBorder="1" applyAlignment="1">
      <alignment horizontal="center" vertical="center" wrapText="1"/>
    </xf>
    <xf numFmtId="0" fontId="3" fillId="11" borderId="6" xfId="0" applyFont="1" applyFill="1" applyBorder="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7" fillId="0" borderId="39" xfId="0" applyFont="1" applyBorder="1" applyAlignment="1">
      <alignment horizontal="center" vertical="center" wrapText="1"/>
    </xf>
    <xf numFmtId="178" fontId="7" fillId="0" borderId="24" xfId="2" applyNumberFormat="1" applyFont="1" applyBorder="1" applyAlignment="1">
      <alignment horizontal="center" vertical="center" wrapText="1"/>
    </xf>
    <xf numFmtId="178" fontId="7" fillId="0" borderId="15" xfId="2" applyNumberFormat="1"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32" xfId="0" applyFont="1" applyBorder="1" applyAlignment="1">
      <alignment horizontal="justify" vertical="center" wrapText="1"/>
    </xf>
    <xf numFmtId="176" fontId="2" fillId="0" borderId="1" xfId="0" applyNumberFormat="1" applyFont="1" applyBorder="1" applyAlignment="1">
      <alignment horizontal="right" vertical="center" wrapText="1"/>
    </xf>
    <xf numFmtId="176" fontId="2" fillId="0" borderId="32" xfId="0" applyNumberFormat="1" applyFont="1" applyBorder="1" applyAlignment="1">
      <alignment horizontal="right" vertical="center" wrapText="1"/>
    </xf>
    <xf numFmtId="9" fontId="2" fillId="0" borderId="1" xfId="2" applyNumberFormat="1" applyFont="1" applyBorder="1" applyAlignment="1">
      <alignment horizontal="center" vertical="center" wrapText="1"/>
    </xf>
    <xf numFmtId="9" fontId="2" fillId="0" borderId="32" xfId="2"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0" fontId="2" fillId="0" borderId="36" xfId="0" applyFont="1" applyBorder="1" applyAlignment="1">
      <alignment horizontal="justify" vertical="center" wrapText="1"/>
    </xf>
    <xf numFmtId="41" fontId="2" fillId="0" borderId="1" xfId="11" applyFont="1" applyBorder="1" applyAlignment="1">
      <alignment horizontal="center" vertical="center" wrapText="1"/>
    </xf>
    <xf numFmtId="41" fontId="2" fillId="0" borderId="32" xfId="11" applyFont="1" applyBorder="1" applyAlignment="1">
      <alignment horizontal="center" vertical="center" wrapText="1"/>
    </xf>
    <xf numFmtId="41" fontId="2" fillId="0" borderId="12" xfId="11"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7" fillId="0" borderId="26" xfId="0" applyFont="1" applyFill="1" applyBorder="1" applyAlignment="1">
      <alignment horizontal="center" vertical="center" wrapText="1"/>
    </xf>
    <xf numFmtId="176" fontId="2" fillId="0" borderId="12" xfId="0" applyNumberFormat="1" applyFont="1" applyFill="1" applyBorder="1" applyAlignment="1">
      <alignment horizontal="right" vertical="center" wrapText="1"/>
    </xf>
    <xf numFmtId="176" fontId="2" fillId="0" borderId="3" xfId="0" applyNumberFormat="1" applyFont="1" applyFill="1" applyBorder="1" applyAlignment="1">
      <alignment horizontal="right" vertical="center" wrapText="1"/>
    </xf>
    <xf numFmtId="176" fontId="2" fillId="0" borderId="4" xfId="0" applyNumberFormat="1" applyFont="1" applyFill="1" applyBorder="1" applyAlignment="1">
      <alignment horizontal="right" vertical="center" wrapText="1"/>
    </xf>
    <xf numFmtId="9" fontId="2" fillId="0" borderId="12" xfId="2" applyNumberFormat="1" applyFont="1" applyFill="1" applyBorder="1" applyAlignment="1">
      <alignment horizontal="center" vertical="center" wrapText="1"/>
    </xf>
    <xf numFmtId="9" fontId="2" fillId="0" borderId="3" xfId="2" applyNumberFormat="1" applyFont="1" applyFill="1" applyBorder="1" applyAlignment="1">
      <alignment horizontal="center" vertical="center" wrapText="1"/>
    </xf>
    <xf numFmtId="9" fontId="2" fillId="0" borderId="4" xfId="2" applyNumberFormat="1" applyFont="1" applyFill="1" applyBorder="1" applyAlignment="1">
      <alignment horizontal="center" vertical="center" wrapText="1"/>
    </xf>
    <xf numFmtId="41" fontId="2" fillId="0" borderId="3" xfId="11" applyFont="1" applyBorder="1" applyAlignment="1">
      <alignment horizontal="center" vertical="center" wrapText="1"/>
    </xf>
    <xf numFmtId="41" fontId="2" fillId="0" borderId="4" xfId="11" applyFont="1" applyBorder="1" applyAlignment="1">
      <alignment horizontal="center" vertical="center" wrapText="1"/>
    </xf>
    <xf numFmtId="165" fontId="2" fillId="0" borderId="12" xfId="0" applyNumberFormat="1" applyFont="1" applyBorder="1" applyAlignment="1">
      <alignment horizontal="justify" vertical="center" wrapText="1"/>
    </xf>
    <xf numFmtId="165" fontId="2" fillId="0" borderId="3" xfId="0" applyNumberFormat="1" applyFont="1" applyBorder="1" applyAlignment="1">
      <alignment horizontal="justify" vertical="center" wrapText="1"/>
    </xf>
    <xf numFmtId="176" fontId="2" fillId="0" borderId="1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9" fontId="2" fillId="0" borderId="12" xfId="2" applyNumberFormat="1" applyFont="1" applyFill="1" applyBorder="1" applyAlignment="1">
      <alignment horizontal="center" vertical="center"/>
    </xf>
    <xf numFmtId="9" fontId="2" fillId="0" borderId="3" xfId="2" applyNumberFormat="1" applyFont="1" applyFill="1" applyBorder="1" applyAlignment="1">
      <alignment horizontal="center" vertical="center"/>
    </xf>
    <xf numFmtId="9" fontId="2" fillId="0" borderId="4" xfId="2" applyNumberFormat="1" applyFont="1" applyFill="1" applyBorder="1" applyAlignment="1">
      <alignment horizontal="center" vertical="center"/>
    </xf>
    <xf numFmtId="0" fontId="3" fillId="11" borderId="45" xfId="0" applyFont="1" applyFill="1" applyBorder="1" applyAlignment="1">
      <alignment horizontal="left" vertical="center"/>
    </xf>
    <xf numFmtId="0" fontId="3" fillId="11" borderId="30" xfId="0" applyFont="1" applyFill="1" applyBorder="1" applyAlignment="1">
      <alignment horizontal="left" vertical="center"/>
    </xf>
    <xf numFmtId="0" fontId="3" fillId="6" borderId="18" xfId="0" applyFont="1" applyFill="1" applyBorder="1" applyAlignment="1">
      <alignment horizontal="left" vertical="center"/>
    </xf>
    <xf numFmtId="0" fontId="3" fillId="6" borderId="17" xfId="0" applyFont="1" applyFill="1" applyBorder="1" applyAlignment="1">
      <alignment horizontal="left" vertical="center"/>
    </xf>
    <xf numFmtId="0" fontId="2" fillId="0" borderId="37" xfId="0" applyFont="1" applyBorder="1" applyAlignment="1">
      <alignment horizontal="center" vertical="center" wrapText="1"/>
    </xf>
    <xf numFmtId="0" fontId="2" fillId="0" borderId="19" xfId="0" applyFont="1" applyFill="1" applyBorder="1" applyAlignment="1">
      <alignment horizontal="justify" vertical="center" wrapText="1"/>
    </xf>
    <xf numFmtId="176" fontId="3" fillId="12" borderId="12" xfId="0" applyNumberFormat="1" applyFont="1" applyFill="1" applyBorder="1" applyAlignment="1">
      <alignment horizontal="center" vertical="center" wrapText="1"/>
    </xf>
    <xf numFmtId="176" fontId="3" fillId="12" borderId="4" xfId="0" applyNumberFormat="1" applyFont="1" applyFill="1" applyBorder="1" applyAlignment="1">
      <alignment horizontal="center" vertical="center" wrapText="1"/>
    </xf>
    <xf numFmtId="9" fontId="3" fillId="12" borderId="12" xfId="0" applyNumberFormat="1" applyFont="1" applyFill="1" applyBorder="1" applyAlignment="1">
      <alignment horizontal="center" vertical="center" wrapText="1"/>
    </xf>
    <xf numFmtId="9" fontId="3" fillId="12" borderId="4" xfId="0" applyNumberFormat="1"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32" xfId="0" applyFont="1" applyFill="1" applyBorder="1" applyAlignment="1">
      <alignment horizontal="center" vertical="center" wrapText="1"/>
    </xf>
    <xf numFmtId="41" fontId="3" fillId="12" borderId="1" xfId="11"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51" xfId="0" applyFont="1" applyFill="1" applyBorder="1" applyAlignment="1">
      <alignment horizontal="center" vertical="center" wrapText="1"/>
    </xf>
    <xf numFmtId="0" fontId="3" fillId="12" borderId="40"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3" fillId="14" borderId="23" xfId="0" applyFont="1" applyFill="1" applyBorder="1" applyAlignment="1">
      <alignment horizontal="center" vertical="center"/>
    </xf>
    <xf numFmtId="0" fontId="3" fillId="14" borderId="28" xfId="0" applyFont="1" applyFill="1" applyBorder="1" applyAlignment="1">
      <alignment horizontal="center" vertical="center"/>
    </xf>
    <xf numFmtId="1" fontId="3" fillId="4" borderId="4" xfId="0" applyNumberFormat="1" applyFont="1" applyFill="1" applyBorder="1" applyAlignment="1">
      <alignment horizontal="center" vertical="center" wrapText="1"/>
    </xf>
    <xf numFmtId="169" fontId="3" fillId="4" borderId="2" xfId="5" applyFont="1" applyFill="1" applyBorder="1" applyAlignment="1">
      <alignment horizontal="center" vertical="center"/>
    </xf>
    <xf numFmtId="169" fontId="3" fillId="4" borderId="36" xfId="5" applyFont="1" applyFill="1" applyBorder="1" applyAlignment="1">
      <alignment horizontal="center" vertical="center"/>
    </xf>
    <xf numFmtId="169" fontId="3" fillId="4" borderId="32" xfId="5" applyFont="1" applyFill="1" applyBorder="1" applyAlignment="1">
      <alignment horizontal="center" vertical="center"/>
    </xf>
    <xf numFmtId="172" fontId="3" fillId="12" borderId="13" xfId="0" applyNumberFormat="1" applyFont="1" applyFill="1" applyBorder="1" applyAlignment="1">
      <alignment horizontal="center" vertical="center" wrapText="1"/>
    </xf>
    <xf numFmtId="172" fontId="3" fillId="12" borderId="28" xfId="0" applyNumberFormat="1" applyFont="1" applyFill="1" applyBorder="1" applyAlignment="1">
      <alignment horizontal="center" vertical="center" wrapText="1"/>
    </xf>
    <xf numFmtId="172" fontId="3" fillId="12" borderId="11" xfId="0" applyNumberFormat="1" applyFont="1" applyFill="1" applyBorder="1" applyAlignment="1">
      <alignment horizontal="center" vertical="center" wrapText="1"/>
    </xf>
    <xf numFmtId="172" fontId="3" fillId="12" borderId="10" xfId="0" applyNumberFormat="1" applyFont="1" applyFill="1" applyBorder="1" applyAlignment="1">
      <alignment horizontal="center" vertical="center" wrapText="1"/>
    </xf>
    <xf numFmtId="172" fontId="3" fillId="12" borderId="37" xfId="0" applyNumberFormat="1" applyFont="1" applyFill="1" applyBorder="1" applyAlignment="1">
      <alignment horizontal="center" vertical="center" wrapText="1"/>
    </xf>
    <xf numFmtId="172" fontId="3" fillId="12" borderId="38" xfId="0" applyNumberFormat="1" applyFont="1" applyFill="1" applyBorder="1" applyAlignment="1">
      <alignment horizontal="center" vertical="center" wrapText="1"/>
    </xf>
    <xf numFmtId="165" fontId="3" fillId="12" borderId="2" xfId="0" applyNumberFormat="1" applyFont="1" applyFill="1" applyBorder="1" applyAlignment="1">
      <alignment horizontal="center" vertical="center" wrapText="1"/>
    </xf>
    <xf numFmtId="165" fontId="3" fillId="12" borderId="36" xfId="0" applyNumberFormat="1" applyFont="1" applyFill="1" applyBorder="1" applyAlignment="1">
      <alignment horizontal="center" vertical="center" wrapText="1"/>
    </xf>
    <xf numFmtId="165" fontId="3" fillId="12" borderId="32" xfId="0" applyNumberFormat="1" applyFont="1" applyFill="1" applyBorder="1" applyAlignment="1">
      <alignment horizontal="center" vertical="center" wrapText="1"/>
    </xf>
    <xf numFmtId="0" fontId="27" fillId="13" borderId="3" xfId="0" applyFont="1" applyFill="1" applyBorder="1" applyAlignment="1">
      <alignment horizontal="center" vertical="center" wrapText="1"/>
    </xf>
    <xf numFmtId="0" fontId="27" fillId="13" borderId="4" xfId="0" applyFont="1" applyFill="1" applyBorder="1" applyAlignment="1">
      <alignment horizontal="center" vertical="center" wrapText="1"/>
    </xf>
    <xf numFmtId="0" fontId="5" fillId="11" borderId="23" xfId="0" applyFont="1" applyFill="1" applyBorder="1" applyAlignment="1">
      <alignment horizontal="left" vertical="center" wrapText="1"/>
    </xf>
    <xf numFmtId="3" fontId="27" fillId="13" borderId="3" xfId="0" applyNumberFormat="1" applyFont="1" applyFill="1" applyBorder="1" applyAlignment="1">
      <alignment horizontal="center" vertical="center" wrapText="1"/>
    </xf>
    <xf numFmtId="3" fontId="27" fillId="13" borderId="4" xfId="0" applyNumberFormat="1" applyFont="1" applyFill="1" applyBorder="1" applyAlignment="1">
      <alignment horizontal="center" vertical="center" wrapText="1"/>
    </xf>
    <xf numFmtId="9" fontId="27" fillId="13" borderId="3" xfId="4" applyFont="1" applyFill="1" applyBorder="1" applyAlignment="1">
      <alignment horizontal="center" vertical="center" wrapText="1"/>
    </xf>
    <xf numFmtId="9" fontId="27" fillId="13" borderId="4" xfId="4"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8" borderId="18" xfId="0" applyFont="1" applyFill="1" applyBorder="1" applyAlignment="1">
      <alignment horizontal="left" vertical="center"/>
    </xf>
    <xf numFmtId="0" fontId="5" fillId="8" borderId="17" xfId="0" applyFont="1" applyFill="1" applyBorder="1" applyAlignment="1">
      <alignment horizontal="left" vertical="center"/>
    </xf>
    <xf numFmtId="0" fontId="7" fillId="2" borderId="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9" xfId="0" applyFont="1" applyFill="1" applyBorder="1" applyAlignment="1">
      <alignment horizontal="justify" vertical="center" wrapText="1"/>
    </xf>
    <xf numFmtId="0" fontId="7" fillId="5" borderId="8"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5" borderId="7" xfId="0" applyFont="1" applyFill="1" applyBorder="1" applyAlignment="1">
      <alignment horizontal="center" vertical="center" wrapText="1"/>
    </xf>
    <xf numFmtId="167" fontId="6" fillId="5" borderId="7" xfId="0" applyNumberFormat="1" applyFont="1" applyFill="1" applyBorder="1" applyAlignment="1">
      <alignment horizontal="center" vertical="center" wrapText="1"/>
    </xf>
    <xf numFmtId="0" fontId="6" fillId="5" borderId="85" xfId="0" applyFont="1" applyFill="1" applyBorder="1" applyAlignment="1">
      <alignment horizontal="justify" vertical="center" wrapText="1"/>
    </xf>
    <xf numFmtId="0" fontId="6" fillId="5" borderId="18" xfId="0" applyFont="1" applyFill="1" applyBorder="1" applyAlignment="1">
      <alignment horizontal="justify" vertical="center" wrapText="1"/>
    </xf>
    <xf numFmtId="0" fontId="6" fillId="5" borderId="40" xfId="0" applyFont="1" applyFill="1" applyBorder="1" applyAlignment="1">
      <alignment horizontal="justify" vertical="center" wrapText="1"/>
    </xf>
    <xf numFmtId="0" fontId="6" fillId="5" borderId="31" xfId="0" applyFont="1" applyFill="1" applyBorder="1" applyAlignment="1">
      <alignment horizontal="justify" vertical="center" wrapText="1"/>
    </xf>
    <xf numFmtId="0" fontId="6" fillId="5" borderId="14"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2" borderId="5" xfId="0" applyFont="1" applyFill="1" applyBorder="1" applyAlignment="1">
      <alignment horizontal="center" vertical="center" wrapText="1"/>
    </xf>
    <xf numFmtId="0" fontId="7" fillId="5" borderId="5" xfId="0" applyFont="1" applyFill="1" applyBorder="1" applyAlignment="1">
      <alignment horizontal="justify" vertical="center" wrapText="1"/>
    </xf>
    <xf numFmtId="9" fontId="6" fillId="5" borderId="7" xfId="2" applyFont="1" applyFill="1" applyBorder="1" applyAlignment="1">
      <alignment horizontal="center" vertical="center" wrapText="1"/>
    </xf>
    <xf numFmtId="14" fontId="6" fillId="5" borderId="14" xfId="0" applyNumberFormat="1" applyFont="1" applyFill="1" applyBorder="1" applyAlignment="1">
      <alignment horizontal="center" vertical="center" wrapText="1"/>
    </xf>
    <xf numFmtId="14" fontId="6" fillId="5" borderId="42"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5" borderId="5" xfId="0" applyFont="1" applyFill="1" applyBorder="1" applyAlignment="1">
      <alignment horizontal="center" vertical="center" wrapText="1"/>
    </xf>
    <xf numFmtId="10" fontId="6" fillId="5" borderId="5" xfId="0" applyNumberFormat="1" applyFont="1" applyFill="1" applyBorder="1" applyAlignment="1">
      <alignment horizontal="center" vertical="center" wrapText="1"/>
    </xf>
    <xf numFmtId="0" fontId="6" fillId="5" borderId="83" xfId="0" applyFont="1" applyFill="1" applyBorder="1" applyAlignment="1">
      <alignment horizontal="justify" vertical="center" wrapText="1"/>
    </xf>
    <xf numFmtId="0" fontId="7" fillId="5" borderId="15" xfId="0" applyFont="1" applyFill="1" applyBorder="1" applyAlignment="1">
      <alignment horizontal="justify" vertical="center" wrapText="1"/>
    </xf>
    <xf numFmtId="1" fontId="6" fillId="5" borderId="5" xfId="0" applyNumberFormat="1" applyFont="1" applyFill="1" applyBorder="1" applyAlignment="1">
      <alignment horizontal="center" vertical="center" wrapText="1"/>
    </xf>
    <xf numFmtId="0" fontId="6" fillId="5" borderId="5" xfId="0" applyFont="1" applyFill="1" applyBorder="1" applyAlignment="1">
      <alignment horizontal="justify" vertical="center" wrapText="1"/>
    </xf>
    <xf numFmtId="167" fontId="6" fillId="5" borderId="5" xfId="29"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justify" vertical="center" wrapText="1"/>
    </xf>
    <xf numFmtId="0" fontId="6" fillId="7" borderId="8" xfId="0" applyFont="1" applyFill="1" applyBorder="1" applyAlignment="1">
      <alignment horizontal="justify" vertical="center" wrapText="1"/>
    </xf>
    <xf numFmtId="1" fontId="6" fillId="7" borderId="9" xfId="0" applyNumberFormat="1" applyFont="1" applyFill="1" applyBorder="1" applyAlignment="1">
      <alignment horizontal="center" vertical="center" wrapText="1"/>
    </xf>
    <xf numFmtId="1" fontId="6" fillId="7" borderId="8" xfId="0" applyNumberFormat="1" applyFont="1" applyFill="1" applyBorder="1" applyAlignment="1">
      <alignment horizontal="center" vertical="center" wrapText="1"/>
    </xf>
    <xf numFmtId="9" fontId="6" fillId="7" borderId="9" xfId="0" applyNumberFormat="1" applyFont="1" applyFill="1" applyBorder="1" applyAlignment="1">
      <alignment horizontal="center" vertical="center" wrapText="1"/>
    </xf>
    <xf numFmtId="9" fontId="6" fillId="7" borderId="8" xfId="0" applyNumberFormat="1" applyFont="1" applyFill="1" applyBorder="1" applyAlignment="1">
      <alignment horizontal="center" vertical="center" wrapText="1"/>
    </xf>
    <xf numFmtId="167" fontId="6" fillId="0" borderId="9" xfId="29" applyFont="1" applyFill="1" applyBorder="1" applyAlignment="1">
      <alignment horizontal="center" vertical="center" wrapText="1"/>
    </xf>
    <xf numFmtId="167" fontId="6" fillId="0" borderId="8" xfId="29" applyFont="1" applyFill="1" applyBorder="1" applyAlignment="1">
      <alignment horizontal="center" vertical="center" wrapText="1"/>
    </xf>
    <xf numFmtId="0" fontId="6" fillId="7" borderId="20" xfId="0" applyFont="1" applyFill="1" applyBorder="1" applyAlignment="1">
      <alignment horizontal="justify" vertical="center" wrapText="1"/>
    </xf>
    <xf numFmtId="0" fontId="6" fillId="7" borderId="84" xfId="0" applyFont="1" applyFill="1" applyBorder="1" applyAlignment="1">
      <alignment horizontal="justify" vertical="center" wrapText="1"/>
    </xf>
    <xf numFmtId="0" fontId="6" fillId="0" borderId="7" xfId="0" applyFont="1" applyFill="1" applyBorder="1" applyAlignment="1">
      <alignment horizontal="center" vertical="center" wrapText="1"/>
    </xf>
    <xf numFmtId="0" fontId="6" fillId="7" borderId="40" xfId="0" applyFont="1" applyFill="1" applyBorder="1" applyAlignment="1">
      <alignment horizontal="justify" vertical="center" wrapText="1"/>
    </xf>
    <xf numFmtId="0" fontId="7" fillId="0" borderId="9" xfId="6" applyNumberFormat="1" applyFont="1" applyFill="1" applyBorder="1" applyAlignment="1">
      <alignment horizontal="center" vertical="center" wrapText="1"/>
    </xf>
    <xf numFmtId="0" fontId="7" fillId="0" borderId="21" xfId="6" applyNumberFormat="1" applyFont="1" applyFill="1" applyBorder="1" applyAlignment="1">
      <alignment horizontal="center" vertical="center" wrapText="1"/>
    </xf>
    <xf numFmtId="0" fontId="7" fillId="2" borderId="9" xfId="0" applyNumberFormat="1" applyFont="1" applyFill="1" applyBorder="1" applyAlignment="1">
      <alignment horizontal="justify" vertical="center" wrapText="1"/>
    </xf>
    <xf numFmtId="0" fontId="7" fillId="2" borderId="21" xfId="0" applyNumberFormat="1" applyFont="1" applyFill="1" applyBorder="1" applyAlignment="1">
      <alignment horizontal="justify" vertical="center" wrapText="1"/>
    </xf>
    <xf numFmtId="0" fontId="7" fillId="2" borderId="9" xfId="6" applyNumberFormat="1" applyFont="1" applyFill="1" applyBorder="1" applyAlignment="1">
      <alignment horizontal="center" vertical="center" wrapText="1"/>
    </xf>
    <xf numFmtId="0" fontId="7" fillId="2" borderId="21" xfId="6" applyNumberFormat="1"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21" xfId="3" applyFont="1" applyFill="1" applyBorder="1" applyAlignment="1">
      <alignment horizontal="center" vertical="center" wrapText="1"/>
    </xf>
    <xf numFmtId="9" fontId="6" fillId="0" borderId="7" xfId="2" applyFont="1" applyFill="1" applyBorder="1" applyAlignment="1">
      <alignment horizontal="center" vertical="center" wrapText="1"/>
    </xf>
    <xf numFmtId="14" fontId="7" fillId="7" borderId="3"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wrapText="1"/>
    </xf>
    <xf numFmtId="0" fontId="7" fillId="0" borderId="21" xfId="3" applyFont="1" applyBorder="1" applyAlignment="1">
      <alignment horizontal="justify" vertical="center" wrapText="1"/>
    </xf>
    <xf numFmtId="0" fontId="7" fillId="2" borderId="9"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xf>
    <xf numFmtId="0" fontId="6" fillId="7" borderId="21" xfId="0" applyFont="1" applyFill="1" applyBorder="1" applyAlignment="1">
      <alignment horizontal="center" vertical="center" wrapText="1"/>
    </xf>
    <xf numFmtId="1" fontId="6" fillId="7" borderId="21" xfId="0" applyNumberFormat="1" applyFont="1" applyFill="1" applyBorder="1" applyAlignment="1">
      <alignment horizontal="center" vertical="center" wrapText="1"/>
    </xf>
    <xf numFmtId="0" fontId="6" fillId="7" borderId="31" xfId="0" applyFont="1" applyFill="1" applyBorder="1" applyAlignment="1">
      <alignment horizontal="justify" vertical="center" wrapText="1"/>
    </xf>
    <xf numFmtId="0" fontId="6" fillId="7" borderId="18" xfId="0" applyFont="1" applyFill="1" applyBorder="1" applyAlignment="1">
      <alignment horizontal="justify" vertical="center" wrapText="1"/>
    </xf>
    <xf numFmtId="0" fontId="6" fillId="7" borderId="21" xfId="0" applyFont="1" applyFill="1" applyBorder="1" applyAlignment="1">
      <alignment horizontal="justify" vertical="center" wrapText="1"/>
    </xf>
    <xf numFmtId="9" fontId="6" fillId="7" borderId="21" xfId="0" applyNumberFormat="1" applyFont="1" applyFill="1" applyBorder="1" applyAlignment="1">
      <alignment horizontal="center" vertical="center" wrapText="1"/>
    </xf>
    <xf numFmtId="167" fontId="6" fillId="7" borderId="9" xfId="29" applyFont="1" applyFill="1" applyBorder="1" applyAlignment="1">
      <alignment horizontal="center" vertical="center" wrapText="1"/>
    </xf>
    <xf numFmtId="167" fontId="6" fillId="7" borderId="21" xfId="29" applyFont="1" applyFill="1" applyBorder="1" applyAlignment="1">
      <alignment horizontal="center" vertical="center" wrapText="1"/>
    </xf>
    <xf numFmtId="167" fontId="6" fillId="0" borderId="12"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9" fontId="6" fillId="0" borderId="4" xfId="2" applyFont="1" applyFill="1" applyBorder="1" applyAlignment="1">
      <alignment horizontal="center" vertical="center" wrapText="1"/>
    </xf>
    <xf numFmtId="0" fontId="6" fillId="0" borderId="14" xfId="0" applyFont="1" applyBorder="1" applyAlignment="1">
      <alignment horizontal="justify" vertical="center" wrapText="1"/>
    </xf>
    <xf numFmtId="0" fontId="6" fillId="0" borderId="42" xfId="0" applyFont="1" applyBorder="1" applyAlignment="1">
      <alignment horizontal="justify" vertical="center" wrapText="1"/>
    </xf>
    <xf numFmtId="10" fontId="6" fillId="0" borderId="14" xfId="0" applyNumberFormat="1" applyFont="1" applyBorder="1" applyAlignment="1">
      <alignment horizontal="center" vertical="center" wrapText="1"/>
    </xf>
    <xf numFmtId="10" fontId="6" fillId="0" borderId="3" xfId="0" applyNumberFormat="1" applyFont="1" applyBorder="1" applyAlignment="1">
      <alignment horizontal="center" vertical="center" wrapText="1"/>
    </xf>
    <xf numFmtId="10" fontId="6"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60"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55" xfId="0" applyFont="1" applyBorder="1" applyAlignment="1">
      <alignment horizontal="justify" vertical="center" wrapText="1"/>
    </xf>
    <xf numFmtId="10" fontId="6" fillId="0" borderId="42"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3" fontId="6" fillId="0" borderId="42" xfId="0" applyNumberFormat="1" applyFont="1" applyBorder="1" applyAlignment="1">
      <alignment horizontal="center" vertical="center" wrapText="1"/>
    </xf>
    <xf numFmtId="14" fontId="6" fillId="0" borderId="14"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14" fontId="6" fillId="0" borderId="42" xfId="0" applyNumberFormat="1" applyFont="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187" fontId="6" fillId="0" borderId="14" xfId="11" applyNumberFormat="1" applyFont="1" applyBorder="1" applyAlignment="1">
      <alignment horizontal="center" vertical="center" wrapText="1"/>
    </xf>
    <xf numFmtId="187" fontId="6" fillId="0" borderId="3" xfId="11" applyNumberFormat="1" applyFont="1" applyBorder="1" applyAlignment="1">
      <alignment horizontal="center" vertical="center" wrapText="1"/>
    </xf>
    <xf numFmtId="187" fontId="6" fillId="0" borderId="42" xfId="11" applyNumberFormat="1" applyFont="1" applyBorder="1" applyAlignment="1">
      <alignment horizontal="center" vertical="center" wrapText="1"/>
    </xf>
    <xf numFmtId="9" fontId="6" fillId="0" borderId="14" xfId="2" applyFont="1" applyBorder="1" applyAlignment="1">
      <alignment horizontal="center" vertical="center" wrapText="1"/>
    </xf>
    <xf numFmtId="9" fontId="6" fillId="0" borderId="3" xfId="2" applyFont="1" applyBorder="1" applyAlignment="1">
      <alignment horizontal="center" vertical="center" wrapText="1"/>
    </xf>
    <xf numFmtId="9" fontId="6" fillId="0" borderId="42" xfId="2" applyFont="1" applyBorder="1" applyAlignment="1">
      <alignment horizontal="center" vertical="center" wrapText="1"/>
    </xf>
    <xf numFmtId="3" fontId="6" fillId="0" borderId="1" xfId="0" applyNumberFormat="1" applyFont="1" applyBorder="1" applyAlignment="1">
      <alignment horizontal="center" vertical="center" wrapText="1"/>
    </xf>
    <xf numFmtId="167" fontId="6" fillId="0" borderId="14" xfId="29" applyFont="1" applyBorder="1" applyAlignment="1">
      <alignment horizontal="center" vertical="center" wrapText="1"/>
    </xf>
    <xf numFmtId="167" fontId="6" fillId="0" borderId="3" xfId="29" applyFont="1" applyBorder="1" applyAlignment="1">
      <alignment horizontal="center" vertical="center" wrapText="1"/>
    </xf>
    <xf numFmtId="0" fontId="6" fillId="2" borderId="12" xfId="0" applyFont="1" applyFill="1" applyBorder="1" applyAlignment="1">
      <alignment horizontal="justify" vertical="center" wrapText="1"/>
    </xf>
    <xf numFmtId="0" fontId="6" fillId="2" borderId="42" xfId="0" applyFont="1" applyFill="1" applyBorder="1" applyAlignment="1">
      <alignment horizontal="justify" vertical="center" wrapText="1"/>
    </xf>
    <xf numFmtId="0" fontId="5" fillId="8" borderId="40" xfId="0" applyFont="1" applyFill="1" applyBorder="1" applyAlignment="1">
      <alignment horizontal="left" vertical="center"/>
    </xf>
    <xf numFmtId="0" fontId="5" fillId="8" borderId="16" xfId="0" applyFont="1" applyFill="1" applyBorder="1" applyAlignment="1">
      <alignment horizontal="left" vertical="center"/>
    </xf>
    <xf numFmtId="9" fontId="6" fillId="0" borderId="45" xfId="2" applyFont="1" applyBorder="1" applyAlignment="1">
      <alignment horizontal="center" vertical="center" wrapText="1"/>
    </xf>
    <xf numFmtId="9" fontId="6" fillId="0" borderId="6" xfId="2" applyFont="1" applyBorder="1" applyAlignment="1">
      <alignment horizontal="center" vertical="center" wrapText="1"/>
    </xf>
    <xf numFmtId="9" fontId="6" fillId="0" borderId="51" xfId="2" applyFont="1" applyBorder="1" applyAlignment="1">
      <alignment horizontal="center" vertical="center" wrapText="1"/>
    </xf>
    <xf numFmtId="0" fontId="6" fillId="0" borderId="6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42"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1" fontId="6" fillId="0" borderId="42" xfId="0" applyNumberFormat="1" applyFont="1" applyBorder="1" applyAlignment="1">
      <alignment horizontal="center" vertical="center" wrapText="1"/>
    </xf>
    <xf numFmtId="9" fontId="6" fillId="0" borderId="14"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167" fontId="6" fillId="0" borderId="42" xfId="29" applyFont="1" applyBorder="1" applyAlignment="1">
      <alignment horizontal="center" vertical="center" wrapText="1"/>
    </xf>
    <xf numFmtId="0" fontId="5" fillId="11" borderId="16" xfId="0" applyFont="1" applyFill="1" applyBorder="1" applyAlignment="1">
      <alignment horizontal="left" vertical="center"/>
    </xf>
    <xf numFmtId="0" fontId="6" fillId="0" borderId="6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5" xfId="0" applyFont="1" applyBorder="1" applyAlignment="1">
      <alignment horizontal="center" vertical="center" wrapText="1"/>
    </xf>
    <xf numFmtId="0" fontId="7" fillId="0" borderId="14" xfId="0" applyFont="1" applyFill="1" applyBorder="1" applyAlignment="1">
      <alignment horizontal="justify" vertical="center" wrapText="1"/>
    </xf>
    <xf numFmtId="0" fontId="5" fillId="8" borderId="31" xfId="0" applyFont="1" applyFill="1" applyBorder="1" applyAlignment="1">
      <alignment horizontal="left" vertical="center"/>
    </xf>
    <xf numFmtId="0" fontId="7" fillId="0" borderId="14" xfId="12" applyNumberFormat="1" applyFont="1" applyFill="1" applyBorder="1" applyAlignment="1">
      <alignment horizontal="justify" vertical="center" wrapText="1"/>
    </xf>
    <xf numFmtId="0" fontId="7" fillId="0" borderId="42" xfId="12" applyNumberFormat="1" applyFont="1" applyFill="1" applyBorder="1" applyAlignment="1">
      <alignment horizontal="justify" vertical="center" wrapText="1"/>
    </xf>
    <xf numFmtId="0" fontId="12" fillId="11" borderId="2" xfId="0" applyFont="1" applyFill="1" applyBorder="1" applyAlignment="1">
      <alignment horizontal="left" vertical="center"/>
    </xf>
    <xf numFmtId="0" fontId="12" fillId="11" borderId="36" xfId="0" applyFont="1" applyFill="1" applyBorder="1" applyAlignment="1">
      <alignment horizontal="left" vertical="center"/>
    </xf>
    <xf numFmtId="3" fontId="3" fillId="12" borderId="2" xfId="0" applyNumberFormat="1" applyFont="1" applyFill="1" applyBorder="1" applyAlignment="1">
      <alignment horizontal="center" vertical="center" textRotation="90" wrapText="1"/>
    </xf>
    <xf numFmtId="3" fontId="3" fillId="12" borderId="32" xfId="0" applyNumberFormat="1" applyFont="1" applyFill="1" applyBorder="1" applyAlignment="1">
      <alignment horizontal="center" vertical="center" textRotation="90" wrapText="1"/>
    </xf>
    <xf numFmtId="3" fontId="3" fillId="12" borderId="11" xfId="0" applyNumberFormat="1" applyFont="1" applyFill="1" applyBorder="1" applyAlignment="1">
      <alignment horizontal="center" vertical="center" textRotation="90" wrapText="1"/>
    </xf>
    <xf numFmtId="3" fontId="3" fillId="12" borderId="10" xfId="0" applyNumberFormat="1" applyFont="1" applyFill="1" applyBorder="1" applyAlignment="1">
      <alignment horizontal="center" vertical="center" textRotation="90" wrapText="1"/>
    </xf>
    <xf numFmtId="0" fontId="3" fillId="12" borderId="11" xfId="0" applyFont="1" applyFill="1" applyBorder="1" applyAlignment="1">
      <alignment horizontal="center" vertical="center" wrapText="1"/>
    </xf>
    <xf numFmtId="3" fontId="5" fillId="4" borderId="2" xfId="0" applyNumberFormat="1" applyFont="1" applyFill="1" applyBorder="1" applyAlignment="1">
      <alignment horizontal="center" vertical="center"/>
    </xf>
    <xf numFmtId="3" fontId="5" fillId="4" borderId="36" xfId="0" applyNumberFormat="1" applyFont="1" applyFill="1" applyBorder="1" applyAlignment="1">
      <alignment horizontal="center" vertical="center"/>
    </xf>
    <xf numFmtId="3" fontId="5" fillId="4" borderId="32" xfId="0" applyNumberFormat="1" applyFont="1" applyFill="1" applyBorder="1" applyAlignment="1">
      <alignment horizontal="center" vertical="center"/>
    </xf>
    <xf numFmtId="3" fontId="5" fillId="4" borderId="13" xfId="0" applyNumberFormat="1" applyFont="1" applyFill="1" applyBorder="1" applyAlignment="1">
      <alignment horizontal="center" vertical="center" textRotation="90" wrapText="1"/>
    </xf>
    <xf numFmtId="3" fontId="5" fillId="4" borderId="28" xfId="0" applyNumberFormat="1" applyFont="1" applyFill="1" applyBorder="1" applyAlignment="1">
      <alignment horizontal="center" vertical="center" textRotation="90" wrapText="1"/>
    </xf>
    <xf numFmtId="3" fontId="5" fillId="4" borderId="11" xfId="0" applyNumberFormat="1" applyFont="1" applyFill="1" applyBorder="1" applyAlignment="1">
      <alignment horizontal="center" vertical="center" textRotation="90" wrapText="1"/>
    </xf>
    <xf numFmtId="3" fontId="5" fillId="4" borderId="10" xfId="0" applyNumberFormat="1" applyFont="1" applyFill="1" applyBorder="1" applyAlignment="1">
      <alignment horizontal="center" vertical="center" textRotation="90" wrapText="1"/>
    </xf>
    <xf numFmtId="0" fontId="3" fillId="14" borderId="1" xfId="0" applyFont="1" applyFill="1" applyBorder="1" applyAlignment="1">
      <alignment horizontal="center" vertical="center" wrapText="1"/>
    </xf>
    <xf numFmtId="0" fontId="33" fillId="11" borderId="18" xfId="0" applyFont="1" applyFill="1" applyBorder="1" applyAlignment="1">
      <alignment horizontal="center" vertical="center"/>
    </xf>
    <xf numFmtId="0" fontId="33" fillId="11" borderId="17" xfId="0" applyFont="1" applyFill="1" applyBorder="1" applyAlignment="1">
      <alignment horizontal="center" vertical="center"/>
    </xf>
    <xf numFmtId="0" fontId="33" fillId="7" borderId="6" xfId="0" applyFont="1" applyFill="1" applyBorder="1" applyAlignment="1">
      <alignment horizontal="center" vertical="center" wrapText="1"/>
    </xf>
    <xf numFmtId="0" fontId="33" fillId="7" borderId="0" xfId="0" applyFont="1" applyFill="1" applyAlignment="1">
      <alignment horizontal="center" vertical="center" wrapText="1"/>
    </xf>
    <xf numFmtId="0" fontId="33" fillId="7" borderId="51"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10" xfId="0" applyFont="1" applyBorder="1" applyAlignment="1">
      <alignment horizontal="center" vertical="center" wrapText="1"/>
    </xf>
    <xf numFmtId="4" fontId="7" fillId="0" borderId="53" xfId="0" applyNumberFormat="1" applyFont="1" applyBorder="1" applyAlignment="1">
      <alignment horizontal="center" vertical="center" wrapText="1"/>
    </xf>
    <xf numFmtId="4" fontId="7" fillId="0" borderId="27" xfId="0" applyNumberFormat="1" applyFont="1" applyBorder="1" applyAlignment="1">
      <alignment horizontal="center" vertical="center" wrapText="1"/>
    </xf>
    <xf numFmtId="4" fontId="7" fillId="0" borderId="61" xfId="0" applyNumberFormat="1" applyFont="1" applyBorder="1" applyAlignment="1">
      <alignment horizontal="center" vertical="center" wrapText="1"/>
    </xf>
    <xf numFmtId="0" fontId="6" fillId="7" borderId="52" xfId="0" applyFont="1" applyFill="1" applyBorder="1" applyAlignment="1">
      <alignment horizontal="justify" vertical="center" wrapText="1"/>
    </xf>
    <xf numFmtId="0" fontId="6" fillId="7" borderId="55" xfId="0" applyFont="1" applyFill="1" applyBorder="1" applyAlignment="1">
      <alignment horizontal="justify" vertical="center" wrapText="1"/>
    </xf>
    <xf numFmtId="1" fontId="6" fillId="7" borderId="3" xfId="0" applyNumberFormat="1" applyFont="1" applyFill="1" applyBorder="1" applyAlignment="1">
      <alignment horizontal="center" vertical="center" wrapText="1"/>
    </xf>
    <xf numFmtId="1" fontId="6" fillId="7" borderId="4" xfId="0" applyNumberFormat="1" applyFont="1" applyFill="1" applyBorder="1" applyAlignment="1">
      <alignment horizontal="center" vertical="center" wrapText="1"/>
    </xf>
    <xf numFmtId="4" fontId="6" fillId="7" borderId="14" xfId="0" applyNumberFormat="1" applyFont="1" applyFill="1" applyBorder="1" applyAlignment="1">
      <alignment horizontal="center" vertical="center" wrapText="1"/>
    </xf>
    <xf numFmtId="14" fontId="6" fillId="7" borderId="3" xfId="0" applyNumberFormat="1" applyFont="1" applyFill="1" applyBorder="1" applyAlignment="1">
      <alignment horizontal="center" vertical="center" wrapText="1"/>
    </xf>
    <xf numFmtId="0" fontId="6" fillId="7" borderId="42" xfId="0" applyFont="1" applyFill="1" applyBorder="1" applyAlignment="1">
      <alignment horizontal="center" vertical="center" wrapText="1"/>
    </xf>
    <xf numFmtId="9" fontId="6" fillId="7" borderId="14" xfId="2" applyFont="1" applyFill="1" applyBorder="1" applyAlignment="1">
      <alignment horizontal="center" vertical="center" wrapText="1"/>
    </xf>
    <xf numFmtId="9" fontId="6" fillId="7" borderId="4" xfId="2" applyFont="1" applyFill="1" applyBorder="1" applyAlignment="1">
      <alignment horizontal="center" vertical="center" wrapText="1"/>
    </xf>
  </cellXfs>
  <cellStyles count="30">
    <cellStyle name="Excel Built-in Normal" xfId="18" xr:uid="{00000000-0005-0000-0000-000000000000}"/>
    <cellStyle name="Incorrecto" xfId="15" builtinId="27"/>
    <cellStyle name="KPT04" xfId="12" xr:uid="{00000000-0005-0000-0000-000002000000}"/>
    <cellStyle name="KPT04 2" xfId="14" xr:uid="{00000000-0005-0000-0000-000003000000}"/>
    <cellStyle name="Millares" xfId="10" builtinId="3"/>
    <cellStyle name="Millares [0]" xfId="11" builtinId="6"/>
    <cellStyle name="Millares [0] 2" xfId="16" xr:uid="{00000000-0005-0000-0000-000006000000}"/>
    <cellStyle name="Millares [0] 3 2" xfId="22" xr:uid="{00000000-0005-0000-0000-000007000000}"/>
    <cellStyle name="Millares 2" xfId="7" xr:uid="{00000000-0005-0000-0000-000008000000}"/>
    <cellStyle name="Millares 2 2" xfId="8" xr:uid="{00000000-0005-0000-0000-000009000000}"/>
    <cellStyle name="Millares 2 2 2" xfId="13" xr:uid="{00000000-0005-0000-0000-00000A000000}"/>
    <cellStyle name="Millares 2 2 2 2" xfId="6" xr:uid="{00000000-0005-0000-0000-00000B000000}"/>
    <cellStyle name="Millares 2 2 3" xfId="28" xr:uid="{00000000-0005-0000-0000-00000C000000}"/>
    <cellStyle name="Millares 3" xfId="29" xr:uid="{00000000-0005-0000-0000-00000D000000}"/>
    <cellStyle name="Moneda" xfId="1" builtinId="4"/>
    <cellStyle name="Moneda [0]" xfId="21" builtinId="7"/>
    <cellStyle name="Moneda [0] 2" xfId="9" xr:uid="{00000000-0005-0000-0000-000010000000}"/>
    <cellStyle name="Moneda 2" xfId="17" xr:uid="{00000000-0005-0000-0000-000011000000}"/>
    <cellStyle name="Moneda 2 2" xfId="20" xr:uid="{00000000-0005-0000-0000-000012000000}"/>
    <cellStyle name="Moneda 2 3" xfId="26" xr:uid="{00000000-0005-0000-0000-000013000000}"/>
    <cellStyle name="Moneda 3" xfId="19" xr:uid="{00000000-0005-0000-0000-000014000000}"/>
    <cellStyle name="Normal" xfId="0" builtinId="0"/>
    <cellStyle name="Normal 2" xfId="3" xr:uid="{00000000-0005-0000-0000-000016000000}"/>
    <cellStyle name="Normal 2 2" xfId="23" xr:uid="{00000000-0005-0000-0000-000017000000}"/>
    <cellStyle name="Normal 2 2 2" xfId="25" xr:uid="{00000000-0005-0000-0000-000018000000}"/>
    <cellStyle name="Normal 2 3" xfId="5" xr:uid="{00000000-0005-0000-0000-000019000000}"/>
    <cellStyle name="Normal 3" xfId="24" xr:uid="{00000000-0005-0000-0000-00001A000000}"/>
    <cellStyle name="Normal 7" xfId="27" xr:uid="{00000000-0005-0000-0000-00001B000000}"/>
    <cellStyle name="Porcentaje" xfId="2" builtinId="5"/>
    <cellStyle name="Porcentaje 2 2" xfId="4" xr:uid="{00000000-0005-0000-0000-00001D000000}"/>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74839</xdr:colOff>
      <xdr:row>0</xdr:row>
      <xdr:rowOff>1</xdr:rowOff>
    </xdr:from>
    <xdr:ext cx="929141" cy="1131321"/>
    <xdr:pic>
      <xdr:nvPicPr>
        <xdr:cNvPr id="2" name="Imagen 1" descr="C:\Users\AUXPLANEACION03\Desktop\Gobernacion_del_quindi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39" y="1"/>
          <a:ext cx="929141" cy="1131321"/>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552449</xdr:colOff>
      <xdr:row>0</xdr:row>
      <xdr:rowOff>166008</xdr:rowOff>
    </xdr:from>
    <xdr:to>
      <xdr:col>1</xdr:col>
      <xdr:colOff>244928</xdr:colOff>
      <xdr:row>3</xdr:row>
      <xdr:rowOff>54430</xdr:rowOff>
    </xdr:to>
    <xdr:pic>
      <xdr:nvPicPr>
        <xdr:cNvPr id="2" name="Imagen 1" descr="C:\Users\AUXPLANEACION03\Desktop\Gobernacion_del_quindio.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49" y="166008"/>
          <a:ext cx="816429" cy="80282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350384</xdr:colOff>
      <xdr:row>0</xdr:row>
      <xdr:rowOff>66335</xdr:rowOff>
    </xdr:from>
    <xdr:to>
      <xdr:col>1</xdr:col>
      <xdr:colOff>476250</xdr:colOff>
      <xdr:row>3</xdr:row>
      <xdr:rowOff>163285</xdr:rowOff>
    </xdr:to>
    <xdr:pic>
      <xdr:nvPicPr>
        <xdr:cNvPr id="2" name="Imagen 1" descr="C:\Users\AUXPLANEACION03\Desktop\Gobernacion_del_quindio.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384" y="66335"/>
          <a:ext cx="1030741" cy="10113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206375</xdr:colOff>
      <xdr:row>0</xdr:row>
      <xdr:rowOff>127000</xdr:rowOff>
    </xdr:from>
    <xdr:ext cx="1334440" cy="1225550"/>
    <xdr:pic>
      <xdr:nvPicPr>
        <xdr:cNvPr id="2" name="Imagen 1" descr="C:\Users\AUXPLANEACION03\Desktop\Gobernacion_del_quindio.jpg">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127000"/>
          <a:ext cx="1334440" cy="1225550"/>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285750</xdr:colOff>
      <xdr:row>0</xdr:row>
      <xdr:rowOff>193221</xdr:rowOff>
    </xdr:from>
    <xdr:ext cx="992143" cy="1074965"/>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3221"/>
          <a:ext cx="992143" cy="1074965"/>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3</xdr:row>
      <xdr:rowOff>152400</xdr:rowOff>
    </xdr:to>
    <xdr:pic>
      <xdr:nvPicPr>
        <xdr:cNvPr id="2" name="Imagen 1" descr="C:\Users\AUXPLANEACION03\Desktop\Gobernacion_del_quindio.jpg">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9125" cy="7524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35719</xdr:rowOff>
    </xdr:from>
    <xdr:to>
      <xdr:col>1</xdr:col>
      <xdr:colOff>52387</xdr:colOff>
      <xdr:row>3</xdr:row>
      <xdr:rowOff>188119</xdr:rowOff>
    </xdr:to>
    <xdr:pic>
      <xdr:nvPicPr>
        <xdr:cNvPr id="2" name="Imagen 1" descr="C:\Users\AUXPLANEACION03\Desktop\Gobernacion_del_quindio.jpg">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719"/>
          <a:ext cx="938212"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646339</xdr:colOff>
      <xdr:row>0</xdr:row>
      <xdr:rowOff>0</xdr:rowOff>
    </xdr:from>
    <xdr:to>
      <xdr:col>1</xdr:col>
      <xdr:colOff>547007</xdr:colOff>
      <xdr:row>5</xdr:row>
      <xdr:rowOff>97518</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339" y="0"/>
          <a:ext cx="948418" cy="11738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89921</xdr:colOff>
      <xdr:row>5</xdr:row>
      <xdr:rowOff>20865</xdr:rowOff>
    </xdr:to>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8121" cy="10209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15308</xdr:colOff>
      <xdr:row>0</xdr:row>
      <xdr:rowOff>95250</xdr:rowOff>
    </xdr:from>
    <xdr:to>
      <xdr:col>1</xdr:col>
      <xdr:colOff>246314</xdr:colOff>
      <xdr:row>5</xdr:row>
      <xdr:rowOff>204107</xdr:rowOff>
    </xdr:to>
    <xdr:pic>
      <xdr:nvPicPr>
        <xdr:cNvPr id="2" name="Imagen 1" descr="C:\Users\AUXPLANEACION03\Desktop\Gobernacion_del_quindi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8" y="95250"/>
          <a:ext cx="1059681" cy="133758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290512</xdr:colOff>
      <xdr:row>0</xdr:row>
      <xdr:rowOff>109537</xdr:rowOff>
    </xdr:from>
    <xdr:to>
      <xdr:col>1</xdr:col>
      <xdr:colOff>369092</xdr:colOff>
      <xdr:row>3</xdr:row>
      <xdr:rowOff>71436</xdr:rowOff>
    </xdr:to>
    <xdr:pic>
      <xdr:nvPicPr>
        <xdr:cNvPr id="2" name="Imagen 1" descr="C:\Users\AUXPLANEACION03\Desktop\Gobernacion_del_quindio.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512" y="109537"/>
          <a:ext cx="821530" cy="89534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2</xdr:row>
      <xdr:rowOff>220890</xdr:rowOff>
    </xdr:to>
    <xdr:pic>
      <xdr:nvPicPr>
        <xdr:cNvPr id="2" name="Imagen 1" descr="C:\Users\AUXPLANEACION03\Desktop\Gobernacion_del_quindio.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9352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202406</xdr:colOff>
      <xdr:row>0</xdr:row>
      <xdr:rowOff>297656</xdr:rowOff>
    </xdr:from>
    <xdr:to>
      <xdr:col>1</xdr:col>
      <xdr:colOff>404812</xdr:colOff>
      <xdr:row>4</xdr:row>
      <xdr:rowOff>40821</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406" y="297656"/>
          <a:ext cx="954881" cy="10385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492125</xdr:colOff>
      <xdr:row>0</xdr:row>
      <xdr:rowOff>206376</xdr:rowOff>
    </xdr:from>
    <xdr:to>
      <xdr:col>1</xdr:col>
      <xdr:colOff>269875</xdr:colOff>
      <xdr:row>3</xdr:row>
      <xdr:rowOff>238125</xdr:rowOff>
    </xdr:to>
    <xdr:pic>
      <xdr:nvPicPr>
        <xdr:cNvPr id="2" name="Imagen 1" descr="C:\Users\AUXPLANEACION03\Desktop\Gobernacion_del_quindio.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125" y="206376"/>
          <a:ext cx="920750" cy="100329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5</xdr:row>
      <xdr:rowOff>139927</xdr:rowOff>
    </xdr:to>
    <xdr:pic>
      <xdr:nvPicPr>
        <xdr:cNvPr id="2" name="Imagen 1" descr="C:\Users\AUXPLANEACION03\Desktop\Gobernacion_del_quindio.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11400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UXINFRA54.DQUINDIO/Documents/HOOVER/PROYECTOS%20PDD/PROYECTOS%20NUEVOS%20INFRA/PROYECTO%20SEGURIDAD%20DEL%20ESTADO/F-PLA-38PoblacionBeneficiadaInversion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243;n%202021/SGTO%20PDD%202021/SGTO%20DIC%202021%20TRABAJO/UNIDADES/Cultura%202021/CULTURA%202021%20v4%2028%2001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wnloads/Sgto.%20IV%20trimestre%20S.Turismo%2021-12-2021%20definitiv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GTO%20DIC%202021%20TRABAJO\UNIDADES\Familia%202021\SGTO%20PLAN%20DE%20ACCI&#211;N%20FAMILIA%202021%209feber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obernaci&#243;n%202021/SGTO%20PDD%202021/SGTO%20DIC%202021%20TRABAJO/UNIDADES/Indeportes%202021/INDEPORTES%20VIGENCIA%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obernaci&#243;n%202021/SGTO%20PDD%202021/SGTO%20DIC%202021%20TRABAJO/UNIDADES/IDTQ%202021/IDTQ%202021%2009-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blación"/>
    </sheetNames>
    <sheetDataSet>
      <sheetData sheetId="0">
        <row r="9">
          <cell r="C9">
            <v>295972</v>
          </cell>
          <cell r="D9">
            <v>285580</v>
          </cell>
          <cell r="E9">
            <v>135545</v>
          </cell>
          <cell r="F9">
            <v>44254</v>
          </cell>
          <cell r="G9">
            <v>309146</v>
          </cell>
          <cell r="H9">
            <v>92607</v>
          </cell>
          <cell r="I9">
            <v>2145</v>
          </cell>
          <cell r="J9">
            <v>12718</v>
          </cell>
          <cell r="L9">
            <v>37</v>
          </cell>
          <cell r="M9">
            <v>0</v>
          </cell>
          <cell r="N9">
            <v>0</v>
          </cell>
          <cell r="O9">
            <v>44350</v>
          </cell>
          <cell r="P9">
            <v>21944</v>
          </cell>
          <cell r="Q9">
            <v>75687</v>
          </cell>
          <cell r="R9">
            <v>581552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EjecucionMetasProyectos"/>
      <sheetName val="F-PLA-06 PLAN ACCION"/>
      <sheetName val="F-PLA-07 SGTO PLAN ACCION"/>
      <sheetName val="F-PLA-39 INVERSION TERRITORIAL"/>
      <sheetName val="GESTION RECURSOS AGRICULTURA"/>
    </sheetNames>
    <sheetDataSet>
      <sheetData sheetId="0" refreshError="1"/>
      <sheetData sheetId="1">
        <row r="12">
          <cell r="AA12">
            <v>763.40206894654295</v>
          </cell>
          <cell r="AB12">
            <v>736.59793105345705</v>
          </cell>
          <cell r="AC12">
            <v>349.61190056951102</v>
          </cell>
          <cell r="AD12">
            <v>114.14456488843599</v>
          </cell>
          <cell r="AE12">
            <v>797.38183343879803</v>
          </cell>
          <cell r="AF12">
            <v>238.861701103255</v>
          </cell>
          <cell r="AN12">
            <v>56.600269623352702</v>
          </cell>
          <cell r="AO12">
            <v>195.21985996093201</v>
          </cell>
        </row>
        <row r="37">
          <cell r="AA37">
            <v>2035.7388505241099</v>
          </cell>
          <cell r="AB37">
            <v>1964.2611494758901</v>
          </cell>
          <cell r="AC37">
            <v>932.29840151869496</v>
          </cell>
          <cell r="AD37">
            <v>304.38550636916398</v>
          </cell>
          <cell r="AE37">
            <v>2126.3515558367999</v>
          </cell>
          <cell r="AF37">
            <v>636.96453627534595</v>
          </cell>
          <cell r="AG37">
            <v>14.753624783338401</v>
          </cell>
          <cell r="AH37">
            <v>87.476270393705093</v>
          </cell>
          <cell r="AM37">
            <v>305.04580845736899</v>
          </cell>
          <cell r="AN37">
            <v>150.93405232894099</v>
          </cell>
          <cell r="AO37">
            <v>520.58629322915203</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TURISMO"/>
      <sheetName val="F-PLA-06ProgramaciónPlanAcc"/>
      <sheetName val="F-PLA-07SgtoPlanAcción"/>
      <sheetName val="F-PLA-39 Inversión Territorial"/>
      <sheetName val="F-PLA 40 Gestión Recursos "/>
    </sheetNames>
    <sheetDataSet>
      <sheetData sheetId="0">
        <row r="17">
          <cell r="V17">
            <v>27000000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EJE METAS PROYECTOS"/>
      <sheetName val="F-PLA-06 PLAN ACCION"/>
      <sheetName val="F-PLA-07 SGTO PLAN ACCION"/>
      <sheetName val="F-PLA-39 INVERSION TERRITORIAL"/>
      <sheetName val="F-PLA-40 GESTION RECURSOS"/>
    </sheetNames>
    <sheetDataSet>
      <sheetData sheetId="0">
        <row r="22">
          <cell r="V22">
            <v>18661500</v>
          </cell>
        </row>
        <row r="39">
          <cell r="V39">
            <v>3850296</v>
          </cell>
        </row>
        <row r="51">
          <cell r="V51">
            <v>43747500</v>
          </cell>
        </row>
      </sheetData>
      <sheetData sheetId="1"/>
      <sheetData sheetId="2">
        <row r="104">
          <cell r="X104">
            <v>138449.37</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 val="Gráfico1"/>
      <sheetName val="F-PLA-47 METAS INDEPORTES"/>
      <sheetName val="F-PLA-06 PLAN DE ACCION"/>
      <sheetName val="F-PLA-07 SGTO PLAN ACCION"/>
      <sheetName val="F-PLA-39 INVERSION TERRITORIAL"/>
      <sheetName val="GESTION RECURSOS"/>
    </sheetNames>
    <sheetDataSet>
      <sheetData sheetId="0" refreshError="1"/>
      <sheetData sheetId="1" refreshError="1"/>
      <sheetData sheetId="2" refreshError="1"/>
      <sheetData sheetId="3">
        <row r="13">
          <cell r="AP13">
            <v>13.444000000000001</v>
          </cell>
        </row>
      </sheetData>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EjecucionMetasProyectos"/>
      <sheetName val="F-PLA-06 PLAN DE ACCION"/>
      <sheetName val="F-PLA-07 SGTO PLAN ACCION"/>
      <sheetName val="F-PLA-39 IDTQ"/>
      <sheetName val="GESTION RECURSOS AGRICULTURA"/>
    </sheetNames>
    <sheetDataSet>
      <sheetData sheetId="0">
        <row r="17">
          <cell r="N17">
            <v>0.8</v>
          </cell>
          <cell r="S17">
            <v>28492000</v>
          </cell>
          <cell r="V17">
            <v>27798000</v>
          </cell>
          <cell r="W17">
            <v>27798000</v>
          </cell>
        </row>
        <row r="18">
          <cell r="N18">
            <v>0.9</v>
          </cell>
          <cell r="S18">
            <v>13902000</v>
          </cell>
          <cell r="V18">
            <v>13902000</v>
          </cell>
          <cell r="W18">
            <v>13902000</v>
          </cell>
        </row>
        <row r="19">
          <cell r="N19">
            <v>0.9</v>
          </cell>
          <cell r="S19">
            <v>32076000</v>
          </cell>
          <cell r="V19">
            <v>30495000</v>
          </cell>
          <cell r="W19">
            <v>30495000</v>
          </cell>
        </row>
        <row r="20">
          <cell r="N20">
            <v>0.9</v>
          </cell>
          <cell r="S20">
            <v>35740000</v>
          </cell>
          <cell r="V20">
            <v>35521000</v>
          </cell>
          <cell r="W20">
            <v>35521000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2060"/>
  </sheetPr>
  <dimension ref="A1:CN48"/>
  <sheetViews>
    <sheetView showGridLines="0" zoomScale="60" zoomScaleNormal="60" workbookViewId="0">
      <selection activeCell="Q13" sqref="Q13:Q23"/>
    </sheetView>
  </sheetViews>
  <sheetFormatPr baseColWidth="10" defaultColWidth="11.42578125" defaultRowHeight="15" x14ac:dyDescent="0.25"/>
  <cols>
    <col min="1" max="1" width="12.85546875" style="12" customWidth="1"/>
    <col min="2" max="2" width="14.5703125" style="1" customWidth="1"/>
    <col min="3" max="3" width="14.28515625" style="1" customWidth="1"/>
    <col min="4" max="4" width="15.42578125" style="1" customWidth="1"/>
    <col min="5" max="5" width="15.7109375" style="1" customWidth="1"/>
    <col min="6" max="6" width="17.140625" style="1" customWidth="1"/>
    <col min="7" max="7" width="16.7109375" style="1" customWidth="1"/>
    <col min="8" max="8" width="22.28515625" style="11" customWidth="1"/>
    <col min="9" max="9" width="22.7109375" style="1" customWidth="1"/>
    <col min="10" max="10" width="27.28515625" style="11" customWidth="1"/>
    <col min="11" max="11" width="14.140625" style="1" customWidth="1"/>
    <col min="12" max="12" width="26.85546875" style="7" customWidth="1"/>
    <col min="13" max="13" width="18.140625" style="1" customWidth="1"/>
    <col min="14" max="14" width="24.28515625" style="7" customWidth="1"/>
    <col min="15" max="16" width="11.140625" style="4" customWidth="1"/>
    <col min="17" max="17" width="21.28515625" style="4" customWidth="1"/>
    <col min="18" max="18" width="27.140625" style="7" customWidth="1"/>
    <col min="19" max="19" width="19.5703125" style="10" customWidth="1"/>
    <col min="20" max="20" width="27.42578125" style="9" customWidth="1"/>
    <col min="21" max="21" width="43" style="8" customWidth="1"/>
    <col min="22" max="22" width="42.28515625" style="7" customWidth="1"/>
    <col min="23" max="23" width="31.85546875" style="7" customWidth="1"/>
    <col min="24" max="24" width="26.85546875" style="4" customWidth="1"/>
    <col min="25" max="25" width="31.85546875" style="4" customWidth="1"/>
    <col min="26" max="26" width="26.7109375" style="4" customWidth="1"/>
    <col min="27" max="27" width="56" style="4" customWidth="1"/>
    <col min="28" max="28" width="12.140625" style="6" customWidth="1"/>
    <col min="29" max="29" width="26.7109375" style="5" customWidth="1"/>
    <col min="30" max="30" width="13.7109375" style="4" customWidth="1"/>
    <col min="31" max="31" width="12.85546875" style="4" customWidth="1"/>
    <col min="32" max="32" width="13.42578125" style="1" customWidth="1"/>
    <col min="33" max="33" width="11.28515625" style="1" customWidth="1"/>
    <col min="34" max="35" width="10.28515625" style="1" customWidth="1"/>
    <col min="36" max="36" width="9.85546875" style="1" customWidth="1"/>
    <col min="37" max="37" width="11" style="1" customWidth="1"/>
    <col min="38" max="39" width="10.28515625" style="1" customWidth="1"/>
    <col min="40" max="41" width="9.42578125" style="1" customWidth="1"/>
    <col min="42" max="43" width="9.140625" style="1" customWidth="1"/>
    <col min="44" max="45" width="8.85546875" style="1" customWidth="1"/>
    <col min="46" max="46" width="8.42578125" style="1" bestFit="1" customWidth="1"/>
    <col min="47" max="47" width="8.42578125" style="1" customWidth="1"/>
    <col min="48" max="48" width="8.42578125" style="1" bestFit="1" customWidth="1"/>
    <col min="49" max="49" width="8.42578125" style="1" customWidth="1"/>
    <col min="50" max="50" width="8.42578125" style="1" bestFit="1" customWidth="1"/>
    <col min="51" max="51" width="8.42578125" style="1" customWidth="1"/>
    <col min="52" max="52" width="9.140625" style="1" bestFit="1" customWidth="1"/>
    <col min="53" max="53" width="9.140625" style="1" customWidth="1"/>
    <col min="54" max="54" width="10.42578125" style="1" customWidth="1"/>
    <col min="55" max="55" width="9.7109375" style="1" customWidth="1"/>
    <col min="56" max="56" width="11.85546875" style="1" customWidth="1"/>
    <col min="57" max="57" width="11.5703125" style="1" customWidth="1"/>
    <col min="58" max="58" width="10.5703125" style="1" customWidth="1"/>
    <col min="59" max="59" width="10.140625" style="1" customWidth="1"/>
    <col min="60" max="60" width="12.5703125" style="1" customWidth="1"/>
    <col min="61" max="61" width="13.85546875" style="1" customWidth="1"/>
    <col min="62" max="62" width="16.85546875" style="1" customWidth="1"/>
    <col min="63" max="63" width="31.42578125" style="1" customWidth="1"/>
    <col min="64" max="64" width="28.28515625" style="1" customWidth="1"/>
    <col min="65" max="65" width="17.7109375" style="1" customWidth="1"/>
    <col min="66" max="67" width="19.140625" style="1" customWidth="1"/>
    <col min="68" max="68" width="25.42578125" style="1" customWidth="1"/>
    <col min="69" max="70" width="17.140625" style="1" customWidth="1"/>
    <col min="71" max="72" width="19.7109375" style="3" customWidth="1"/>
    <col min="73" max="73" width="25.140625" style="2" customWidth="1"/>
    <col min="74" max="16384" width="11.42578125" style="1"/>
  </cols>
  <sheetData>
    <row r="1" spans="1:92" ht="15.75" customHeight="1" x14ac:dyDescent="0.25">
      <c r="A1" s="2601" t="s">
        <v>139</v>
      </c>
      <c r="B1" s="2602"/>
      <c r="C1" s="2602"/>
      <c r="D1" s="2602"/>
      <c r="E1" s="2602"/>
      <c r="F1" s="2602"/>
      <c r="G1" s="2602"/>
      <c r="H1" s="2602"/>
      <c r="I1" s="2602"/>
      <c r="J1" s="2602"/>
      <c r="K1" s="2602"/>
      <c r="L1" s="2602"/>
      <c r="M1" s="2602"/>
      <c r="N1" s="2602"/>
      <c r="O1" s="2602"/>
      <c r="P1" s="2602"/>
      <c r="Q1" s="2602"/>
      <c r="R1" s="2602"/>
      <c r="S1" s="2602"/>
      <c r="T1" s="2602"/>
      <c r="U1" s="2602"/>
      <c r="V1" s="2602"/>
      <c r="W1" s="2602"/>
      <c r="X1" s="2602"/>
      <c r="Y1" s="2602"/>
      <c r="Z1" s="2602"/>
      <c r="AA1" s="2602"/>
      <c r="AB1" s="2602"/>
      <c r="AC1" s="2602"/>
      <c r="AD1" s="2602"/>
      <c r="AE1" s="2602"/>
      <c r="AF1" s="2602"/>
      <c r="AG1" s="2602"/>
      <c r="AH1" s="2602"/>
      <c r="AI1" s="2602"/>
      <c r="AJ1" s="2602"/>
      <c r="AK1" s="2602"/>
      <c r="AL1" s="2602"/>
      <c r="AM1" s="2602"/>
      <c r="AN1" s="2602"/>
      <c r="AO1" s="2602"/>
      <c r="AP1" s="2602"/>
      <c r="AQ1" s="2602"/>
      <c r="AR1" s="2602"/>
      <c r="AS1" s="2602"/>
      <c r="AT1" s="2602"/>
      <c r="AU1" s="2602"/>
      <c r="AV1" s="2602"/>
      <c r="AW1" s="2602"/>
      <c r="AX1" s="2602"/>
      <c r="AY1" s="2602"/>
      <c r="AZ1" s="2602"/>
      <c r="BA1" s="2602"/>
      <c r="BB1" s="2602"/>
      <c r="BC1" s="2602"/>
      <c r="BD1" s="2602"/>
      <c r="BE1" s="2602"/>
      <c r="BF1" s="2602"/>
      <c r="BG1" s="2602"/>
      <c r="BH1" s="2602"/>
      <c r="BI1" s="2602"/>
      <c r="BJ1" s="2602"/>
      <c r="BK1" s="2602"/>
      <c r="BL1" s="2602"/>
      <c r="BM1" s="2602"/>
      <c r="BN1" s="2602"/>
      <c r="BO1" s="2602"/>
      <c r="BP1" s="2602"/>
      <c r="BQ1" s="2602"/>
      <c r="BR1" s="2602"/>
      <c r="BS1" s="2603"/>
      <c r="BT1" s="148" t="s">
        <v>138</v>
      </c>
      <c r="BU1" s="148" t="s">
        <v>137</v>
      </c>
      <c r="BV1" s="4"/>
      <c r="BW1" s="4"/>
      <c r="BX1" s="4"/>
      <c r="BY1" s="4"/>
      <c r="BZ1" s="4"/>
      <c r="CA1" s="4"/>
      <c r="CB1" s="4"/>
      <c r="CC1" s="4"/>
      <c r="CD1" s="4"/>
      <c r="CE1" s="4"/>
      <c r="CF1" s="4"/>
      <c r="CG1" s="4"/>
      <c r="CH1" s="4"/>
      <c r="CI1" s="4"/>
      <c r="CJ1" s="4"/>
      <c r="CK1" s="4"/>
      <c r="CL1" s="4"/>
      <c r="CM1" s="4"/>
      <c r="CN1" s="4"/>
    </row>
    <row r="2" spans="1:92" ht="15.75" x14ac:dyDescent="0.25">
      <c r="A2" s="2602"/>
      <c r="B2" s="2602"/>
      <c r="C2" s="2602"/>
      <c r="D2" s="2602"/>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c r="BD2" s="2602"/>
      <c r="BE2" s="2602"/>
      <c r="BF2" s="2602"/>
      <c r="BG2" s="2602"/>
      <c r="BH2" s="2602"/>
      <c r="BI2" s="2602"/>
      <c r="BJ2" s="2602"/>
      <c r="BK2" s="2602"/>
      <c r="BL2" s="2602"/>
      <c r="BM2" s="2602"/>
      <c r="BN2" s="2602"/>
      <c r="BO2" s="2602"/>
      <c r="BP2" s="2602"/>
      <c r="BQ2" s="2602"/>
      <c r="BR2" s="2602"/>
      <c r="BS2" s="2603"/>
      <c r="BT2" s="148" t="s">
        <v>136</v>
      </c>
      <c r="BU2" s="150" t="s">
        <v>135</v>
      </c>
      <c r="BV2" s="4"/>
      <c r="BW2" s="4"/>
      <c r="BX2" s="4"/>
      <c r="BY2" s="4"/>
      <c r="BZ2" s="4"/>
      <c r="CA2" s="4"/>
      <c r="CB2" s="4"/>
      <c r="CC2" s="4"/>
      <c r="CD2" s="4"/>
      <c r="CE2" s="4"/>
      <c r="CF2" s="4"/>
      <c r="CG2" s="4"/>
      <c r="CH2" s="4"/>
      <c r="CI2" s="4"/>
      <c r="CJ2" s="4"/>
      <c r="CK2" s="4"/>
      <c r="CL2" s="4"/>
      <c r="CM2" s="4"/>
      <c r="CN2" s="4"/>
    </row>
    <row r="3" spans="1:92" ht="15.75" x14ac:dyDescent="0.25">
      <c r="A3" s="2602"/>
      <c r="B3" s="2602"/>
      <c r="C3" s="2602"/>
      <c r="D3" s="2602"/>
      <c r="E3" s="2602"/>
      <c r="F3" s="2602"/>
      <c r="G3" s="2602"/>
      <c r="H3" s="2602"/>
      <c r="I3" s="2602"/>
      <c r="J3" s="2602"/>
      <c r="K3" s="2602"/>
      <c r="L3" s="2602"/>
      <c r="M3" s="2602"/>
      <c r="N3" s="2602"/>
      <c r="O3" s="2602"/>
      <c r="P3" s="2602"/>
      <c r="Q3" s="2602"/>
      <c r="R3" s="2602"/>
      <c r="S3" s="2602"/>
      <c r="T3" s="2602"/>
      <c r="U3" s="2602"/>
      <c r="V3" s="2602"/>
      <c r="W3" s="2602"/>
      <c r="X3" s="2602"/>
      <c r="Y3" s="2602"/>
      <c r="Z3" s="2602"/>
      <c r="AA3" s="2602"/>
      <c r="AB3" s="2602"/>
      <c r="AC3" s="2602"/>
      <c r="AD3" s="2602"/>
      <c r="AE3" s="2602"/>
      <c r="AF3" s="2602"/>
      <c r="AG3" s="2602"/>
      <c r="AH3" s="2602"/>
      <c r="AI3" s="2602"/>
      <c r="AJ3" s="2602"/>
      <c r="AK3" s="2602"/>
      <c r="AL3" s="2602"/>
      <c r="AM3" s="2602"/>
      <c r="AN3" s="2602"/>
      <c r="AO3" s="2602"/>
      <c r="AP3" s="2602"/>
      <c r="AQ3" s="2602"/>
      <c r="AR3" s="2602"/>
      <c r="AS3" s="2602"/>
      <c r="AT3" s="2602"/>
      <c r="AU3" s="2602"/>
      <c r="AV3" s="2602"/>
      <c r="AW3" s="2602"/>
      <c r="AX3" s="2602"/>
      <c r="AY3" s="2602"/>
      <c r="AZ3" s="2602"/>
      <c r="BA3" s="2602"/>
      <c r="BB3" s="2602"/>
      <c r="BC3" s="2602"/>
      <c r="BD3" s="2602"/>
      <c r="BE3" s="2602"/>
      <c r="BF3" s="2602"/>
      <c r="BG3" s="2602"/>
      <c r="BH3" s="2602"/>
      <c r="BI3" s="2602"/>
      <c r="BJ3" s="2602"/>
      <c r="BK3" s="2602"/>
      <c r="BL3" s="2602"/>
      <c r="BM3" s="2602"/>
      <c r="BN3" s="2602"/>
      <c r="BO3" s="2602"/>
      <c r="BP3" s="2602"/>
      <c r="BQ3" s="2602"/>
      <c r="BR3" s="2602"/>
      <c r="BS3" s="2603"/>
      <c r="BT3" s="148" t="s">
        <v>134</v>
      </c>
      <c r="BU3" s="149">
        <v>44266</v>
      </c>
      <c r="BV3" s="4"/>
      <c r="BW3" s="4"/>
      <c r="BX3" s="4"/>
      <c r="BY3" s="4"/>
      <c r="BZ3" s="4"/>
      <c r="CA3" s="4"/>
      <c r="CB3" s="4"/>
      <c r="CC3" s="4"/>
      <c r="CD3" s="4"/>
      <c r="CE3" s="4"/>
      <c r="CF3" s="4"/>
      <c r="CG3" s="4"/>
      <c r="CH3" s="4"/>
      <c r="CI3" s="4"/>
      <c r="CJ3" s="4"/>
      <c r="CK3" s="4"/>
      <c r="CL3" s="4"/>
      <c r="CM3" s="4"/>
      <c r="CN3" s="4"/>
    </row>
    <row r="4" spans="1:92" ht="15.75" x14ac:dyDescent="0.25">
      <c r="A4" s="2604"/>
      <c r="B4" s="2604"/>
      <c r="C4" s="2604"/>
      <c r="D4" s="2604"/>
      <c r="E4" s="2604"/>
      <c r="F4" s="2604"/>
      <c r="G4" s="2604"/>
      <c r="H4" s="2604"/>
      <c r="I4" s="2604"/>
      <c r="J4" s="2604"/>
      <c r="K4" s="2604"/>
      <c r="L4" s="2604"/>
      <c r="M4" s="2604"/>
      <c r="N4" s="2604"/>
      <c r="O4" s="2604"/>
      <c r="P4" s="2604"/>
      <c r="Q4" s="2604"/>
      <c r="R4" s="2604"/>
      <c r="S4" s="2604"/>
      <c r="T4" s="2604"/>
      <c r="U4" s="2604"/>
      <c r="V4" s="2604"/>
      <c r="W4" s="2604"/>
      <c r="X4" s="2604"/>
      <c r="Y4" s="2604"/>
      <c r="Z4" s="2604"/>
      <c r="AA4" s="2604"/>
      <c r="AB4" s="2604"/>
      <c r="AC4" s="2604"/>
      <c r="AD4" s="2604"/>
      <c r="AE4" s="2604"/>
      <c r="AF4" s="2604"/>
      <c r="AG4" s="2604"/>
      <c r="AH4" s="2604"/>
      <c r="AI4" s="2604"/>
      <c r="AJ4" s="2604"/>
      <c r="AK4" s="2604"/>
      <c r="AL4" s="2604"/>
      <c r="AM4" s="2604"/>
      <c r="AN4" s="2604"/>
      <c r="AO4" s="2604"/>
      <c r="AP4" s="2604"/>
      <c r="AQ4" s="2604"/>
      <c r="AR4" s="2604"/>
      <c r="AS4" s="2604"/>
      <c r="AT4" s="2604"/>
      <c r="AU4" s="2604"/>
      <c r="AV4" s="2604"/>
      <c r="AW4" s="2604"/>
      <c r="AX4" s="2604"/>
      <c r="AY4" s="2604"/>
      <c r="AZ4" s="2604"/>
      <c r="BA4" s="2604"/>
      <c r="BB4" s="2604"/>
      <c r="BC4" s="2604"/>
      <c r="BD4" s="2604"/>
      <c r="BE4" s="2604"/>
      <c r="BF4" s="2604"/>
      <c r="BG4" s="2604"/>
      <c r="BH4" s="2604"/>
      <c r="BI4" s="2604"/>
      <c r="BJ4" s="2604"/>
      <c r="BK4" s="2604"/>
      <c r="BL4" s="2604"/>
      <c r="BM4" s="2604"/>
      <c r="BN4" s="2604"/>
      <c r="BO4" s="2604"/>
      <c r="BP4" s="2604"/>
      <c r="BQ4" s="2604"/>
      <c r="BR4" s="2604"/>
      <c r="BS4" s="2605"/>
      <c r="BT4" s="148" t="s">
        <v>133</v>
      </c>
      <c r="BU4" s="147" t="s">
        <v>132</v>
      </c>
      <c r="BV4" s="4"/>
      <c r="BW4" s="4"/>
      <c r="BX4" s="4"/>
      <c r="BY4" s="4"/>
      <c r="BZ4" s="4"/>
      <c r="CA4" s="4"/>
      <c r="CB4" s="4"/>
      <c r="CC4" s="4"/>
      <c r="CD4" s="4"/>
      <c r="CE4" s="4"/>
      <c r="CF4" s="4"/>
      <c r="CG4" s="4"/>
      <c r="CH4" s="4"/>
      <c r="CI4" s="4"/>
      <c r="CJ4" s="4"/>
      <c r="CK4" s="4"/>
      <c r="CL4" s="4"/>
      <c r="CM4" s="4"/>
      <c r="CN4" s="4"/>
    </row>
    <row r="5" spans="1:92" ht="15.75" x14ac:dyDescent="0.25">
      <c r="A5" s="2606" t="s">
        <v>131</v>
      </c>
      <c r="B5" s="2606"/>
      <c r="C5" s="2606"/>
      <c r="D5" s="2606"/>
      <c r="E5" s="2606"/>
      <c r="F5" s="2606"/>
      <c r="G5" s="2606"/>
      <c r="H5" s="2606"/>
      <c r="I5" s="2606"/>
      <c r="J5" s="2606"/>
      <c r="K5" s="2606"/>
      <c r="L5" s="2606"/>
      <c r="M5" s="2606"/>
      <c r="N5" s="2606"/>
      <c r="O5" s="2606"/>
      <c r="P5" s="145"/>
      <c r="Q5" s="2608"/>
      <c r="R5" s="2608"/>
      <c r="S5" s="2608"/>
      <c r="T5" s="2608"/>
      <c r="U5" s="2608"/>
      <c r="V5" s="2608"/>
      <c r="W5" s="2608"/>
      <c r="X5" s="2608"/>
      <c r="Y5" s="2608"/>
      <c r="Z5" s="2608"/>
      <c r="AA5" s="2608"/>
      <c r="AB5" s="2608"/>
      <c r="AC5" s="2608"/>
      <c r="AD5" s="2608"/>
      <c r="AE5" s="2608"/>
      <c r="AF5" s="2608"/>
      <c r="AG5" s="2608"/>
      <c r="AH5" s="2608"/>
      <c r="AI5" s="2608"/>
      <c r="AJ5" s="2608"/>
      <c r="AK5" s="2608"/>
      <c r="AL5" s="2608"/>
      <c r="AM5" s="2608"/>
      <c r="AN5" s="2608"/>
      <c r="AO5" s="2608"/>
      <c r="AP5" s="2608"/>
      <c r="AQ5" s="2608"/>
      <c r="AR5" s="2608"/>
      <c r="AS5" s="2608"/>
      <c r="AT5" s="2608"/>
      <c r="AU5" s="2608"/>
      <c r="AV5" s="2608"/>
      <c r="AW5" s="2608"/>
      <c r="AX5" s="2608"/>
      <c r="AY5" s="2608"/>
      <c r="AZ5" s="2608"/>
      <c r="BA5" s="2608"/>
      <c r="BB5" s="2608"/>
      <c r="BC5" s="2608"/>
      <c r="BD5" s="2608"/>
      <c r="BE5" s="2608"/>
      <c r="BF5" s="2608"/>
      <c r="BG5" s="2608"/>
      <c r="BH5" s="2608"/>
      <c r="BI5" s="2608"/>
      <c r="BJ5" s="2608"/>
      <c r="BK5" s="2608"/>
      <c r="BL5" s="2608"/>
      <c r="BM5" s="2608"/>
      <c r="BN5" s="2608"/>
      <c r="BO5" s="2608"/>
      <c r="BP5" s="2608"/>
      <c r="BQ5" s="2608"/>
      <c r="BR5" s="2608"/>
      <c r="BS5" s="2608"/>
      <c r="BT5" s="2608"/>
      <c r="BU5" s="2608"/>
      <c r="BV5" s="4"/>
      <c r="BW5" s="4"/>
      <c r="BX5" s="4"/>
      <c r="BY5" s="4"/>
      <c r="BZ5" s="4"/>
      <c r="CA5" s="4"/>
      <c r="CB5" s="4"/>
      <c r="CC5" s="4"/>
      <c r="CD5" s="4"/>
      <c r="CE5" s="4"/>
      <c r="CF5" s="4"/>
      <c r="CG5" s="4"/>
      <c r="CH5" s="4"/>
      <c r="CI5" s="4"/>
      <c r="CJ5" s="4"/>
      <c r="CK5" s="4"/>
      <c r="CL5" s="4"/>
      <c r="CM5" s="4"/>
      <c r="CN5" s="4"/>
    </row>
    <row r="6" spans="1:92" ht="16.5" thickBot="1" x14ac:dyDescent="0.3">
      <c r="A6" s="2602"/>
      <c r="B6" s="2602"/>
      <c r="C6" s="2607"/>
      <c r="D6" s="2607"/>
      <c r="E6" s="2602"/>
      <c r="F6" s="2602"/>
      <c r="G6" s="2602"/>
      <c r="H6" s="2602"/>
      <c r="I6" s="2602"/>
      <c r="J6" s="2602"/>
      <c r="K6" s="2602"/>
      <c r="L6" s="2602"/>
      <c r="M6" s="2602"/>
      <c r="N6" s="2602"/>
      <c r="O6" s="2602"/>
      <c r="P6" s="140"/>
      <c r="Q6" s="140"/>
      <c r="R6" s="143"/>
      <c r="S6" s="140"/>
      <c r="T6" s="140"/>
      <c r="U6" s="143"/>
      <c r="V6" s="143"/>
      <c r="W6" s="143"/>
      <c r="X6" s="140"/>
      <c r="Y6" s="140"/>
      <c r="Z6" s="140"/>
      <c r="AA6" s="140"/>
      <c r="AB6" s="140"/>
      <c r="AC6" s="140"/>
      <c r="AD6" s="2609" t="s">
        <v>130</v>
      </c>
      <c r="AE6" s="2602"/>
      <c r="AF6" s="2602"/>
      <c r="AG6" s="2602"/>
      <c r="AH6" s="2602"/>
      <c r="AI6" s="2602"/>
      <c r="AJ6" s="2602"/>
      <c r="AK6" s="2602"/>
      <c r="AL6" s="2602"/>
      <c r="AM6" s="2602"/>
      <c r="AN6" s="2602"/>
      <c r="AO6" s="2602"/>
      <c r="AP6" s="2602"/>
      <c r="AQ6" s="2602"/>
      <c r="AR6" s="2602"/>
      <c r="AS6" s="2602"/>
      <c r="AT6" s="2602"/>
      <c r="AU6" s="2602"/>
      <c r="AV6" s="2602"/>
      <c r="AW6" s="2602"/>
      <c r="AX6" s="2602"/>
      <c r="AY6" s="2602"/>
      <c r="AZ6" s="2602"/>
      <c r="BA6" s="2602"/>
      <c r="BB6" s="2602"/>
      <c r="BC6" s="2602"/>
      <c r="BD6" s="2602"/>
      <c r="BE6" s="2602"/>
      <c r="BF6" s="2603"/>
      <c r="BG6" s="140"/>
      <c r="BH6" s="140"/>
      <c r="BI6" s="140"/>
      <c r="BJ6" s="140"/>
      <c r="BK6" s="140"/>
      <c r="BL6" s="140"/>
      <c r="BM6" s="140"/>
      <c r="BN6" s="140"/>
      <c r="BO6" s="140"/>
      <c r="BP6" s="140"/>
      <c r="BQ6" s="140"/>
      <c r="BR6" s="140"/>
      <c r="BS6" s="140"/>
      <c r="BT6" s="140"/>
      <c r="BU6" s="139"/>
      <c r="BV6" s="4"/>
      <c r="BW6" s="4"/>
      <c r="BX6" s="4"/>
      <c r="BY6" s="4"/>
      <c r="BZ6" s="4"/>
      <c r="CA6" s="4"/>
      <c r="CB6" s="4"/>
      <c r="CC6" s="4"/>
      <c r="CD6" s="4"/>
      <c r="CE6" s="4"/>
      <c r="CF6" s="4"/>
      <c r="CG6" s="4"/>
      <c r="CH6" s="4"/>
      <c r="CI6" s="4"/>
      <c r="CJ6" s="4"/>
      <c r="CK6" s="4"/>
      <c r="CL6" s="4"/>
      <c r="CM6" s="4"/>
      <c r="CN6" s="4"/>
    </row>
    <row r="7" spans="1:92" ht="15.75" x14ac:dyDescent="0.25">
      <c r="A7" s="2610" t="s">
        <v>129</v>
      </c>
      <c r="B7" s="2610"/>
      <c r="C7" s="2610" t="s">
        <v>128</v>
      </c>
      <c r="D7" s="2610"/>
      <c r="E7" s="2610" t="s">
        <v>127</v>
      </c>
      <c r="F7" s="2610"/>
      <c r="G7" s="2610" t="s">
        <v>126</v>
      </c>
      <c r="H7" s="2610"/>
      <c r="I7" s="2610"/>
      <c r="J7" s="2610"/>
      <c r="K7" s="2610" t="s">
        <v>125</v>
      </c>
      <c r="L7" s="2610"/>
      <c r="M7" s="2610"/>
      <c r="N7" s="2610"/>
      <c r="O7" s="2610" t="s">
        <v>124</v>
      </c>
      <c r="P7" s="2610"/>
      <c r="Q7" s="2610"/>
      <c r="R7" s="2610"/>
      <c r="S7" s="2610"/>
      <c r="T7" s="2610"/>
      <c r="U7" s="2610"/>
      <c r="V7" s="2610"/>
      <c r="W7" s="2610"/>
      <c r="X7" s="2610"/>
      <c r="Y7" s="138"/>
      <c r="Z7" s="138"/>
      <c r="AA7" s="2610" t="s">
        <v>123</v>
      </c>
      <c r="AB7" s="2610"/>
      <c r="AC7" s="2610"/>
      <c r="AD7" s="2611" t="s">
        <v>122</v>
      </c>
      <c r="AE7" s="2612"/>
      <c r="AF7" s="2612"/>
      <c r="AG7" s="2613"/>
      <c r="AH7" s="2614" t="s">
        <v>121</v>
      </c>
      <c r="AI7" s="2615"/>
      <c r="AJ7" s="2615"/>
      <c r="AK7" s="2615"/>
      <c r="AL7" s="2615"/>
      <c r="AM7" s="2615"/>
      <c r="AN7" s="2615"/>
      <c r="AO7" s="2616"/>
      <c r="AP7" s="2617" t="s">
        <v>120</v>
      </c>
      <c r="AQ7" s="2617"/>
      <c r="AR7" s="2617"/>
      <c r="AS7" s="2617"/>
      <c r="AT7" s="2617"/>
      <c r="AU7" s="2617"/>
      <c r="AV7" s="2617"/>
      <c r="AW7" s="2617"/>
      <c r="AX7" s="2617"/>
      <c r="AY7" s="2617"/>
      <c r="AZ7" s="2617"/>
      <c r="BA7" s="2617"/>
      <c r="BB7" s="2618" t="s">
        <v>119</v>
      </c>
      <c r="BC7" s="2618"/>
      <c r="BD7" s="2618"/>
      <c r="BE7" s="2618"/>
      <c r="BF7" s="2618"/>
      <c r="BG7" s="2618"/>
      <c r="BH7" s="2619" t="s">
        <v>118</v>
      </c>
      <c r="BI7" s="2619"/>
      <c r="BJ7" s="2622" t="s">
        <v>117</v>
      </c>
      <c r="BK7" s="2623"/>
      <c r="BL7" s="2623"/>
      <c r="BM7" s="2623"/>
      <c r="BN7" s="2623"/>
      <c r="BO7" s="2623"/>
      <c r="BP7" s="2624"/>
      <c r="BQ7" s="2625" t="s">
        <v>116</v>
      </c>
      <c r="BR7" s="2626"/>
      <c r="BS7" s="2625" t="s">
        <v>115</v>
      </c>
      <c r="BT7" s="2626"/>
      <c r="BU7" s="2629" t="s">
        <v>114</v>
      </c>
      <c r="BV7" s="4"/>
      <c r="BW7" s="4"/>
      <c r="BX7" s="4"/>
      <c r="BY7" s="4"/>
      <c r="BZ7" s="4"/>
      <c r="CA7" s="4"/>
      <c r="CB7" s="4"/>
      <c r="CC7" s="4"/>
      <c r="CD7" s="4"/>
      <c r="CE7" s="4"/>
      <c r="CF7" s="4"/>
      <c r="CG7" s="4"/>
      <c r="CH7" s="4"/>
      <c r="CI7" s="4"/>
      <c r="CJ7" s="4"/>
      <c r="CK7" s="4"/>
      <c r="CL7" s="4"/>
      <c r="CM7" s="4"/>
      <c r="CN7" s="4"/>
    </row>
    <row r="8" spans="1:92" ht="151.5" customHeight="1" x14ac:dyDescent="0.25">
      <c r="A8" s="2593" t="s">
        <v>71</v>
      </c>
      <c r="B8" s="2593" t="s">
        <v>70</v>
      </c>
      <c r="C8" s="2593" t="s">
        <v>71</v>
      </c>
      <c r="D8" s="2593" t="s">
        <v>70</v>
      </c>
      <c r="E8" s="2593" t="s">
        <v>71</v>
      </c>
      <c r="F8" s="2593" t="s">
        <v>70</v>
      </c>
      <c r="G8" s="2593" t="s">
        <v>110</v>
      </c>
      <c r="H8" s="2593" t="s">
        <v>113</v>
      </c>
      <c r="I8" s="2593" t="s">
        <v>112</v>
      </c>
      <c r="J8" s="2593" t="s">
        <v>111</v>
      </c>
      <c r="K8" s="2593" t="s">
        <v>110</v>
      </c>
      <c r="L8" s="2593" t="s">
        <v>109</v>
      </c>
      <c r="M8" s="2593" t="s">
        <v>108</v>
      </c>
      <c r="N8" s="2593" t="s">
        <v>107</v>
      </c>
      <c r="O8" s="2599" t="s">
        <v>106</v>
      </c>
      <c r="P8" s="2600"/>
      <c r="Q8" s="2593" t="s">
        <v>105</v>
      </c>
      <c r="R8" s="2593" t="s">
        <v>104</v>
      </c>
      <c r="S8" s="2593" t="s">
        <v>103</v>
      </c>
      <c r="T8" s="2593" t="s">
        <v>102</v>
      </c>
      <c r="U8" s="2593" t="s">
        <v>101</v>
      </c>
      <c r="V8" s="2593" t="s">
        <v>100</v>
      </c>
      <c r="W8" s="2593" t="s">
        <v>99</v>
      </c>
      <c r="X8" s="2594" t="s">
        <v>98</v>
      </c>
      <c r="Y8" s="2594"/>
      <c r="Z8" s="2594"/>
      <c r="AA8" s="2595" t="s">
        <v>97</v>
      </c>
      <c r="AB8" s="133" t="s">
        <v>96</v>
      </c>
      <c r="AC8" s="132" t="s">
        <v>70</v>
      </c>
      <c r="AD8" s="2620" t="s">
        <v>95</v>
      </c>
      <c r="AE8" s="2621"/>
      <c r="AF8" s="2597" t="s">
        <v>94</v>
      </c>
      <c r="AG8" s="2598"/>
      <c r="AH8" s="2597" t="s">
        <v>93</v>
      </c>
      <c r="AI8" s="2598"/>
      <c r="AJ8" s="2597" t="s">
        <v>92</v>
      </c>
      <c r="AK8" s="2598"/>
      <c r="AL8" s="2597" t="s">
        <v>91</v>
      </c>
      <c r="AM8" s="2598"/>
      <c r="AN8" s="2597" t="s">
        <v>90</v>
      </c>
      <c r="AO8" s="2598"/>
      <c r="AP8" s="2592" t="s">
        <v>89</v>
      </c>
      <c r="AQ8" s="2592"/>
      <c r="AR8" s="2592" t="s">
        <v>88</v>
      </c>
      <c r="AS8" s="2592"/>
      <c r="AT8" s="2592" t="s">
        <v>87</v>
      </c>
      <c r="AU8" s="2592"/>
      <c r="AV8" s="2592" t="s">
        <v>86</v>
      </c>
      <c r="AW8" s="2592"/>
      <c r="AX8" s="2592" t="s">
        <v>85</v>
      </c>
      <c r="AY8" s="2592"/>
      <c r="AZ8" s="2592" t="s">
        <v>84</v>
      </c>
      <c r="BA8" s="2592"/>
      <c r="BB8" s="2592" t="s">
        <v>83</v>
      </c>
      <c r="BC8" s="2592"/>
      <c r="BD8" s="2592" t="s">
        <v>82</v>
      </c>
      <c r="BE8" s="2592"/>
      <c r="BF8" s="2592" t="s">
        <v>81</v>
      </c>
      <c r="BG8" s="2592"/>
      <c r="BH8" s="2619"/>
      <c r="BI8" s="2619"/>
      <c r="BJ8" s="2584" t="s">
        <v>80</v>
      </c>
      <c r="BK8" s="2583" t="s">
        <v>79</v>
      </c>
      <c r="BL8" s="2584" t="s">
        <v>78</v>
      </c>
      <c r="BM8" s="2585" t="s">
        <v>77</v>
      </c>
      <c r="BN8" s="2586" t="s">
        <v>76</v>
      </c>
      <c r="BO8" s="2587"/>
      <c r="BP8" s="2588" t="s">
        <v>75</v>
      </c>
      <c r="BQ8" s="2627"/>
      <c r="BR8" s="2628"/>
      <c r="BS8" s="2627"/>
      <c r="BT8" s="2628"/>
      <c r="BU8" s="2630"/>
      <c r="BV8" s="4"/>
      <c r="BW8" s="4"/>
      <c r="BX8" s="4"/>
      <c r="BY8" s="4"/>
      <c r="BZ8" s="4"/>
      <c r="CA8" s="4"/>
      <c r="CB8" s="4"/>
      <c r="CC8" s="4"/>
      <c r="CD8" s="4"/>
      <c r="CE8" s="4"/>
      <c r="CF8" s="4"/>
      <c r="CG8" s="4"/>
      <c r="CH8" s="4"/>
      <c r="CI8" s="4"/>
      <c r="CJ8" s="4"/>
      <c r="CK8" s="4"/>
      <c r="CL8" s="4"/>
      <c r="CM8" s="4"/>
      <c r="CN8" s="4"/>
    </row>
    <row r="9" spans="1:92" ht="15.75" x14ac:dyDescent="0.25">
      <c r="A9" s="2593"/>
      <c r="B9" s="2593"/>
      <c r="C9" s="2593"/>
      <c r="D9" s="2593"/>
      <c r="E9" s="2593"/>
      <c r="F9" s="2593"/>
      <c r="G9" s="2593"/>
      <c r="H9" s="2593"/>
      <c r="I9" s="2593"/>
      <c r="J9" s="2593"/>
      <c r="K9" s="2593"/>
      <c r="L9" s="2593"/>
      <c r="M9" s="2593"/>
      <c r="N9" s="2593"/>
      <c r="O9" s="131" t="s">
        <v>69</v>
      </c>
      <c r="P9" s="131" t="s">
        <v>68</v>
      </c>
      <c r="Q9" s="2593"/>
      <c r="R9" s="2593"/>
      <c r="S9" s="2593"/>
      <c r="T9" s="2593"/>
      <c r="U9" s="2593"/>
      <c r="V9" s="2593"/>
      <c r="W9" s="2593"/>
      <c r="X9" s="134" t="s">
        <v>74</v>
      </c>
      <c r="Y9" s="134" t="s">
        <v>73</v>
      </c>
      <c r="Z9" s="134" t="s">
        <v>72</v>
      </c>
      <c r="AA9" s="2596"/>
      <c r="AB9" s="133"/>
      <c r="AC9" s="132"/>
      <c r="AD9" s="131" t="s">
        <v>69</v>
      </c>
      <c r="AE9" s="131" t="s">
        <v>68</v>
      </c>
      <c r="AF9" s="131" t="s">
        <v>69</v>
      </c>
      <c r="AG9" s="131" t="s">
        <v>68</v>
      </c>
      <c r="AH9" s="131" t="s">
        <v>69</v>
      </c>
      <c r="AI9" s="131" t="s">
        <v>68</v>
      </c>
      <c r="AJ9" s="131" t="s">
        <v>69</v>
      </c>
      <c r="AK9" s="131" t="s">
        <v>68</v>
      </c>
      <c r="AL9" s="131" t="s">
        <v>69</v>
      </c>
      <c r="AM9" s="131" t="s">
        <v>68</v>
      </c>
      <c r="AN9" s="131" t="s">
        <v>69</v>
      </c>
      <c r="AO9" s="131" t="s">
        <v>68</v>
      </c>
      <c r="AP9" s="131" t="s">
        <v>69</v>
      </c>
      <c r="AQ9" s="131" t="s">
        <v>68</v>
      </c>
      <c r="AR9" s="131" t="s">
        <v>69</v>
      </c>
      <c r="AS9" s="131" t="s">
        <v>68</v>
      </c>
      <c r="AT9" s="131" t="s">
        <v>69</v>
      </c>
      <c r="AU9" s="131" t="s">
        <v>68</v>
      </c>
      <c r="AV9" s="131" t="s">
        <v>69</v>
      </c>
      <c r="AW9" s="131" t="s">
        <v>68</v>
      </c>
      <c r="AX9" s="131" t="s">
        <v>69</v>
      </c>
      <c r="AY9" s="131" t="s">
        <v>68</v>
      </c>
      <c r="AZ9" s="131" t="s">
        <v>69</v>
      </c>
      <c r="BA9" s="131" t="s">
        <v>68</v>
      </c>
      <c r="BB9" s="131" t="s">
        <v>69</v>
      </c>
      <c r="BC9" s="131" t="s">
        <v>68</v>
      </c>
      <c r="BD9" s="131" t="s">
        <v>69</v>
      </c>
      <c r="BE9" s="131" t="s">
        <v>68</v>
      </c>
      <c r="BF9" s="131" t="s">
        <v>69</v>
      </c>
      <c r="BG9" s="131" t="s">
        <v>68</v>
      </c>
      <c r="BH9" s="131" t="s">
        <v>69</v>
      </c>
      <c r="BI9" s="131" t="s">
        <v>68</v>
      </c>
      <c r="BJ9" s="2584"/>
      <c r="BK9" s="2583"/>
      <c r="BL9" s="2584"/>
      <c r="BM9" s="2585"/>
      <c r="BN9" s="130" t="s">
        <v>71</v>
      </c>
      <c r="BO9" s="129" t="s">
        <v>70</v>
      </c>
      <c r="BP9" s="2589"/>
      <c r="BQ9" s="128" t="s">
        <v>69</v>
      </c>
      <c r="BR9" s="128" t="s">
        <v>68</v>
      </c>
      <c r="BS9" s="128" t="s">
        <v>69</v>
      </c>
      <c r="BT9" s="128" t="s">
        <v>68</v>
      </c>
      <c r="BU9" s="2631"/>
      <c r="BV9" s="4"/>
      <c r="BW9" s="4"/>
      <c r="BX9" s="4"/>
      <c r="BY9" s="4"/>
      <c r="BZ9" s="4"/>
      <c r="CA9" s="4"/>
      <c r="CB9" s="4"/>
      <c r="CC9" s="4"/>
      <c r="CD9" s="4"/>
      <c r="CE9" s="4"/>
      <c r="CF9" s="4"/>
      <c r="CG9" s="4"/>
      <c r="CH9" s="4"/>
      <c r="CI9" s="4"/>
      <c r="CJ9" s="4"/>
      <c r="CK9" s="4"/>
      <c r="CL9" s="4"/>
      <c r="CM9" s="4"/>
      <c r="CN9" s="4"/>
    </row>
    <row r="10" spans="1:92" s="14" customFormat="1" ht="15.75" x14ac:dyDescent="0.25">
      <c r="A10" s="127">
        <v>4</v>
      </c>
      <c r="B10" s="2590" t="s">
        <v>67</v>
      </c>
      <c r="C10" s="2591"/>
      <c r="D10" s="2591"/>
      <c r="E10" s="2591"/>
      <c r="F10" s="2591"/>
      <c r="G10" s="2591"/>
      <c r="H10" s="2591"/>
      <c r="I10" s="120"/>
      <c r="J10" s="123"/>
      <c r="K10" s="120"/>
      <c r="L10" s="123"/>
      <c r="M10" s="120"/>
      <c r="N10" s="123"/>
      <c r="O10" s="123"/>
      <c r="P10" s="123"/>
      <c r="Q10" s="120"/>
      <c r="R10" s="123"/>
      <c r="S10" s="126"/>
      <c r="T10" s="125"/>
      <c r="U10" s="124"/>
      <c r="V10" s="123"/>
      <c r="W10" s="123"/>
      <c r="X10" s="123"/>
      <c r="Y10" s="123"/>
      <c r="Z10" s="123"/>
      <c r="AA10" s="120"/>
      <c r="AB10" s="122"/>
      <c r="AC10" s="121"/>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19"/>
      <c r="BT10" s="119"/>
      <c r="BU10" s="118"/>
      <c r="BV10" s="4"/>
      <c r="BW10" s="4"/>
      <c r="BX10" s="4"/>
      <c r="BY10" s="4"/>
      <c r="BZ10" s="4"/>
      <c r="CA10" s="4"/>
      <c r="CB10" s="4"/>
      <c r="CC10" s="4"/>
      <c r="CD10" s="4"/>
      <c r="CE10" s="4"/>
      <c r="CF10" s="4"/>
      <c r="CG10" s="4"/>
      <c r="CH10" s="4"/>
      <c r="CI10" s="4"/>
      <c r="CJ10" s="4"/>
      <c r="CK10" s="4"/>
      <c r="CL10" s="4"/>
    </row>
    <row r="11" spans="1:92" s="104" customFormat="1" ht="15.75" x14ac:dyDescent="0.25">
      <c r="A11" s="117"/>
      <c r="B11" s="116"/>
      <c r="C11" s="115">
        <v>45</v>
      </c>
      <c r="D11" s="2577" t="s">
        <v>66</v>
      </c>
      <c r="E11" s="2578"/>
      <c r="F11" s="2578"/>
      <c r="G11" s="2578"/>
      <c r="H11" s="2578"/>
      <c r="I11" s="2578"/>
      <c r="J11" s="111"/>
      <c r="K11" s="108"/>
      <c r="L11" s="111"/>
      <c r="M11" s="108"/>
      <c r="N11" s="111"/>
      <c r="O11" s="108"/>
      <c r="P11" s="108"/>
      <c r="Q11" s="108"/>
      <c r="R11" s="111"/>
      <c r="S11" s="114"/>
      <c r="T11" s="113"/>
      <c r="U11" s="112"/>
      <c r="V11" s="111"/>
      <c r="W11" s="111"/>
      <c r="X11" s="108"/>
      <c r="Y11" s="108"/>
      <c r="Z11" s="108"/>
      <c r="AA11" s="108"/>
      <c r="AB11" s="110"/>
      <c r="AC11" s="109"/>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7"/>
      <c r="BT11" s="107"/>
      <c r="BU11" s="106"/>
      <c r="BV11" s="105"/>
      <c r="BW11" s="105"/>
      <c r="BX11" s="105"/>
      <c r="BY11" s="105"/>
      <c r="BZ11" s="105"/>
      <c r="CA11" s="105"/>
      <c r="CB11" s="105"/>
      <c r="CC11" s="105"/>
      <c r="CD11" s="105"/>
      <c r="CE11" s="105"/>
      <c r="CF11" s="105"/>
      <c r="CG11" s="105"/>
      <c r="CH11" s="105"/>
      <c r="CI11" s="105"/>
      <c r="CJ11" s="105"/>
      <c r="CK11" s="105"/>
      <c r="CL11" s="105"/>
    </row>
    <row r="12" spans="1:92" ht="15.75" x14ac:dyDescent="0.25">
      <c r="A12" s="49"/>
      <c r="B12" s="48"/>
      <c r="C12" s="103"/>
      <c r="D12" s="102"/>
      <c r="E12" s="101">
        <v>4599</v>
      </c>
      <c r="F12" s="100" t="s">
        <v>65</v>
      </c>
      <c r="G12" s="99"/>
      <c r="H12" s="98"/>
      <c r="I12" s="99"/>
      <c r="J12" s="98"/>
      <c r="K12" s="99"/>
      <c r="L12" s="98"/>
      <c r="M12" s="97"/>
      <c r="N12" s="93"/>
      <c r="O12" s="96"/>
      <c r="P12" s="96"/>
      <c r="Q12" s="96"/>
      <c r="R12" s="95"/>
      <c r="S12" s="94"/>
      <c r="T12" s="92"/>
      <c r="U12" s="93"/>
      <c r="V12" s="93"/>
      <c r="W12" s="93"/>
      <c r="X12" s="92"/>
      <c r="Y12" s="92"/>
      <c r="Z12" s="92"/>
      <c r="AA12" s="90"/>
      <c r="AB12" s="91"/>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89"/>
      <c r="BR12" s="89"/>
      <c r="BS12" s="89"/>
      <c r="BT12" s="89"/>
      <c r="BU12" s="88"/>
      <c r="BV12" s="14"/>
      <c r="BW12" s="20"/>
      <c r="BX12" s="4"/>
      <c r="BY12" s="4"/>
      <c r="BZ12" s="4"/>
      <c r="CA12" s="4"/>
      <c r="CB12" s="4"/>
      <c r="CC12" s="4"/>
      <c r="CD12" s="4"/>
      <c r="CE12" s="4"/>
      <c r="CF12" s="4"/>
      <c r="CG12" s="4"/>
      <c r="CH12" s="4"/>
      <c r="CI12" s="4"/>
      <c r="CJ12" s="4"/>
      <c r="CK12" s="4"/>
      <c r="CL12" s="4"/>
    </row>
    <row r="13" spans="1:92" s="24" customFormat="1" ht="52.5" customHeight="1" x14ac:dyDescent="0.25">
      <c r="A13" s="49"/>
      <c r="B13" s="48"/>
      <c r="C13" s="49"/>
      <c r="D13" s="48"/>
      <c r="E13" s="45"/>
      <c r="F13" s="87"/>
      <c r="G13" s="2579" t="s">
        <v>20</v>
      </c>
      <c r="H13" s="2556" t="s">
        <v>64</v>
      </c>
      <c r="I13" s="2582">
        <v>4599023</v>
      </c>
      <c r="J13" s="2548" t="s">
        <v>31</v>
      </c>
      <c r="K13" s="2550" t="s">
        <v>20</v>
      </c>
      <c r="L13" s="2507" t="s">
        <v>63</v>
      </c>
      <c r="M13" s="2550">
        <v>459902300</v>
      </c>
      <c r="N13" s="2548" t="s">
        <v>62</v>
      </c>
      <c r="O13" s="2565">
        <v>5</v>
      </c>
      <c r="P13" s="2568">
        <v>5</v>
      </c>
      <c r="Q13" s="2571" t="s">
        <v>61</v>
      </c>
      <c r="R13" s="2573" t="s">
        <v>60</v>
      </c>
      <c r="S13" s="2542">
        <f>SUM(X13:X23)/T13</f>
        <v>1</v>
      </c>
      <c r="T13" s="2576">
        <f>SUM(X13:X23)</f>
        <v>179885000</v>
      </c>
      <c r="U13" s="2507" t="s">
        <v>42</v>
      </c>
      <c r="V13" s="2507" t="s">
        <v>59</v>
      </c>
      <c r="W13" s="2556" t="s">
        <v>58</v>
      </c>
      <c r="X13" s="75">
        <v>19945000</v>
      </c>
      <c r="Y13" s="84">
        <v>19935833</v>
      </c>
      <c r="Z13" s="84">
        <v>19935833</v>
      </c>
      <c r="AA13" s="83" t="s">
        <v>49</v>
      </c>
      <c r="AB13" s="41">
        <v>20</v>
      </c>
      <c r="AC13" s="40" t="s">
        <v>1</v>
      </c>
      <c r="AD13" s="2525">
        <v>295972</v>
      </c>
      <c r="AE13" s="2525">
        <v>295972</v>
      </c>
      <c r="AF13" s="2525">
        <v>285580</v>
      </c>
      <c r="AG13" s="2525">
        <v>285580</v>
      </c>
      <c r="AH13" s="2525">
        <v>135545</v>
      </c>
      <c r="AI13" s="2525">
        <v>135545</v>
      </c>
      <c r="AJ13" s="2525">
        <v>44254</v>
      </c>
      <c r="AK13" s="2525">
        <v>44254</v>
      </c>
      <c r="AL13" s="2525">
        <v>309146</v>
      </c>
      <c r="AM13" s="2525">
        <v>309146</v>
      </c>
      <c r="AN13" s="2562">
        <v>92607</v>
      </c>
      <c r="AO13" s="2562">
        <v>92607</v>
      </c>
      <c r="AP13" s="2525">
        <v>2145</v>
      </c>
      <c r="AQ13" s="2525">
        <v>2145</v>
      </c>
      <c r="AR13" s="2559">
        <v>12718</v>
      </c>
      <c r="AS13" s="2559">
        <v>12718</v>
      </c>
      <c r="AT13" s="2559">
        <v>26</v>
      </c>
      <c r="AU13" s="2559">
        <v>26</v>
      </c>
      <c r="AV13" s="2559">
        <v>37</v>
      </c>
      <c r="AW13" s="2559">
        <v>37</v>
      </c>
      <c r="AX13" s="2559">
        <v>0</v>
      </c>
      <c r="AY13" s="2559">
        <v>0</v>
      </c>
      <c r="AZ13" s="2559">
        <v>0</v>
      </c>
      <c r="BA13" s="2559">
        <v>0</v>
      </c>
      <c r="BB13" s="2559">
        <v>0</v>
      </c>
      <c r="BC13" s="2559">
        <v>0</v>
      </c>
      <c r="BD13" s="2559">
        <v>21944</v>
      </c>
      <c r="BE13" s="2559">
        <v>21944</v>
      </c>
      <c r="BF13" s="2559">
        <v>75687</v>
      </c>
      <c r="BG13" s="2559">
        <v>75687</v>
      </c>
      <c r="BH13" s="2559">
        <v>581552</v>
      </c>
      <c r="BI13" s="2559">
        <v>581552</v>
      </c>
      <c r="BJ13" s="2525">
        <v>23</v>
      </c>
      <c r="BK13" s="2561">
        <f>+Y13+Y15+Y23+Y16+Y18+Y19+Y20+Y17+Y14+Y21+Y22</f>
        <v>167290817</v>
      </c>
      <c r="BL13" s="2561">
        <f>+Z13+Z15+Z23+Z16+Z18+Z19+Z20+Z17+Z14+Z21+Z22</f>
        <v>167290817</v>
      </c>
      <c r="BM13" s="2497">
        <f>+BL13/BK13</f>
        <v>1</v>
      </c>
      <c r="BN13" s="2525" t="s">
        <v>11</v>
      </c>
      <c r="BO13" s="2525" t="s">
        <v>10</v>
      </c>
      <c r="BP13" s="2555" t="s">
        <v>57</v>
      </c>
      <c r="BQ13" s="2490">
        <v>44211</v>
      </c>
      <c r="BR13" s="2492">
        <v>44340</v>
      </c>
      <c r="BS13" s="2491" t="s">
        <v>8</v>
      </c>
      <c r="BT13" s="2492">
        <v>44558</v>
      </c>
      <c r="BU13" s="2528" t="s">
        <v>7</v>
      </c>
      <c r="BV13" s="25"/>
      <c r="BW13" s="25"/>
    </row>
    <row r="14" spans="1:92" s="24" customFormat="1" ht="45.75" customHeight="1" x14ac:dyDescent="0.25">
      <c r="A14" s="49"/>
      <c r="B14" s="48"/>
      <c r="C14" s="49"/>
      <c r="D14" s="48"/>
      <c r="E14" s="45"/>
      <c r="F14" s="86"/>
      <c r="G14" s="2580"/>
      <c r="H14" s="2557"/>
      <c r="I14" s="2582"/>
      <c r="J14" s="2548"/>
      <c r="K14" s="2550"/>
      <c r="L14" s="2507"/>
      <c r="M14" s="2550"/>
      <c r="N14" s="2548"/>
      <c r="O14" s="2566"/>
      <c r="P14" s="2569"/>
      <c r="Q14" s="2571"/>
      <c r="R14" s="2574"/>
      <c r="S14" s="2542"/>
      <c r="T14" s="2576"/>
      <c r="U14" s="2507"/>
      <c r="V14" s="2507"/>
      <c r="W14" s="2557"/>
      <c r="X14" s="85">
        <v>5000000</v>
      </c>
      <c r="Y14" s="84">
        <v>4080000</v>
      </c>
      <c r="Z14" s="84">
        <v>4080000</v>
      </c>
      <c r="AA14" s="83" t="s">
        <v>56</v>
      </c>
      <c r="AB14" s="41">
        <v>20</v>
      </c>
      <c r="AC14" s="40" t="s">
        <v>1</v>
      </c>
      <c r="AD14" s="2525"/>
      <c r="AE14" s="2525"/>
      <c r="AF14" s="2525"/>
      <c r="AG14" s="2525"/>
      <c r="AH14" s="2525"/>
      <c r="AI14" s="2525"/>
      <c r="AJ14" s="2525"/>
      <c r="AK14" s="2525"/>
      <c r="AL14" s="2525"/>
      <c r="AM14" s="2525"/>
      <c r="AN14" s="2563"/>
      <c r="AO14" s="2563"/>
      <c r="AP14" s="2525"/>
      <c r="AQ14" s="2525"/>
      <c r="AR14" s="2559"/>
      <c r="AS14" s="2559"/>
      <c r="AT14" s="2559"/>
      <c r="AU14" s="2559"/>
      <c r="AV14" s="2559"/>
      <c r="AW14" s="2559"/>
      <c r="AX14" s="2559"/>
      <c r="AY14" s="2559"/>
      <c r="AZ14" s="2559"/>
      <c r="BA14" s="2559"/>
      <c r="BB14" s="2559"/>
      <c r="BC14" s="2559"/>
      <c r="BD14" s="2559"/>
      <c r="BE14" s="2559"/>
      <c r="BF14" s="2559"/>
      <c r="BG14" s="2559"/>
      <c r="BH14" s="2559"/>
      <c r="BI14" s="2559"/>
      <c r="BJ14" s="2525"/>
      <c r="BK14" s="2561"/>
      <c r="BL14" s="2561"/>
      <c r="BM14" s="2497"/>
      <c r="BN14" s="2525"/>
      <c r="BO14" s="2525"/>
      <c r="BP14" s="2555"/>
      <c r="BQ14" s="2490"/>
      <c r="BR14" s="2493"/>
      <c r="BS14" s="2491"/>
      <c r="BT14" s="2493"/>
      <c r="BU14" s="2528"/>
      <c r="BV14" s="25"/>
      <c r="BW14" s="25"/>
    </row>
    <row r="15" spans="1:92" s="24" customFormat="1" ht="30" x14ac:dyDescent="0.25">
      <c r="A15" s="49"/>
      <c r="B15" s="48"/>
      <c r="C15" s="49"/>
      <c r="D15" s="48"/>
      <c r="E15" s="45"/>
      <c r="F15" s="45"/>
      <c r="G15" s="2580"/>
      <c r="H15" s="2557"/>
      <c r="I15" s="2582"/>
      <c r="J15" s="2548"/>
      <c r="K15" s="2550"/>
      <c r="L15" s="2507"/>
      <c r="M15" s="2550"/>
      <c r="N15" s="2548"/>
      <c r="O15" s="2566"/>
      <c r="P15" s="2569"/>
      <c r="Q15" s="2571"/>
      <c r="R15" s="2574"/>
      <c r="S15" s="2542"/>
      <c r="T15" s="2576"/>
      <c r="U15" s="2507"/>
      <c r="V15" s="2507"/>
      <c r="W15" s="2558"/>
      <c r="X15" s="75">
        <v>44135000</v>
      </c>
      <c r="Y15" s="84">
        <v>43294993</v>
      </c>
      <c r="Z15" s="84">
        <v>43294993</v>
      </c>
      <c r="AA15" s="83" t="s">
        <v>53</v>
      </c>
      <c r="AB15" s="41">
        <v>88</v>
      </c>
      <c r="AC15" s="40" t="s">
        <v>5</v>
      </c>
      <c r="AD15" s="2491"/>
      <c r="AE15" s="2491"/>
      <c r="AF15" s="2491"/>
      <c r="AG15" s="2491"/>
      <c r="AH15" s="2491"/>
      <c r="AI15" s="2491"/>
      <c r="AJ15" s="2491"/>
      <c r="AK15" s="2491"/>
      <c r="AL15" s="2491"/>
      <c r="AM15" s="2491"/>
      <c r="AN15" s="2563"/>
      <c r="AO15" s="2563"/>
      <c r="AP15" s="2491"/>
      <c r="AQ15" s="2491"/>
      <c r="AR15" s="2560"/>
      <c r="AS15" s="2560"/>
      <c r="AT15" s="2560"/>
      <c r="AU15" s="2560"/>
      <c r="AV15" s="2560"/>
      <c r="AW15" s="2560"/>
      <c r="AX15" s="2560"/>
      <c r="AY15" s="2560"/>
      <c r="AZ15" s="2560"/>
      <c r="BA15" s="2560"/>
      <c r="BB15" s="2560"/>
      <c r="BC15" s="2560"/>
      <c r="BD15" s="2560"/>
      <c r="BE15" s="2560"/>
      <c r="BF15" s="2560"/>
      <c r="BG15" s="2560"/>
      <c r="BH15" s="2560"/>
      <c r="BI15" s="2560"/>
      <c r="BJ15" s="2491"/>
      <c r="BK15" s="2561"/>
      <c r="BL15" s="2561"/>
      <c r="BM15" s="2497"/>
      <c r="BN15" s="2491"/>
      <c r="BO15" s="2491"/>
      <c r="BP15" s="2484"/>
      <c r="BQ15" s="2491"/>
      <c r="BR15" s="2493"/>
      <c r="BS15" s="2491"/>
      <c r="BT15" s="2526"/>
      <c r="BU15" s="2528"/>
      <c r="BV15" s="25"/>
      <c r="BW15" s="25"/>
    </row>
    <row r="16" spans="1:92" s="24" customFormat="1" ht="39" customHeight="1" x14ac:dyDescent="0.25">
      <c r="A16" s="49"/>
      <c r="B16" s="48"/>
      <c r="C16" s="49"/>
      <c r="D16" s="48"/>
      <c r="E16" s="45"/>
      <c r="F16" s="45"/>
      <c r="G16" s="2580"/>
      <c r="H16" s="2557"/>
      <c r="I16" s="2582"/>
      <c r="J16" s="2548"/>
      <c r="K16" s="2550"/>
      <c r="L16" s="2507"/>
      <c r="M16" s="2550"/>
      <c r="N16" s="2548"/>
      <c r="O16" s="2566"/>
      <c r="P16" s="2569"/>
      <c r="Q16" s="2571"/>
      <c r="R16" s="2574"/>
      <c r="S16" s="2542"/>
      <c r="T16" s="2576"/>
      <c r="U16" s="2507"/>
      <c r="V16" s="2507"/>
      <c r="W16" s="2556" t="s">
        <v>55</v>
      </c>
      <c r="X16" s="75">
        <v>53050000</v>
      </c>
      <c r="Y16" s="84">
        <v>53049992</v>
      </c>
      <c r="Z16" s="84">
        <v>53049992</v>
      </c>
      <c r="AA16" s="83" t="s">
        <v>53</v>
      </c>
      <c r="AB16" s="41">
        <v>88</v>
      </c>
      <c r="AC16" s="40" t="s">
        <v>5</v>
      </c>
      <c r="AD16" s="2491"/>
      <c r="AE16" s="2491"/>
      <c r="AF16" s="2491"/>
      <c r="AG16" s="2491"/>
      <c r="AH16" s="2491"/>
      <c r="AI16" s="2491"/>
      <c r="AJ16" s="2491"/>
      <c r="AK16" s="2491"/>
      <c r="AL16" s="2491"/>
      <c r="AM16" s="2491"/>
      <c r="AN16" s="2563"/>
      <c r="AO16" s="2563"/>
      <c r="AP16" s="2491"/>
      <c r="AQ16" s="2491"/>
      <c r="AR16" s="2560"/>
      <c r="AS16" s="2560"/>
      <c r="AT16" s="2560"/>
      <c r="AU16" s="2560"/>
      <c r="AV16" s="2560"/>
      <c r="AW16" s="2560"/>
      <c r="AX16" s="2560"/>
      <c r="AY16" s="2560"/>
      <c r="AZ16" s="2560"/>
      <c r="BA16" s="2560"/>
      <c r="BB16" s="2560"/>
      <c r="BC16" s="2560"/>
      <c r="BD16" s="2560"/>
      <c r="BE16" s="2560"/>
      <c r="BF16" s="2560"/>
      <c r="BG16" s="2560"/>
      <c r="BH16" s="2560"/>
      <c r="BI16" s="2560"/>
      <c r="BJ16" s="2491"/>
      <c r="BK16" s="2561"/>
      <c r="BL16" s="2561"/>
      <c r="BM16" s="2497"/>
      <c r="BN16" s="2491"/>
      <c r="BO16" s="2491"/>
      <c r="BP16" s="2484"/>
      <c r="BQ16" s="2491"/>
      <c r="BR16" s="2493"/>
      <c r="BS16" s="2491"/>
      <c r="BT16" s="2526"/>
      <c r="BU16" s="2528"/>
      <c r="BV16" s="25"/>
      <c r="BW16" s="25"/>
    </row>
    <row r="17" spans="1:75" s="24" customFormat="1" ht="39" customHeight="1" x14ac:dyDescent="0.25">
      <c r="A17" s="49"/>
      <c r="B17" s="48"/>
      <c r="C17" s="49"/>
      <c r="D17" s="48"/>
      <c r="E17" s="45"/>
      <c r="F17" s="45"/>
      <c r="G17" s="2580"/>
      <c r="H17" s="2557"/>
      <c r="I17" s="2582"/>
      <c r="J17" s="2548"/>
      <c r="K17" s="2550"/>
      <c r="L17" s="2507"/>
      <c r="M17" s="2550"/>
      <c r="N17" s="2548"/>
      <c r="O17" s="2566"/>
      <c r="P17" s="2569"/>
      <c r="Q17" s="2571"/>
      <c r="R17" s="2574"/>
      <c r="S17" s="2542"/>
      <c r="T17" s="2576"/>
      <c r="U17" s="2507"/>
      <c r="V17" s="2507"/>
      <c r="W17" s="2557"/>
      <c r="X17" s="75">
        <v>5000000</v>
      </c>
      <c r="Y17" s="75">
        <v>5000000</v>
      </c>
      <c r="Z17" s="84">
        <v>5000000</v>
      </c>
      <c r="AA17" s="83" t="s">
        <v>51</v>
      </c>
      <c r="AB17" s="41">
        <v>88</v>
      </c>
      <c r="AC17" s="40" t="s">
        <v>5</v>
      </c>
      <c r="AD17" s="2491"/>
      <c r="AE17" s="2491"/>
      <c r="AF17" s="2491"/>
      <c r="AG17" s="2491"/>
      <c r="AH17" s="2491"/>
      <c r="AI17" s="2491"/>
      <c r="AJ17" s="2491"/>
      <c r="AK17" s="2491"/>
      <c r="AL17" s="2491"/>
      <c r="AM17" s="2491"/>
      <c r="AN17" s="2563"/>
      <c r="AO17" s="2563"/>
      <c r="AP17" s="2491"/>
      <c r="AQ17" s="2491"/>
      <c r="AR17" s="2560"/>
      <c r="AS17" s="2560"/>
      <c r="AT17" s="2560"/>
      <c r="AU17" s="2560"/>
      <c r="AV17" s="2560"/>
      <c r="AW17" s="2560"/>
      <c r="AX17" s="2560"/>
      <c r="AY17" s="2560"/>
      <c r="AZ17" s="2560"/>
      <c r="BA17" s="2560"/>
      <c r="BB17" s="2560"/>
      <c r="BC17" s="2560"/>
      <c r="BD17" s="2560"/>
      <c r="BE17" s="2560"/>
      <c r="BF17" s="2560"/>
      <c r="BG17" s="2560"/>
      <c r="BH17" s="2560"/>
      <c r="BI17" s="2560"/>
      <c r="BJ17" s="2491"/>
      <c r="BK17" s="2561"/>
      <c r="BL17" s="2561"/>
      <c r="BM17" s="2497"/>
      <c r="BN17" s="2491"/>
      <c r="BO17" s="2491"/>
      <c r="BP17" s="2484"/>
      <c r="BQ17" s="2491"/>
      <c r="BR17" s="2493"/>
      <c r="BS17" s="2491"/>
      <c r="BT17" s="2526"/>
      <c r="BU17" s="2528"/>
      <c r="BV17" s="25"/>
      <c r="BW17" s="25"/>
    </row>
    <row r="18" spans="1:75" s="24" customFormat="1" ht="33" customHeight="1" x14ac:dyDescent="0.25">
      <c r="A18" s="49"/>
      <c r="B18" s="48"/>
      <c r="C18" s="49"/>
      <c r="D18" s="48"/>
      <c r="E18" s="45"/>
      <c r="F18" s="45"/>
      <c r="G18" s="2580"/>
      <c r="H18" s="2557"/>
      <c r="I18" s="2582"/>
      <c r="J18" s="2548"/>
      <c r="K18" s="2550"/>
      <c r="L18" s="2507"/>
      <c r="M18" s="2550"/>
      <c r="N18" s="2548"/>
      <c r="O18" s="2566"/>
      <c r="P18" s="2569"/>
      <c r="Q18" s="2571"/>
      <c r="R18" s="2574"/>
      <c r="S18" s="2542"/>
      <c r="T18" s="2576"/>
      <c r="U18" s="2507"/>
      <c r="V18" s="2507"/>
      <c r="W18" s="2558"/>
      <c r="X18" s="75">
        <v>5400000</v>
      </c>
      <c r="Y18" s="84">
        <v>5400000</v>
      </c>
      <c r="Z18" s="84">
        <v>5400000</v>
      </c>
      <c r="AA18" s="83" t="s">
        <v>49</v>
      </c>
      <c r="AB18" s="41">
        <v>20</v>
      </c>
      <c r="AC18" s="40" t="s">
        <v>1</v>
      </c>
      <c r="AD18" s="2491"/>
      <c r="AE18" s="2491"/>
      <c r="AF18" s="2491"/>
      <c r="AG18" s="2491"/>
      <c r="AH18" s="2491"/>
      <c r="AI18" s="2491"/>
      <c r="AJ18" s="2491"/>
      <c r="AK18" s="2491"/>
      <c r="AL18" s="2491"/>
      <c r="AM18" s="2491"/>
      <c r="AN18" s="2563"/>
      <c r="AO18" s="2563"/>
      <c r="AP18" s="2491"/>
      <c r="AQ18" s="2491"/>
      <c r="AR18" s="2560"/>
      <c r="AS18" s="2560"/>
      <c r="AT18" s="2560"/>
      <c r="AU18" s="2560"/>
      <c r="AV18" s="2560"/>
      <c r="AW18" s="2560"/>
      <c r="AX18" s="2560"/>
      <c r="AY18" s="2560"/>
      <c r="AZ18" s="2560"/>
      <c r="BA18" s="2560"/>
      <c r="BB18" s="2560"/>
      <c r="BC18" s="2560"/>
      <c r="BD18" s="2560"/>
      <c r="BE18" s="2560"/>
      <c r="BF18" s="2560"/>
      <c r="BG18" s="2560"/>
      <c r="BH18" s="2560"/>
      <c r="BI18" s="2560"/>
      <c r="BJ18" s="2491"/>
      <c r="BK18" s="2561"/>
      <c r="BL18" s="2561"/>
      <c r="BM18" s="2497"/>
      <c r="BN18" s="2491"/>
      <c r="BO18" s="2491"/>
      <c r="BP18" s="2484"/>
      <c r="BQ18" s="2491"/>
      <c r="BR18" s="2493"/>
      <c r="BS18" s="2491"/>
      <c r="BT18" s="2526"/>
      <c r="BU18" s="2528"/>
      <c r="BV18" s="25"/>
      <c r="BW18" s="25"/>
    </row>
    <row r="19" spans="1:75" s="24" customFormat="1" ht="31.5" customHeight="1" x14ac:dyDescent="0.25">
      <c r="A19" s="49"/>
      <c r="B19" s="48"/>
      <c r="C19" s="49"/>
      <c r="D19" s="48"/>
      <c r="E19" s="45"/>
      <c r="F19" s="45"/>
      <c r="G19" s="2580"/>
      <c r="H19" s="2557"/>
      <c r="I19" s="2582"/>
      <c r="J19" s="2548"/>
      <c r="K19" s="2550"/>
      <c r="L19" s="2507"/>
      <c r="M19" s="2550"/>
      <c r="N19" s="2548"/>
      <c r="O19" s="2566"/>
      <c r="P19" s="2569"/>
      <c r="Q19" s="2571"/>
      <c r="R19" s="2574"/>
      <c r="S19" s="2542"/>
      <c r="T19" s="2576"/>
      <c r="U19" s="2507"/>
      <c r="V19" s="2507"/>
      <c r="W19" s="2556" t="s">
        <v>54</v>
      </c>
      <c r="X19" s="75">
        <v>26700000</v>
      </c>
      <c r="Y19" s="84">
        <v>25874999</v>
      </c>
      <c r="Z19" s="84">
        <v>25874999</v>
      </c>
      <c r="AA19" s="83" t="s">
        <v>53</v>
      </c>
      <c r="AB19" s="41">
        <v>88</v>
      </c>
      <c r="AC19" s="40" t="s">
        <v>5</v>
      </c>
      <c r="AD19" s="2491"/>
      <c r="AE19" s="2491"/>
      <c r="AF19" s="2491"/>
      <c r="AG19" s="2491"/>
      <c r="AH19" s="2491"/>
      <c r="AI19" s="2491"/>
      <c r="AJ19" s="2491"/>
      <c r="AK19" s="2491"/>
      <c r="AL19" s="2491"/>
      <c r="AM19" s="2491"/>
      <c r="AN19" s="2563"/>
      <c r="AO19" s="2563"/>
      <c r="AP19" s="2491"/>
      <c r="AQ19" s="2491"/>
      <c r="AR19" s="2560"/>
      <c r="AS19" s="2560"/>
      <c r="AT19" s="2560"/>
      <c r="AU19" s="2560"/>
      <c r="AV19" s="2560"/>
      <c r="AW19" s="2560"/>
      <c r="AX19" s="2560"/>
      <c r="AY19" s="2560"/>
      <c r="AZ19" s="2560"/>
      <c r="BA19" s="2560"/>
      <c r="BB19" s="2560"/>
      <c r="BC19" s="2560"/>
      <c r="BD19" s="2560"/>
      <c r="BE19" s="2560"/>
      <c r="BF19" s="2560"/>
      <c r="BG19" s="2560"/>
      <c r="BH19" s="2560"/>
      <c r="BI19" s="2560"/>
      <c r="BJ19" s="2491"/>
      <c r="BK19" s="2561"/>
      <c r="BL19" s="2561"/>
      <c r="BM19" s="2497"/>
      <c r="BN19" s="2491"/>
      <c r="BO19" s="2491"/>
      <c r="BP19" s="2484"/>
      <c r="BQ19" s="2491"/>
      <c r="BR19" s="2493"/>
      <c r="BS19" s="2491"/>
      <c r="BT19" s="2526"/>
      <c r="BU19" s="2528"/>
      <c r="BV19" s="25"/>
      <c r="BW19" s="25"/>
    </row>
    <row r="20" spans="1:75" s="24" customFormat="1" ht="28.5" customHeight="1" x14ac:dyDescent="0.25">
      <c r="A20" s="49"/>
      <c r="B20" s="48"/>
      <c r="C20" s="49"/>
      <c r="D20" s="48"/>
      <c r="E20" s="45"/>
      <c r="F20" s="45"/>
      <c r="G20" s="2580"/>
      <c r="H20" s="2557"/>
      <c r="I20" s="2582"/>
      <c r="J20" s="2548"/>
      <c r="K20" s="2550"/>
      <c r="L20" s="2507"/>
      <c r="M20" s="2550"/>
      <c r="N20" s="2548"/>
      <c r="O20" s="2566"/>
      <c r="P20" s="2569"/>
      <c r="Q20" s="2571"/>
      <c r="R20" s="2574"/>
      <c r="S20" s="2542"/>
      <c r="T20" s="2576"/>
      <c r="U20" s="2507"/>
      <c r="V20" s="2507"/>
      <c r="W20" s="2557"/>
      <c r="X20" s="75">
        <v>5000000</v>
      </c>
      <c r="Y20" s="75"/>
      <c r="Z20" s="84">
        <v>0</v>
      </c>
      <c r="AA20" s="83" t="s">
        <v>52</v>
      </c>
      <c r="AB20" s="41">
        <v>88</v>
      </c>
      <c r="AC20" s="40" t="s">
        <v>5</v>
      </c>
      <c r="AD20" s="2491"/>
      <c r="AE20" s="2491"/>
      <c r="AF20" s="2491"/>
      <c r="AG20" s="2491"/>
      <c r="AH20" s="2491"/>
      <c r="AI20" s="2491"/>
      <c r="AJ20" s="2491"/>
      <c r="AK20" s="2491"/>
      <c r="AL20" s="2491"/>
      <c r="AM20" s="2491"/>
      <c r="AN20" s="2563"/>
      <c r="AO20" s="2563"/>
      <c r="AP20" s="2491"/>
      <c r="AQ20" s="2491"/>
      <c r="AR20" s="2560"/>
      <c r="AS20" s="2560"/>
      <c r="AT20" s="2560"/>
      <c r="AU20" s="2560"/>
      <c r="AV20" s="2560"/>
      <c r="AW20" s="2560"/>
      <c r="AX20" s="2560"/>
      <c r="AY20" s="2560"/>
      <c r="AZ20" s="2560"/>
      <c r="BA20" s="2560"/>
      <c r="BB20" s="2560"/>
      <c r="BC20" s="2560"/>
      <c r="BD20" s="2560"/>
      <c r="BE20" s="2560"/>
      <c r="BF20" s="2560"/>
      <c r="BG20" s="2560"/>
      <c r="BH20" s="2560"/>
      <c r="BI20" s="2560"/>
      <c r="BJ20" s="2491"/>
      <c r="BK20" s="2561"/>
      <c r="BL20" s="2561"/>
      <c r="BM20" s="2497"/>
      <c r="BN20" s="2491"/>
      <c r="BO20" s="2491"/>
      <c r="BP20" s="2484"/>
      <c r="BQ20" s="2491"/>
      <c r="BR20" s="2493"/>
      <c r="BS20" s="2491"/>
      <c r="BT20" s="2526"/>
      <c r="BU20" s="2528"/>
      <c r="BV20" s="25"/>
      <c r="BW20" s="25"/>
    </row>
    <row r="21" spans="1:75" s="24" customFormat="1" ht="28.5" customHeight="1" x14ac:dyDescent="0.25">
      <c r="A21" s="49"/>
      <c r="B21" s="48"/>
      <c r="C21" s="49"/>
      <c r="D21" s="48"/>
      <c r="E21" s="45"/>
      <c r="F21" s="45"/>
      <c r="G21" s="2580"/>
      <c r="H21" s="2557"/>
      <c r="I21" s="2582"/>
      <c r="J21" s="2548"/>
      <c r="K21" s="2550"/>
      <c r="L21" s="2507"/>
      <c r="M21" s="2550"/>
      <c r="N21" s="2548"/>
      <c r="O21" s="2566"/>
      <c r="P21" s="2569"/>
      <c r="Q21" s="2571"/>
      <c r="R21" s="2574"/>
      <c r="S21" s="2542"/>
      <c r="T21" s="2576"/>
      <c r="U21" s="2507"/>
      <c r="V21" s="2507"/>
      <c r="W21" s="2557"/>
      <c r="X21" s="85">
        <v>5000000</v>
      </c>
      <c r="Y21" s="84">
        <v>5000000</v>
      </c>
      <c r="Z21" s="84">
        <v>5000000</v>
      </c>
      <c r="AA21" s="83" t="s">
        <v>51</v>
      </c>
      <c r="AB21" s="41">
        <v>88</v>
      </c>
      <c r="AC21" s="40" t="s">
        <v>5</v>
      </c>
      <c r="AD21" s="2491"/>
      <c r="AE21" s="2491"/>
      <c r="AF21" s="2491"/>
      <c r="AG21" s="2491"/>
      <c r="AH21" s="2491"/>
      <c r="AI21" s="2491"/>
      <c r="AJ21" s="2491"/>
      <c r="AK21" s="2491"/>
      <c r="AL21" s="2491"/>
      <c r="AM21" s="2491"/>
      <c r="AN21" s="2563"/>
      <c r="AO21" s="2563"/>
      <c r="AP21" s="2491"/>
      <c r="AQ21" s="2491"/>
      <c r="AR21" s="2560"/>
      <c r="AS21" s="2560"/>
      <c r="AT21" s="2560"/>
      <c r="AU21" s="2560"/>
      <c r="AV21" s="2560"/>
      <c r="AW21" s="2560"/>
      <c r="AX21" s="2560"/>
      <c r="AY21" s="2560"/>
      <c r="AZ21" s="2560"/>
      <c r="BA21" s="2560"/>
      <c r="BB21" s="2560"/>
      <c r="BC21" s="2560"/>
      <c r="BD21" s="2560"/>
      <c r="BE21" s="2560"/>
      <c r="BF21" s="2560"/>
      <c r="BG21" s="2560"/>
      <c r="BH21" s="2560"/>
      <c r="BI21" s="2560"/>
      <c r="BJ21" s="2491"/>
      <c r="BK21" s="2561"/>
      <c r="BL21" s="2561"/>
      <c r="BM21" s="2497"/>
      <c r="BN21" s="2491"/>
      <c r="BO21" s="2491"/>
      <c r="BP21" s="2484"/>
      <c r="BQ21" s="2491"/>
      <c r="BR21" s="2493"/>
      <c r="BS21" s="2491"/>
      <c r="BT21" s="2526"/>
      <c r="BU21" s="2528"/>
      <c r="BV21" s="25"/>
      <c r="BW21" s="25"/>
    </row>
    <row r="22" spans="1:75" s="24" customFormat="1" ht="28.5" customHeight="1" x14ac:dyDescent="0.25">
      <c r="A22" s="49"/>
      <c r="B22" s="48"/>
      <c r="C22" s="49"/>
      <c r="D22" s="48"/>
      <c r="E22" s="45"/>
      <c r="F22" s="45"/>
      <c r="G22" s="2580"/>
      <c r="H22" s="2557"/>
      <c r="I22" s="2582"/>
      <c r="J22" s="2548"/>
      <c r="K22" s="2550"/>
      <c r="L22" s="2507"/>
      <c r="M22" s="2550"/>
      <c r="N22" s="2548"/>
      <c r="O22" s="2566"/>
      <c r="P22" s="2569"/>
      <c r="Q22" s="2571"/>
      <c r="R22" s="2574"/>
      <c r="S22" s="2542"/>
      <c r="T22" s="2576"/>
      <c r="U22" s="2507"/>
      <c r="V22" s="2507"/>
      <c r="W22" s="2557"/>
      <c r="X22" s="85">
        <v>5000000</v>
      </c>
      <c r="Y22" s="84"/>
      <c r="Z22" s="84"/>
      <c r="AA22" s="83" t="s">
        <v>50</v>
      </c>
      <c r="AB22" s="41">
        <v>88</v>
      </c>
      <c r="AC22" s="40" t="s">
        <v>5</v>
      </c>
      <c r="AD22" s="2491"/>
      <c r="AE22" s="2491"/>
      <c r="AF22" s="2491"/>
      <c r="AG22" s="2491"/>
      <c r="AH22" s="2491"/>
      <c r="AI22" s="2491"/>
      <c r="AJ22" s="2491"/>
      <c r="AK22" s="2491"/>
      <c r="AL22" s="2491"/>
      <c r="AM22" s="2491"/>
      <c r="AN22" s="2563"/>
      <c r="AO22" s="2563"/>
      <c r="AP22" s="2491"/>
      <c r="AQ22" s="2491"/>
      <c r="AR22" s="2560"/>
      <c r="AS22" s="2560"/>
      <c r="AT22" s="2560"/>
      <c r="AU22" s="2560"/>
      <c r="AV22" s="2560"/>
      <c r="AW22" s="2560"/>
      <c r="AX22" s="2560"/>
      <c r="AY22" s="2560"/>
      <c r="AZ22" s="2560"/>
      <c r="BA22" s="2560"/>
      <c r="BB22" s="2560"/>
      <c r="BC22" s="2560"/>
      <c r="BD22" s="2560"/>
      <c r="BE22" s="2560"/>
      <c r="BF22" s="2560"/>
      <c r="BG22" s="2560"/>
      <c r="BH22" s="2560"/>
      <c r="BI22" s="2560"/>
      <c r="BJ22" s="2491"/>
      <c r="BK22" s="2561"/>
      <c r="BL22" s="2561"/>
      <c r="BM22" s="2497"/>
      <c r="BN22" s="2491"/>
      <c r="BO22" s="2491"/>
      <c r="BP22" s="2484"/>
      <c r="BQ22" s="2491"/>
      <c r="BR22" s="2493"/>
      <c r="BS22" s="2491"/>
      <c r="BT22" s="2526"/>
      <c r="BU22" s="2528"/>
      <c r="BV22" s="25"/>
      <c r="BW22" s="25"/>
    </row>
    <row r="23" spans="1:75" s="24" customFormat="1" ht="52.5" customHeight="1" x14ac:dyDescent="0.25">
      <c r="A23" s="49"/>
      <c r="B23" s="48"/>
      <c r="C23" s="49"/>
      <c r="D23" s="48"/>
      <c r="E23" s="45"/>
      <c r="F23" s="45"/>
      <c r="G23" s="2581"/>
      <c r="H23" s="2558"/>
      <c r="I23" s="2582"/>
      <c r="J23" s="2548"/>
      <c r="K23" s="2550"/>
      <c r="L23" s="2507"/>
      <c r="M23" s="2550"/>
      <c r="N23" s="2548"/>
      <c r="O23" s="2567"/>
      <c r="P23" s="2570"/>
      <c r="Q23" s="2572"/>
      <c r="R23" s="2575"/>
      <c r="S23" s="2542"/>
      <c r="T23" s="2576"/>
      <c r="U23" s="2507"/>
      <c r="V23" s="2507"/>
      <c r="W23" s="2558"/>
      <c r="X23" s="75">
        <v>5655000</v>
      </c>
      <c r="Y23" s="84">
        <v>5655000</v>
      </c>
      <c r="Z23" s="84">
        <v>5655000</v>
      </c>
      <c r="AA23" s="83" t="s">
        <v>49</v>
      </c>
      <c r="AB23" s="41">
        <v>20</v>
      </c>
      <c r="AC23" s="40" t="s">
        <v>1</v>
      </c>
      <c r="AD23" s="2491"/>
      <c r="AE23" s="2491"/>
      <c r="AF23" s="2491"/>
      <c r="AG23" s="2491"/>
      <c r="AH23" s="2491"/>
      <c r="AI23" s="2491"/>
      <c r="AJ23" s="2491"/>
      <c r="AK23" s="2491"/>
      <c r="AL23" s="2491"/>
      <c r="AM23" s="2491"/>
      <c r="AN23" s="2564"/>
      <c r="AO23" s="2564"/>
      <c r="AP23" s="2491"/>
      <c r="AQ23" s="2491"/>
      <c r="AR23" s="2560"/>
      <c r="AS23" s="2560"/>
      <c r="AT23" s="2560"/>
      <c r="AU23" s="2560"/>
      <c r="AV23" s="2560"/>
      <c r="AW23" s="2560"/>
      <c r="AX23" s="2560"/>
      <c r="AY23" s="2560"/>
      <c r="AZ23" s="2560"/>
      <c r="BA23" s="2560"/>
      <c r="BB23" s="2560"/>
      <c r="BC23" s="2560"/>
      <c r="BD23" s="2560"/>
      <c r="BE23" s="2560"/>
      <c r="BF23" s="2560"/>
      <c r="BG23" s="2560"/>
      <c r="BH23" s="2560"/>
      <c r="BI23" s="2560"/>
      <c r="BJ23" s="2491"/>
      <c r="BK23" s="2561"/>
      <c r="BL23" s="2561"/>
      <c r="BM23" s="2497"/>
      <c r="BN23" s="2491"/>
      <c r="BO23" s="2491"/>
      <c r="BP23" s="2484"/>
      <c r="BQ23" s="2491"/>
      <c r="BR23" s="2494"/>
      <c r="BS23" s="2491"/>
      <c r="BT23" s="2527"/>
      <c r="BU23" s="2528"/>
      <c r="BV23" s="25"/>
      <c r="BW23" s="25"/>
    </row>
    <row r="24" spans="1:75" s="24" customFormat="1" ht="30" customHeight="1" x14ac:dyDescent="0.25">
      <c r="A24" s="49"/>
      <c r="B24" s="48"/>
      <c r="C24" s="49"/>
      <c r="D24" s="48"/>
      <c r="E24" s="45"/>
      <c r="F24" s="45"/>
      <c r="G24" s="2544" t="s">
        <v>20</v>
      </c>
      <c r="H24" s="2543" t="s">
        <v>48</v>
      </c>
      <c r="I24" s="2546">
        <v>4599002</v>
      </c>
      <c r="J24" s="2548" t="s">
        <v>47</v>
      </c>
      <c r="K24" s="2550" t="s">
        <v>20</v>
      </c>
      <c r="L24" s="2543" t="s">
        <v>46</v>
      </c>
      <c r="M24" s="2551">
        <v>459900200</v>
      </c>
      <c r="N24" s="2553" t="s">
        <v>45</v>
      </c>
      <c r="O24" s="2554">
        <v>4</v>
      </c>
      <c r="P24" s="2535">
        <v>4</v>
      </c>
      <c r="Q24" s="2538" t="s">
        <v>44</v>
      </c>
      <c r="R24" s="2540" t="s">
        <v>43</v>
      </c>
      <c r="S24" s="2542">
        <f>SUM(X24:X30)/T24</f>
        <v>1</v>
      </c>
      <c r="T24" s="2506">
        <f>SUM(X24:X30)</f>
        <v>154285400</v>
      </c>
      <c r="U24" s="2543" t="s">
        <v>42</v>
      </c>
      <c r="V24" s="2543" t="s">
        <v>41</v>
      </c>
      <c r="W24" s="2529" t="s">
        <v>40</v>
      </c>
      <c r="X24" s="75">
        <v>5770000</v>
      </c>
      <c r="Y24" s="84">
        <v>5770000</v>
      </c>
      <c r="Z24" s="84">
        <v>5770000</v>
      </c>
      <c r="AA24" s="83" t="s">
        <v>33</v>
      </c>
      <c r="AB24" s="41">
        <v>20</v>
      </c>
      <c r="AC24" s="40" t="s">
        <v>1</v>
      </c>
      <c r="AD24" s="2495">
        <v>2476</v>
      </c>
      <c r="AE24" s="2495">
        <v>2476</v>
      </c>
      <c r="AF24" s="2495">
        <v>3918</v>
      </c>
      <c r="AG24" s="2495">
        <v>3918</v>
      </c>
      <c r="AH24" s="2495">
        <v>0</v>
      </c>
      <c r="AI24" s="2495">
        <v>0</v>
      </c>
      <c r="AJ24" s="2495">
        <v>0</v>
      </c>
      <c r="AK24" s="2495">
        <v>0</v>
      </c>
      <c r="AL24" s="2495">
        <v>0</v>
      </c>
      <c r="AM24" s="2495">
        <v>0</v>
      </c>
      <c r="AN24" s="2495">
        <v>0</v>
      </c>
      <c r="AO24" s="2495">
        <v>0</v>
      </c>
      <c r="AP24" s="2495">
        <v>0</v>
      </c>
      <c r="AQ24" s="2495">
        <v>0</v>
      </c>
      <c r="AR24" s="2495">
        <v>0</v>
      </c>
      <c r="AS24" s="2495">
        <v>0</v>
      </c>
      <c r="AT24" s="2495">
        <v>0</v>
      </c>
      <c r="AU24" s="2495">
        <v>0</v>
      </c>
      <c r="AV24" s="2495">
        <v>0</v>
      </c>
      <c r="AW24" s="2495">
        <v>0</v>
      </c>
      <c r="AX24" s="2495">
        <v>0</v>
      </c>
      <c r="AY24" s="2495">
        <v>0</v>
      </c>
      <c r="AZ24" s="2495">
        <v>0</v>
      </c>
      <c r="BA24" s="2495">
        <v>0</v>
      </c>
      <c r="BB24" s="2495">
        <v>0</v>
      </c>
      <c r="BC24" s="2495">
        <v>0</v>
      </c>
      <c r="BD24" s="2495">
        <v>0</v>
      </c>
      <c r="BE24" s="2495">
        <v>0</v>
      </c>
      <c r="BF24" s="2495">
        <v>0</v>
      </c>
      <c r="BG24" s="2495">
        <v>0</v>
      </c>
      <c r="BH24" s="2495">
        <v>6394</v>
      </c>
      <c r="BI24" s="2495">
        <v>6394</v>
      </c>
      <c r="BJ24" s="2488">
        <v>26</v>
      </c>
      <c r="BK24" s="2496">
        <f>+Y24+Y25+Y30+Y26+Y27+Y28+Y29</f>
        <v>145062829</v>
      </c>
      <c r="BL24" s="2496">
        <f>+Z24+Z25+Z30+Z26+Z27+Z28+Z29</f>
        <v>145062829</v>
      </c>
      <c r="BM24" s="2532">
        <f>+BL24/BK24</f>
        <v>1</v>
      </c>
      <c r="BN24" s="2488" t="s">
        <v>11</v>
      </c>
      <c r="BO24" s="2525" t="s">
        <v>10</v>
      </c>
      <c r="BP24" s="2489" t="s">
        <v>39</v>
      </c>
      <c r="BQ24" s="2492">
        <v>44211</v>
      </c>
      <c r="BR24" s="2492">
        <v>44362</v>
      </c>
      <c r="BS24" s="2491" t="s">
        <v>8</v>
      </c>
      <c r="BT24" s="2492">
        <v>44558</v>
      </c>
      <c r="BU24" s="2528" t="s">
        <v>38</v>
      </c>
      <c r="BV24" s="25"/>
      <c r="BW24" s="25"/>
    </row>
    <row r="25" spans="1:75" s="24" customFormat="1" ht="45" customHeight="1" x14ac:dyDescent="0.25">
      <c r="A25" s="49"/>
      <c r="B25" s="48"/>
      <c r="C25" s="49"/>
      <c r="D25" s="48"/>
      <c r="E25" s="45"/>
      <c r="F25" s="45"/>
      <c r="G25" s="2544"/>
      <c r="H25" s="2543"/>
      <c r="I25" s="2546"/>
      <c r="J25" s="2548"/>
      <c r="K25" s="2550"/>
      <c r="L25" s="2543"/>
      <c r="M25" s="2552"/>
      <c r="N25" s="2522"/>
      <c r="O25" s="2517"/>
      <c r="P25" s="2536"/>
      <c r="Q25" s="2539"/>
      <c r="R25" s="2541"/>
      <c r="S25" s="2542"/>
      <c r="T25" s="2506"/>
      <c r="U25" s="2543"/>
      <c r="V25" s="2543"/>
      <c r="W25" s="2531"/>
      <c r="X25" s="75">
        <v>20758500</v>
      </c>
      <c r="Y25" s="84">
        <v>20758498</v>
      </c>
      <c r="Z25" s="84">
        <v>20758498</v>
      </c>
      <c r="AA25" s="83" t="s">
        <v>34</v>
      </c>
      <c r="AB25" s="41">
        <v>88</v>
      </c>
      <c r="AC25" s="40" t="s">
        <v>5</v>
      </c>
      <c r="AD25" s="2495"/>
      <c r="AE25" s="2495"/>
      <c r="AF25" s="2495"/>
      <c r="AG25" s="2495"/>
      <c r="AH25" s="2495"/>
      <c r="AI25" s="2495"/>
      <c r="AJ25" s="2495"/>
      <c r="AK25" s="2495"/>
      <c r="AL25" s="2495"/>
      <c r="AM25" s="2495"/>
      <c r="AN25" s="2495"/>
      <c r="AO25" s="2495"/>
      <c r="AP25" s="2495"/>
      <c r="AQ25" s="2495"/>
      <c r="AR25" s="2495"/>
      <c r="AS25" s="2495"/>
      <c r="AT25" s="2495"/>
      <c r="AU25" s="2495"/>
      <c r="AV25" s="2495"/>
      <c r="AW25" s="2495"/>
      <c r="AX25" s="2495"/>
      <c r="AY25" s="2495"/>
      <c r="AZ25" s="2495"/>
      <c r="BA25" s="2495"/>
      <c r="BB25" s="2495"/>
      <c r="BC25" s="2495"/>
      <c r="BD25" s="2495"/>
      <c r="BE25" s="2495"/>
      <c r="BF25" s="2495"/>
      <c r="BG25" s="2495"/>
      <c r="BH25" s="2495"/>
      <c r="BI25" s="2495"/>
      <c r="BJ25" s="2488"/>
      <c r="BK25" s="2496"/>
      <c r="BL25" s="2496"/>
      <c r="BM25" s="2533"/>
      <c r="BN25" s="2488"/>
      <c r="BO25" s="2491"/>
      <c r="BP25" s="2489"/>
      <c r="BQ25" s="2493"/>
      <c r="BR25" s="2493"/>
      <c r="BS25" s="2491"/>
      <c r="BT25" s="2526"/>
      <c r="BU25" s="2528"/>
      <c r="BV25" s="25"/>
      <c r="BW25" s="25"/>
    </row>
    <row r="26" spans="1:75" s="24" customFormat="1" ht="43.5" customHeight="1" x14ac:dyDescent="0.25">
      <c r="A26" s="49"/>
      <c r="B26" s="48"/>
      <c r="C26" s="49"/>
      <c r="D26" s="48"/>
      <c r="E26" s="45"/>
      <c r="F26" s="45"/>
      <c r="G26" s="2544"/>
      <c r="H26" s="2545"/>
      <c r="I26" s="2547"/>
      <c r="J26" s="2549"/>
      <c r="K26" s="2550"/>
      <c r="L26" s="2545"/>
      <c r="M26" s="2552"/>
      <c r="N26" s="2522"/>
      <c r="O26" s="2517"/>
      <c r="P26" s="2536"/>
      <c r="Q26" s="2539"/>
      <c r="R26" s="2541"/>
      <c r="S26" s="2542"/>
      <c r="T26" s="2506"/>
      <c r="U26" s="2543"/>
      <c r="V26" s="2543"/>
      <c r="W26" s="2529" t="s">
        <v>37</v>
      </c>
      <c r="X26" s="75">
        <v>28789900</v>
      </c>
      <c r="Y26" s="84">
        <v>28789833</v>
      </c>
      <c r="Z26" s="84">
        <v>28789833</v>
      </c>
      <c r="AA26" s="83" t="s">
        <v>33</v>
      </c>
      <c r="AB26" s="41">
        <v>20</v>
      </c>
      <c r="AC26" s="40" t="s">
        <v>1</v>
      </c>
      <c r="AD26" s="2495"/>
      <c r="AE26" s="2495"/>
      <c r="AF26" s="2495"/>
      <c r="AG26" s="2495"/>
      <c r="AH26" s="2495"/>
      <c r="AI26" s="2495"/>
      <c r="AJ26" s="2495"/>
      <c r="AK26" s="2495"/>
      <c r="AL26" s="2495"/>
      <c r="AM26" s="2495"/>
      <c r="AN26" s="2495"/>
      <c r="AO26" s="2495"/>
      <c r="AP26" s="2495"/>
      <c r="AQ26" s="2495"/>
      <c r="AR26" s="2495"/>
      <c r="AS26" s="2495"/>
      <c r="AT26" s="2495"/>
      <c r="AU26" s="2495"/>
      <c r="AV26" s="2495"/>
      <c r="AW26" s="2495"/>
      <c r="AX26" s="2495"/>
      <c r="AY26" s="2495"/>
      <c r="AZ26" s="2495"/>
      <c r="BA26" s="2495"/>
      <c r="BB26" s="2495"/>
      <c r="BC26" s="2495"/>
      <c r="BD26" s="2495"/>
      <c r="BE26" s="2495"/>
      <c r="BF26" s="2495"/>
      <c r="BG26" s="2495"/>
      <c r="BH26" s="2495"/>
      <c r="BI26" s="2495"/>
      <c r="BJ26" s="2488"/>
      <c r="BK26" s="2496"/>
      <c r="BL26" s="2496"/>
      <c r="BM26" s="2533"/>
      <c r="BN26" s="2488"/>
      <c r="BO26" s="2491"/>
      <c r="BP26" s="2489"/>
      <c r="BQ26" s="2493"/>
      <c r="BR26" s="2493"/>
      <c r="BS26" s="2491"/>
      <c r="BT26" s="2526"/>
      <c r="BU26" s="2528"/>
      <c r="BV26" s="25"/>
      <c r="BW26" s="25"/>
    </row>
    <row r="27" spans="1:75" s="24" customFormat="1" ht="45" customHeight="1" x14ac:dyDescent="0.25">
      <c r="A27" s="49"/>
      <c r="B27" s="48"/>
      <c r="C27" s="49"/>
      <c r="D27" s="48"/>
      <c r="E27" s="45"/>
      <c r="F27" s="45"/>
      <c r="G27" s="2544"/>
      <c r="H27" s="2545"/>
      <c r="I27" s="2547"/>
      <c r="J27" s="2549"/>
      <c r="K27" s="2550"/>
      <c r="L27" s="2545"/>
      <c r="M27" s="2552"/>
      <c r="N27" s="2522"/>
      <c r="O27" s="2517"/>
      <c r="P27" s="2536"/>
      <c r="Q27" s="2539"/>
      <c r="R27" s="2541"/>
      <c r="S27" s="2542"/>
      <c r="T27" s="2506"/>
      <c r="U27" s="2543"/>
      <c r="V27" s="2543"/>
      <c r="W27" s="2530"/>
      <c r="X27" s="75">
        <v>37920335</v>
      </c>
      <c r="Y27" s="84">
        <v>37697833</v>
      </c>
      <c r="Z27" s="84">
        <v>37697833</v>
      </c>
      <c r="AA27" s="83" t="s">
        <v>34</v>
      </c>
      <c r="AB27" s="41">
        <v>88</v>
      </c>
      <c r="AC27" s="40" t="s">
        <v>5</v>
      </c>
      <c r="AD27" s="2495"/>
      <c r="AE27" s="2495"/>
      <c r="AF27" s="2495"/>
      <c r="AG27" s="2495"/>
      <c r="AH27" s="2495"/>
      <c r="AI27" s="2495"/>
      <c r="AJ27" s="2495"/>
      <c r="AK27" s="2495"/>
      <c r="AL27" s="2495"/>
      <c r="AM27" s="2495"/>
      <c r="AN27" s="2495"/>
      <c r="AO27" s="2495"/>
      <c r="AP27" s="2495"/>
      <c r="AQ27" s="2495"/>
      <c r="AR27" s="2495"/>
      <c r="AS27" s="2495"/>
      <c r="AT27" s="2495"/>
      <c r="AU27" s="2495"/>
      <c r="AV27" s="2495"/>
      <c r="AW27" s="2495"/>
      <c r="AX27" s="2495"/>
      <c r="AY27" s="2495"/>
      <c r="AZ27" s="2495"/>
      <c r="BA27" s="2495"/>
      <c r="BB27" s="2495"/>
      <c r="BC27" s="2495"/>
      <c r="BD27" s="2495"/>
      <c r="BE27" s="2495"/>
      <c r="BF27" s="2495"/>
      <c r="BG27" s="2495"/>
      <c r="BH27" s="2495"/>
      <c r="BI27" s="2495"/>
      <c r="BJ27" s="2488"/>
      <c r="BK27" s="2496"/>
      <c r="BL27" s="2496"/>
      <c r="BM27" s="2533"/>
      <c r="BN27" s="2488"/>
      <c r="BO27" s="2491"/>
      <c r="BP27" s="2489"/>
      <c r="BQ27" s="2493"/>
      <c r="BR27" s="2493"/>
      <c r="BS27" s="2491"/>
      <c r="BT27" s="2526"/>
      <c r="BU27" s="2528"/>
      <c r="BV27" s="25"/>
      <c r="BW27" s="25"/>
    </row>
    <row r="28" spans="1:75" s="24" customFormat="1" ht="45" customHeight="1" x14ac:dyDescent="0.25">
      <c r="A28" s="49"/>
      <c r="B28" s="48"/>
      <c r="C28" s="49"/>
      <c r="D28" s="48"/>
      <c r="E28" s="45"/>
      <c r="F28" s="45"/>
      <c r="G28" s="2544"/>
      <c r="H28" s="2545"/>
      <c r="I28" s="2547"/>
      <c r="J28" s="2549"/>
      <c r="K28" s="2550"/>
      <c r="L28" s="2545"/>
      <c r="M28" s="2552"/>
      <c r="N28" s="2522"/>
      <c r="O28" s="2517"/>
      <c r="P28" s="2536"/>
      <c r="Q28" s="2539"/>
      <c r="R28" s="2541"/>
      <c r="S28" s="2542"/>
      <c r="T28" s="2506"/>
      <c r="U28" s="2543"/>
      <c r="V28" s="2543"/>
      <c r="W28" s="2531"/>
      <c r="X28" s="75">
        <v>9000000</v>
      </c>
      <c r="Y28" s="84">
        <v>0</v>
      </c>
      <c r="Z28" s="84"/>
      <c r="AA28" s="83" t="s">
        <v>36</v>
      </c>
      <c r="AB28" s="41">
        <v>88</v>
      </c>
      <c r="AC28" s="40" t="s">
        <v>5</v>
      </c>
      <c r="AD28" s="2495"/>
      <c r="AE28" s="2495"/>
      <c r="AF28" s="2495"/>
      <c r="AG28" s="2495"/>
      <c r="AH28" s="2495"/>
      <c r="AI28" s="2495"/>
      <c r="AJ28" s="2495"/>
      <c r="AK28" s="2495"/>
      <c r="AL28" s="2495"/>
      <c r="AM28" s="2495"/>
      <c r="AN28" s="2495"/>
      <c r="AO28" s="2495"/>
      <c r="AP28" s="2495"/>
      <c r="AQ28" s="2495"/>
      <c r="AR28" s="2495"/>
      <c r="AS28" s="2495"/>
      <c r="AT28" s="2495"/>
      <c r="AU28" s="2495"/>
      <c r="AV28" s="2495"/>
      <c r="AW28" s="2495"/>
      <c r="AX28" s="2495"/>
      <c r="AY28" s="2495"/>
      <c r="AZ28" s="2495"/>
      <c r="BA28" s="2495"/>
      <c r="BB28" s="2495"/>
      <c r="BC28" s="2495"/>
      <c r="BD28" s="2495"/>
      <c r="BE28" s="2495"/>
      <c r="BF28" s="2495"/>
      <c r="BG28" s="2495"/>
      <c r="BH28" s="2495"/>
      <c r="BI28" s="2495"/>
      <c r="BJ28" s="2488"/>
      <c r="BK28" s="2496"/>
      <c r="BL28" s="2496"/>
      <c r="BM28" s="2533"/>
      <c r="BN28" s="2488"/>
      <c r="BO28" s="2491"/>
      <c r="BP28" s="2489"/>
      <c r="BQ28" s="2493"/>
      <c r="BR28" s="2493"/>
      <c r="BS28" s="2491"/>
      <c r="BT28" s="2526"/>
      <c r="BU28" s="2528"/>
      <c r="BV28" s="25"/>
      <c r="BW28" s="25"/>
    </row>
    <row r="29" spans="1:75" s="24" customFormat="1" ht="36" customHeight="1" x14ac:dyDescent="0.25">
      <c r="A29" s="49"/>
      <c r="B29" s="48"/>
      <c r="C29" s="49"/>
      <c r="D29" s="48"/>
      <c r="E29" s="45"/>
      <c r="F29" s="45"/>
      <c r="G29" s="2544"/>
      <c r="H29" s="2545"/>
      <c r="I29" s="2547"/>
      <c r="J29" s="2549"/>
      <c r="K29" s="2550"/>
      <c r="L29" s="2545"/>
      <c r="M29" s="2552"/>
      <c r="N29" s="2522"/>
      <c r="O29" s="2517"/>
      <c r="P29" s="2536"/>
      <c r="Q29" s="2539"/>
      <c r="R29" s="2541"/>
      <c r="S29" s="2542"/>
      <c r="T29" s="2506"/>
      <c r="U29" s="2543"/>
      <c r="V29" s="2543"/>
      <c r="W29" s="2529" t="s">
        <v>35</v>
      </c>
      <c r="X29" s="75">
        <v>40046665</v>
      </c>
      <c r="Y29" s="84">
        <v>40046665</v>
      </c>
      <c r="Z29" s="84">
        <v>40046665</v>
      </c>
      <c r="AA29" s="83" t="s">
        <v>34</v>
      </c>
      <c r="AB29" s="41">
        <v>88</v>
      </c>
      <c r="AC29" s="40" t="s">
        <v>5</v>
      </c>
      <c r="AD29" s="2495"/>
      <c r="AE29" s="2495"/>
      <c r="AF29" s="2495"/>
      <c r="AG29" s="2495"/>
      <c r="AH29" s="2495"/>
      <c r="AI29" s="2495"/>
      <c r="AJ29" s="2495"/>
      <c r="AK29" s="2495"/>
      <c r="AL29" s="2495"/>
      <c r="AM29" s="2495"/>
      <c r="AN29" s="2495"/>
      <c r="AO29" s="2495"/>
      <c r="AP29" s="2495"/>
      <c r="AQ29" s="2495"/>
      <c r="AR29" s="2495"/>
      <c r="AS29" s="2495"/>
      <c r="AT29" s="2495"/>
      <c r="AU29" s="2495"/>
      <c r="AV29" s="2495"/>
      <c r="AW29" s="2495"/>
      <c r="AX29" s="2495"/>
      <c r="AY29" s="2495"/>
      <c r="AZ29" s="2495"/>
      <c r="BA29" s="2495"/>
      <c r="BB29" s="2495"/>
      <c r="BC29" s="2495"/>
      <c r="BD29" s="2495"/>
      <c r="BE29" s="2495"/>
      <c r="BF29" s="2495"/>
      <c r="BG29" s="2495"/>
      <c r="BH29" s="2495"/>
      <c r="BI29" s="2495"/>
      <c r="BJ29" s="2488"/>
      <c r="BK29" s="2496"/>
      <c r="BL29" s="2496"/>
      <c r="BM29" s="2533"/>
      <c r="BN29" s="2488"/>
      <c r="BO29" s="2491"/>
      <c r="BP29" s="2489"/>
      <c r="BQ29" s="2493"/>
      <c r="BR29" s="2493"/>
      <c r="BS29" s="2491"/>
      <c r="BT29" s="2526"/>
      <c r="BU29" s="2528"/>
      <c r="BV29" s="25"/>
      <c r="BW29" s="25"/>
    </row>
    <row r="30" spans="1:75" s="24" customFormat="1" ht="30" customHeight="1" x14ac:dyDescent="0.25">
      <c r="A30" s="49"/>
      <c r="B30" s="48"/>
      <c r="C30" s="49"/>
      <c r="D30" s="48"/>
      <c r="E30" s="45"/>
      <c r="F30" s="45"/>
      <c r="G30" s="2544"/>
      <c r="H30" s="2545"/>
      <c r="I30" s="2547"/>
      <c r="J30" s="2549"/>
      <c r="K30" s="2550"/>
      <c r="L30" s="2545"/>
      <c r="M30" s="2552"/>
      <c r="N30" s="2522"/>
      <c r="O30" s="2517"/>
      <c r="P30" s="2537"/>
      <c r="Q30" s="2539"/>
      <c r="R30" s="2541"/>
      <c r="S30" s="2542"/>
      <c r="T30" s="2506"/>
      <c r="U30" s="2543"/>
      <c r="V30" s="2543"/>
      <c r="W30" s="2531"/>
      <c r="X30" s="75">
        <v>12000000</v>
      </c>
      <c r="Y30" s="84">
        <v>12000000</v>
      </c>
      <c r="Z30" s="84">
        <v>12000000</v>
      </c>
      <c r="AA30" s="83" t="s">
        <v>33</v>
      </c>
      <c r="AB30" s="41">
        <v>20</v>
      </c>
      <c r="AC30" s="40" t="s">
        <v>1</v>
      </c>
      <c r="AD30" s="2495"/>
      <c r="AE30" s="2495"/>
      <c r="AF30" s="2495"/>
      <c r="AG30" s="2495"/>
      <c r="AH30" s="2495"/>
      <c r="AI30" s="2495"/>
      <c r="AJ30" s="2495"/>
      <c r="AK30" s="2495"/>
      <c r="AL30" s="2495"/>
      <c r="AM30" s="2495"/>
      <c r="AN30" s="2495"/>
      <c r="AO30" s="2495"/>
      <c r="AP30" s="2495"/>
      <c r="AQ30" s="2495"/>
      <c r="AR30" s="2495"/>
      <c r="AS30" s="2495"/>
      <c r="AT30" s="2495"/>
      <c r="AU30" s="2495"/>
      <c r="AV30" s="2495"/>
      <c r="AW30" s="2495"/>
      <c r="AX30" s="2495"/>
      <c r="AY30" s="2495"/>
      <c r="AZ30" s="2495"/>
      <c r="BA30" s="2495"/>
      <c r="BB30" s="2495"/>
      <c r="BC30" s="2495"/>
      <c r="BD30" s="2495"/>
      <c r="BE30" s="2495"/>
      <c r="BF30" s="2495"/>
      <c r="BG30" s="2495"/>
      <c r="BH30" s="2495"/>
      <c r="BI30" s="2495"/>
      <c r="BJ30" s="2488"/>
      <c r="BK30" s="2496"/>
      <c r="BL30" s="2496"/>
      <c r="BM30" s="2534"/>
      <c r="BN30" s="2488"/>
      <c r="BO30" s="2491"/>
      <c r="BP30" s="2489"/>
      <c r="BQ30" s="2494"/>
      <c r="BR30" s="2494"/>
      <c r="BS30" s="2491"/>
      <c r="BT30" s="2527"/>
      <c r="BU30" s="2528"/>
      <c r="BV30" s="25"/>
      <c r="BW30" s="25"/>
    </row>
    <row r="31" spans="1:75" s="24" customFormat="1" ht="180" x14ac:dyDescent="0.25">
      <c r="A31" s="49"/>
      <c r="B31" s="48"/>
      <c r="C31" s="49"/>
      <c r="D31" s="48"/>
      <c r="E31" s="45"/>
      <c r="F31" s="45"/>
      <c r="G31" s="82" t="s">
        <v>20</v>
      </c>
      <c r="H31" s="66" t="s">
        <v>32</v>
      </c>
      <c r="I31" s="73">
        <v>4599023</v>
      </c>
      <c r="J31" s="66" t="s">
        <v>31</v>
      </c>
      <c r="K31" s="82" t="s">
        <v>20</v>
      </c>
      <c r="L31" s="66" t="s">
        <v>30</v>
      </c>
      <c r="M31" s="81">
        <v>459902301</v>
      </c>
      <c r="N31" s="66" t="s">
        <v>29</v>
      </c>
      <c r="O31" s="80">
        <v>1</v>
      </c>
      <c r="P31" s="80">
        <v>1</v>
      </c>
      <c r="Q31" s="79" t="s">
        <v>28</v>
      </c>
      <c r="R31" s="78" t="s">
        <v>27</v>
      </c>
      <c r="S31" s="77">
        <f>X31/T31</f>
        <v>1</v>
      </c>
      <c r="T31" s="51">
        <f>SUM(X31)</f>
        <v>42811174</v>
      </c>
      <c r="U31" s="66" t="s">
        <v>26</v>
      </c>
      <c r="V31" s="76" t="s">
        <v>25</v>
      </c>
      <c r="W31" s="66" t="s">
        <v>24</v>
      </c>
      <c r="X31" s="75">
        <v>42811174</v>
      </c>
      <c r="Y31" s="75">
        <v>42811174</v>
      </c>
      <c r="Z31" s="75">
        <v>42811174</v>
      </c>
      <c r="AA31" s="74" t="s">
        <v>23</v>
      </c>
      <c r="AB31" s="41">
        <v>20</v>
      </c>
      <c r="AC31" s="40" t="s">
        <v>1</v>
      </c>
      <c r="AD31" s="73">
        <v>295972</v>
      </c>
      <c r="AE31" s="73"/>
      <c r="AF31" s="73">
        <v>285580</v>
      </c>
      <c r="AG31" s="73"/>
      <c r="AH31" s="73">
        <v>135545</v>
      </c>
      <c r="AI31" s="73"/>
      <c r="AJ31" s="73">
        <v>44254</v>
      </c>
      <c r="AK31" s="73"/>
      <c r="AL31" s="73">
        <v>309146</v>
      </c>
      <c r="AM31" s="73"/>
      <c r="AN31" s="73">
        <v>92607</v>
      </c>
      <c r="AO31" s="73"/>
      <c r="AP31" s="73">
        <v>2145</v>
      </c>
      <c r="AQ31" s="73"/>
      <c r="AR31" s="73">
        <v>12718</v>
      </c>
      <c r="AS31" s="73"/>
      <c r="AT31" s="73">
        <v>26</v>
      </c>
      <c r="AU31" s="73"/>
      <c r="AV31" s="73">
        <v>37</v>
      </c>
      <c r="AW31" s="73"/>
      <c r="AX31" s="73">
        <v>0</v>
      </c>
      <c r="AY31" s="73"/>
      <c r="AZ31" s="73">
        <v>0</v>
      </c>
      <c r="BA31" s="73"/>
      <c r="BB31" s="73">
        <v>0</v>
      </c>
      <c r="BC31" s="73"/>
      <c r="BD31" s="73">
        <v>21944</v>
      </c>
      <c r="BE31" s="73"/>
      <c r="BF31" s="73">
        <v>75687</v>
      </c>
      <c r="BG31" s="73"/>
      <c r="BH31" s="73">
        <v>581552</v>
      </c>
      <c r="BI31" s="73">
        <v>581552</v>
      </c>
      <c r="BJ31" s="68">
        <v>4</v>
      </c>
      <c r="BK31" s="72">
        <f>+Y31</f>
        <v>42811174</v>
      </c>
      <c r="BL31" s="72">
        <f>+Z31</f>
        <v>42811174</v>
      </c>
      <c r="BM31" s="71">
        <f>BL31/BK31</f>
        <v>1</v>
      </c>
      <c r="BN31" s="68">
        <v>20</v>
      </c>
      <c r="BO31" s="68" t="s">
        <v>1</v>
      </c>
      <c r="BP31" s="70" t="s">
        <v>9</v>
      </c>
      <c r="BQ31" s="69">
        <v>44211</v>
      </c>
      <c r="BR31" s="69"/>
      <c r="BS31" s="68" t="s">
        <v>8</v>
      </c>
      <c r="BT31" s="67">
        <v>44558</v>
      </c>
      <c r="BU31" s="66" t="s">
        <v>7</v>
      </c>
      <c r="BV31" s="25"/>
      <c r="BW31" s="25"/>
    </row>
    <row r="32" spans="1:75" s="24" customFormat="1" ht="15.75" x14ac:dyDescent="0.25">
      <c r="A32" s="49"/>
      <c r="B32" s="48"/>
      <c r="C32" s="49"/>
      <c r="D32" s="48"/>
      <c r="E32" s="65">
        <v>4502</v>
      </c>
      <c r="F32" s="2508" t="s">
        <v>22</v>
      </c>
      <c r="G32" s="2509"/>
      <c r="H32" s="2509"/>
      <c r="I32" s="2509"/>
      <c r="J32" s="2509"/>
      <c r="K32" s="2509"/>
      <c r="L32" s="2509"/>
      <c r="M32" s="2509"/>
      <c r="N32" s="2509"/>
      <c r="O32" s="64"/>
      <c r="P32" s="64"/>
      <c r="Q32" s="63"/>
      <c r="R32" s="62"/>
      <c r="S32" s="61"/>
      <c r="T32" s="60"/>
      <c r="U32" s="59"/>
      <c r="V32" s="59"/>
      <c r="W32" s="59"/>
      <c r="X32" s="58"/>
      <c r="Y32" s="58"/>
      <c r="Z32" s="58"/>
      <c r="AA32" s="57"/>
      <c r="AB32" s="56"/>
      <c r="AC32" s="55"/>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4"/>
      <c r="BL32" s="54"/>
      <c r="BM32" s="53"/>
      <c r="BN32" s="52"/>
      <c r="BO32" s="52"/>
      <c r="BP32" s="52"/>
      <c r="BQ32" s="52"/>
      <c r="BR32" s="52"/>
      <c r="BS32" s="52"/>
      <c r="BT32" s="52"/>
      <c r="BU32" s="52"/>
      <c r="BV32" s="25"/>
      <c r="BW32" s="25"/>
    </row>
    <row r="33" spans="1:75" s="24" customFormat="1" ht="69.75" customHeight="1" x14ac:dyDescent="0.25">
      <c r="A33" s="49"/>
      <c r="B33" s="48"/>
      <c r="C33" s="49"/>
      <c r="D33" s="48"/>
      <c r="E33" s="45"/>
      <c r="F33" s="45"/>
      <c r="G33" s="2510" t="s">
        <v>20</v>
      </c>
      <c r="H33" s="2513" t="s">
        <v>21</v>
      </c>
      <c r="I33" s="2516">
        <v>4502033</v>
      </c>
      <c r="J33" s="2518" t="s">
        <v>21</v>
      </c>
      <c r="K33" s="2520" t="s">
        <v>20</v>
      </c>
      <c r="L33" s="2515" t="s">
        <v>19</v>
      </c>
      <c r="M33" s="2520">
        <v>450203300</v>
      </c>
      <c r="N33" s="2523" t="s">
        <v>18</v>
      </c>
      <c r="O33" s="2498">
        <v>1</v>
      </c>
      <c r="P33" s="2499">
        <v>1</v>
      </c>
      <c r="Q33" s="2502" t="s">
        <v>17</v>
      </c>
      <c r="R33" s="2503" t="s">
        <v>16</v>
      </c>
      <c r="S33" s="2505">
        <f>SUM(X33:X37)/T33</f>
        <v>1</v>
      </c>
      <c r="T33" s="2506">
        <f>SUM(X33:X37)</f>
        <v>80543366</v>
      </c>
      <c r="U33" s="2507" t="s">
        <v>15</v>
      </c>
      <c r="V33" s="2507" t="s">
        <v>14</v>
      </c>
      <c r="W33" s="2507" t="s">
        <v>13</v>
      </c>
      <c r="X33" s="51">
        <v>25000000</v>
      </c>
      <c r="Y33" s="43">
        <v>24907166.329999998</v>
      </c>
      <c r="Z33" s="43">
        <v>24907166.329999998</v>
      </c>
      <c r="AA33" s="42" t="s">
        <v>12</v>
      </c>
      <c r="AB33" s="41">
        <v>20</v>
      </c>
      <c r="AC33" s="40" t="s">
        <v>1</v>
      </c>
      <c r="AD33" s="2495">
        <v>295972</v>
      </c>
      <c r="AE33" s="2495">
        <v>295972</v>
      </c>
      <c r="AF33" s="2495">
        <v>285580</v>
      </c>
      <c r="AG33" s="2495">
        <v>285580</v>
      </c>
      <c r="AH33" s="2495">
        <v>135545</v>
      </c>
      <c r="AI33" s="2495">
        <v>135545</v>
      </c>
      <c r="AJ33" s="2495">
        <v>44254</v>
      </c>
      <c r="AK33" s="2495">
        <v>44254</v>
      </c>
      <c r="AL33" s="2495">
        <v>309146</v>
      </c>
      <c r="AM33" s="2495">
        <v>309146</v>
      </c>
      <c r="AN33" s="2495">
        <v>92607</v>
      </c>
      <c r="AO33" s="2495">
        <v>92607</v>
      </c>
      <c r="AP33" s="2495">
        <v>2145</v>
      </c>
      <c r="AQ33" s="2495">
        <v>2145</v>
      </c>
      <c r="AR33" s="2495">
        <v>12718</v>
      </c>
      <c r="AS33" s="2495">
        <v>12718</v>
      </c>
      <c r="AT33" s="2495">
        <v>26</v>
      </c>
      <c r="AU33" s="2495">
        <v>26</v>
      </c>
      <c r="AV33" s="2495">
        <v>37</v>
      </c>
      <c r="AW33" s="2495">
        <v>37</v>
      </c>
      <c r="AX33" s="2495">
        <v>0</v>
      </c>
      <c r="AY33" s="2495">
        <v>0</v>
      </c>
      <c r="AZ33" s="2495">
        <v>0</v>
      </c>
      <c r="BA33" s="2495">
        <v>0</v>
      </c>
      <c r="BB33" s="2495">
        <v>44350</v>
      </c>
      <c r="BC33" s="2495">
        <v>44350</v>
      </c>
      <c r="BD33" s="2495">
        <v>21944</v>
      </c>
      <c r="BE33" s="2495">
        <v>21944</v>
      </c>
      <c r="BF33" s="2495">
        <v>75687</v>
      </c>
      <c r="BG33" s="2495">
        <v>75687</v>
      </c>
      <c r="BH33" s="2495">
        <v>581552</v>
      </c>
      <c r="BI33" s="2495">
        <v>581552</v>
      </c>
      <c r="BJ33" s="2488">
        <v>8</v>
      </c>
      <c r="BK33" s="2496">
        <f>+Y33+Y34+Y37+Y35+Y36</f>
        <v>66432014.780000001</v>
      </c>
      <c r="BL33" s="2496">
        <f>+Z33+Z34+Z37+Z35+Z36</f>
        <v>66432014.780000001</v>
      </c>
      <c r="BM33" s="2497">
        <f>+BL33/BK33</f>
        <v>1</v>
      </c>
      <c r="BN33" s="2488" t="s">
        <v>11</v>
      </c>
      <c r="BO33" s="2488" t="s">
        <v>10</v>
      </c>
      <c r="BP33" s="2489" t="s">
        <v>9</v>
      </c>
      <c r="BQ33" s="2490">
        <v>44211</v>
      </c>
      <c r="BR33" s="2492">
        <v>44362</v>
      </c>
      <c r="BS33" s="2491" t="s">
        <v>8</v>
      </c>
      <c r="BT33" s="2492">
        <v>44558</v>
      </c>
      <c r="BU33" s="2484" t="s">
        <v>7</v>
      </c>
      <c r="BV33" s="25"/>
      <c r="BW33" s="25"/>
    </row>
    <row r="34" spans="1:75" s="24" customFormat="1" ht="59.25" customHeight="1" x14ac:dyDescent="0.25">
      <c r="A34" s="49"/>
      <c r="B34" s="48"/>
      <c r="C34" s="49"/>
      <c r="D34" s="48"/>
      <c r="E34" s="45"/>
      <c r="F34" s="45"/>
      <c r="G34" s="2511"/>
      <c r="H34" s="2514"/>
      <c r="I34" s="2517"/>
      <c r="J34" s="2519"/>
      <c r="K34" s="2521"/>
      <c r="L34" s="2522"/>
      <c r="M34" s="2521"/>
      <c r="N34" s="2524"/>
      <c r="O34" s="2498"/>
      <c r="P34" s="2500"/>
      <c r="Q34" s="2502"/>
      <c r="R34" s="2504"/>
      <c r="S34" s="2505"/>
      <c r="T34" s="2506"/>
      <c r="U34" s="2507"/>
      <c r="V34" s="2507"/>
      <c r="W34" s="2507"/>
      <c r="X34" s="51">
        <v>27943366</v>
      </c>
      <c r="Y34" s="43">
        <v>27411833</v>
      </c>
      <c r="Z34" s="43">
        <v>27411833</v>
      </c>
      <c r="AA34" s="50" t="s">
        <v>6</v>
      </c>
      <c r="AB34" s="41">
        <v>88</v>
      </c>
      <c r="AC34" s="40" t="s">
        <v>5</v>
      </c>
      <c r="AD34" s="2495"/>
      <c r="AE34" s="2495"/>
      <c r="AF34" s="2495"/>
      <c r="AG34" s="2495"/>
      <c r="AH34" s="2495"/>
      <c r="AI34" s="2495"/>
      <c r="AJ34" s="2495"/>
      <c r="AK34" s="2495"/>
      <c r="AL34" s="2495"/>
      <c r="AM34" s="2495"/>
      <c r="AN34" s="2495"/>
      <c r="AO34" s="2495"/>
      <c r="AP34" s="2495"/>
      <c r="AQ34" s="2495"/>
      <c r="AR34" s="2495"/>
      <c r="AS34" s="2495"/>
      <c r="AT34" s="2495"/>
      <c r="AU34" s="2495"/>
      <c r="AV34" s="2495"/>
      <c r="AW34" s="2495"/>
      <c r="AX34" s="2495"/>
      <c r="AY34" s="2495"/>
      <c r="AZ34" s="2495"/>
      <c r="BA34" s="2495"/>
      <c r="BB34" s="2495"/>
      <c r="BC34" s="2495"/>
      <c r="BD34" s="2495"/>
      <c r="BE34" s="2495"/>
      <c r="BF34" s="2495"/>
      <c r="BG34" s="2495"/>
      <c r="BH34" s="2495"/>
      <c r="BI34" s="2495"/>
      <c r="BJ34" s="2488"/>
      <c r="BK34" s="2496"/>
      <c r="BL34" s="2496"/>
      <c r="BM34" s="2497"/>
      <c r="BN34" s="2488"/>
      <c r="BO34" s="2488"/>
      <c r="BP34" s="2489"/>
      <c r="BQ34" s="2491"/>
      <c r="BR34" s="2493"/>
      <c r="BS34" s="2491"/>
      <c r="BT34" s="2493"/>
      <c r="BU34" s="2484"/>
      <c r="BV34" s="25"/>
      <c r="BW34" s="25"/>
    </row>
    <row r="35" spans="1:75" s="24" customFormat="1" ht="59.25" customHeight="1" x14ac:dyDescent="0.25">
      <c r="A35" s="49"/>
      <c r="B35" s="48"/>
      <c r="C35" s="49"/>
      <c r="D35" s="48"/>
      <c r="E35" s="45"/>
      <c r="F35" s="45"/>
      <c r="G35" s="2512"/>
      <c r="H35" s="2515"/>
      <c r="I35" s="2517"/>
      <c r="J35" s="2519"/>
      <c r="K35" s="2521"/>
      <c r="L35" s="2522"/>
      <c r="M35" s="2521"/>
      <c r="N35" s="2524"/>
      <c r="O35" s="2498"/>
      <c r="P35" s="2500"/>
      <c r="Q35" s="2502"/>
      <c r="R35" s="2504"/>
      <c r="S35" s="2505"/>
      <c r="T35" s="2506"/>
      <c r="U35" s="2507"/>
      <c r="V35" s="2507"/>
      <c r="W35" s="2507"/>
      <c r="X35" s="43">
        <v>10000000</v>
      </c>
      <c r="Y35" s="43">
        <v>8814097.9499999993</v>
      </c>
      <c r="Z35" s="43">
        <v>8814097.9499999993</v>
      </c>
      <c r="AA35" s="42" t="s">
        <v>4</v>
      </c>
      <c r="AB35" s="41">
        <v>20</v>
      </c>
      <c r="AC35" s="40" t="s">
        <v>1</v>
      </c>
      <c r="AD35" s="2495"/>
      <c r="AE35" s="2495"/>
      <c r="AF35" s="2495"/>
      <c r="AG35" s="2495"/>
      <c r="AH35" s="2495"/>
      <c r="AI35" s="2495"/>
      <c r="AJ35" s="2495"/>
      <c r="AK35" s="2495"/>
      <c r="AL35" s="2495"/>
      <c r="AM35" s="2495"/>
      <c r="AN35" s="2495"/>
      <c r="AO35" s="2495"/>
      <c r="AP35" s="2495"/>
      <c r="AQ35" s="2495"/>
      <c r="AR35" s="2495"/>
      <c r="AS35" s="2495"/>
      <c r="AT35" s="2495"/>
      <c r="AU35" s="2495"/>
      <c r="AV35" s="2495"/>
      <c r="AW35" s="2495"/>
      <c r="AX35" s="2495"/>
      <c r="AY35" s="2495"/>
      <c r="AZ35" s="2495"/>
      <c r="BA35" s="2495"/>
      <c r="BB35" s="2495"/>
      <c r="BC35" s="2495"/>
      <c r="BD35" s="2495"/>
      <c r="BE35" s="2495"/>
      <c r="BF35" s="2495"/>
      <c r="BG35" s="2495"/>
      <c r="BH35" s="2495"/>
      <c r="BI35" s="2495"/>
      <c r="BJ35" s="2488"/>
      <c r="BK35" s="2496"/>
      <c r="BL35" s="2496"/>
      <c r="BM35" s="2497"/>
      <c r="BN35" s="2488"/>
      <c r="BO35" s="2488"/>
      <c r="BP35" s="2489"/>
      <c r="BQ35" s="2491"/>
      <c r="BR35" s="2493"/>
      <c r="BS35" s="2491"/>
      <c r="BT35" s="2493"/>
      <c r="BU35" s="2484"/>
      <c r="BV35" s="25"/>
      <c r="BW35" s="25"/>
    </row>
    <row r="36" spans="1:75" s="24" customFormat="1" ht="71.25" customHeight="1" x14ac:dyDescent="0.25">
      <c r="A36" s="47"/>
      <c r="B36" s="46"/>
      <c r="C36" s="47"/>
      <c r="D36" s="46"/>
      <c r="E36" s="45"/>
      <c r="F36" s="45"/>
      <c r="G36" s="2512"/>
      <c r="H36" s="2515"/>
      <c r="I36" s="2517"/>
      <c r="J36" s="2519"/>
      <c r="K36" s="2521"/>
      <c r="L36" s="2522"/>
      <c r="M36" s="2521"/>
      <c r="N36" s="2524"/>
      <c r="O36" s="2498"/>
      <c r="P36" s="2500"/>
      <c r="Q36" s="2502"/>
      <c r="R36" s="2504"/>
      <c r="S36" s="2505"/>
      <c r="T36" s="2506"/>
      <c r="U36" s="2507"/>
      <c r="V36" s="2507"/>
      <c r="W36" s="2507"/>
      <c r="X36" s="43">
        <v>5000000</v>
      </c>
      <c r="Y36" s="43">
        <v>0</v>
      </c>
      <c r="Z36" s="43">
        <v>0</v>
      </c>
      <c r="AA36" s="42" t="s">
        <v>3</v>
      </c>
      <c r="AB36" s="41">
        <v>20</v>
      </c>
      <c r="AC36" s="40" t="s">
        <v>1</v>
      </c>
      <c r="AD36" s="2495"/>
      <c r="AE36" s="2495"/>
      <c r="AF36" s="2495"/>
      <c r="AG36" s="2495"/>
      <c r="AH36" s="2495"/>
      <c r="AI36" s="2495"/>
      <c r="AJ36" s="2495"/>
      <c r="AK36" s="2495"/>
      <c r="AL36" s="2495"/>
      <c r="AM36" s="2495"/>
      <c r="AN36" s="2495"/>
      <c r="AO36" s="2495"/>
      <c r="AP36" s="2495"/>
      <c r="AQ36" s="2495"/>
      <c r="AR36" s="2495"/>
      <c r="AS36" s="2495"/>
      <c r="AT36" s="2495"/>
      <c r="AU36" s="2495"/>
      <c r="AV36" s="2495"/>
      <c r="AW36" s="2495"/>
      <c r="AX36" s="2495"/>
      <c r="AY36" s="2495"/>
      <c r="AZ36" s="2495"/>
      <c r="BA36" s="2495"/>
      <c r="BB36" s="2495"/>
      <c r="BC36" s="2495"/>
      <c r="BD36" s="2495"/>
      <c r="BE36" s="2495"/>
      <c r="BF36" s="2495"/>
      <c r="BG36" s="2495"/>
      <c r="BH36" s="2495"/>
      <c r="BI36" s="2495"/>
      <c r="BJ36" s="2488"/>
      <c r="BK36" s="2496"/>
      <c r="BL36" s="2496"/>
      <c r="BM36" s="2497"/>
      <c r="BN36" s="2488"/>
      <c r="BO36" s="2488"/>
      <c r="BP36" s="2489"/>
      <c r="BQ36" s="2491"/>
      <c r="BR36" s="2493"/>
      <c r="BS36" s="2491"/>
      <c r="BT36" s="2493"/>
      <c r="BU36" s="2484"/>
      <c r="BV36" s="25"/>
      <c r="BW36" s="25"/>
    </row>
    <row r="37" spans="1:75" s="24" customFormat="1" ht="42" customHeight="1" x14ac:dyDescent="0.25">
      <c r="A37" s="47"/>
      <c r="B37" s="46"/>
      <c r="C37" s="47"/>
      <c r="D37" s="46"/>
      <c r="E37" s="45"/>
      <c r="F37" s="45"/>
      <c r="G37" s="2512"/>
      <c r="H37" s="2515"/>
      <c r="I37" s="2517"/>
      <c r="J37" s="2519"/>
      <c r="K37" s="2521"/>
      <c r="L37" s="2522"/>
      <c r="M37" s="2521"/>
      <c r="N37" s="2524"/>
      <c r="O37" s="2498"/>
      <c r="P37" s="2501"/>
      <c r="Q37" s="2502"/>
      <c r="R37" s="2504"/>
      <c r="S37" s="2505"/>
      <c r="T37" s="2506"/>
      <c r="U37" s="2507"/>
      <c r="V37" s="2507"/>
      <c r="W37" s="2507"/>
      <c r="X37" s="44">
        <v>12600000</v>
      </c>
      <c r="Y37" s="43">
        <v>5298917.5</v>
      </c>
      <c r="Z37" s="43">
        <v>5298917.5</v>
      </c>
      <c r="AA37" s="42" t="s">
        <v>2</v>
      </c>
      <c r="AB37" s="41">
        <v>20</v>
      </c>
      <c r="AC37" s="40" t="s">
        <v>1</v>
      </c>
      <c r="AD37" s="2495"/>
      <c r="AE37" s="2495"/>
      <c r="AF37" s="2495"/>
      <c r="AG37" s="2495"/>
      <c r="AH37" s="2495"/>
      <c r="AI37" s="2495"/>
      <c r="AJ37" s="2495"/>
      <c r="AK37" s="2495"/>
      <c r="AL37" s="2495"/>
      <c r="AM37" s="2495"/>
      <c r="AN37" s="2495"/>
      <c r="AO37" s="2495"/>
      <c r="AP37" s="2495"/>
      <c r="AQ37" s="2495"/>
      <c r="AR37" s="2495"/>
      <c r="AS37" s="2495"/>
      <c r="AT37" s="2495"/>
      <c r="AU37" s="2495"/>
      <c r="AV37" s="2495"/>
      <c r="AW37" s="2495"/>
      <c r="AX37" s="2495"/>
      <c r="AY37" s="2495"/>
      <c r="AZ37" s="2495"/>
      <c r="BA37" s="2495"/>
      <c r="BB37" s="2495"/>
      <c r="BC37" s="2495"/>
      <c r="BD37" s="2495"/>
      <c r="BE37" s="2495"/>
      <c r="BF37" s="2495"/>
      <c r="BG37" s="2495"/>
      <c r="BH37" s="2495"/>
      <c r="BI37" s="2495"/>
      <c r="BJ37" s="2488"/>
      <c r="BK37" s="2496"/>
      <c r="BL37" s="2496"/>
      <c r="BM37" s="2497"/>
      <c r="BN37" s="2488"/>
      <c r="BO37" s="2488"/>
      <c r="BP37" s="2489"/>
      <c r="BQ37" s="2491"/>
      <c r="BR37" s="2494"/>
      <c r="BS37" s="2491"/>
      <c r="BT37" s="2493"/>
      <c r="BU37" s="2484"/>
      <c r="BV37" s="25"/>
      <c r="BW37" s="25"/>
    </row>
    <row r="38" spans="1:75" s="24" customFormat="1" ht="15.75" x14ac:dyDescent="0.25">
      <c r="A38" s="38"/>
      <c r="B38" s="38"/>
      <c r="C38" s="38"/>
      <c r="D38" s="38"/>
      <c r="E38" s="37"/>
      <c r="F38" s="37"/>
      <c r="G38" s="36"/>
      <c r="H38" s="32"/>
      <c r="I38" s="36"/>
      <c r="J38" s="32"/>
      <c r="K38" s="36"/>
      <c r="L38" s="32"/>
      <c r="M38" s="36"/>
      <c r="N38" s="32"/>
      <c r="O38" s="26"/>
      <c r="P38" s="26"/>
      <c r="Q38" s="26"/>
      <c r="R38" s="35"/>
      <c r="S38" s="34"/>
      <c r="T38" s="28">
        <f>SUM(T13:T37)</f>
        <v>457524940</v>
      </c>
      <c r="U38" s="33"/>
      <c r="V38" s="33"/>
      <c r="W38" s="32" t="s">
        <v>0</v>
      </c>
      <c r="X38" s="31">
        <f>SUM(X13:X37)</f>
        <v>457524940</v>
      </c>
      <c r="Y38" s="31">
        <f>SUM(Y10:Y37)</f>
        <v>421596834.77999997</v>
      </c>
      <c r="Z38" s="31">
        <f>SUM(Z10:Z37)</f>
        <v>421596834.77999997</v>
      </c>
      <c r="AA38" s="26"/>
      <c r="AB38" s="30"/>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9">
        <f>SUM(BJ13:BJ37)</f>
        <v>61</v>
      </c>
      <c r="BK38" s="28">
        <f>SUM(BK13:BK37)</f>
        <v>421596834.77999997</v>
      </c>
      <c r="BL38" s="28">
        <f>SUM(BL13:BL37)</f>
        <v>421596834.77999997</v>
      </c>
      <c r="BM38" s="26"/>
      <c r="BN38" s="26"/>
      <c r="BO38" s="26"/>
      <c r="BP38" s="26"/>
      <c r="BQ38" s="27"/>
      <c r="BR38" s="27"/>
      <c r="BS38" s="27"/>
      <c r="BT38" s="27"/>
      <c r="BU38" s="26"/>
      <c r="BV38" s="25"/>
      <c r="BW38" s="25"/>
    </row>
    <row r="39" spans="1:75" x14ac:dyDescent="0.25">
      <c r="X39" s="23"/>
      <c r="Y39" s="23"/>
      <c r="Z39" s="23"/>
      <c r="AA39" s="1"/>
      <c r="AB39" s="1"/>
      <c r="BK39" s="23"/>
      <c r="BL39" s="23"/>
    </row>
    <row r="40" spans="1:75" ht="15.75" x14ac:dyDescent="0.25">
      <c r="E40" s="2485"/>
      <c r="F40" s="2485"/>
      <c r="G40" s="2485"/>
      <c r="H40" s="2485"/>
      <c r="I40" s="2485"/>
      <c r="J40" s="2485"/>
      <c r="K40" s="2485"/>
      <c r="L40" s="2486"/>
      <c r="M40" s="2485"/>
      <c r="N40" s="2486"/>
      <c r="Q40" s="2487"/>
      <c r="R40" s="2487"/>
      <c r="S40" s="2487"/>
      <c r="T40" s="2487"/>
      <c r="U40" s="2487"/>
      <c r="X40" s="16"/>
      <c r="Y40" s="16"/>
      <c r="Z40" s="16"/>
    </row>
    <row r="41" spans="1:75" ht="15.75" x14ac:dyDescent="0.25">
      <c r="E41" s="2485"/>
      <c r="F41" s="2485"/>
      <c r="G41" s="2485"/>
      <c r="H41" s="2485"/>
      <c r="I41" s="2485"/>
      <c r="J41" s="2485"/>
      <c r="K41" s="2485"/>
      <c r="L41" s="2486"/>
      <c r="M41" s="2485"/>
      <c r="N41" s="2486"/>
      <c r="X41" s="16"/>
      <c r="Y41" s="16"/>
      <c r="Z41" s="16"/>
    </row>
    <row r="42" spans="1:75" x14ac:dyDescent="0.25">
      <c r="E42" s="20"/>
      <c r="F42" s="20"/>
      <c r="G42" s="20"/>
      <c r="H42" s="18"/>
      <c r="I42" s="19"/>
      <c r="J42" s="18"/>
      <c r="K42" s="17"/>
      <c r="L42" s="13"/>
      <c r="M42" s="17"/>
      <c r="N42" s="13"/>
      <c r="X42" s="16"/>
      <c r="Y42" s="16"/>
      <c r="Z42" s="16"/>
    </row>
    <row r="43" spans="1:75" x14ac:dyDescent="0.25">
      <c r="E43" s="14"/>
      <c r="F43" s="14"/>
      <c r="G43" s="14"/>
      <c r="H43" s="15"/>
      <c r="I43" s="14"/>
      <c r="J43" s="15"/>
      <c r="K43" s="14"/>
      <c r="L43" s="13"/>
      <c r="M43" s="14"/>
      <c r="N43" s="13"/>
      <c r="X43" s="16"/>
      <c r="Y43" s="16"/>
      <c r="Z43" s="16"/>
    </row>
    <row r="44" spans="1:75" x14ac:dyDescent="0.25">
      <c r="E44" s="14"/>
      <c r="F44" s="14"/>
      <c r="G44" s="14"/>
      <c r="H44" s="15"/>
      <c r="I44" s="14"/>
      <c r="J44" s="15"/>
      <c r="K44" s="14"/>
      <c r="L44" s="13"/>
      <c r="M44" s="14"/>
      <c r="N44" s="13"/>
      <c r="X44" s="16"/>
      <c r="Y44" s="16"/>
      <c r="Z44" s="16"/>
    </row>
    <row r="45" spans="1:75" x14ac:dyDescent="0.25">
      <c r="E45" s="14"/>
      <c r="F45" s="14"/>
      <c r="G45" s="14"/>
      <c r="H45" s="15"/>
      <c r="I45" s="14"/>
      <c r="J45" s="15"/>
      <c r="K45" s="14"/>
      <c r="L45" s="13"/>
      <c r="M45" s="14"/>
      <c r="N45" s="13"/>
    </row>
    <row r="46" spans="1:75" x14ac:dyDescent="0.25">
      <c r="E46" s="14"/>
      <c r="F46" s="14"/>
      <c r="G46" s="14"/>
      <c r="H46" s="15"/>
      <c r="I46" s="14"/>
      <c r="J46" s="15"/>
      <c r="K46" s="14"/>
      <c r="L46" s="13"/>
      <c r="M46" s="14"/>
      <c r="N46" s="13"/>
    </row>
    <row r="47" spans="1:75" x14ac:dyDescent="0.25">
      <c r="E47" s="14"/>
      <c r="F47" s="14"/>
      <c r="G47" s="14"/>
      <c r="H47" s="15"/>
      <c r="I47" s="14"/>
      <c r="J47" s="15"/>
      <c r="K47" s="14"/>
      <c r="L47" s="13"/>
      <c r="M47" s="14"/>
      <c r="N47" s="13"/>
    </row>
    <row r="48" spans="1:75" s="4" customFormat="1" x14ac:dyDescent="0.25">
      <c r="A48" s="12"/>
      <c r="B48" s="1"/>
      <c r="C48" s="1"/>
      <c r="D48" s="1"/>
      <c r="E48" s="14"/>
      <c r="F48" s="14"/>
      <c r="G48" s="14"/>
      <c r="H48" s="15"/>
      <c r="I48" s="14"/>
      <c r="J48" s="15"/>
      <c r="K48" s="14"/>
      <c r="L48" s="13"/>
      <c r="M48" s="14"/>
      <c r="N48" s="13"/>
      <c r="R48" s="7"/>
      <c r="S48" s="10"/>
      <c r="T48" s="9"/>
      <c r="U48" s="8"/>
      <c r="V48" s="7"/>
      <c r="W48" s="7"/>
      <c r="AB48" s="6"/>
      <c r="AC48" s="5"/>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3"/>
      <c r="BT48" s="3"/>
      <c r="BU48" s="2"/>
    </row>
  </sheetData>
  <mergeCells count="258">
    <mergeCell ref="A1:BS4"/>
    <mergeCell ref="A5:O6"/>
    <mergeCell ref="Q5:BU5"/>
    <mergeCell ref="AD6:BF6"/>
    <mergeCell ref="A7:B7"/>
    <mergeCell ref="C7:D7"/>
    <mergeCell ref="E7:F7"/>
    <mergeCell ref="G7:J7"/>
    <mergeCell ref="K7:N7"/>
    <mergeCell ref="O7:X7"/>
    <mergeCell ref="AA7:AC7"/>
    <mergeCell ref="AD7:AG7"/>
    <mergeCell ref="AH7:AO7"/>
    <mergeCell ref="AP7:BA7"/>
    <mergeCell ref="BB7:BG7"/>
    <mergeCell ref="BH7:BI8"/>
    <mergeCell ref="AD8:AE8"/>
    <mergeCell ref="AF8:AG8"/>
    <mergeCell ref="AH8:AI8"/>
    <mergeCell ref="AJ8:AK8"/>
    <mergeCell ref="BJ7:BP7"/>
    <mergeCell ref="BQ7:BR8"/>
    <mergeCell ref="BS7:BT8"/>
    <mergeCell ref="BU7:BU9"/>
    <mergeCell ref="A8:A9"/>
    <mergeCell ref="B8:B9"/>
    <mergeCell ref="C8:C9"/>
    <mergeCell ref="D8:D9"/>
    <mergeCell ref="E8:E9"/>
    <mergeCell ref="F8:F9"/>
    <mergeCell ref="G8:G9"/>
    <mergeCell ref="H8:H9"/>
    <mergeCell ref="I8:I9"/>
    <mergeCell ref="J8:J9"/>
    <mergeCell ref="K8:K9"/>
    <mergeCell ref="L8:L9"/>
    <mergeCell ref="M8:M9"/>
    <mergeCell ref="N8:N9"/>
    <mergeCell ref="O8:P8"/>
    <mergeCell ref="Q8:Q9"/>
    <mergeCell ref="R8:R9"/>
    <mergeCell ref="S8:S9"/>
    <mergeCell ref="BK8:BK9"/>
    <mergeCell ref="BL8:BL9"/>
    <mergeCell ref="BM8:BM9"/>
    <mergeCell ref="BN8:BO8"/>
    <mergeCell ref="BP8:BP9"/>
    <mergeCell ref="B10:H10"/>
    <mergeCell ref="AX8:AY8"/>
    <mergeCell ref="AZ8:BA8"/>
    <mergeCell ref="BB8:BC8"/>
    <mergeCell ref="BD8:BE8"/>
    <mergeCell ref="T8:T9"/>
    <mergeCell ref="U8:U9"/>
    <mergeCell ref="V8:V9"/>
    <mergeCell ref="W8:W9"/>
    <mergeCell ref="X8:Z8"/>
    <mergeCell ref="AA8:AA9"/>
    <mergeCell ref="BF8:BG8"/>
    <mergeCell ref="BJ8:BJ9"/>
    <mergeCell ref="AL8:AM8"/>
    <mergeCell ref="AN8:AO8"/>
    <mergeCell ref="AP8:AQ8"/>
    <mergeCell ref="AR8:AS8"/>
    <mergeCell ref="AT8:AU8"/>
    <mergeCell ref="AV8:AW8"/>
    <mergeCell ref="D11:I11"/>
    <mergeCell ref="G13:G23"/>
    <mergeCell ref="H13:H23"/>
    <mergeCell ref="I13:I23"/>
    <mergeCell ref="J13:J23"/>
    <mergeCell ref="K13:K23"/>
    <mergeCell ref="L13:L23"/>
    <mergeCell ref="M13:M23"/>
    <mergeCell ref="N13:N23"/>
    <mergeCell ref="O13:O23"/>
    <mergeCell ref="P13:P23"/>
    <mergeCell ref="Q13:Q23"/>
    <mergeCell ref="R13:R23"/>
    <mergeCell ref="S13:S23"/>
    <mergeCell ref="T13:T23"/>
    <mergeCell ref="U13:U23"/>
    <mergeCell ref="V13:V23"/>
    <mergeCell ref="W13:W15"/>
    <mergeCell ref="AD13:AD23"/>
    <mergeCell ref="AE13:AE23"/>
    <mergeCell ref="AF13:AF23"/>
    <mergeCell ref="AG13:AG23"/>
    <mergeCell ref="AH13:AH23"/>
    <mergeCell ref="AI13:AI23"/>
    <mergeCell ref="AJ13:AJ23"/>
    <mergeCell ref="AK13:AK23"/>
    <mergeCell ref="AL13:AL23"/>
    <mergeCell ref="BA13:BA23"/>
    <mergeCell ref="BB13:BB23"/>
    <mergeCell ref="BC13:BC23"/>
    <mergeCell ref="BD13:BD23"/>
    <mergeCell ref="AM13:AM23"/>
    <mergeCell ref="AN13:AN23"/>
    <mergeCell ref="AO13:AO23"/>
    <mergeCell ref="AP13:AP23"/>
    <mergeCell ref="AQ13:AQ23"/>
    <mergeCell ref="AR13:AR23"/>
    <mergeCell ref="AS13:AS23"/>
    <mergeCell ref="AT13:AT23"/>
    <mergeCell ref="AU13:AU23"/>
    <mergeCell ref="BN13:BN23"/>
    <mergeCell ref="BO13:BO23"/>
    <mergeCell ref="BP13:BP23"/>
    <mergeCell ref="BQ13:BQ23"/>
    <mergeCell ref="BR13:BR23"/>
    <mergeCell ref="BS13:BS23"/>
    <mergeCell ref="BT13:BT23"/>
    <mergeCell ref="BU13:BU23"/>
    <mergeCell ref="W16:W18"/>
    <mergeCell ref="W19:W23"/>
    <mergeCell ref="BE13:BE23"/>
    <mergeCell ref="BF13:BF23"/>
    <mergeCell ref="BG13:BG23"/>
    <mergeCell ref="BH13:BH23"/>
    <mergeCell ref="BI13:BI23"/>
    <mergeCell ref="BJ13:BJ23"/>
    <mergeCell ref="BK13:BK23"/>
    <mergeCell ref="BL13:BL23"/>
    <mergeCell ref="BM13:BM23"/>
    <mergeCell ref="AV13:AV23"/>
    <mergeCell ref="AW13:AW23"/>
    <mergeCell ref="AX13:AX23"/>
    <mergeCell ref="AY13:AY23"/>
    <mergeCell ref="AZ13:AZ23"/>
    <mergeCell ref="G24:G30"/>
    <mergeCell ref="H24:H30"/>
    <mergeCell ref="I24:I30"/>
    <mergeCell ref="J24:J30"/>
    <mergeCell ref="K24:K30"/>
    <mergeCell ref="L24:L30"/>
    <mergeCell ref="M24:M30"/>
    <mergeCell ref="N24:N30"/>
    <mergeCell ref="O24:O30"/>
    <mergeCell ref="P24:P30"/>
    <mergeCell ref="Q24:Q30"/>
    <mergeCell ref="R24:R30"/>
    <mergeCell ref="S24:S30"/>
    <mergeCell ref="T24:T30"/>
    <mergeCell ref="U24:U30"/>
    <mergeCell ref="V24:V30"/>
    <mergeCell ref="W24:W25"/>
    <mergeCell ref="AD24:AD30"/>
    <mergeCell ref="AE24:AE30"/>
    <mergeCell ref="AF24:AF30"/>
    <mergeCell ref="AG24:AG30"/>
    <mergeCell ref="AH24:AH30"/>
    <mergeCell ref="AI24:AI30"/>
    <mergeCell ref="AJ24:AJ30"/>
    <mergeCell ref="AK24:AK30"/>
    <mergeCell ref="AL24:AL30"/>
    <mergeCell ref="AM24:AM30"/>
    <mergeCell ref="BC24:BC30"/>
    <mergeCell ref="BD24:BD30"/>
    <mergeCell ref="BE24:BE30"/>
    <mergeCell ref="AN24:AN30"/>
    <mergeCell ref="AO24:AO30"/>
    <mergeCell ref="AP24:AP30"/>
    <mergeCell ref="AQ24:AQ30"/>
    <mergeCell ref="AR24:AR30"/>
    <mergeCell ref="AS24:AS30"/>
    <mergeCell ref="AT24:AT30"/>
    <mergeCell ref="AU24:AU30"/>
    <mergeCell ref="AV24:AV30"/>
    <mergeCell ref="BO24:BO30"/>
    <mergeCell ref="BP24:BP30"/>
    <mergeCell ref="BQ24:BQ30"/>
    <mergeCell ref="BR24:BR30"/>
    <mergeCell ref="BS24:BS30"/>
    <mergeCell ref="BT24:BT30"/>
    <mergeCell ref="BU24:BU30"/>
    <mergeCell ref="W26:W28"/>
    <mergeCell ref="W29:W30"/>
    <mergeCell ref="BF24:BF30"/>
    <mergeCell ref="BG24:BG30"/>
    <mergeCell ref="BH24:BH30"/>
    <mergeCell ref="BI24:BI30"/>
    <mergeCell ref="BJ24:BJ30"/>
    <mergeCell ref="BK24:BK30"/>
    <mergeCell ref="BL24:BL30"/>
    <mergeCell ref="BM24:BM30"/>
    <mergeCell ref="BN24:BN30"/>
    <mergeCell ref="AW24:AW30"/>
    <mergeCell ref="AX24:AX30"/>
    <mergeCell ref="AY24:AY30"/>
    <mergeCell ref="AZ24:AZ30"/>
    <mergeCell ref="BA24:BA30"/>
    <mergeCell ref="BB24:BB30"/>
    <mergeCell ref="F32:N32"/>
    <mergeCell ref="G33:G37"/>
    <mergeCell ref="H33:H37"/>
    <mergeCell ref="I33:I37"/>
    <mergeCell ref="J33:J37"/>
    <mergeCell ref="K33:K37"/>
    <mergeCell ref="L33:L37"/>
    <mergeCell ref="M33:M37"/>
    <mergeCell ref="N33:N37"/>
    <mergeCell ref="O33:O37"/>
    <mergeCell ref="P33:P37"/>
    <mergeCell ref="Q33:Q37"/>
    <mergeCell ref="R33:R37"/>
    <mergeCell ref="S33:S37"/>
    <mergeCell ref="T33:T37"/>
    <mergeCell ref="U33:U37"/>
    <mergeCell ref="V33:V37"/>
    <mergeCell ref="W33:W37"/>
    <mergeCell ref="AD33:AD37"/>
    <mergeCell ref="AE33:AE37"/>
    <mergeCell ref="AF33:AF37"/>
    <mergeCell ref="AG33:AG37"/>
    <mergeCell ref="AH33:AH37"/>
    <mergeCell ref="AI33:AI37"/>
    <mergeCell ref="AJ33:AJ37"/>
    <mergeCell ref="AK33:AK37"/>
    <mergeCell ref="AL33:AL37"/>
    <mergeCell ref="AZ33:AZ37"/>
    <mergeCell ref="BA33:BA37"/>
    <mergeCell ref="BB33:BB37"/>
    <mergeCell ref="BC33:BC37"/>
    <mergeCell ref="BD33:BD37"/>
    <mergeCell ref="AM33:AM37"/>
    <mergeCell ref="AN33:AN37"/>
    <mergeCell ref="AO33:AO37"/>
    <mergeCell ref="AP33:AP37"/>
    <mergeCell ref="AQ33:AQ37"/>
    <mergeCell ref="AR33:AR37"/>
    <mergeCell ref="AS33:AS37"/>
    <mergeCell ref="AT33:AT37"/>
    <mergeCell ref="AU33:AU37"/>
    <mergeCell ref="BU33:BU37"/>
    <mergeCell ref="E40:N40"/>
    <mergeCell ref="Q40:U40"/>
    <mergeCell ref="E41:N41"/>
    <mergeCell ref="BO33:BO37"/>
    <mergeCell ref="BP33:BP37"/>
    <mergeCell ref="BQ33:BQ37"/>
    <mergeCell ref="BR33:BR37"/>
    <mergeCell ref="BS33:BS37"/>
    <mergeCell ref="BE33:BE37"/>
    <mergeCell ref="BF33:BF37"/>
    <mergeCell ref="BG33:BG37"/>
    <mergeCell ref="BH33:BH37"/>
    <mergeCell ref="BT33:BT37"/>
    <mergeCell ref="BI33:BI37"/>
    <mergeCell ref="BJ33:BJ37"/>
    <mergeCell ref="BK33:BK37"/>
    <mergeCell ref="BL33:BL37"/>
    <mergeCell ref="BM33:BM37"/>
    <mergeCell ref="BN33:BN37"/>
    <mergeCell ref="AV33:AV37"/>
    <mergeCell ref="AW33:AW37"/>
    <mergeCell ref="AX33:AX37"/>
    <mergeCell ref="AY33:AY3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CO258"/>
  <sheetViews>
    <sheetView showGridLines="0" topLeftCell="M35" zoomScale="80" zoomScaleNormal="80" workbookViewId="0">
      <selection activeCell="P41" sqref="P41"/>
    </sheetView>
  </sheetViews>
  <sheetFormatPr baseColWidth="10" defaultColWidth="138.85546875" defaultRowHeight="15" x14ac:dyDescent="0.25"/>
  <cols>
    <col min="1" max="1" width="16.85546875" style="12" customWidth="1"/>
    <col min="2" max="2" width="16.7109375" style="2055" customWidth="1"/>
    <col min="3" max="3" width="14.5703125" style="2055" customWidth="1"/>
    <col min="4" max="4" width="19.42578125" style="2055" customWidth="1"/>
    <col min="5" max="5" width="13.7109375" style="2055" customWidth="1"/>
    <col min="6" max="6" width="14.140625" style="2055" customWidth="1"/>
    <col min="7" max="7" width="17.7109375" style="2055" customWidth="1"/>
    <col min="8" max="8" width="31.140625" style="7" customWidth="1"/>
    <col min="9" max="9" width="25.42578125" style="2055" customWidth="1"/>
    <col min="10" max="10" width="32" style="874" customWidth="1"/>
    <col min="11" max="11" width="14.42578125" style="4" bestFit="1" customWidth="1"/>
    <col min="12" max="12" width="33.140625" style="874" customWidth="1"/>
    <col min="13" max="13" width="23.42578125" style="4" customWidth="1"/>
    <col min="14" max="14" width="40.5703125" style="874" customWidth="1"/>
    <col min="15" max="15" width="21" style="4" customWidth="1"/>
    <col min="16" max="16" width="23.28515625" style="4" customWidth="1"/>
    <col min="17" max="17" width="31.140625" style="4" customWidth="1"/>
    <col min="18" max="18" width="50.7109375" style="4" customWidth="1"/>
    <col min="19" max="19" width="20.140625" style="875" customWidth="1"/>
    <col min="20" max="20" width="33.5703125" style="6" customWidth="1"/>
    <col min="21" max="21" width="48" style="4" customWidth="1"/>
    <col min="22" max="22" width="45.28515625" style="4" customWidth="1"/>
    <col min="23" max="23" width="66.5703125" style="874" customWidth="1"/>
    <col min="24" max="24" width="39.42578125" style="876" customWidth="1"/>
    <col min="25" max="25" width="37.28515625" style="877" customWidth="1"/>
    <col min="26" max="26" width="36" style="877" customWidth="1"/>
    <col min="27" max="27" width="49.85546875" style="878" customWidth="1"/>
    <col min="28" max="28" width="29.28515625" style="5" customWidth="1"/>
    <col min="29" max="29" width="24.7109375" style="874" customWidth="1"/>
    <col min="30" max="61" width="11.28515625" style="760" customWidth="1"/>
    <col min="62" max="62" width="19.7109375" style="760" customWidth="1"/>
    <col min="63" max="63" width="30" style="760" customWidth="1"/>
    <col min="64" max="64" width="28.85546875" style="760" customWidth="1"/>
    <col min="65" max="65" width="17.7109375" style="760" customWidth="1"/>
    <col min="66" max="66" width="20" style="760" customWidth="1"/>
    <col min="67" max="67" width="24.85546875" style="760" customWidth="1"/>
    <col min="68" max="68" width="28.42578125" style="760" customWidth="1"/>
    <col min="69" max="69" width="19.7109375" style="880" customWidth="1"/>
    <col min="70" max="71" width="16.7109375" style="880" customWidth="1"/>
    <col min="72" max="72" width="17.7109375" style="880" customWidth="1"/>
    <col min="73" max="73" width="34.28515625" style="760" customWidth="1"/>
    <col min="74" max="16384" width="138.85546875" style="2055"/>
  </cols>
  <sheetData>
    <row r="1" spans="1:93" s="760" customFormat="1" ht="30.75" customHeight="1" x14ac:dyDescent="0.25">
      <c r="A1" s="4067" t="s">
        <v>730</v>
      </c>
      <c r="B1" s="3727"/>
      <c r="C1" s="3727"/>
      <c r="D1" s="3727"/>
      <c r="E1" s="3727"/>
      <c r="F1" s="3727"/>
      <c r="G1" s="3727"/>
      <c r="H1" s="3727"/>
      <c r="I1" s="3727"/>
      <c r="J1" s="3727"/>
      <c r="K1" s="3727"/>
      <c r="L1" s="3727"/>
      <c r="M1" s="3727"/>
      <c r="N1" s="3727"/>
      <c r="O1" s="3727"/>
      <c r="P1" s="3727"/>
      <c r="Q1" s="3727"/>
      <c r="R1" s="3727"/>
      <c r="S1" s="3727"/>
      <c r="T1" s="3727"/>
      <c r="U1" s="3727"/>
      <c r="V1" s="3727"/>
      <c r="W1" s="3727"/>
      <c r="X1" s="3727"/>
      <c r="Y1" s="3727"/>
      <c r="Z1" s="3727"/>
      <c r="AA1" s="3727"/>
      <c r="AB1" s="3727"/>
      <c r="AC1" s="3727"/>
      <c r="AD1" s="3727"/>
      <c r="AE1" s="3727"/>
      <c r="AF1" s="3727"/>
      <c r="AG1" s="3727"/>
      <c r="AH1" s="3727"/>
      <c r="AI1" s="3727"/>
      <c r="AJ1" s="3727"/>
      <c r="AK1" s="3727"/>
      <c r="AL1" s="3727"/>
      <c r="AM1" s="3727"/>
      <c r="AN1" s="3727"/>
      <c r="AO1" s="3727"/>
      <c r="AP1" s="3727"/>
      <c r="AQ1" s="3727"/>
      <c r="AR1" s="3727"/>
      <c r="AS1" s="3727"/>
      <c r="AT1" s="3727"/>
      <c r="AU1" s="3727"/>
      <c r="AV1" s="3727"/>
      <c r="AW1" s="3727"/>
      <c r="AX1" s="3727"/>
      <c r="AY1" s="3727"/>
      <c r="AZ1" s="3727"/>
      <c r="BA1" s="3727"/>
      <c r="BB1" s="3727"/>
      <c r="BC1" s="3727"/>
      <c r="BD1" s="3727"/>
      <c r="BE1" s="3727"/>
      <c r="BF1" s="3727"/>
      <c r="BG1" s="3727"/>
      <c r="BH1" s="3727"/>
      <c r="BI1" s="3727"/>
      <c r="BJ1" s="2027"/>
      <c r="BK1" s="2027"/>
      <c r="BL1" s="2027"/>
      <c r="BM1" s="2027"/>
      <c r="BN1" s="2027"/>
      <c r="BO1" s="2027"/>
      <c r="BP1" s="2027"/>
      <c r="BQ1" s="2027"/>
      <c r="BR1" s="2027"/>
      <c r="BS1" s="2027"/>
      <c r="BT1" s="2016" t="s">
        <v>731</v>
      </c>
      <c r="BU1" s="2016" t="s">
        <v>259</v>
      </c>
      <c r="BV1" s="759"/>
      <c r="BW1" s="759"/>
      <c r="BX1" s="759"/>
      <c r="BY1" s="759"/>
      <c r="BZ1" s="759"/>
      <c r="CA1" s="759"/>
      <c r="CB1" s="759"/>
      <c r="CC1" s="759"/>
      <c r="CD1" s="759"/>
      <c r="CE1" s="759"/>
      <c r="CF1" s="759"/>
      <c r="CG1" s="759"/>
      <c r="CH1" s="759"/>
      <c r="CI1" s="759"/>
      <c r="CJ1" s="759"/>
      <c r="CK1" s="759"/>
      <c r="CL1" s="759"/>
      <c r="CM1" s="759"/>
      <c r="CN1" s="759"/>
      <c r="CO1" s="759"/>
    </row>
    <row r="2" spans="1:93" s="760" customFormat="1" ht="18" customHeight="1" x14ac:dyDescent="0.25">
      <c r="A2" s="4068"/>
      <c r="B2" s="3224"/>
      <c r="C2" s="3224"/>
      <c r="D2" s="3224"/>
      <c r="E2" s="3224"/>
      <c r="F2" s="3224"/>
      <c r="G2" s="3224"/>
      <c r="H2" s="3224"/>
      <c r="I2" s="3224"/>
      <c r="J2" s="3224"/>
      <c r="K2" s="3224"/>
      <c r="L2" s="3224"/>
      <c r="M2" s="3224"/>
      <c r="N2" s="3224"/>
      <c r="O2" s="3224"/>
      <c r="P2" s="3224"/>
      <c r="Q2" s="3224"/>
      <c r="R2" s="3224"/>
      <c r="S2" s="3224"/>
      <c r="T2" s="3224"/>
      <c r="U2" s="3224"/>
      <c r="V2" s="3224"/>
      <c r="W2" s="3224"/>
      <c r="X2" s="3224"/>
      <c r="Y2" s="3224"/>
      <c r="Z2" s="3224"/>
      <c r="AA2" s="3224"/>
      <c r="AB2" s="3224"/>
      <c r="AC2" s="3224"/>
      <c r="AD2" s="3224"/>
      <c r="AE2" s="3224"/>
      <c r="AF2" s="3224"/>
      <c r="AG2" s="3224"/>
      <c r="AH2" s="3224"/>
      <c r="AI2" s="3224"/>
      <c r="AJ2" s="3224"/>
      <c r="AK2" s="3224"/>
      <c r="AL2" s="3224"/>
      <c r="AM2" s="3224"/>
      <c r="AN2" s="3224"/>
      <c r="AO2" s="3224"/>
      <c r="AP2" s="3224"/>
      <c r="AQ2" s="3224"/>
      <c r="AR2" s="3224"/>
      <c r="AS2" s="3224"/>
      <c r="AT2" s="3224"/>
      <c r="AU2" s="3224"/>
      <c r="AV2" s="3224"/>
      <c r="AW2" s="3224"/>
      <c r="AX2" s="3224"/>
      <c r="AY2" s="3224"/>
      <c r="AZ2" s="3224"/>
      <c r="BA2" s="3224"/>
      <c r="BB2" s="3224"/>
      <c r="BC2" s="3224"/>
      <c r="BD2" s="3224"/>
      <c r="BE2" s="3224"/>
      <c r="BF2" s="3224"/>
      <c r="BG2" s="3224"/>
      <c r="BH2" s="3224"/>
      <c r="BI2" s="3224"/>
      <c r="BJ2" s="2006"/>
      <c r="BK2" s="2006"/>
      <c r="BL2" s="2006"/>
      <c r="BM2" s="2006"/>
      <c r="BN2" s="2006"/>
      <c r="BO2" s="2006"/>
      <c r="BP2" s="2006"/>
      <c r="BQ2" s="2006"/>
      <c r="BR2" s="2006"/>
      <c r="BS2" s="2006"/>
      <c r="BT2" s="2016" t="s">
        <v>732</v>
      </c>
      <c r="BU2" s="2202" t="s">
        <v>733</v>
      </c>
      <c r="BV2" s="759"/>
      <c r="BW2" s="759"/>
      <c r="BX2" s="759"/>
      <c r="BY2" s="759"/>
      <c r="BZ2" s="759"/>
      <c r="CA2" s="759"/>
      <c r="CB2" s="759"/>
      <c r="CC2" s="759"/>
      <c r="CD2" s="759"/>
      <c r="CE2" s="759"/>
      <c r="CF2" s="759"/>
      <c r="CG2" s="759"/>
      <c r="CH2" s="759"/>
      <c r="CI2" s="759"/>
      <c r="CJ2" s="759"/>
      <c r="CK2" s="759"/>
      <c r="CL2" s="759"/>
      <c r="CM2" s="759"/>
      <c r="CN2" s="759"/>
      <c r="CO2" s="759"/>
    </row>
    <row r="3" spans="1:93" s="760" customFormat="1" ht="23.25" customHeight="1" x14ac:dyDescent="0.25">
      <c r="A3" s="4068"/>
      <c r="B3" s="3224"/>
      <c r="C3" s="3224"/>
      <c r="D3" s="3224"/>
      <c r="E3" s="3224"/>
      <c r="F3" s="3224"/>
      <c r="G3" s="3224"/>
      <c r="H3" s="3224"/>
      <c r="I3" s="3224"/>
      <c r="J3" s="3224"/>
      <c r="K3" s="3224"/>
      <c r="L3" s="3224"/>
      <c r="M3" s="3224"/>
      <c r="N3" s="3224"/>
      <c r="O3" s="3224"/>
      <c r="P3" s="3224"/>
      <c r="Q3" s="3224"/>
      <c r="R3" s="3224"/>
      <c r="S3" s="3224"/>
      <c r="T3" s="3224"/>
      <c r="U3" s="3224"/>
      <c r="V3" s="3224"/>
      <c r="W3" s="3224"/>
      <c r="X3" s="3224"/>
      <c r="Y3" s="3224"/>
      <c r="Z3" s="3224"/>
      <c r="AA3" s="3224"/>
      <c r="AB3" s="3224"/>
      <c r="AC3" s="3224"/>
      <c r="AD3" s="3224"/>
      <c r="AE3" s="3224"/>
      <c r="AF3" s="3224"/>
      <c r="AG3" s="3224"/>
      <c r="AH3" s="3224"/>
      <c r="AI3" s="3224"/>
      <c r="AJ3" s="3224"/>
      <c r="AK3" s="3224"/>
      <c r="AL3" s="3224"/>
      <c r="AM3" s="3224"/>
      <c r="AN3" s="3224"/>
      <c r="AO3" s="3224"/>
      <c r="AP3" s="3224"/>
      <c r="AQ3" s="3224"/>
      <c r="AR3" s="3224"/>
      <c r="AS3" s="3224"/>
      <c r="AT3" s="3224"/>
      <c r="AU3" s="3224"/>
      <c r="AV3" s="3224"/>
      <c r="AW3" s="3224"/>
      <c r="AX3" s="3224"/>
      <c r="AY3" s="3224"/>
      <c r="AZ3" s="3224"/>
      <c r="BA3" s="3224"/>
      <c r="BB3" s="3224"/>
      <c r="BC3" s="3224"/>
      <c r="BD3" s="3224"/>
      <c r="BE3" s="3224"/>
      <c r="BF3" s="3224"/>
      <c r="BG3" s="3224"/>
      <c r="BH3" s="3224"/>
      <c r="BI3" s="3224"/>
      <c r="BJ3" s="2006"/>
      <c r="BK3" s="2006"/>
      <c r="BL3" s="2006"/>
      <c r="BM3" s="2006"/>
      <c r="BN3" s="2006"/>
      <c r="BO3" s="2006"/>
      <c r="BP3" s="2006"/>
      <c r="BQ3" s="2006"/>
      <c r="BR3" s="2006"/>
      <c r="BS3" s="2006"/>
      <c r="BT3" s="2016" t="s">
        <v>734</v>
      </c>
      <c r="BU3" s="2203" t="s">
        <v>212</v>
      </c>
      <c r="BV3" s="759"/>
      <c r="BW3" s="759"/>
      <c r="BX3" s="759"/>
      <c r="BY3" s="759"/>
      <c r="BZ3" s="759"/>
      <c r="CA3" s="759"/>
      <c r="CB3" s="759"/>
      <c r="CC3" s="759"/>
      <c r="CD3" s="759"/>
      <c r="CE3" s="759"/>
      <c r="CF3" s="759"/>
      <c r="CG3" s="759"/>
      <c r="CH3" s="759"/>
      <c r="CI3" s="759"/>
      <c r="CJ3" s="759"/>
      <c r="CK3" s="759"/>
      <c r="CL3" s="759"/>
      <c r="CM3" s="759"/>
      <c r="CN3" s="759"/>
      <c r="CO3" s="759"/>
    </row>
    <row r="4" spans="1:93" s="760" customFormat="1" ht="17.25" customHeight="1" x14ac:dyDescent="0.25">
      <c r="A4" s="3729"/>
      <c r="B4" s="3725"/>
      <c r="C4" s="3725"/>
      <c r="D4" s="3725"/>
      <c r="E4" s="3725"/>
      <c r="F4" s="3725"/>
      <c r="G4" s="3725"/>
      <c r="H4" s="3725"/>
      <c r="I4" s="3725"/>
      <c r="J4" s="3725"/>
      <c r="K4" s="3725"/>
      <c r="L4" s="3725"/>
      <c r="M4" s="3725"/>
      <c r="N4" s="3725"/>
      <c r="O4" s="3725"/>
      <c r="P4" s="3725"/>
      <c r="Q4" s="4069"/>
      <c r="R4" s="4069"/>
      <c r="S4" s="4069"/>
      <c r="T4" s="4069"/>
      <c r="U4" s="4069"/>
      <c r="V4" s="4069"/>
      <c r="W4" s="4069"/>
      <c r="X4" s="4069"/>
      <c r="Y4" s="4069"/>
      <c r="Z4" s="4069"/>
      <c r="AA4" s="4069"/>
      <c r="AB4" s="4069"/>
      <c r="AC4" s="4069"/>
      <c r="AD4" s="4069"/>
      <c r="AE4" s="4069"/>
      <c r="AF4" s="4069"/>
      <c r="AG4" s="4069"/>
      <c r="AH4" s="4069"/>
      <c r="AI4" s="4069"/>
      <c r="AJ4" s="4069"/>
      <c r="AK4" s="4069"/>
      <c r="AL4" s="4069"/>
      <c r="AM4" s="4069"/>
      <c r="AN4" s="4069"/>
      <c r="AO4" s="4069"/>
      <c r="AP4" s="4069"/>
      <c r="AQ4" s="4069"/>
      <c r="AR4" s="4069"/>
      <c r="AS4" s="4069"/>
      <c r="AT4" s="4069"/>
      <c r="AU4" s="4069"/>
      <c r="AV4" s="4069"/>
      <c r="AW4" s="4069"/>
      <c r="AX4" s="4069"/>
      <c r="AY4" s="4069"/>
      <c r="AZ4" s="4069"/>
      <c r="BA4" s="4069"/>
      <c r="BB4" s="4069"/>
      <c r="BC4" s="4069"/>
      <c r="BD4" s="4069"/>
      <c r="BE4" s="4069"/>
      <c r="BF4" s="4069"/>
      <c r="BG4" s="4069"/>
      <c r="BH4" s="4069"/>
      <c r="BI4" s="4069"/>
      <c r="BJ4" s="2027"/>
      <c r="BK4" s="2027"/>
      <c r="BL4" s="2027"/>
      <c r="BM4" s="2027"/>
      <c r="BN4" s="2027"/>
      <c r="BO4" s="2027"/>
      <c r="BP4" s="2027"/>
      <c r="BQ4" s="2027"/>
      <c r="BR4" s="2027"/>
      <c r="BS4" s="2027"/>
      <c r="BT4" s="764" t="s">
        <v>735</v>
      </c>
      <c r="BU4" s="765" t="s">
        <v>132</v>
      </c>
      <c r="BV4" s="759"/>
      <c r="BW4" s="759"/>
      <c r="BX4" s="759"/>
      <c r="BY4" s="759"/>
      <c r="BZ4" s="759"/>
      <c r="CA4" s="759"/>
      <c r="CB4" s="759"/>
      <c r="CC4" s="759"/>
      <c r="CD4" s="759"/>
      <c r="CE4" s="759"/>
      <c r="CF4" s="759"/>
      <c r="CG4" s="759"/>
      <c r="CH4" s="759"/>
      <c r="CI4" s="759"/>
      <c r="CJ4" s="759"/>
      <c r="CK4" s="759"/>
      <c r="CL4" s="759"/>
      <c r="CM4" s="759"/>
      <c r="CN4" s="759"/>
      <c r="CO4" s="759"/>
    </row>
    <row r="5" spans="1:93" s="760" customFormat="1" ht="15.75" x14ac:dyDescent="0.25">
      <c r="A5" s="2607" t="s">
        <v>736</v>
      </c>
      <c r="B5" s="2607"/>
      <c r="C5" s="2607"/>
      <c r="D5" s="2607"/>
      <c r="E5" s="2607"/>
      <c r="F5" s="2607"/>
      <c r="G5" s="2607"/>
      <c r="H5" s="2607"/>
      <c r="I5" s="2607"/>
      <c r="J5" s="2607"/>
      <c r="K5" s="2607"/>
      <c r="L5" s="2607"/>
      <c r="M5" s="2607"/>
      <c r="N5" s="2607"/>
      <c r="O5" s="2607"/>
      <c r="P5" s="1972"/>
      <c r="Q5" s="2608"/>
      <c r="R5" s="2608"/>
      <c r="S5" s="2608"/>
      <c r="T5" s="2608"/>
      <c r="U5" s="2608"/>
      <c r="V5" s="2608"/>
      <c r="W5" s="2608"/>
      <c r="X5" s="2608"/>
      <c r="Y5" s="2608"/>
      <c r="Z5" s="2608"/>
      <c r="AA5" s="2608"/>
      <c r="AB5" s="2608"/>
      <c r="AC5" s="2608"/>
      <c r="AD5" s="2608"/>
      <c r="AE5" s="2608"/>
      <c r="AF5" s="2608"/>
      <c r="AG5" s="2608"/>
      <c r="AH5" s="2608"/>
      <c r="AI5" s="2608"/>
      <c r="AJ5" s="2608"/>
      <c r="AK5" s="2608"/>
      <c r="AL5" s="2608"/>
      <c r="AM5" s="2608"/>
      <c r="AN5" s="2608"/>
      <c r="AO5" s="2608"/>
      <c r="AP5" s="2608"/>
      <c r="AQ5" s="2608"/>
      <c r="AR5" s="2608"/>
      <c r="AS5" s="2608"/>
      <c r="AT5" s="2608"/>
      <c r="AU5" s="2608"/>
      <c r="AV5" s="2608"/>
      <c r="AW5" s="2608"/>
      <c r="AX5" s="2608"/>
      <c r="AY5" s="2608"/>
      <c r="AZ5" s="2608"/>
      <c r="BA5" s="2608"/>
      <c r="BB5" s="2608"/>
      <c r="BC5" s="2608"/>
      <c r="BD5" s="2608"/>
      <c r="BE5" s="2608"/>
      <c r="BF5" s="2608"/>
      <c r="BG5" s="2608"/>
      <c r="BH5" s="2608"/>
      <c r="BI5" s="2608"/>
      <c r="BJ5" s="2608"/>
      <c r="BK5" s="2608"/>
      <c r="BL5" s="2608"/>
      <c r="BM5" s="2608"/>
      <c r="BN5" s="2608"/>
      <c r="BO5" s="2608"/>
      <c r="BP5" s="2608"/>
      <c r="BQ5" s="2608"/>
      <c r="BR5" s="2608"/>
      <c r="BS5" s="2608"/>
      <c r="BT5" s="2608"/>
      <c r="BU5" s="2608"/>
      <c r="BV5" s="759"/>
      <c r="BW5" s="759"/>
      <c r="BX5" s="759"/>
      <c r="BY5" s="759"/>
      <c r="BZ5" s="759"/>
      <c r="CA5" s="759"/>
      <c r="CB5" s="759"/>
      <c r="CC5" s="759"/>
      <c r="CD5" s="759"/>
      <c r="CE5" s="759"/>
      <c r="CF5" s="759"/>
      <c r="CG5" s="759"/>
      <c r="CH5" s="759"/>
      <c r="CI5" s="759"/>
      <c r="CJ5" s="759"/>
      <c r="CK5" s="759"/>
      <c r="CL5" s="759"/>
      <c r="CM5" s="759"/>
      <c r="CN5" s="759"/>
      <c r="CO5" s="759"/>
    </row>
    <row r="6" spans="1:93" s="760" customFormat="1" ht="15.75" x14ac:dyDescent="0.25">
      <c r="A6" s="2604"/>
      <c r="B6" s="2604"/>
      <c r="C6" s="2604"/>
      <c r="D6" s="2604"/>
      <c r="E6" s="2604"/>
      <c r="F6" s="2604"/>
      <c r="G6" s="2604"/>
      <c r="H6" s="2604"/>
      <c r="I6" s="2604"/>
      <c r="J6" s="2604"/>
      <c r="K6" s="2604"/>
      <c r="L6" s="2604"/>
      <c r="M6" s="2604"/>
      <c r="N6" s="2604"/>
      <c r="O6" s="2607"/>
      <c r="P6" s="1972"/>
      <c r="Q6" s="1972"/>
      <c r="R6" s="766"/>
      <c r="S6" s="767"/>
      <c r="T6" s="1972"/>
      <c r="U6" s="766"/>
      <c r="V6" s="766"/>
      <c r="W6" s="766"/>
      <c r="X6" s="768"/>
      <c r="Y6" s="769"/>
      <c r="Z6" s="769"/>
      <c r="AA6" s="2025"/>
      <c r="AB6" s="1970"/>
      <c r="AC6" s="770"/>
      <c r="AD6" s="2635" t="s">
        <v>130</v>
      </c>
      <c r="AE6" s="2604"/>
      <c r="AF6" s="2604"/>
      <c r="AG6" s="2604"/>
      <c r="AH6" s="2604"/>
      <c r="AI6" s="2604"/>
      <c r="AJ6" s="2604"/>
      <c r="AK6" s="2604"/>
      <c r="AL6" s="2604"/>
      <c r="AM6" s="2604"/>
      <c r="AN6" s="2604"/>
      <c r="AO6" s="2604"/>
      <c r="AP6" s="2604"/>
      <c r="AQ6" s="2604"/>
      <c r="AR6" s="2604"/>
      <c r="AS6" s="2604"/>
      <c r="AT6" s="2604"/>
      <c r="AU6" s="2604"/>
      <c r="AV6" s="2604"/>
      <c r="AW6" s="2604"/>
      <c r="AX6" s="2604"/>
      <c r="AY6" s="2604"/>
      <c r="AZ6" s="2604"/>
      <c r="BA6" s="2604"/>
      <c r="BB6" s="2604"/>
      <c r="BC6" s="2604"/>
      <c r="BD6" s="2604"/>
      <c r="BE6" s="2604"/>
      <c r="BF6" s="2605"/>
      <c r="BG6" s="1970"/>
      <c r="BH6" s="1970"/>
      <c r="BI6" s="1970"/>
      <c r="BJ6" s="1970"/>
      <c r="BK6" s="1970"/>
      <c r="BL6" s="1970"/>
      <c r="BM6" s="1970"/>
      <c r="BN6" s="1970"/>
      <c r="BO6" s="1970"/>
      <c r="BP6" s="1970"/>
      <c r="BQ6" s="1970"/>
      <c r="BR6" s="1970"/>
      <c r="BS6" s="1970"/>
      <c r="BT6" s="1970"/>
      <c r="BU6" s="1971"/>
      <c r="BV6" s="759"/>
      <c r="BW6" s="759"/>
      <c r="BX6" s="759"/>
      <c r="BY6" s="759"/>
      <c r="BZ6" s="759"/>
      <c r="CA6" s="759"/>
      <c r="CB6" s="759"/>
      <c r="CC6" s="759"/>
      <c r="CD6" s="759"/>
      <c r="CE6" s="759"/>
      <c r="CF6" s="759"/>
      <c r="CG6" s="759"/>
      <c r="CH6" s="759"/>
      <c r="CI6" s="759"/>
      <c r="CJ6" s="759"/>
      <c r="CK6" s="759"/>
      <c r="CL6" s="759"/>
      <c r="CM6" s="759"/>
      <c r="CN6" s="759"/>
      <c r="CO6" s="759"/>
    </row>
    <row r="7" spans="1:93" ht="45" customHeight="1" x14ac:dyDescent="0.25">
      <c r="A7" s="2637" t="s">
        <v>129</v>
      </c>
      <c r="B7" s="2638"/>
      <c r="C7" s="2639" t="s">
        <v>128</v>
      </c>
      <c r="D7" s="2637"/>
      <c r="E7" s="2637" t="s">
        <v>127</v>
      </c>
      <c r="F7" s="2638"/>
      <c r="G7" s="2639" t="s">
        <v>126</v>
      </c>
      <c r="H7" s="2637"/>
      <c r="I7" s="2637"/>
      <c r="J7" s="2637"/>
      <c r="K7" s="2639" t="s">
        <v>125</v>
      </c>
      <c r="L7" s="2637"/>
      <c r="M7" s="2637"/>
      <c r="N7" s="2637"/>
      <c r="O7" s="4053" t="s">
        <v>124</v>
      </c>
      <c r="P7" s="4054"/>
      <c r="Q7" s="4054"/>
      <c r="R7" s="4054"/>
      <c r="S7" s="4054"/>
      <c r="T7" s="4054"/>
      <c r="U7" s="4054"/>
      <c r="V7" s="4054"/>
      <c r="W7" s="4054"/>
      <c r="X7" s="4054"/>
      <c r="Y7" s="4054"/>
      <c r="Z7" s="4055"/>
      <c r="AA7" s="3598" t="s">
        <v>123</v>
      </c>
      <c r="AB7" s="3598"/>
      <c r="AC7" s="2641"/>
      <c r="AD7" s="2611" t="s">
        <v>122</v>
      </c>
      <c r="AE7" s="2612"/>
      <c r="AF7" s="2612"/>
      <c r="AG7" s="2613"/>
      <c r="AH7" s="2614" t="s">
        <v>121</v>
      </c>
      <c r="AI7" s="2615"/>
      <c r="AJ7" s="2615"/>
      <c r="AK7" s="2615"/>
      <c r="AL7" s="2615"/>
      <c r="AM7" s="2615"/>
      <c r="AN7" s="2615"/>
      <c r="AO7" s="2616"/>
      <c r="AP7" s="2660" t="s">
        <v>120</v>
      </c>
      <c r="AQ7" s="2661"/>
      <c r="AR7" s="2661"/>
      <c r="AS7" s="2661"/>
      <c r="AT7" s="2661"/>
      <c r="AU7" s="2661"/>
      <c r="AV7" s="2661"/>
      <c r="AW7" s="2661"/>
      <c r="AX7" s="2661"/>
      <c r="AY7" s="2661"/>
      <c r="AZ7" s="2661"/>
      <c r="BA7" s="2662"/>
      <c r="BB7" s="2618" t="s">
        <v>119</v>
      </c>
      <c r="BC7" s="2618"/>
      <c r="BD7" s="2618"/>
      <c r="BE7" s="2618"/>
      <c r="BF7" s="2618"/>
      <c r="BG7" s="2618"/>
      <c r="BH7" s="2644" t="s">
        <v>118</v>
      </c>
      <c r="BI7" s="2645"/>
      <c r="BJ7" s="2663" t="s">
        <v>737</v>
      </c>
      <c r="BK7" s="2664"/>
      <c r="BL7" s="2664"/>
      <c r="BM7" s="2664"/>
      <c r="BN7" s="2664"/>
      <c r="BO7" s="2664"/>
      <c r="BP7" s="2665"/>
      <c r="BQ7" s="3745" t="s">
        <v>262</v>
      </c>
      <c r="BR7" s="3745"/>
      <c r="BS7" s="4070" t="s">
        <v>738</v>
      </c>
      <c r="BT7" s="4071"/>
      <c r="BU7" s="4074" t="s">
        <v>114</v>
      </c>
      <c r="BV7" s="4"/>
      <c r="BW7" s="4"/>
      <c r="BX7" s="4"/>
      <c r="BY7" s="4"/>
      <c r="BZ7" s="4"/>
      <c r="CA7" s="4"/>
      <c r="CB7" s="4"/>
      <c r="CC7" s="4"/>
      <c r="CD7" s="4"/>
      <c r="CE7" s="4"/>
      <c r="CF7" s="4"/>
      <c r="CG7" s="4"/>
      <c r="CH7" s="4"/>
      <c r="CI7" s="4"/>
      <c r="CJ7" s="4"/>
      <c r="CK7" s="4"/>
      <c r="CL7" s="4"/>
      <c r="CM7" s="4"/>
      <c r="CN7" s="4"/>
      <c r="CO7" s="4"/>
    </row>
    <row r="8" spans="1:93" ht="63" customHeight="1" x14ac:dyDescent="0.25">
      <c r="A8" s="2593" t="s">
        <v>71</v>
      </c>
      <c r="B8" s="3591" t="s">
        <v>70</v>
      </c>
      <c r="C8" s="2593" t="s">
        <v>71</v>
      </c>
      <c r="D8" s="3591" t="s">
        <v>70</v>
      </c>
      <c r="E8" s="3591" t="s">
        <v>71</v>
      </c>
      <c r="F8" s="3591" t="s">
        <v>70</v>
      </c>
      <c r="G8" s="3591" t="s">
        <v>110</v>
      </c>
      <c r="H8" s="3591" t="s">
        <v>113</v>
      </c>
      <c r="I8" s="3591" t="s">
        <v>112</v>
      </c>
      <c r="J8" s="3591" t="s">
        <v>142</v>
      </c>
      <c r="K8" s="3591" t="s">
        <v>110</v>
      </c>
      <c r="L8" s="3591" t="s">
        <v>109</v>
      </c>
      <c r="M8" s="3591" t="s">
        <v>108</v>
      </c>
      <c r="N8" s="3591" t="s">
        <v>107</v>
      </c>
      <c r="O8" s="4076" t="s">
        <v>739</v>
      </c>
      <c r="P8" s="4076"/>
      <c r="Q8" s="2656" t="s">
        <v>105</v>
      </c>
      <c r="R8" s="2656" t="s">
        <v>104</v>
      </c>
      <c r="S8" s="4077" t="s">
        <v>103</v>
      </c>
      <c r="T8" s="4079" t="s">
        <v>102</v>
      </c>
      <c r="U8" s="2656" t="s">
        <v>101</v>
      </c>
      <c r="V8" s="2656" t="s">
        <v>100</v>
      </c>
      <c r="W8" s="2656" t="s">
        <v>99</v>
      </c>
      <c r="X8" s="4080" t="s">
        <v>740</v>
      </c>
      <c r="Y8" s="4081"/>
      <c r="Z8" s="4082"/>
      <c r="AA8" s="3591" t="s">
        <v>97</v>
      </c>
      <c r="AB8" s="2593" t="s">
        <v>96</v>
      </c>
      <c r="AC8" s="3591" t="s">
        <v>70</v>
      </c>
      <c r="AD8" s="2620" t="s">
        <v>95</v>
      </c>
      <c r="AE8" s="2621"/>
      <c r="AF8" s="2597" t="s">
        <v>94</v>
      </c>
      <c r="AG8" s="2598"/>
      <c r="AH8" s="2620" t="s">
        <v>93</v>
      </c>
      <c r="AI8" s="2621"/>
      <c r="AJ8" s="2620" t="s">
        <v>92</v>
      </c>
      <c r="AK8" s="2621"/>
      <c r="AL8" s="2620" t="s">
        <v>741</v>
      </c>
      <c r="AM8" s="2621"/>
      <c r="AN8" s="2620" t="s">
        <v>90</v>
      </c>
      <c r="AO8" s="2621"/>
      <c r="AP8" s="2620" t="s">
        <v>89</v>
      </c>
      <c r="AQ8" s="2621"/>
      <c r="AR8" s="2620" t="s">
        <v>88</v>
      </c>
      <c r="AS8" s="2621"/>
      <c r="AT8" s="2620" t="s">
        <v>87</v>
      </c>
      <c r="AU8" s="2621"/>
      <c r="AV8" s="2620" t="s">
        <v>742</v>
      </c>
      <c r="AW8" s="2621"/>
      <c r="AX8" s="2620" t="s">
        <v>85</v>
      </c>
      <c r="AY8" s="2621"/>
      <c r="AZ8" s="2620" t="s">
        <v>84</v>
      </c>
      <c r="BA8" s="2621"/>
      <c r="BB8" s="3602" t="s">
        <v>83</v>
      </c>
      <c r="BC8" s="3603"/>
      <c r="BD8" s="3602" t="s">
        <v>82</v>
      </c>
      <c r="BE8" s="3603"/>
      <c r="BF8" s="3602" t="s">
        <v>743</v>
      </c>
      <c r="BG8" s="3603"/>
      <c r="BH8" s="2646"/>
      <c r="BI8" s="2647"/>
      <c r="BJ8" s="3538" t="s">
        <v>744</v>
      </c>
      <c r="BK8" s="3538" t="s">
        <v>268</v>
      </c>
      <c r="BL8" s="3538" t="s">
        <v>269</v>
      </c>
      <c r="BM8" s="4098" t="s">
        <v>77</v>
      </c>
      <c r="BN8" s="3538" t="s">
        <v>745</v>
      </c>
      <c r="BO8" s="3538"/>
      <c r="BP8" s="3533" t="s">
        <v>75</v>
      </c>
      <c r="BQ8" s="3745"/>
      <c r="BR8" s="3745"/>
      <c r="BS8" s="4072"/>
      <c r="BT8" s="4073"/>
      <c r="BU8" s="4075"/>
      <c r="BV8" s="4"/>
      <c r="BW8" s="4"/>
      <c r="BX8" s="4"/>
      <c r="BY8" s="4"/>
      <c r="BZ8" s="4"/>
      <c r="CA8" s="4"/>
      <c r="CB8" s="4"/>
      <c r="CC8" s="4"/>
      <c r="CD8" s="4"/>
      <c r="CE8" s="4"/>
      <c r="CF8" s="4"/>
      <c r="CG8" s="4"/>
      <c r="CH8" s="4"/>
      <c r="CI8" s="4"/>
      <c r="CJ8" s="4"/>
      <c r="CK8" s="4"/>
      <c r="CL8" s="4"/>
      <c r="CM8" s="4"/>
      <c r="CN8" s="4"/>
      <c r="CO8" s="4"/>
    </row>
    <row r="9" spans="1:93" ht="34.5" customHeight="1" x14ac:dyDescent="0.25">
      <c r="A9" s="2593"/>
      <c r="B9" s="3591"/>
      <c r="C9" s="2593"/>
      <c r="D9" s="3591"/>
      <c r="E9" s="3591"/>
      <c r="F9" s="3591"/>
      <c r="G9" s="3591"/>
      <c r="H9" s="3591"/>
      <c r="I9" s="3591"/>
      <c r="J9" s="3591"/>
      <c r="K9" s="3591"/>
      <c r="L9" s="3591"/>
      <c r="M9" s="3591"/>
      <c r="N9" s="3591"/>
      <c r="O9" s="2053" t="s">
        <v>69</v>
      </c>
      <c r="P9" s="2014" t="s">
        <v>68</v>
      </c>
      <c r="Q9" s="3591"/>
      <c r="R9" s="3591"/>
      <c r="S9" s="4078"/>
      <c r="T9" s="3590"/>
      <c r="U9" s="3591"/>
      <c r="V9" s="3591"/>
      <c r="W9" s="3591"/>
      <c r="X9" s="771" t="s">
        <v>74</v>
      </c>
      <c r="Y9" s="772" t="s">
        <v>73</v>
      </c>
      <c r="Z9" s="772" t="s">
        <v>72</v>
      </c>
      <c r="AA9" s="3591"/>
      <c r="AB9" s="2593"/>
      <c r="AC9" s="3591"/>
      <c r="AD9" s="2003" t="s">
        <v>69</v>
      </c>
      <c r="AE9" s="2003" t="s">
        <v>68</v>
      </c>
      <c r="AF9" s="774" t="s">
        <v>69</v>
      </c>
      <c r="AG9" s="774" t="s">
        <v>68</v>
      </c>
      <c r="AH9" s="2003" t="s">
        <v>69</v>
      </c>
      <c r="AI9" s="2003" t="s">
        <v>68</v>
      </c>
      <c r="AJ9" s="2003" t="s">
        <v>69</v>
      </c>
      <c r="AK9" s="2003" t="s">
        <v>68</v>
      </c>
      <c r="AL9" s="2003" t="s">
        <v>69</v>
      </c>
      <c r="AM9" s="2003" t="s">
        <v>68</v>
      </c>
      <c r="AN9" s="2003" t="s">
        <v>69</v>
      </c>
      <c r="AO9" s="2003" t="s">
        <v>68</v>
      </c>
      <c r="AP9" s="2003" t="s">
        <v>69</v>
      </c>
      <c r="AQ9" s="2003" t="s">
        <v>68</v>
      </c>
      <c r="AR9" s="2003" t="s">
        <v>69</v>
      </c>
      <c r="AS9" s="2003" t="s">
        <v>68</v>
      </c>
      <c r="AT9" s="2003" t="s">
        <v>69</v>
      </c>
      <c r="AU9" s="2003" t="s">
        <v>68</v>
      </c>
      <c r="AV9" s="2003" t="s">
        <v>69</v>
      </c>
      <c r="AW9" s="2003" t="s">
        <v>68</v>
      </c>
      <c r="AX9" s="2003" t="s">
        <v>69</v>
      </c>
      <c r="AY9" s="2003" t="s">
        <v>68</v>
      </c>
      <c r="AZ9" s="2003" t="s">
        <v>69</v>
      </c>
      <c r="BA9" s="2003" t="s">
        <v>68</v>
      </c>
      <c r="BB9" s="2003" t="s">
        <v>69</v>
      </c>
      <c r="BC9" s="2003" t="s">
        <v>68</v>
      </c>
      <c r="BD9" s="2003" t="s">
        <v>69</v>
      </c>
      <c r="BE9" s="2003" t="s">
        <v>68</v>
      </c>
      <c r="BF9" s="2003" t="s">
        <v>69</v>
      </c>
      <c r="BG9" s="2003" t="s">
        <v>68</v>
      </c>
      <c r="BH9" s="1973" t="s">
        <v>69</v>
      </c>
      <c r="BI9" s="1973" t="s">
        <v>68</v>
      </c>
      <c r="BJ9" s="3538"/>
      <c r="BK9" s="3538"/>
      <c r="BL9" s="3538"/>
      <c r="BM9" s="4098"/>
      <c r="BN9" s="2003" t="s">
        <v>746</v>
      </c>
      <c r="BO9" s="2003" t="s">
        <v>747</v>
      </c>
      <c r="BP9" s="3533"/>
      <c r="BQ9" s="2015" t="s">
        <v>69</v>
      </c>
      <c r="BR9" s="2015" t="s">
        <v>68</v>
      </c>
      <c r="BS9" s="2015" t="s">
        <v>69</v>
      </c>
      <c r="BT9" s="2015" t="s">
        <v>68</v>
      </c>
      <c r="BU9" s="2028"/>
      <c r="BV9" s="4"/>
      <c r="BW9" s="4"/>
      <c r="BX9" s="4"/>
      <c r="BY9" s="4"/>
      <c r="BZ9" s="4"/>
      <c r="CA9" s="4"/>
      <c r="CB9" s="4"/>
      <c r="CC9" s="4"/>
      <c r="CD9" s="4"/>
      <c r="CE9" s="4"/>
      <c r="CF9" s="4"/>
      <c r="CG9" s="4"/>
      <c r="CH9" s="4"/>
      <c r="CI9" s="4"/>
      <c r="CJ9" s="4"/>
      <c r="CK9" s="4"/>
      <c r="CL9" s="4"/>
      <c r="CM9" s="4"/>
      <c r="CN9" s="4"/>
      <c r="CO9" s="4"/>
    </row>
    <row r="10" spans="1:93" ht="24.75" customHeight="1" x14ac:dyDescent="0.25">
      <c r="A10" s="776">
        <v>1</v>
      </c>
      <c r="B10" s="4089" t="s">
        <v>273</v>
      </c>
      <c r="C10" s="4090"/>
      <c r="D10" s="4090"/>
      <c r="E10" s="4090"/>
      <c r="F10" s="4090"/>
      <c r="G10" s="4090"/>
      <c r="H10" s="777"/>
      <c r="I10" s="2029"/>
      <c r="J10" s="777"/>
      <c r="K10" s="2029"/>
      <c r="L10" s="777"/>
      <c r="M10" s="2029"/>
      <c r="N10" s="777"/>
      <c r="O10" s="778"/>
      <c r="P10" s="778"/>
      <c r="Q10" s="778"/>
      <c r="R10" s="779"/>
      <c r="S10" s="780"/>
      <c r="T10" s="781"/>
      <c r="U10" s="779"/>
      <c r="V10" s="779"/>
      <c r="W10" s="779"/>
      <c r="X10" s="782"/>
      <c r="Y10" s="783"/>
      <c r="Z10" s="783"/>
      <c r="AA10" s="126"/>
      <c r="AB10" s="784"/>
      <c r="AC10" s="777"/>
      <c r="AD10" s="4091"/>
      <c r="AE10" s="4091"/>
      <c r="AF10" s="4092"/>
      <c r="AG10" s="4092"/>
      <c r="AH10" s="4092"/>
      <c r="AI10" s="4092"/>
      <c r="AJ10" s="4092"/>
      <c r="AK10" s="4092"/>
      <c r="AL10" s="4092"/>
      <c r="AM10" s="4092"/>
      <c r="AN10" s="4092"/>
      <c r="AO10" s="4092"/>
      <c r="AP10" s="4092"/>
      <c r="AQ10" s="4092"/>
      <c r="AR10" s="4092"/>
      <c r="AS10" s="4092"/>
      <c r="AT10" s="4092"/>
      <c r="AU10" s="4092"/>
      <c r="AV10" s="4092"/>
      <c r="AW10" s="4092"/>
      <c r="AX10" s="4092"/>
      <c r="AY10" s="4092"/>
      <c r="AZ10" s="4092"/>
      <c r="BA10" s="4092"/>
      <c r="BB10" s="4092"/>
      <c r="BC10" s="4092"/>
      <c r="BD10" s="4092"/>
      <c r="BE10" s="4092"/>
      <c r="BF10" s="4092"/>
      <c r="BG10" s="4092"/>
      <c r="BH10" s="4092"/>
      <c r="BI10" s="2029"/>
      <c r="BJ10" s="2029"/>
      <c r="BK10" s="2029"/>
      <c r="BL10" s="2029"/>
      <c r="BM10" s="2029"/>
      <c r="BN10" s="2029"/>
      <c r="BO10" s="2029"/>
      <c r="BP10" s="2029"/>
      <c r="BQ10" s="786"/>
      <c r="BR10" s="786"/>
      <c r="BS10" s="786"/>
      <c r="BT10" s="786"/>
      <c r="BU10" s="787"/>
      <c r="BV10" s="4"/>
      <c r="BW10" s="4"/>
      <c r="BX10" s="4"/>
      <c r="BY10" s="4"/>
      <c r="BZ10" s="4"/>
      <c r="CA10" s="4"/>
      <c r="CB10" s="4"/>
      <c r="CC10" s="4"/>
      <c r="CD10" s="4"/>
      <c r="CE10" s="4"/>
      <c r="CF10" s="4"/>
      <c r="CG10" s="4"/>
      <c r="CH10" s="4"/>
      <c r="CI10" s="4"/>
      <c r="CJ10" s="4"/>
      <c r="CK10" s="4"/>
      <c r="CL10" s="4"/>
      <c r="CM10" s="4"/>
      <c r="CN10" s="4"/>
      <c r="CO10" s="4"/>
    </row>
    <row r="11" spans="1:93" ht="24.75" customHeight="1" x14ac:dyDescent="0.25">
      <c r="A11" s="2026"/>
      <c r="B11" s="87"/>
      <c r="C11" s="115">
        <v>22</v>
      </c>
      <c r="D11" s="788" t="s">
        <v>444</v>
      </c>
      <c r="E11" s="108"/>
      <c r="F11" s="108"/>
      <c r="G11" s="108"/>
      <c r="H11" s="789"/>
      <c r="I11" s="108"/>
      <c r="J11" s="789"/>
      <c r="K11" s="108"/>
      <c r="L11" s="789"/>
      <c r="M11" s="108"/>
      <c r="N11" s="789"/>
      <c r="O11" s="108"/>
      <c r="P11" s="108"/>
      <c r="Q11" s="108"/>
      <c r="R11" s="789"/>
      <c r="S11" s="790"/>
      <c r="T11" s="110"/>
      <c r="U11" s="789"/>
      <c r="V11" s="789"/>
      <c r="W11" s="789"/>
      <c r="X11" s="791"/>
      <c r="Y11" s="792"/>
      <c r="Z11" s="792"/>
      <c r="AA11" s="114"/>
      <c r="AB11" s="109"/>
      <c r="AC11" s="789"/>
      <c r="AD11" s="793"/>
      <c r="AE11" s="793"/>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7"/>
      <c r="BR11" s="107"/>
      <c r="BS11" s="107"/>
      <c r="BT11" s="107"/>
      <c r="BU11" s="257"/>
    </row>
    <row r="12" spans="1:93" s="4" customFormat="1" ht="24.75" customHeight="1" x14ac:dyDescent="0.25">
      <c r="A12" s="2909"/>
      <c r="B12" s="4093"/>
      <c r="C12" s="1999"/>
      <c r="D12" s="2000"/>
      <c r="E12" s="794">
        <v>2201</v>
      </c>
      <c r="F12" s="4094" t="s">
        <v>748</v>
      </c>
      <c r="G12" s="4095"/>
      <c r="H12" s="4095"/>
      <c r="I12" s="4095"/>
      <c r="J12" s="4095"/>
      <c r="K12" s="4095"/>
      <c r="L12" s="4095"/>
      <c r="M12" s="4095"/>
      <c r="N12" s="4095"/>
      <c r="O12" s="4095"/>
      <c r="P12" s="4095"/>
      <c r="Q12" s="4095"/>
      <c r="R12" s="4095"/>
      <c r="S12" s="4096"/>
      <c r="T12" s="90"/>
      <c r="U12" s="795"/>
      <c r="V12" s="795"/>
      <c r="W12" s="795"/>
      <c r="X12" s="796"/>
      <c r="Y12" s="797"/>
      <c r="Z12" s="797"/>
      <c r="AA12" s="798"/>
      <c r="AB12" s="794"/>
      <c r="AC12" s="95"/>
      <c r="AD12" s="794"/>
      <c r="AE12" s="794"/>
      <c r="AF12" s="794"/>
      <c r="AG12" s="794"/>
      <c r="AH12" s="794"/>
      <c r="AI12" s="794"/>
      <c r="AJ12" s="794"/>
      <c r="AK12" s="794"/>
      <c r="AL12" s="794"/>
      <c r="AM12" s="794"/>
      <c r="AN12" s="794"/>
      <c r="AO12" s="794"/>
      <c r="AP12" s="794"/>
      <c r="AQ12" s="794"/>
      <c r="AR12" s="794"/>
      <c r="AS12" s="794"/>
      <c r="AT12" s="794"/>
      <c r="AU12" s="794"/>
      <c r="AV12" s="794"/>
      <c r="AW12" s="794"/>
      <c r="AX12" s="794"/>
      <c r="AY12" s="794"/>
      <c r="AZ12" s="794"/>
      <c r="BA12" s="794"/>
      <c r="BB12" s="794"/>
      <c r="BC12" s="794"/>
      <c r="BD12" s="794"/>
      <c r="BE12" s="794"/>
      <c r="BF12" s="794"/>
      <c r="BG12" s="794"/>
      <c r="BH12" s="794"/>
      <c r="BI12" s="794"/>
      <c r="BJ12" s="794"/>
      <c r="BK12" s="794"/>
      <c r="BL12" s="794"/>
      <c r="BM12" s="794"/>
      <c r="BN12" s="794"/>
      <c r="BO12" s="794"/>
      <c r="BP12" s="794"/>
      <c r="BQ12" s="799"/>
      <c r="BR12" s="799"/>
      <c r="BS12" s="799"/>
      <c r="BT12" s="799"/>
      <c r="BU12" s="799"/>
    </row>
    <row r="13" spans="1:93" s="4" customFormat="1" ht="28.5" customHeight="1" x14ac:dyDescent="0.25">
      <c r="A13" s="2909"/>
      <c r="B13" s="4093"/>
      <c r="C13" s="2001"/>
      <c r="D13" s="2002"/>
      <c r="E13" s="2052"/>
      <c r="F13" s="2052"/>
      <c r="G13" s="4084" t="s">
        <v>749</v>
      </c>
      <c r="H13" s="2835" t="s">
        <v>750</v>
      </c>
      <c r="I13" s="4084" t="s">
        <v>749</v>
      </c>
      <c r="J13" s="2835" t="s">
        <v>750</v>
      </c>
      <c r="K13" s="4097">
        <v>220103000</v>
      </c>
      <c r="L13" s="3293" t="s">
        <v>751</v>
      </c>
      <c r="M13" s="4097">
        <v>220103000</v>
      </c>
      <c r="N13" s="3293" t="s">
        <v>751</v>
      </c>
      <c r="O13" s="4116">
        <v>2500</v>
      </c>
      <c r="P13" s="4116">
        <v>2292</v>
      </c>
      <c r="Q13" s="2510" t="s">
        <v>752</v>
      </c>
      <c r="R13" s="3417" t="s">
        <v>753</v>
      </c>
      <c r="S13" s="4111">
        <f>SUM(X13:X16)/T13</f>
        <v>8.1094162427144775E-2</v>
      </c>
      <c r="T13" s="4120">
        <f>SUM(X13:X43)</f>
        <v>16569672696.32</v>
      </c>
      <c r="U13" s="3204" t="s">
        <v>754</v>
      </c>
      <c r="V13" s="4119" t="s">
        <v>755</v>
      </c>
      <c r="W13" s="4118" t="s">
        <v>756</v>
      </c>
      <c r="X13" s="801">
        <v>89282287</v>
      </c>
      <c r="Y13" s="802">
        <v>88360980.010000005</v>
      </c>
      <c r="Z13" s="802">
        <v>88360980.010000005</v>
      </c>
      <c r="AA13" s="1989" t="s">
        <v>757</v>
      </c>
      <c r="AB13" s="4108">
        <v>25</v>
      </c>
      <c r="AC13" s="2781" t="s">
        <v>758</v>
      </c>
      <c r="AD13" s="4100">
        <v>19649</v>
      </c>
      <c r="AE13" s="4100">
        <v>19649</v>
      </c>
      <c r="AF13" s="4100">
        <v>20118</v>
      </c>
      <c r="AG13" s="4100">
        <v>20118</v>
      </c>
      <c r="AH13" s="4100">
        <v>28907</v>
      </c>
      <c r="AI13" s="4100">
        <v>28907</v>
      </c>
      <c r="AJ13" s="4100">
        <v>9525</v>
      </c>
      <c r="AK13" s="4100">
        <v>9525</v>
      </c>
      <c r="AL13" s="4100">
        <v>1222</v>
      </c>
      <c r="AM13" s="4100">
        <v>1222</v>
      </c>
      <c r="AN13" s="4100">
        <v>113</v>
      </c>
      <c r="AO13" s="4100">
        <v>113</v>
      </c>
      <c r="AP13" s="4100">
        <v>297</v>
      </c>
      <c r="AQ13" s="4100">
        <v>297</v>
      </c>
      <c r="AR13" s="4100">
        <v>345</v>
      </c>
      <c r="AS13" s="4100">
        <v>345</v>
      </c>
      <c r="AT13" s="4100">
        <v>0</v>
      </c>
      <c r="AU13" s="4100">
        <v>0</v>
      </c>
      <c r="AV13" s="4100">
        <v>0</v>
      </c>
      <c r="AW13" s="4100">
        <v>0</v>
      </c>
      <c r="AX13" s="4100">
        <v>0</v>
      </c>
      <c r="AY13" s="4100">
        <v>0</v>
      </c>
      <c r="AZ13" s="4100">
        <v>0</v>
      </c>
      <c r="BA13" s="4100">
        <v>0</v>
      </c>
      <c r="BB13" s="4100">
        <v>3301</v>
      </c>
      <c r="BC13" s="4100">
        <v>3301</v>
      </c>
      <c r="BD13" s="4100">
        <v>113</v>
      </c>
      <c r="BE13" s="4100">
        <v>113</v>
      </c>
      <c r="BF13" s="4100">
        <v>2507</v>
      </c>
      <c r="BG13" s="4100">
        <v>257</v>
      </c>
      <c r="BH13" s="4100">
        <f>+AD13+AF13</f>
        <v>39767</v>
      </c>
      <c r="BI13" s="4100">
        <f>+AE13+AG13</f>
        <v>39767</v>
      </c>
      <c r="BJ13" s="4099">
        <v>126</v>
      </c>
      <c r="BK13" s="4099">
        <f>SUM(Y13:Y43)</f>
        <v>14426477321</v>
      </c>
      <c r="BL13" s="4099">
        <f>SUM(Z13:Z43)</f>
        <v>14426477321</v>
      </c>
      <c r="BM13" s="4102">
        <f>+BL13/BK13</f>
        <v>1</v>
      </c>
      <c r="BN13" s="4099" t="s">
        <v>759</v>
      </c>
      <c r="BO13" s="4099" t="s">
        <v>760</v>
      </c>
      <c r="BP13" s="4105" t="s">
        <v>761</v>
      </c>
      <c r="BQ13" s="3019">
        <v>44198</v>
      </c>
      <c r="BR13" s="3019">
        <v>44198</v>
      </c>
      <c r="BS13" s="3019">
        <v>44560</v>
      </c>
      <c r="BT13" s="3019">
        <v>44560</v>
      </c>
      <c r="BU13" s="3050" t="s">
        <v>762</v>
      </c>
    </row>
    <row r="14" spans="1:93" s="4" customFormat="1" ht="27" customHeight="1" x14ac:dyDescent="0.25">
      <c r="A14" s="2909"/>
      <c r="B14" s="4093"/>
      <c r="C14" s="2001"/>
      <c r="D14" s="2002"/>
      <c r="E14" s="2052"/>
      <c r="F14" s="2052"/>
      <c r="G14" s="4084"/>
      <c r="H14" s="2835"/>
      <c r="I14" s="4084"/>
      <c r="J14" s="2835"/>
      <c r="K14" s="3672"/>
      <c r="L14" s="3282"/>
      <c r="M14" s="3672"/>
      <c r="N14" s="3282"/>
      <c r="O14" s="4117"/>
      <c r="P14" s="4117"/>
      <c r="Q14" s="2511"/>
      <c r="R14" s="3204"/>
      <c r="S14" s="4111"/>
      <c r="T14" s="4120"/>
      <c r="U14" s="3204"/>
      <c r="V14" s="4119"/>
      <c r="W14" s="4118"/>
      <c r="X14" s="801">
        <v>554422779</v>
      </c>
      <c r="Y14" s="802">
        <v>549166939.70000005</v>
      </c>
      <c r="Z14" s="802">
        <v>549166939.70000005</v>
      </c>
      <c r="AA14" s="1989" t="s">
        <v>763</v>
      </c>
      <c r="AB14" s="4108"/>
      <c r="AC14" s="2781"/>
      <c r="AD14" s="4100"/>
      <c r="AE14" s="4100"/>
      <c r="AF14" s="4100"/>
      <c r="AG14" s="4100"/>
      <c r="AH14" s="4100"/>
      <c r="AI14" s="4100"/>
      <c r="AJ14" s="4100"/>
      <c r="AK14" s="4100"/>
      <c r="AL14" s="4100"/>
      <c r="AM14" s="4100"/>
      <c r="AN14" s="4100"/>
      <c r="AO14" s="4100"/>
      <c r="AP14" s="4100"/>
      <c r="AQ14" s="4100"/>
      <c r="AR14" s="4100"/>
      <c r="AS14" s="4100"/>
      <c r="AT14" s="4100"/>
      <c r="AU14" s="4100"/>
      <c r="AV14" s="4100"/>
      <c r="AW14" s="4100"/>
      <c r="AX14" s="4100"/>
      <c r="AY14" s="4100"/>
      <c r="AZ14" s="4100"/>
      <c r="BA14" s="4100"/>
      <c r="BB14" s="4100"/>
      <c r="BC14" s="4100"/>
      <c r="BD14" s="4100"/>
      <c r="BE14" s="4100"/>
      <c r="BF14" s="4100"/>
      <c r="BG14" s="4100"/>
      <c r="BH14" s="4100"/>
      <c r="BI14" s="4100"/>
      <c r="BJ14" s="4100"/>
      <c r="BK14" s="4100"/>
      <c r="BL14" s="4100"/>
      <c r="BM14" s="4103"/>
      <c r="BN14" s="4100"/>
      <c r="BO14" s="4100"/>
      <c r="BP14" s="3054"/>
      <c r="BQ14" s="3019"/>
      <c r="BR14" s="3019"/>
      <c r="BS14" s="3019"/>
      <c r="BT14" s="3019"/>
      <c r="BU14" s="3050"/>
    </row>
    <row r="15" spans="1:93" s="4" customFormat="1" ht="44.25" customHeight="1" x14ac:dyDescent="0.25">
      <c r="A15" s="2909"/>
      <c r="B15" s="4093"/>
      <c r="C15" s="2001"/>
      <c r="D15" s="2002"/>
      <c r="E15" s="2052"/>
      <c r="F15" s="2052"/>
      <c r="G15" s="4084"/>
      <c r="H15" s="2835"/>
      <c r="I15" s="4084"/>
      <c r="J15" s="2835"/>
      <c r="K15" s="3672"/>
      <c r="L15" s="3282"/>
      <c r="M15" s="3672"/>
      <c r="N15" s="3282"/>
      <c r="O15" s="4117"/>
      <c r="P15" s="4117"/>
      <c r="Q15" s="2511"/>
      <c r="R15" s="3204"/>
      <c r="S15" s="4111"/>
      <c r="T15" s="4120"/>
      <c r="U15" s="3204"/>
      <c r="V15" s="4119"/>
      <c r="W15" s="4118"/>
      <c r="X15" s="801">
        <v>503982011</v>
      </c>
      <c r="Y15" s="802">
        <v>475221802.30000001</v>
      </c>
      <c r="Z15" s="802">
        <v>475221802.30000001</v>
      </c>
      <c r="AA15" s="1989" t="s">
        <v>764</v>
      </c>
      <c r="AB15" s="4108"/>
      <c r="AC15" s="2781"/>
      <c r="AD15" s="4100"/>
      <c r="AE15" s="4100"/>
      <c r="AF15" s="4100"/>
      <c r="AG15" s="4100"/>
      <c r="AH15" s="4100"/>
      <c r="AI15" s="4100"/>
      <c r="AJ15" s="4100"/>
      <c r="AK15" s="4100"/>
      <c r="AL15" s="4100"/>
      <c r="AM15" s="4100"/>
      <c r="AN15" s="4100"/>
      <c r="AO15" s="4100"/>
      <c r="AP15" s="4100"/>
      <c r="AQ15" s="4100"/>
      <c r="AR15" s="4100"/>
      <c r="AS15" s="4100"/>
      <c r="AT15" s="4100"/>
      <c r="AU15" s="4100"/>
      <c r="AV15" s="4100"/>
      <c r="AW15" s="4100"/>
      <c r="AX15" s="4100"/>
      <c r="AY15" s="4100"/>
      <c r="AZ15" s="4100"/>
      <c r="BA15" s="4100"/>
      <c r="BB15" s="4100"/>
      <c r="BC15" s="4100"/>
      <c r="BD15" s="4100"/>
      <c r="BE15" s="4100"/>
      <c r="BF15" s="4100"/>
      <c r="BG15" s="4100"/>
      <c r="BH15" s="4100"/>
      <c r="BI15" s="4100"/>
      <c r="BJ15" s="4100"/>
      <c r="BK15" s="4100"/>
      <c r="BL15" s="4100"/>
      <c r="BM15" s="4103"/>
      <c r="BN15" s="4100"/>
      <c r="BO15" s="4100"/>
      <c r="BP15" s="3054"/>
      <c r="BQ15" s="3019"/>
      <c r="BR15" s="3019"/>
      <c r="BS15" s="3019"/>
      <c r="BT15" s="3019"/>
      <c r="BU15" s="3050"/>
    </row>
    <row r="16" spans="1:93" s="4" customFormat="1" ht="44.25" customHeight="1" x14ac:dyDescent="0.25">
      <c r="A16" s="2909"/>
      <c r="B16" s="4093"/>
      <c r="C16" s="2001"/>
      <c r="D16" s="2002"/>
      <c r="E16" s="2052"/>
      <c r="F16" s="2052"/>
      <c r="G16" s="4085"/>
      <c r="H16" s="3369"/>
      <c r="I16" s="4085"/>
      <c r="J16" s="3369"/>
      <c r="K16" s="3672"/>
      <c r="L16" s="3282"/>
      <c r="M16" s="3672"/>
      <c r="N16" s="3282"/>
      <c r="O16" s="4117"/>
      <c r="P16" s="4117"/>
      <c r="Q16" s="2511"/>
      <c r="R16" s="3204"/>
      <c r="S16" s="4112"/>
      <c r="T16" s="4120"/>
      <c r="U16" s="3204"/>
      <c r="V16" s="4119"/>
      <c r="W16" s="4118"/>
      <c r="X16" s="801">
        <v>196016652</v>
      </c>
      <c r="Y16" s="802">
        <v>188082362.99000001</v>
      </c>
      <c r="Z16" s="802">
        <v>188082362.99000001</v>
      </c>
      <c r="AA16" s="1989" t="s">
        <v>765</v>
      </c>
      <c r="AB16" s="4109"/>
      <c r="AC16" s="2782"/>
      <c r="AD16" s="4100"/>
      <c r="AE16" s="4100"/>
      <c r="AF16" s="4100"/>
      <c r="AG16" s="4100"/>
      <c r="AH16" s="4100"/>
      <c r="AI16" s="4100"/>
      <c r="AJ16" s="4100"/>
      <c r="AK16" s="4100"/>
      <c r="AL16" s="4100"/>
      <c r="AM16" s="4100"/>
      <c r="AN16" s="4100"/>
      <c r="AO16" s="4100"/>
      <c r="AP16" s="4100"/>
      <c r="AQ16" s="4100"/>
      <c r="AR16" s="4100"/>
      <c r="AS16" s="4100"/>
      <c r="AT16" s="4100"/>
      <c r="AU16" s="4100"/>
      <c r="AV16" s="4100"/>
      <c r="AW16" s="4100"/>
      <c r="AX16" s="4100"/>
      <c r="AY16" s="4100"/>
      <c r="AZ16" s="4100"/>
      <c r="BA16" s="4100"/>
      <c r="BB16" s="4100"/>
      <c r="BC16" s="4100"/>
      <c r="BD16" s="4100"/>
      <c r="BE16" s="4100"/>
      <c r="BF16" s="4100"/>
      <c r="BG16" s="4100"/>
      <c r="BH16" s="4100"/>
      <c r="BI16" s="4100"/>
      <c r="BJ16" s="4100"/>
      <c r="BK16" s="4100"/>
      <c r="BL16" s="4100"/>
      <c r="BM16" s="4103"/>
      <c r="BN16" s="4100"/>
      <c r="BO16" s="4100"/>
      <c r="BP16" s="3054"/>
      <c r="BQ16" s="3019"/>
      <c r="BR16" s="3019"/>
      <c r="BS16" s="3019"/>
      <c r="BT16" s="3019"/>
      <c r="BU16" s="3050"/>
    </row>
    <row r="17" spans="1:73" s="4" customFormat="1" ht="44.25" customHeight="1" x14ac:dyDescent="0.25">
      <c r="A17" s="2909"/>
      <c r="B17" s="4093"/>
      <c r="C17" s="2001"/>
      <c r="D17" s="2002"/>
      <c r="E17" s="2052"/>
      <c r="F17" s="2052"/>
      <c r="G17" s="4083">
        <v>2201033</v>
      </c>
      <c r="H17" s="3337" t="s">
        <v>766</v>
      </c>
      <c r="I17" s="4083">
        <v>2201033</v>
      </c>
      <c r="J17" s="3337" t="s">
        <v>766</v>
      </c>
      <c r="K17" s="3672">
        <v>220103300</v>
      </c>
      <c r="L17" s="3204" t="s">
        <v>767</v>
      </c>
      <c r="M17" s="3672">
        <v>220103300</v>
      </c>
      <c r="N17" s="3204" t="s">
        <v>767</v>
      </c>
      <c r="O17" s="4117">
        <v>9000</v>
      </c>
      <c r="P17" s="4117">
        <v>9000</v>
      </c>
      <c r="Q17" s="2511"/>
      <c r="R17" s="3204"/>
      <c r="S17" s="4113">
        <f>SUM(X17:X20)/T13</f>
        <v>1.0863220010373328E-3</v>
      </c>
      <c r="T17" s="4120"/>
      <c r="U17" s="3204"/>
      <c r="V17" s="4119" t="s">
        <v>768</v>
      </c>
      <c r="W17" s="4118" t="s">
        <v>769</v>
      </c>
      <c r="X17" s="801">
        <v>1196008.55</v>
      </c>
      <c r="Y17" s="802">
        <v>1196008.55</v>
      </c>
      <c r="Z17" s="802">
        <v>1196008.55</v>
      </c>
      <c r="AA17" s="1989" t="s">
        <v>770</v>
      </c>
      <c r="AB17" s="3891">
        <v>20</v>
      </c>
      <c r="AC17" s="2992" t="s">
        <v>284</v>
      </c>
      <c r="AD17" s="4100"/>
      <c r="AE17" s="4100"/>
      <c r="AF17" s="4100"/>
      <c r="AG17" s="4100"/>
      <c r="AH17" s="4100"/>
      <c r="AI17" s="4100"/>
      <c r="AJ17" s="4100"/>
      <c r="AK17" s="4100"/>
      <c r="AL17" s="4100"/>
      <c r="AM17" s="4100"/>
      <c r="AN17" s="4100"/>
      <c r="AO17" s="4100"/>
      <c r="AP17" s="4100"/>
      <c r="AQ17" s="4100"/>
      <c r="AR17" s="4100"/>
      <c r="AS17" s="4100"/>
      <c r="AT17" s="4100"/>
      <c r="AU17" s="4100"/>
      <c r="AV17" s="4100"/>
      <c r="AW17" s="4100"/>
      <c r="AX17" s="4100"/>
      <c r="AY17" s="4100"/>
      <c r="AZ17" s="4100"/>
      <c r="BA17" s="4100"/>
      <c r="BB17" s="4100"/>
      <c r="BC17" s="4100"/>
      <c r="BD17" s="4100"/>
      <c r="BE17" s="4100"/>
      <c r="BF17" s="4100"/>
      <c r="BG17" s="4100"/>
      <c r="BH17" s="4100"/>
      <c r="BI17" s="4100"/>
      <c r="BJ17" s="4100"/>
      <c r="BK17" s="4100"/>
      <c r="BL17" s="4100"/>
      <c r="BM17" s="4103"/>
      <c r="BN17" s="4100"/>
      <c r="BO17" s="4100"/>
      <c r="BP17" s="3054"/>
      <c r="BQ17" s="3019"/>
      <c r="BR17" s="3019"/>
      <c r="BS17" s="3019"/>
      <c r="BT17" s="3019"/>
      <c r="BU17" s="3050"/>
    </row>
    <row r="18" spans="1:73" s="4" customFormat="1" ht="21" customHeight="1" x14ac:dyDescent="0.25">
      <c r="A18" s="2909"/>
      <c r="B18" s="4093"/>
      <c r="C18" s="2001"/>
      <c r="D18" s="2002"/>
      <c r="E18" s="2052"/>
      <c r="F18" s="2052"/>
      <c r="G18" s="4084"/>
      <c r="H18" s="2835"/>
      <c r="I18" s="4084"/>
      <c r="J18" s="2835"/>
      <c r="K18" s="3672"/>
      <c r="L18" s="3204"/>
      <c r="M18" s="3672"/>
      <c r="N18" s="3204"/>
      <c r="O18" s="4117"/>
      <c r="P18" s="4117"/>
      <c r="Q18" s="2511"/>
      <c r="R18" s="3204"/>
      <c r="S18" s="4114"/>
      <c r="T18" s="4120"/>
      <c r="U18" s="3204"/>
      <c r="V18" s="4119"/>
      <c r="W18" s="4118"/>
      <c r="X18" s="801">
        <v>7426942.2699999996</v>
      </c>
      <c r="Y18" s="801">
        <v>7426942.2699999996</v>
      </c>
      <c r="Z18" s="802">
        <v>7426942.2699999996</v>
      </c>
      <c r="AA18" s="1989" t="s">
        <v>771</v>
      </c>
      <c r="AB18" s="4110"/>
      <c r="AC18" s="2993"/>
      <c r="AD18" s="4100"/>
      <c r="AE18" s="4100"/>
      <c r="AF18" s="4100"/>
      <c r="AG18" s="4100"/>
      <c r="AH18" s="4100"/>
      <c r="AI18" s="4100"/>
      <c r="AJ18" s="4100"/>
      <c r="AK18" s="4100"/>
      <c r="AL18" s="4100"/>
      <c r="AM18" s="4100"/>
      <c r="AN18" s="4100"/>
      <c r="AO18" s="4100"/>
      <c r="AP18" s="4100"/>
      <c r="AQ18" s="4100"/>
      <c r="AR18" s="4100"/>
      <c r="AS18" s="4100"/>
      <c r="AT18" s="4100"/>
      <c r="AU18" s="4100"/>
      <c r="AV18" s="4100"/>
      <c r="AW18" s="4100"/>
      <c r="AX18" s="4100"/>
      <c r="AY18" s="4100"/>
      <c r="AZ18" s="4100"/>
      <c r="BA18" s="4100"/>
      <c r="BB18" s="4100"/>
      <c r="BC18" s="4100"/>
      <c r="BD18" s="4100"/>
      <c r="BE18" s="4100"/>
      <c r="BF18" s="4100"/>
      <c r="BG18" s="4100"/>
      <c r="BH18" s="4100"/>
      <c r="BI18" s="4100"/>
      <c r="BJ18" s="4100"/>
      <c r="BK18" s="4100"/>
      <c r="BL18" s="4100"/>
      <c r="BM18" s="4103"/>
      <c r="BN18" s="4100"/>
      <c r="BO18" s="4100"/>
      <c r="BP18" s="3054"/>
      <c r="BQ18" s="3019"/>
      <c r="BR18" s="3019"/>
      <c r="BS18" s="3019"/>
      <c r="BT18" s="3019"/>
      <c r="BU18" s="3050"/>
    </row>
    <row r="19" spans="1:73" s="4" customFormat="1" ht="15.75" x14ac:dyDescent="0.25">
      <c r="A19" s="2909"/>
      <c r="B19" s="4093"/>
      <c r="C19" s="2001"/>
      <c r="D19" s="2002"/>
      <c r="E19" s="2052"/>
      <c r="F19" s="2052"/>
      <c r="G19" s="4084"/>
      <c r="H19" s="2835"/>
      <c r="I19" s="4084"/>
      <c r="J19" s="2835"/>
      <c r="K19" s="3672"/>
      <c r="L19" s="3204"/>
      <c r="M19" s="3672"/>
      <c r="N19" s="3204"/>
      <c r="O19" s="4117"/>
      <c r="P19" s="4117"/>
      <c r="Q19" s="2511"/>
      <c r="R19" s="3204"/>
      <c r="S19" s="4114"/>
      <c r="T19" s="4120"/>
      <c r="U19" s="3204"/>
      <c r="V19" s="4119"/>
      <c r="W19" s="4118"/>
      <c r="X19" s="801">
        <v>6751247.3300000001</v>
      </c>
      <c r="Y19" s="802">
        <v>6751247.3300000001</v>
      </c>
      <c r="Z19" s="802">
        <v>6751247.3300000001</v>
      </c>
      <c r="AA19" s="1989" t="s">
        <v>772</v>
      </c>
      <c r="AB19" s="4110"/>
      <c r="AC19" s="2993"/>
      <c r="AD19" s="4100"/>
      <c r="AE19" s="4100"/>
      <c r="AF19" s="4100"/>
      <c r="AG19" s="4100"/>
      <c r="AH19" s="4100"/>
      <c r="AI19" s="4100"/>
      <c r="AJ19" s="4100"/>
      <c r="AK19" s="4100"/>
      <c r="AL19" s="4100"/>
      <c r="AM19" s="4100"/>
      <c r="AN19" s="4100"/>
      <c r="AO19" s="4100"/>
      <c r="AP19" s="4100"/>
      <c r="AQ19" s="4100"/>
      <c r="AR19" s="4100"/>
      <c r="AS19" s="4100"/>
      <c r="AT19" s="4100"/>
      <c r="AU19" s="4100"/>
      <c r="AV19" s="4100"/>
      <c r="AW19" s="4100"/>
      <c r="AX19" s="4100"/>
      <c r="AY19" s="4100"/>
      <c r="AZ19" s="4100"/>
      <c r="BA19" s="4100"/>
      <c r="BB19" s="4100"/>
      <c r="BC19" s="4100"/>
      <c r="BD19" s="4100"/>
      <c r="BE19" s="4100"/>
      <c r="BF19" s="4100"/>
      <c r="BG19" s="4100"/>
      <c r="BH19" s="4100"/>
      <c r="BI19" s="4100"/>
      <c r="BJ19" s="4100"/>
      <c r="BK19" s="4100"/>
      <c r="BL19" s="4100"/>
      <c r="BM19" s="4103"/>
      <c r="BN19" s="4100"/>
      <c r="BO19" s="4100"/>
      <c r="BP19" s="3054"/>
      <c r="BQ19" s="3019"/>
      <c r="BR19" s="3019"/>
      <c r="BS19" s="3019"/>
      <c r="BT19" s="3019"/>
      <c r="BU19" s="3050"/>
    </row>
    <row r="20" spans="1:73" s="4" customFormat="1" ht="15.75" x14ac:dyDescent="0.25">
      <c r="A20" s="2909"/>
      <c r="B20" s="4093"/>
      <c r="C20" s="2001"/>
      <c r="D20" s="2002"/>
      <c r="E20" s="2052"/>
      <c r="F20" s="2052"/>
      <c r="G20" s="4085"/>
      <c r="H20" s="3369"/>
      <c r="I20" s="4085"/>
      <c r="J20" s="3369"/>
      <c r="K20" s="3672"/>
      <c r="L20" s="3204"/>
      <c r="M20" s="3672"/>
      <c r="N20" s="3204"/>
      <c r="O20" s="4117"/>
      <c r="P20" s="4117"/>
      <c r="Q20" s="2511"/>
      <c r="R20" s="3204"/>
      <c r="S20" s="4115"/>
      <c r="T20" s="4120"/>
      <c r="U20" s="3204"/>
      <c r="V20" s="4119"/>
      <c r="W20" s="4118"/>
      <c r="X20" s="801">
        <v>2625801.85</v>
      </c>
      <c r="Y20" s="801">
        <v>2625801.85</v>
      </c>
      <c r="Z20" s="801">
        <v>2625801.85</v>
      </c>
      <c r="AA20" s="1989" t="s">
        <v>773</v>
      </c>
      <c r="AB20" s="3892"/>
      <c r="AC20" s="2994"/>
      <c r="AD20" s="4100"/>
      <c r="AE20" s="4100"/>
      <c r="AF20" s="4100"/>
      <c r="AG20" s="4100"/>
      <c r="AH20" s="4100"/>
      <c r="AI20" s="4100"/>
      <c r="AJ20" s="4100"/>
      <c r="AK20" s="4100"/>
      <c r="AL20" s="4100"/>
      <c r="AM20" s="4100"/>
      <c r="AN20" s="4100"/>
      <c r="AO20" s="4100"/>
      <c r="AP20" s="4100"/>
      <c r="AQ20" s="4100"/>
      <c r="AR20" s="4100"/>
      <c r="AS20" s="4100"/>
      <c r="AT20" s="4100"/>
      <c r="AU20" s="4100"/>
      <c r="AV20" s="4100"/>
      <c r="AW20" s="4100"/>
      <c r="AX20" s="4100"/>
      <c r="AY20" s="4100"/>
      <c r="AZ20" s="4100"/>
      <c r="BA20" s="4100"/>
      <c r="BB20" s="4100"/>
      <c r="BC20" s="4100"/>
      <c r="BD20" s="4100"/>
      <c r="BE20" s="4100"/>
      <c r="BF20" s="4100"/>
      <c r="BG20" s="4100"/>
      <c r="BH20" s="4100"/>
      <c r="BI20" s="4100"/>
      <c r="BJ20" s="4100"/>
      <c r="BK20" s="4100"/>
      <c r="BL20" s="4100"/>
      <c r="BM20" s="4103"/>
      <c r="BN20" s="4100"/>
      <c r="BO20" s="4100"/>
      <c r="BP20" s="3054"/>
      <c r="BQ20" s="3019"/>
      <c r="BR20" s="3019"/>
      <c r="BS20" s="3019"/>
      <c r="BT20" s="3019"/>
      <c r="BU20" s="3050"/>
    </row>
    <row r="21" spans="1:73" s="4" customFormat="1" ht="15.75" customHeight="1" x14ac:dyDescent="0.25">
      <c r="A21" s="2909"/>
      <c r="B21" s="4093"/>
      <c r="C21" s="2001"/>
      <c r="D21" s="2002"/>
      <c r="E21" s="2052"/>
      <c r="F21" s="2052"/>
      <c r="G21" s="4083">
        <v>2201032</v>
      </c>
      <c r="H21" s="2681" t="s">
        <v>774</v>
      </c>
      <c r="I21" s="4083">
        <v>2201032</v>
      </c>
      <c r="J21" s="2681" t="s">
        <v>774</v>
      </c>
      <c r="K21" s="2987">
        <v>220103200</v>
      </c>
      <c r="L21" s="2771" t="s">
        <v>775</v>
      </c>
      <c r="M21" s="2987">
        <v>220103200</v>
      </c>
      <c r="N21" s="2771" t="s">
        <v>775</v>
      </c>
      <c r="O21" s="4087">
        <v>200</v>
      </c>
      <c r="P21" s="4087">
        <v>264</v>
      </c>
      <c r="Q21" s="2511"/>
      <c r="R21" s="3204"/>
      <c r="S21" s="4113">
        <f>SUM(X21:X24)/T13</f>
        <v>0</v>
      </c>
      <c r="T21" s="4120"/>
      <c r="U21" s="3204"/>
      <c r="V21" s="4119" t="s">
        <v>776</v>
      </c>
      <c r="W21" s="4118" t="s">
        <v>777</v>
      </c>
      <c r="X21" s="2007">
        <f>664449.2-664449.2</f>
        <v>0</v>
      </c>
      <c r="Y21" s="805"/>
      <c r="Z21" s="805"/>
      <c r="AA21" s="1989" t="s">
        <v>778</v>
      </c>
      <c r="AB21" s="3891">
        <v>20</v>
      </c>
      <c r="AC21" s="2992" t="s">
        <v>284</v>
      </c>
      <c r="AD21" s="4100"/>
      <c r="AE21" s="4100"/>
      <c r="AF21" s="4100"/>
      <c r="AG21" s="4100"/>
      <c r="AH21" s="4100"/>
      <c r="AI21" s="4100"/>
      <c r="AJ21" s="4100"/>
      <c r="AK21" s="4100"/>
      <c r="AL21" s="4100"/>
      <c r="AM21" s="4100"/>
      <c r="AN21" s="4100"/>
      <c r="AO21" s="4100"/>
      <c r="AP21" s="4100"/>
      <c r="AQ21" s="4100"/>
      <c r="AR21" s="4100"/>
      <c r="AS21" s="4100"/>
      <c r="AT21" s="4100"/>
      <c r="AU21" s="4100"/>
      <c r="AV21" s="4100"/>
      <c r="AW21" s="4100"/>
      <c r="AX21" s="4100"/>
      <c r="AY21" s="4100"/>
      <c r="AZ21" s="4100"/>
      <c r="BA21" s="4100"/>
      <c r="BB21" s="4100"/>
      <c r="BC21" s="4100"/>
      <c r="BD21" s="4100"/>
      <c r="BE21" s="4100"/>
      <c r="BF21" s="4100"/>
      <c r="BG21" s="4100"/>
      <c r="BH21" s="4100"/>
      <c r="BI21" s="4100"/>
      <c r="BJ21" s="4100"/>
      <c r="BK21" s="4100"/>
      <c r="BL21" s="4100"/>
      <c r="BM21" s="4103"/>
      <c r="BN21" s="4100"/>
      <c r="BO21" s="4100"/>
      <c r="BP21" s="3054"/>
      <c r="BQ21" s="3019"/>
      <c r="BR21" s="3019"/>
      <c r="BS21" s="3019"/>
      <c r="BT21" s="3019"/>
      <c r="BU21" s="3050"/>
    </row>
    <row r="22" spans="1:73" s="4" customFormat="1" ht="15.75" x14ac:dyDescent="0.25">
      <c r="A22" s="2909"/>
      <c r="B22" s="4093"/>
      <c r="C22" s="2001"/>
      <c r="D22" s="2002"/>
      <c r="E22" s="2052"/>
      <c r="F22" s="2052"/>
      <c r="G22" s="4084"/>
      <c r="H22" s="2771"/>
      <c r="I22" s="4084"/>
      <c r="J22" s="2771"/>
      <c r="K22" s="2987"/>
      <c r="L22" s="2771"/>
      <c r="M22" s="2987"/>
      <c r="N22" s="2771"/>
      <c r="O22" s="4087"/>
      <c r="P22" s="4087"/>
      <c r="Q22" s="2511"/>
      <c r="R22" s="3204"/>
      <c r="S22" s="4114"/>
      <c r="T22" s="4120"/>
      <c r="U22" s="3204"/>
      <c r="V22" s="4119"/>
      <c r="W22" s="4118"/>
      <c r="X22" s="2007">
        <f>4126079.04-4126079.04</f>
        <v>0</v>
      </c>
      <c r="Y22" s="805"/>
      <c r="Z22" s="805"/>
      <c r="AA22" s="1989" t="s">
        <v>779</v>
      </c>
      <c r="AB22" s="4110"/>
      <c r="AC22" s="2993"/>
      <c r="AD22" s="4100"/>
      <c r="AE22" s="4100"/>
      <c r="AF22" s="4100"/>
      <c r="AG22" s="4100"/>
      <c r="AH22" s="4100"/>
      <c r="AI22" s="4100"/>
      <c r="AJ22" s="4100"/>
      <c r="AK22" s="4100"/>
      <c r="AL22" s="4100"/>
      <c r="AM22" s="4100"/>
      <c r="AN22" s="4100"/>
      <c r="AO22" s="4100"/>
      <c r="AP22" s="4100"/>
      <c r="AQ22" s="4100"/>
      <c r="AR22" s="4100"/>
      <c r="AS22" s="4100"/>
      <c r="AT22" s="4100"/>
      <c r="AU22" s="4100"/>
      <c r="AV22" s="4100"/>
      <c r="AW22" s="4100"/>
      <c r="AX22" s="4100"/>
      <c r="AY22" s="4100"/>
      <c r="AZ22" s="4100"/>
      <c r="BA22" s="4100"/>
      <c r="BB22" s="4100"/>
      <c r="BC22" s="4100"/>
      <c r="BD22" s="4100"/>
      <c r="BE22" s="4100"/>
      <c r="BF22" s="4100"/>
      <c r="BG22" s="4100"/>
      <c r="BH22" s="4100"/>
      <c r="BI22" s="4100"/>
      <c r="BJ22" s="4100"/>
      <c r="BK22" s="4100"/>
      <c r="BL22" s="4100"/>
      <c r="BM22" s="4103"/>
      <c r="BN22" s="4100"/>
      <c r="BO22" s="4100"/>
      <c r="BP22" s="3054"/>
      <c r="BQ22" s="3019"/>
      <c r="BR22" s="3019"/>
      <c r="BS22" s="3019"/>
      <c r="BT22" s="3019"/>
      <c r="BU22" s="3050"/>
    </row>
    <row r="23" spans="1:73" s="4" customFormat="1" ht="15.75" x14ac:dyDescent="0.25">
      <c r="A23" s="2909"/>
      <c r="B23" s="4093"/>
      <c r="C23" s="2001"/>
      <c r="D23" s="2002"/>
      <c r="E23" s="2052"/>
      <c r="F23" s="2052"/>
      <c r="G23" s="4084"/>
      <c r="H23" s="2771"/>
      <c r="I23" s="4084"/>
      <c r="J23" s="2771"/>
      <c r="K23" s="2987"/>
      <c r="L23" s="2771"/>
      <c r="M23" s="2987"/>
      <c r="N23" s="2771"/>
      <c r="O23" s="4087"/>
      <c r="P23" s="4087"/>
      <c r="Q23" s="2511"/>
      <c r="R23" s="3204"/>
      <c r="S23" s="4114"/>
      <c r="T23" s="4120"/>
      <c r="U23" s="3204"/>
      <c r="V23" s="4119"/>
      <c r="W23" s="4118"/>
      <c r="X23" s="2007">
        <f>3750692.96-3750692.96</f>
        <v>0</v>
      </c>
      <c r="Y23" s="805"/>
      <c r="Z23" s="805"/>
      <c r="AA23" s="1989" t="s">
        <v>780</v>
      </c>
      <c r="AB23" s="4110"/>
      <c r="AC23" s="2993"/>
      <c r="AD23" s="4100"/>
      <c r="AE23" s="4100"/>
      <c r="AF23" s="4100"/>
      <c r="AG23" s="4100"/>
      <c r="AH23" s="4100"/>
      <c r="AI23" s="4100"/>
      <c r="AJ23" s="4100"/>
      <c r="AK23" s="4100"/>
      <c r="AL23" s="4100"/>
      <c r="AM23" s="4100"/>
      <c r="AN23" s="4100"/>
      <c r="AO23" s="4100"/>
      <c r="AP23" s="4100"/>
      <c r="AQ23" s="4100"/>
      <c r="AR23" s="4100"/>
      <c r="AS23" s="4100"/>
      <c r="AT23" s="4100"/>
      <c r="AU23" s="4100"/>
      <c r="AV23" s="4100"/>
      <c r="AW23" s="4100"/>
      <c r="AX23" s="4100"/>
      <c r="AY23" s="4100"/>
      <c r="AZ23" s="4100"/>
      <c r="BA23" s="4100"/>
      <c r="BB23" s="4100"/>
      <c r="BC23" s="4100"/>
      <c r="BD23" s="4100"/>
      <c r="BE23" s="4100"/>
      <c r="BF23" s="4100"/>
      <c r="BG23" s="4100"/>
      <c r="BH23" s="4100"/>
      <c r="BI23" s="4100"/>
      <c r="BJ23" s="4100"/>
      <c r="BK23" s="4100"/>
      <c r="BL23" s="4100"/>
      <c r="BM23" s="4103"/>
      <c r="BN23" s="4100"/>
      <c r="BO23" s="4100"/>
      <c r="BP23" s="3054"/>
      <c r="BQ23" s="3019"/>
      <c r="BR23" s="3019"/>
      <c r="BS23" s="3019"/>
      <c r="BT23" s="3019"/>
      <c r="BU23" s="3050"/>
    </row>
    <row r="24" spans="1:73" s="4" customFormat="1" ht="15.75" x14ac:dyDescent="0.25">
      <c r="A24" s="2909"/>
      <c r="B24" s="4093"/>
      <c r="C24" s="2001"/>
      <c r="D24" s="2002"/>
      <c r="E24" s="2052"/>
      <c r="F24" s="2052"/>
      <c r="G24" s="4085"/>
      <c r="H24" s="2772"/>
      <c r="I24" s="4085"/>
      <c r="J24" s="2772"/>
      <c r="K24" s="2988"/>
      <c r="L24" s="2772"/>
      <c r="M24" s="2988"/>
      <c r="N24" s="2772"/>
      <c r="O24" s="4088"/>
      <c r="P24" s="4088"/>
      <c r="Q24" s="2511"/>
      <c r="R24" s="3204"/>
      <c r="S24" s="4115"/>
      <c r="T24" s="4120"/>
      <c r="U24" s="3204"/>
      <c r="V24" s="4119"/>
      <c r="W24" s="4118"/>
      <c r="X24" s="2007">
        <f>1458778.81-1458778.81</f>
        <v>0</v>
      </c>
      <c r="Y24" s="805"/>
      <c r="Z24" s="805"/>
      <c r="AA24" s="1989" t="s">
        <v>781</v>
      </c>
      <c r="AB24" s="3892"/>
      <c r="AC24" s="2994"/>
      <c r="AD24" s="4100"/>
      <c r="AE24" s="4100"/>
      <c r="AF24" s="4100"/>
      <c r="AG24" s="4100"/>
      <c r="AH24" s="4100"/>
      <c r="AI24" s="4100"/>
      <c r="AJ24" s="4100"/>
      <c r="AK24" s="4100"/>
      <c r="AL24" s="4100"/>
      <c r="AM24" s="4100"/>
      <c r="AN24" s="4100"/>
      <c r="AO24" s="4100"/>
      <c r="AP24" s="4100"/>
      <c r="AQ24" s="4100"/>
      <c r="AR24" s="4100"/>
      <c r="AS24" s="4100"/>
      <c r="AT24" s="4100"/>
      <c r="AU24" s="4100"/>
      <c r="AV24" s="4100"/>
      <c r="AW24" s="4100"/>
      <c r="AX24" s="4100"/>
      <c r="AY24" s="4100"/>
      <c r="AZ24" s="4100"/>
      <c r="BA24" s="4100"/>
      <c r="BB24" s="4100"/>
      <c r="BC24" s="4100"/>
      <c r="BD24" s="4100"/>
      <c r="BE24" s="4100"/>
      <c r="BF24" s="4100"/>
      <c r="BG24" s="4100"/>
      <c r="BH24" s="4100"/>
      <c r="BI24" s="4100"/>
      <c r="BJ24" s="4100"/>
      <c r="BK24" s="4100"/>
      <c r="BL24" s="4100"/>
      <c r="BM24" s="4103"/>
      <c r="BN24" s="4100"/>
      <c r="BO24" s="4100"/>
      <c r="BP24" s="3054"/>
      <c r="BQ24" s="3019"/>
      <c r="BR24" s="3019"/>
      <c r="BS24" s="3019"/>
      <c r="BT24" s="3019"/>
      <c r="BU24" s="3050"/>
    </row>
    <row r="25" spans="1:73" s="4" customFormat="1" ht="15.75" customHeight="1" x14ac:dyDescent="0.25">
      <c r="A25" s="2909"/>
      <c r="B25" s="4093"/>
      <c r="C25" s="2001"/>
      <c r="D25" s="2002"/>
      <c r="E25" s="2052"/>
      <c r="F25" s="2052"/>
      <c r="G25" s="4083">
        <v>2201055</v>
      </c>
      <c r="H25" s="3314" t="s">
        <v>782</v>
      </c>
      <c r="I25" s="4083">
        <v>2201055</v>
      </c>
      <c r="J25" s="3314" t="s">
        <v>782</v>
      </c>
      <c r="K25" s="4083">
        <v>220105500</v>
      </c>
      <c r="L25" s="3314" t="s">
        <v>783</v>
      </c>
      <c r="M25" s="4083">
        <v>220105500</v>
      </c>
      <c r="N25" s="3314" t="s">
        <v>783</v>
      </c>
      <c r="O25" s="4086">
        <v>1</v>
      </c>
      <c r="P25" s="4086">
        <v>1</v>
      </c>
      <c r="Q25" s="2511"/>
      <c r="R25" s="3204"/>
      <c r="S25" s="4113">
        <f>SUM(X25:X27)/T13</f>
        <v>2.9137104808788683E-3</v>
      </c>
      <c r="T25" s="4120"/>
      <c r="U25" s="3204"/>
      <c r="V25" s="4119"/>
      <c r="W25" s="4118" t="s">
        <v>784</v>
      </c>
      <c r="X25" s="801">
        <v>21338207</v>
      </c>
      <c r="Y25" s="806">
        <v>21338207</v>
      </c>
      <c r="Z25" s="806">
        <v>21338207</v>
      </c>
      <c r="AA25" s="1989" t="s">
        <v>785</v>
      </c>
      <c r="AB25" s="4107">
        <v>25</v>
      </c>
      <c r="AC25" s="2545" t="s">
        <v>758</v>
      </c>
      <c r="AD25" s="4100"/>
      <c r="AE25" s="4100"/>
      <c r="AF25" s="4100"/>
      <c r="AG25" s="4100"/>
      <c r="AH25" s="4100"/>
      <c r="AI25" s="4100"/>
      <c r="AJ25" s="4100"/>
      <c r="AK25" s="4100"/>
      <c r="AL25" s="4100"/>
      <c r="AM25" s="4100"/>
      <c r="AN25" s="4100"/>
      <c r="AO25" s="4100"/>
      <c r="AP25" s="4100"/>
      <c r="AQ25" s="4100"/>
      <c r="AR25" s="4100"/>
      <c r="AS25" s="4100"/>
      <c r="AT25" s="4100"/>
      <c r="AU25" s="4100"/>
      <c r="AV25" s="4100"/>
      <c r="AW25" s="4100"/>
      <c r="AX25" s="4100"/>
      <c r="AY25" s="4100"/>
      <c r="AZ25" s="4100"/>
      <c r="BA25" s="4100"/>
      <c r="BB25" s="4100"/>
      <c r="BC25" s="4100"/>
      <c r="BD25" s="4100"/>
      <c r="BE25" s="4100"/>
      <c r="BF25" s="4100"/>
      <c r="BG25" s="4100"/>
      <c r="BH25" s="4100"/>
      <c r="BI25" s="4100"/>
      <c r="BJ25" s="4100"/>
      <c r="BK25" s="4100"/>
      <c r="BL25" s="4100"/>
      <c r="BM25" s="4103"/>
      <c r="BN25" s="4100"/>
      <c r="BO25" s="4100"/>
      <c r="BP25" s="3054"/>
      <c r="BQ25" s="3019"/>
      <c r="BR25" s="3019"/>
      <c r="BS25" s="3019"/>
      <c r="BT25" s="3019"/>
      <c r="BU25" s="3050"/>
    </row>
    <row r="26" spans="1:73" s="4" customFormat="1" ht="15.75" x14ac:dyDescent="0.25">
      <c r="A26" s="2909"/>
      <c r="B26" s="4093"/>
      <c r="C26" s="2001"/>
      <c r="D26" s="2002"/>
      <c r="E26" s="2052"/>
      <c r="F26" s="2052"/>
      <c r="G26" s="4084"/>
      <c r="H26" s="3313"/>
      <c r="I26" s="4084"/>
      <c r="J26" s="3313"/>
      <c r="K26" s="4084"/>
      <c r="L26" s="3313"/>
      <c r="M26" s="4084"/>
      <c r="N26" s="3313"/>
      <c r="O26" s="4087"/>
      <c r="P26" s="4087"/>
      <c r="Q26" s="2511"/>
      <c r="R26" s="3204"/>
      <c r="S26" s="4114"/>
      <c r="T26" s="4120"/>
      <c r="U26" s="3204"/>
      <c r="V26" s="4119"/>
      <c r="W26" s="4118"/>
      <c r="X26" s="801">
        <v>19396881</v>
      </c>
      <c r="Y26" s="801">
        <v>19396881</v>
      </c>
      <c r="Z26" s="801">
        <v>19396881</v>
      </c>
      <c r="AA26" s="1989" t="s">
        <v>786</v>
      </c>
      <c r="AB26" s="4108"/>
      <c r="AC26" s="2781"/>
      <c r="AD26" s="4100"/>
      <c r="AE26" s="4100"/>
      <c r="AF26" s="4100"/>
      <c r="AG26" s="4100"/>
      <c r="AH26" s="4100"/>
      <c r="AI26" s="4100"/>
      <c r="AJ26" s="4100"/>
      <c r="AK26" s="4100"/>
      <c r="AL26" s="4100"/>
      <c r="AM26" s="4100"/>
      <c r="AN26" s="4100"/>
      <c r="AO26" s="4100"/>
      <c r="AP26" s="4100"/>
      <c r="AQ26" s="4100"/>
      <c r="AR26" s="4100"/>
      <c r="AS26" s="4100"/>
      <c r="AT26" s="4100"/>
      <c r="AU26" s="4100"/>
      <c r="AV26" s="4100"/>
      <c r="AW26" s="4100"/>
      <c r="AX26" s="4100"/>
      <c r="AY26" s="4100"/>
      <c r="AZ26" s="4100"/>
      <c r="BA26" s="4100"/>
      <c r="BB26" s="4100"/>
      <c r="BC26" s="4100"/>
      <c r="BD26" s="4100"/>
      <c r="BE26" s="4100"/>
      <c r="BF26" s="4100"/>
      <c r="BG26" s="4100"/>
      <c r="BH26" s="4100"/>
      <c r="BI26" s="4100"/>
      <c r="BJ26" s="4100"/>
      <c r="BK26" s="4100"/>
      <c r="BL26" s="4100"/>
      <c r="BM26" s="4103"/>
      <c r="BN26" s="4100"/>
      <c r="BO26" s="4100"/>
      <c r="BP26" s="3054"/>
      <c r="BQ26" s="3019"/>
      <c r="BR26" s="3019"/>
      <c r="BS26" s="3019"/>
      <c r="BT26" s="3019"/>
      <c r="BU26" s="3050"/>
    </row>
    <row r="27" spans="1:73" s="4" customFormat="1" ht="78" customHeight="1" x14ac:dyDescent="0.25">
      <c r="A27" s="2909"/>
      <c r="B27" s="4093"/>
      <c r="C27" s="2001"/>
      <c r="D27" s="2002"/>
      <c r="E27" s="2052"/>
      <c r="F27" s="2052"/>
      <c r="G27" s="4085"/>
      <c r="H27" s="3312"/>
      <c r="I27" s="4085"/>
      <c r="J27" s="3312"/>
      <c r="K27" s="4085"/>
      <c r="L27" s="3312"/>
      <c r="M27" s="4085"/>
      <c r="N27" s="3312"/>
      <c r="O27" s="4088"/>
      <c r="P27" s="4088"/>
      <c r="Q27" s="2511"/>
      <c r="R27" s="3204"/>
      <c r="S27" s="4115"/>
      <c r="T27" s="4120"/>
      <c r="U27" s="3204"/>
      <c r="V27" s="4119"/>
      <c r="W27" s="4118"/>
      <c r="X27" s="801">
        <v>7544141</v>
      </c>
      <c r="Y27" s="801">
        <v>7544141</v>
      </c>
      <c r="Z27" s="801">
        <v>7544141</v>
      </c>
      <c r="AA27" s="1989" t="s">
        <v>787</v>
      </c>
      <c r="AB27" s="4109"/>
      <c r="AC27" s="2782"/>
      <c r="AD27" s="4100"/>
      <c r="AE27" s="4100"/>
      <c r="AF27" s="4100"/>
      <c r="AG27" s="4100"/>
      <c r="AH27" s="4100"/>
      <c r="AI27" s="4100"/>
      <c r="AJ27" s="4100"/>
      <c r="AK27" s="4100"/>
      <c r="AL27" s="4100"/>
      <c r="AM27" s="4100"/>
      <c r="AN27" s="4100"/>
      <c r="AO27" s="4100"/>
      <c r="AP27" s="4100"/>
      <c r="AQ27" s="4100"/>
      <c r="AR27" s="4100"/>
      <c r="AS27" s="4100"/>
      <c r="AT27" s="4100"/>
      <c r="AU27" s="4100"/>
      <c r="AV27" s="4100"/>
      <c r="AW27" s="4100"/>
      <c r="AX27" s="4100"/>
      <c r="AY27" s="4100"/>
      <c r="AZ27" s="4100"/>
      <c r="BA27" s="4100"/>
      <c r="BB27" s="4100"/>
      <c r="BC27" s="4100"/>
      <c r="BD27" s="4100"/>
      <c r="BE27" s="4100"/>
      <c r="BF27" s="4100"/>
      <c r="BG27" s="4100"/>
      <c r="BH27" s="4100"/>
      <c r="BI27" s="4100"/>
      <c r="BJ27" s="4100"/>
      <c r="BK27" s="4100"/>
      <c r="BL27" s="4100"/>
      <c r="BM27" s="4103"/>
      <c r="BN27" s="4100"/>
      <c r="BO27" s="4100"/>
      <c r="BP27" s="3054"/>
      <c r="BQ27" s="3019"/>
      <c r="BR27" s="3019"/>
      <c r="BS27" s="3019"/>
      <c r="BT27" s="3019"/>
      <c r="BU27" s="3050"/>
    </row>
    <row r="28" spans="1:73" s="4" customFormat="1" ht="15.75" customHeight="1" x14ac:dyDescent="0.25">
      <c r="A28" s="2909"/>
      <c r="B28" s="4093"/>
      <c r="C28" s="2001"/>
      <c r="D28" s="2002"/>
      <c r="E28" s="2052"/>
      <c r="F28" s="2052"/>
      <c r="G28" s="4083">
        <v>2201067</v>
      </c>
      <c r="H28" s="2681" t="s">
        <v>788</v>
      </c>
      <c r="I28" s="4083">
        <v>2201067</v>
      </c>
      <c r="J28" s="2681" t="s">
        <v>788</v>
      </c>
      <c r="K28" s="2986">
        <v>220106700</v>
      </c>
      <c r="L28" s="2681" t="s">
        <v>789</v>
      </c>
      <c r="M28" s="2986">
        <v>220106700</v>
      </c>
      <c r="N28" s="2681" t="s">
        <v>789</v>
      </c>
      <c r="O28" s="4086">
        <v>54</v>
      </c>
      <c r="P28" s="4086">
        <v>54</v>
      </c>
      <c r="Q28" s="2511"/>
      <c r="R28" s="3204"/>
      <c r="S28" s="4113">
        <f>SUM(X28:X31)/T13</f>
        <v>6.0351222340203044E-4</v>
      </c>
      <c r="T28" s="4120"/>
      <c r="U28" s="3204"/>
      <c r="V28" s="4119"/>
      <c r="W28" s="4118" t="s">
        <v>790</v>
      </c>
      <c r="X28" s="801">
        <v>664449.19999999995</v>
      </c>
      <c r="Y28" s="801">
        <v>664449.19999999995</v>
      </c>
      <c r="Z28" s="801">
        <v>664449.19999999995</v>
      </c>
      <c r="AA28" s="1989" t="s">
        <v>791</v>
      </c>
      <c r="AB28" s="3891">
        <v>20</v>
      </c>
      <c r="AC28" s="2992" t="s">
        <v>1</v>
      </c>
      <c r="AD28" s="4100"/>
      <c r="AE28" s="4100"/>
      <c r="AF28" s="4100"/>
      <c r="AG28" s="4100"/>
      <c r="AH28" s="4100"/>
      <c r="AI28" s="4100"/>
      <c r="AJ28" s="4100"/>
      <c r="AK28" s="4100"/>
      <c r="AL28" s="4100"/>
      <c r="AM28" s="4100"/>
      <c r="AN28" s="4100"/>
      <c r="AO28" s="4100"/>
      <c r="AP28" s="4100"/>
      <c r="AQ28" s="4100"/>
      <c r="AR28" s="4100"/>
      <c r="AS28" s="4100"/>
      <c r="AT28" s="4100"/>
      <c r="AU28" s="4100"/>
      <c r="AV28" s="4100"/>
      <c r="AW28" s="4100"/>
      <c r="AX28" s="4100"/>
      <c r="AY28" s="4100"/>
      <c r="AZ28" s="4100"/>
      <c r="BA28" s="4100"/>
      <c r="BB28" s="4100"/>
      <c r="BC28" s="4100"/>
      <c r="BD28" s="4100"/>
      <c r="BE28" s="4100"/>
      <c r="BF28" s="4100"/>
      <c r="BG28" s="4100"/>
      <c r="BH28" s="4100"/>
      <c r="BI28" s="4100"/>
      <c r="BJ28" s="4100"/>
      <c r="BK28" s="4100"/>
      <c r="BL28" s="4100"/>
      <c r="BM28" s="4103"/>
      <c r="BN28" s="4100"/>
      <c r="BO28" s="4100"/>
      <c r="BP28" s="3054"/>
      <c r="BQ28" s="3019"/>
      <c r="BR28" s="3019"/>
      <c r="BS28" s="3019"/>
      <c r="BT28" s="3019"/>
      <c r="BU28" s="3050"/>
    </row>
    <row r="29" spans="1:73" s="4" customFormat="1" ht="15.75" x14ac:dyDescent="0.25">
      <c r="A29" s="2909"/>
      <c r="B29" s="4093"/>
      <c r="C29" s="2001"/>
      <c r="D29" s="2002"/>
      <c r="E29" s="2052"/>
      <c r="F29" s="2052"/>
      <c r="G29" s="4084"/>
      <c r="H29" s="2771"/>
      <c r="I29" s="4084"/>
      <c r="J29" s="2771"/>
      <c r="K29" s="2987"/>
      <c r="L29" s="2771"/>
      <c r="M29" s="2987"/>
      <c r="N29" s="2771"/>
      <c r="O29" s="4087"/>
      <c r="P29" s="4087"/>
      <c r="Q29" s="2511"/>
      <c r="R29" s="3204"/>
      <c r="S29" s="4114"/>
      <c r="T29" s="4120"/>
      <c r="U29" s="3204"/>
      <c r="V29" s="4119"/>
      <c r="W29" s="4118"/>
      <c r="X29" s="801">
        <v>4126079.04</v>
      </c>
      <c r="Y29" s="801">
        <v>4031246.04</v>
      </c>
      <c r="Z29" s="801">
        <v>4031246.04</v>
      </c>
      <c r="AA29" s="1989" t="s">
        <v>792</v>
      </c>
      <c r="AB29" s="4110"/>
      <c r="AC29" s="2993"/>
      <c r="AD29" s="4100"/>
      <c r="AE29" s="4100"/>
      <c r="AF29" s="4100"/>
      <c r="AG29" s="4100"/>
      <c r="AH29" s="4100"/>
      <c r="AI29" s="4100"/>
      <c r="AJ29" s="4100"/>
      <c r="AK29" s="4100"/>
      <c r="AL29" s="4100"/>
      <c r="AM29" s="4100"/>
      <c r="AN29" s="4100"/>
      <c r="AO29" s="4100"/>
      <c r="AP29" s="4100"/>
      <c r="AQ29" s="4100"/>
      <c r="AR29" s="4100"/>
      <c r="AS29" s="4100"/>
      <c r="AT29" s="4100"/>
      <c r="AU29" s="4100"/>
      <c r="AV29" s="4100"/>
      <c r="AW29" s="4100"/>
      <c r="AX29" s="4100"/>
      <c r="AY29" s="4100"/>
      <c r="AZ29" s="4100"/>
      <c r="BA29" s="4100"/>
      <c r="BB29" s="4100"/>
      <c r="BC29" s="4100"/>
      <c r="BD29" s="4100"/>
      <c r="BE29" s="4100"/>
      <c r="BF29" s="4100"/>
      <c r="BG29" s="4100"/>
      <c r="BH29" s="4100"/>
      <c r="BI29" s="4100"/>
      <c r="BJ29" s="4100"/>
      <c r="BK29" s="4100"/>
      <c r="BL29" s="4100"/>
      <c r="BM29" s="4103"/>
      <c r="BN29" s="4100"/>
      <c r="BO29" s="4100"/>
      <c r="BP29" s="3054"/>
      <c r="BQ29" s="3019"/>
      <c r="BR29" s="3019"/>
      <c r="BS29" s="3019"/>
      <c r="BT29" s="3019"/>
      <c r="BU29" s="3050"/>
    </row>
    <row r="30" spans="1:73" s="4" customFormat="1" ht="15.75" x14ac:dyDescent="0.25">
      <c r="A30" s="2909"/>
      <c r="B30" s="4093"/>
      <c r="C30" s="2001"/>
      <c r="D30" s="2002"/>
      <c r="E30" s="2052"/>
      <c r="F30" s="2052"/>
      <c r="G30" s="4084"/>
      <c r="H30" s="2771"/>
      <c r="I30" s="4084"/>
      <c r="J30" s="2771"/>
      <c r="K30" s="2987"/>
      <c r="L30" s="2771"/>
      <c r="M30" s="2987"/>
      <c r="N30" s="2771"/>
      <c r="O30" s="4087"/>
      <c r="P30" s="4087"/>
      <c r="Q30" s="2511"/>
      <c r="R30" s="3204"/>
      <c r="S30" s="4114"/>
      <c r="T30" s="4120"/>
      <c r="U30" s="3204"/>
      <c r="V30" s="4119"/>
      <c r="W30" s="4118"/>
      <c r="X30" s="801">
        <v>3750692.96</v>
      </c>
      <c r="Y30" s="801">
        <v>3750692.96</v>
      </c>
      <c r="Z30" s="801">
        <v>3750692.96</v>
      </c>
      <c r="AA30" s="1989" t="s">
        <v>793</v>
      </c>
      <c r="AB30" s="4110"/>
      <c r="AC30" s="2993"/>
      <c r="AD30" s="4100"/>
      <c r="AE30" s="4100"/>
      <c r="AF30" s="4100"/>
      <c r="AG30" s="4100"/>
      <c r="AH30" s="4100"/>
      <c r="AI30" s="4100"/>
      <c r="AJ30" s="4100"/>
      <c r="AK30" s="4100"/>
      <c r="AL30" s="4100"/>
      <c r="AM30" s="4100"/>
      <c r="AN30" s="4100"/>
      <c r="AO30" s="4100"/>
      <c r="AP30" s="4100"/>
      <c r="AQ30" s="4100"/>
      <c r="AR30" s="4100"/>
      <c r="AS30" s="4100"/>
      <c r="AT30" s="4100"/>
      <c r="AU30" s="4100"/>
      <c r="AV30" s="4100"/>
      <c r="AW30" s="4100"/>
      <c r="AX30" s="4100"/>
      <c r="AY30" s="4100"/>
      <c r="AZ30" s="4100"/>
      <c r="BA30" s="4100"/>
      <c r="BB30" s="4100"/>
      <c r="BC30" s="4100"/>
      <c r="BD30" s="4100"/>
      <c r="BE30" s="4100"/>
      <c r="BF30" s="4100"/>
      <c r="BG30" s="4100"/>
      <c r="BH30" s="4100"/>
      <c r="BI30" s="4100"/>
      <c r="BJ30" s="4100"/>
      <c r="BK30" s="4100"/>
      <c r="BL30" s="4100"/>
      <c r="BM30" s="4103"/>
      <c r="BN30" s="4100"/>
      <c r="BO30" s="4100"/>
      <c r="BP30" s="3054"/>
      <c r="BQ30" s="3019"/>
      <c r="BR30" s="3019"/>
      <c r="BS30" s="3019"/>
      <c r="BT30" s="3019"/>
      <c r="BU30" s="3050"/>
    </row>
    <row r="31" spans="1:73" s="4" customFormat="1" ht="24" customHeight="1" x14ac:dyDescent="0.25">
      <c r="A31" s="2909"/>
      <c r="B31" s="4093"/>
      <c r="C31" s="2001"/>
      <c r="D31" s="2002"/>
      <c r="E31" s="2052"/>
      <c r="F31" s="2052"/>
      <c r="G31" s="4085"/>
      <c r="H31" s="2772"/>
      <c r="I31" s="4085"/>
      <c r="J31" s="2772"/>
      <c r="K31" s="2988"/>
      <c r="L31" s="2772"/>
      <c r="M31" s="2988"/>
      <c r="N31" s="2772"/>
      <c r="O31" s="4088"/>
      <c r="P31" s="4088"/>
      <c r="Q31" s="2511"/>
      <c r="R31" s="3204"/>
      <c r="S31" s="4115"/>
      <c r="T31" s="4120"/>
      <c r="U31" s="3204"/>
      <c r="V31" s="4119"/>
      <c r="W31" s="4118"/>
      <c r="X31" s="801">
        <v>1458778.81</v>
      </c>
      <c r="Y31" s="806">
        <v>1458778.8</v>
      </c>
      <c r="Z31" s="806">
        <v>1458778.8</v>
      </c>
      <c r="AA31" s="1989" t="s">
        <v>794</v>
      </c>
      <c r="AB31" s="3892"/>
      <c r="AC31" s="2994"/>
      <c r="AD31" s="4100"/>
      <c r="AE31" s="4100"/>
      <c r="AF31" s="4100"/>
      <c r="AG31" s="4100"/>
      <c r="AH31" s="4100"/>
      <c r="AI31" s="4100"/>
      <c r="AJ31" s="4100"/>
      <c r="AK31" s="4100"/>
      <c r="AL31" s="4100"/>
      <c r="AM31" s="4100"/>
      <c r="AN31" s="4100"/>
      <c r="AO31" s="4100"/>
      <c r="AP31" s="4100"/>
      <c r="AQ31" s="4100"/>
      <c r="AR31" s="4100"/>
      <c r="AS31" s="4100"/>
      <c r="AT31" s="4100"/>
      <c r="AU31" s="4100"/>
      <c r="AV31" s="4100"/>
      <c r="AW31" s="4100"/>
      <c r="AX31" s="4100"/>
      <c r="AY31" s="4100"/>
      <c r="AZ31" s="4100"/>
      <c r="BA31" s="4100"/>
      <c r="BB31" s="4100"/>
      <c r="BC31" s="4100"/>
      <c r="BD31" s="4100"/>
      <c r="BE31" s="4100"/>
      <c r="BF31" s="4100"/>
      <c r="BG31" s="4100"/>
      <c r="BH31" s="4100"/>
      <c r="BI31" s="4100"/>
      <c r="BJ31" s="4100"/>
      <c r="BK31" s="4100"/>
      <c r="BL31" s="4100"/>
      <c r="BM31" s="4103"/>
      <c r="BN31" s="4100"/>
      <c r="BO31" s="4100"/>
      <c r="BP31" s="3054"/>
      <c r="BQ31" s="3019"/>
      <c r="BR31" s="3019"/>
      <c r="BS31" s="3019"/>
      <c r="BT31" s="3019"/>
      <c r="BU31" s="3050"/>
    </row>
    <row r="32" spans="1:73" s="4" customFormat="1" ht="64.5" customHeight="1" x14ac:dyDescent="0.25">
      <c r="A32" s="2909"/>
      <c r="B32" s="4093"/>
      <c r="C32" s="2001"/>
      <c r="D32" s="2002"/>
      <c r="E32" s="2052"/>
      <c r="F32" s="2052"/>
      <c r="G32" s="4083">
        <v>2201028</v>
      </c>
      <c r="H32" s="2681" t="s">
        <v>795</v>
      </c>
      <c r="I32" s="4083">
        <v>2201028</v>
      </c>
      <c r="J32" s="2681" t="s">
        <v>795</v>
      </c>
      <c r="K32" s="3715">
        <v>220102801</v>
      </c>
      <c r="L32" s="2681" t="s">
        <v>796</v>
      </c>
      <c r="M32" s="3715">
        <v>220102801</v>
      </c>
      <c r="N32" s="2681" t="s">
        <v>796</v>
      </c>
      <c r="O32" s="4086">
        <v>36000</v>
      </c>
      <c r="P32" s="4086">
        <v>30730</v>
      </c>
      <c r="Q32" s="2511"/>
      <c r="R32" s="3204"/>
      <c r="S32" s="4113">
        <f>SUM(X32:X37)/T13</f>
        <v>0.90053480560324939</v>
      </c>
      <c r="T32" s="4120"/>
      <c r="U32" s="3204"/>
      <c r="V32" s="4119" t="s">
        <v>797</v>
      </c>
      <c r="W32" s="4118" t="s">
        <v>798</v>
      </c>
      <c r="X32" s="801">
        <v>10570798699.940001</v>
      </c>
      <c r="Y32" s="806">
        <v>9265531464</v>
      </c>
      <c r="Z32" s="806">
        <v>9265531464</v>
      </c>
      <c r="AA32" s="1989" t="s">
        <v>799</v>
      </c>
      <c r="AB32" s="808">
        <v>81</v>
      </c>
      <c r="AC32" s="1975" t="s">
        <v>800</v>
      </c>
      <c r="AD32" s="4100"/>
      <c r="AE32" s="4100"/>
      <c r="AF32" s="4100"/>
      <c r="AG32" s="4100"/>
      <c r="AH32" s="4100"/>
      <c r="AI32" s="4100"/>
      <c r="AJ32" s="4100"/>
      <c r="AK32" s="4100"/>
      <c r="AL32" s="4100"/>
      <c r="AM32" s="4100"/>
      <c r="AN32" s="4100"/>
      <c r="AO32" s="4100"/>
      <c r="AP32" s="4100"/>
      <c r="AQ32" s="4100"/>
      <c r="AR32" s="4100"/>
      <c r="AS32" s="4100"/>
      <c r="AT32" s="4100"/>
      <c r="AU32" s="4100"/>
      <c r="AV32" s="4100"/>
      <c r="AW32" s="4100"/>
      <c r="AX32" s="4100"/>
      <c r="AY32" s="4100"/>
      <c r="AZ32" s="4100"/>
      <c r="BA32" s="4100"/>
      <c r="BB32" s="4100"/>
      <c r="BC32" s="4100"/>
      <c r="BD32" s="4100"/>
      <c r="BE32" s="4100"/>
      <c r="BF32" s="4100"/>
      <c r="BG32" s="4100"/>
      <c r="BH32" s="4100"/>
      <c r="BI32" s="4100"/>
      <c r="BJ32" s="4100"/>
      <c r="BK32" s="4100"/>
      <c r="BL32" s="4100"/>
      <c r="BM32" s="4103"/>
      <c r="BN32" s="4100"/>
      <c r="BO32" s="4100"/>
      <c r="BP32" s="3054"/>
      <c r="BQ32" s="3019"/>
      <c r="BR32" s="3019"/>
      <c r="BS32" s="3019"/>
      <c r="BT32" s="3019"/>
      <c r="BU32" s="3050"/>
    </row>
    <row r="33" spans="1:73" s="4" customFormat="1" ht="64.5" customHeight="1" x14ac:dyDescent="0.25">
      <c r="A33" s="2909"/>
      <c r="B33" s="4093"/>
      <c r="C33" s="2001"/>
      <c r="D33" s="2002"/>
      <c r="E33" s="2052"/>
      <c r="F33" s="2052"/>
      <c r="G33" s="4084"/>
      <c r="H33" s="2771"/>
      <c r="I33" s="4084"/>
      <c r="J33" s="2771"/>
      <c r="K33" s="3716"/>
      <c r="L33" s="2771"/>
      <c r="M33" s="3716"/>
      <c r="N33" s="2771"/>
      <c r="O33" s="4087"/>
      <c r="P33" s="4087"/>
      <c r="Q33" s="2511"/>
      <c r="R33" s="3204"/>
      <c r="S33" s="4114"/>
      <c r="T33" s="4120"/>
      <c r="U33" s="3204"/>
      <c r="V33" s="4119"/>
      <c r="W33" s="4118"/>
      <c r="X33" s="801">
        <v>577000000</v>
      </c>
      <c r="Y33" s="806">
        <v>279012660</v>
      </c>
      <c r="Z33" s="806">
        <v>279012660</v>
      </c>
      <c r="AA33" s="1989" t="s">
        <v>801</v>
      </c>
      <c r="AB33" s="2024">
        <v>20</v>
      </c>
      <c r="AC33" s="1991" t="s">
        <v>1</v>
      </c>
      <c r="AD33" s="4100"/>
      <c r="AE33" s="4100"/>
      <c r="AF33" s="4100"/>
      <c r="AG33" s="4100"/>
      <c r="AH33" s="4100"/>
      <c r="AI33" s="4100"/>
      <c r="AJ33" s="4100"/>
      <c r="AK33" s="4100"/>
      <c r="AL33" s="4100"/>
      <c r="AM33" s="4100"/>
      <c r="AN33" s="4100"/>
      <c r="AO33" s="4100"/>
      <c r="AP33" s="4100"/>
      <c r="AQ33" s="4100"/>
      <c r="AR33" s="4100"/>
      <c r="AS33" s="4100"/>
      <c r="AT33" s="4100"/>
      <c r="AU33" s="4100"/>
      <c r="AV33" s="4100"/>
      <c r="AW33" s="4100"/>
      <c r="AX33" s="4100"/>
      <c r="AY33" s="4100"/>
      <c r="AZ33" s="4100"/>
      <c r="BA33" s="4100"/>
      <c r="BB33" s="4100"/>
      <c r="BC33" s="4100"/>
      <c r="BD33" s="4100"/>
      <c r="BE33" s="4100"/>
      <c r="BF33" s="4100"/>
      <c r="BG33" s="4100"/>
      <c r="BH33" s="4100"/>
      <c r="BI33" s="4100"/>
      <c r="BJ33" s="4100"/>
      <c r="BK33" s="4100"/>
      <c r="BL33" s="4100"/>
      <c r="BM33" s="4103"/>
      <c r="BN33" s="4100"/>
      <c r="BO33" s="4100"/>
      <c r="BP33" s="3054"/>
      <c r="BQ33" s="3019"/>
      <c r="BR33" s="3019"/>
      <c r="BS33" s="3019"/>
      <c r="BT33" s="3019"/>
      <c r="BU33" s="3050"/>
    </row>
    <row r="34" spans="1:73" s="4" customFormat="1" ht="64.5" customHeight="1" x14ac:dyDescent="0.25">
      <c r="A34" s="2909"/>
      <c r="B34" s="4093"/>
      <c r="C34" s="2001"/>
      <c r="D34" s="2002"/>
      <c r="E34" s="2052"/>
      <c r="F34" s="2052"/>
      <c r="G34" s="4084"/>
      <c r="H34" s="2771"/>
      <c r="I34" s="4084"/>
      <c r="J34" s="2771"/>
      <c r="K34" s="3716"/>
      <c r="L34" s="2771"/>
      <c r="M34" s="3716"/>
      <c r="N34" s="2771"/>
      <c r="O34" s="4087"/>
      <c r="P34" s="4087"/>
      <c r="Q34" s="2511"/>
      <c r="R34" s="3204"/>
      <c r="S34" s="4114"/>
      <c r="T34" s="4120"/>
      <c r="U34" s="3204"/>
      <c r="V34" s="4119"/>
      <c r="W34" s="4118"/>
      <c r="X34" s="2007">
        <v>62.1</v>
      </c>
      <c r="Y34" s="805">
        <v>0</v>
      </c>
      <c r="Z34" s="805">
        <v>0</v>
      </c>
      <c r="AA34" s="1989" t="s">
        <v>802</v>
      </c>
      <c r="AB34" s="2054">
        <v>186</v>
      </c>
      <c r="AC34" s="1980" t="s">
        <v>803</v>
      </c>
      <c r="AD34" s="4106"/>
      <c r="AE34" s="4106"/>
      <c r="AF34" s="4106"/>
      <c r="AG34" s="4106"/>
      <c r="AH34" s="4106"/>
      <c r="AI34" s="4106"/>
      <c r="AJ34" s="4106"/>
      <c r="AK34" s="4106"/>
      <c r="AL34" s="4106"/>
      <c r="AM34" s="4106"/>
      <c r="AN34" s="4106"/>
      <c r="AO34" s="4106"/>
      <c r="AP34" s="4106"/>
      <c r="AQ34" s="4106"/>
      <c r="AR34" s="4106"/>
      <c r="AS34" s="4106"/>
      <c r="AT34" s="4106"/>
      <c r="AU34" s="4106"/>
      <c r="AV34" s="4106"/>
      <c r="AW34" s="4106"/>
      <c r="AX34" s="4106"/>
      <c r="AY34" s="4106"/>
      <c r="AZ34" s="4106"/>
      <c r="BA34" s="4106"/>
      <c r="BB34" s="4106"/>
      <c r="BC34" s="4106"/>
      <c r="BD34" s="4106"/>
      <c r="BE34" s="4106"/>
      <c r="BF34" s="4106"/>
      <c r="BG34" s="4106"/>
      <c r="BH34" s="4106"/>
      <c r="BI34" s="4100"/>
      <c r="BJ34" s="4100"/>
      <c r="BK34" s="4100"/>
      <c r="BL34" s="4100"/>
      <c r="BM34" s="4103"/>
      <c r="BN34" s="4100"/>
      <c r="BO34" s="4100"/>
      <c r="BP34" s="3054"/>
      <c r="BQ34" s="3019"/>
      <c r="BR34" s="3019"/>
      <c r="BS34" s="3019"/>
      <c r="BT34" s="3019"/>
      <c r="BU34" s="3050"/>
    </row>
    <row r="35" spans="1:73" s="4" customFormat="1" ht="64.5" customHeight="1" x14ac:dyDescent="0.25">
      <c r="A35" s="2909"/>
      <c r="B35" s="4093"/>
      <c r="C35" s="2001"/>
      <c r="D35" s="2002"/>
      <c r="E35" s="2052"/>
      <c r="F35" s="2052"/>
      <c r="G35" s="4084"/>
      <c r="H35" s="2771"/>
      <c r="I35" s="4084"/>
      <c r="J35" s="2771"/>
      <c r="K35" s="3716"/>
      <c r="L35" s="2771"/>
      <c r="M35" s="3716"/>
      <c r="N35" s="2771"/>
      <c r="O35" s="4087"/>
      <c r="P35" s="4087"/>
      <c r="Q35" s="2511"/>
      <c r="R35" s="3204"/>
      <c r="S35" s="4114"/>
      <c r="T35" s="4120"/>
      <c r="U35" s="3204"/>
      <c r="V35" s="4119"/>
      <c r="W35" s="4118"/>
      <c r="X35" s="801">
        <v>1411366447.05</v>
      </c>
      <c r="Y35" s="801">
        <v>1357352250</v>
      </c>
      <c r="Z35" s="801">
        <v>1357352250</v>
      </c>
      <c r="AA35" s="1989" t="s">
        <v>804</v>
      </c>
      <c r="AB35" s="810">
        <v>137</v>
      </c>
      <c r="AC35" s="1979" t="s">
        <v>805</v>
      </c>
      <c r="AD35" s="4106"/>
      <c r="AE35" s="4106"/>
      <c r="AF35" s="4106"/>
      <c r="AG35" s="4106"/>
      <c r="AH35" s="4106"/>
      <c r="AI35" s="4106"/>
      <c r="AJ35" s="4106"/>
      <c r="AK35" s="4106"/>
      <c r="AL35" s="4106"/>
      <c r="AM35" s="4106"/>
      <c r="AN35" s="4106"/>
      <c r="AO35" s="4106"/>
      <c r="AP35" s="4106"/>
      <c r="AQ35" s="4106"/>
      <c r="AR35" s="4106"/>
      <c r="AS35" s="4106"/>
      <c r="AT35" s="4106"/>
      <c r="AU35" s="4106"/>
      <c r="AV35" s="4106"/>
      <c r="AW35" s="4106"/>
      <c r="AX35" s="4106"/>
      <c r="AY35" s="4106"/>
      <c r="AZ35" s="4106"/>
      <c r="BA35" s="4106"/>
      <c r="BB35" s="4106"/>
      <c r="BC35" s="4106"/>
      <c r="BD35" s="4106"/>
      <c r="BE35" s="4106"/>
      <c r="BF35" s="4106"/>
      <c r="BG35" s="4106"/>
      <c r="BH35" s="4106"/>
      <c r="BI35" s="4100"/>
      <c r="BJ35" s="4100"/>
      <c r="BK35" s="4100"/>
      <c r="BL35" s="4100"/>
      <c r="BM35" s="4103"/>
      <c r="BN35" s="4100"/>
      <c r="BO35" s="4100"/>
      <c r="BP35" s="3054"/>
      <c r="BQ35" s="3019"/>
      <c r="BR35" s="3019"/>
      <c r="BS35" s="3019"/>
      <c r="BT35" s="3019"/>
      <c r="BU35" s="3050"/>
    </row>
    <row r="36" spans="1:73" s="4" customFormat="1" ht="64.5" customHeight="1" x14ac:dyDescent="0.25">
      <c r="A36" s="2909"/>
      <c r="B36" s="4093"/>
      <c r="C36" s="2001"/>
      <c r="D36" s="2002"/>
      <c r="E36" s="2052"/>
      <c r="F36" s="2052"/>
      <c r="G36" s="4084"/>
      <c r="H36" s="2771"/>
      <c r="I36" s="4084"/>
      <c r="J36" s="2771"/>
      <c r="K36" s="3716"/>
      <c r="L36" s="2771"/>
      <c r="M36" s="3716"/>
      <c r="N36" s="2771"/>
      <c r="O36" s="4087"/>
      <c r="P36" s="4087"/>
      <c r="Q36" s="2511"/>
      <c r="R36" s="3204"/>
      <c r="S36" s="4114"/>
      <c r="T36" s="4120"/>
      <c r="U36" s="3204"/>
      <c r="V36" s="4119"/>
      <c r="W36" s="4118"/>
      <c r="X36" s="2007">
        <v>1800000000</v>
      </c>
      <c r="Y36" s="805">
        <v>1800000000</v>
      </c>
      <c r="Z36" s="805">
        <v>1800000000</v>
      </c>
      <c r="AA36" s="1989" t="s">
        <v>806</v>
      </c>
      <c r="AB36" s="810">
        <v>88</v>
      </c>
      <c r="AC36" s="1980" t="s">
        <v>5</v>
      </c>
      <c r="AD36" s="4106"/>
      <c r="AE36" s="4106"/>
      <c r="AF36" s="4106"/>
      <c r="AG36" s="4106"/>
      <c r="AH36" s="4106"/>
      <c r="AI36" s="4106"/>
      <c r="AJ36" s="4106"/>
      <c r="AK36" s="4106"/>
      <c r="AL36" s="4106"/>
      <c r="AM36" s="4106"/>
      <c r="AN36" s="4106"/>
      <c r="AO36" s="4106"/>
      <c r="AP36" s="4106"/>
      <c r="AQ36" s="4106"/>
      <c r="AR36" s="4106"/>
      <c r="AS36" s="4106"/>
      <c r="AT36" s="4106"/>
      <c r="AU36" s="4106"/>
      <c r="AV36" s="4106"/>
      <c r="AW36" s="4106"/>
      <c r="AX36" s="4106"/>
      <c r="AY36" s="4106"/>
      <c r="AZ36" s="4106"/>
      <c r="BA36" s="4106"/>
      <c r="BB36" s="4106"/>
      <c r="BC36" s="4106"/>
      <c r="BD36" s="4106"/>
      <c r="BE36" s="4106"/>
      <c r="BF36" s="4106"/>
      <c r="BG36" s="4106"/>
      <c r="BH36" s="4106"/>
      <c r="BI36" s="4100"/>
      <c r="BJ36" s="4100"/>
      <c r="BK36" s="4100"/>
      <c r="BL36" s="4100"/>
      <c r="BM36" s="4103"/>
      <c r="BN36" s="4100"/>
      <c r="BO36" s="4100"/>
      <c r="BP36" s="3054"/>
      <c r="BQ36" s="3019"/>
      <c r="BR36" s="3019"/>
      <c r="BS36" s="3019"/>
      <c r="BT36" s="3019"/>
      <c r="BU36" s="3050"/>
    </row>
    <row r="37" spans="1:73" s="4" customFormat="1" ht="51" customHeight="1" x14ac:dyDescent="0.25">
      <c r="A37" s="2909"/>
      <c r="B37" s="4093"/>
      <c r="C37" s="2001"/>
      <c r="D37" s="2002"/>
      <c r="E37" s="2052"/>
      <c r="F37" s="2052"/>
      <c r="G37" s="4085"/>
      <c r="H37" s="2772"/>
      <c r="I37" s="4085"/>
      <c r="J37" s="2772"/>
      <c r="K37" s="3717"/>
      <c r="L37" s="2772"/>
      <c r="M37" s="3717"/>
      <c r="N37" s="2772"/>
      <c r="O37" s="4088"/>
      <c r="P37" s="4088"/>
      <c r="Q37" s="2511"/>
      <c r="R37" s="3204"/>
      <c r="S37" s="4115"/>
      <c r="T37" s="4120"/>
      <c r="U37" s="3204"/>
      <c r="V37" s="4119"/>
      <c r="W37" s="4118"/>
      <c r="X37" s="801">
        <v>562401771.39999998</v>
      </c>
      <c r="Y37" s="801">
        <v>128590176</v>
      </c>
      <c r="Z37" s="801">
        <v>128590176</v>
      </c>
      <c r="AA37" s="1989" t="s">
        <v>807</v>
      </c>
      <c r="AB37" s="810">
        <v>172</v>
      </c>
      <c r="AC37" s="1980" t="s">
        <v>808</v>
      </c>
      <c r="AD37" s="4106"/>
      <c r="AE37" s="4106"/>
      <c r="AF37" s="4106"/>
      <c r="AG37" s="4106"/>
      <c r="AH37" s="4106"/>
      <c r="AI37" s="4106"/>
      <c r="AJ37" s="4106"/>
      <c r="AK37" s="4106"/>
      <c r="AL37" s="4106"/>
      <c r="AM37" s="4106"/>
      <c r="AN37" s="4106"/>
      <c r="AO37" s="4106"/>
      <c r="AP37" s="4106"/>
      <c r="AQ37" s="4106"/>
      <c r="AR37" s="4106"/>
      <c r="AS37" s="4106"/>
      <c r="AT37" s="4106"/>
      <c r="AU37" s="4106"/>
      <c r="AV37" s="4106"/>
      <c r="AW37" s="4106"/>
      <c r="AX37" s="4106"/>
      <c r="AY37" s="4106"/>
      <c r="AZ37" s="4106"/>
      <c r="BA37" s="4106"/>
      <c r="BB37" s="4106"/>
      <c r="BC37" s="4106"/>
      <c r="BD37" s="4106"/>
      <c r="BE37" s="4106"/>
      <c r="BF37" s="4106"/>
      <c r="BG37" s="4106"/>
      <c r="BH37" s="4106"/>
      <c r="BI37" s="4100"/>
      <c r="BJ37" s="4100"/>
      <c r="BK37" s="4100"/>
      <c r="BL37" s="4100"/>
      <c r="BM37" s="4103"/>
      <c r="BN37" s="4100"/>
      <c r="BO37" s="4100"/>
      <c r="BP37" s="3054"/>
      <c r="BQ37" s="3019"/>
      <c r="BR37" s="3019"/>
      <c r="BS37" s="3019"/>
      <c r="BT37" s="3019"/>
      <c r="BU37" s="3050"/>
    </row>
    <row r="38" spans="1:73" s="4" customFormat="1" ht="51" customHeight="1" x14ac:dyDescent="0.25">
      <c r="A38" s="2909"/>
      <c r="B38" s="4093"/>
      <c r="C38" s="2001"/>
      <c r="D38" s="2002"/>
      <c r="E38" s="2052"/>
      <c r="F38" s="2052"/>
      <c r="G38" s="4083" t="s">
        <v>809</v>
      </c>
      <c r="H38" s="2681" t="s">
        <v>810</v>
      </c>
      <c r="I38" s="4083" t="s">
        <v>809</v>
      </c>
      <c r="J38" s="2681" t="s">
        <v>810</v>
      </c>
      <c r="K38" s="3715">
        <v>220102900</v>
      </c>
      <c r="L38" s="2681" t="s">
        <v>811</v>
      </c>
      <c r="M38" s="3715">
        <v>220102900</v>
      </c>
      <c r="N38" s="2681" t="s">
        <v>811</v>
      </c>
      <c r="O38" s="4086">
        <v>1000</v>
      </c>
      <c r="P38" s="4086">
        <v>593</v>
      </c>
      <c r="Q38" s="2511"/>
      <c r="R38" s="3204"/>
      <c r="S38" s="4113">
        <f>SUM(X38:X39)/T13</f>
        <v>5.7524546058878422E-3</v>
      </c>
      <c r="T38" s="4120"/>
      <c r="U38" s="3204"/>
      <c r="V38" s="4119"/>
      <c r="W38" s="4118" t="s">
        <v>812</v>
      </c>
      <c r="X38" s="801">
        <v>37978140.020000003</v>
      </c>
      <c r="Y38" s="806">
        <v>37978140</v>
      </c>
      <c r="Z38" s="806">
        <v>37978140</v>
      </c>
      <c r="AA38" s="1989" t="s">
        <v>813</v>
      </c>
      <c r="AB38" s="419">
        <v>20</v>
      </c>
      <c r="AC38" s="1987" t="s">
        <v>1</v>
      </c>
      <c r="AD38" s="4106"/>
      <c r="AE38" s="4106"/>
      <c r="AF38" s="4106"/>
      <c r="AG38" s="4106"/>
      <c r="AH38" s="4106"/>
      <c r="AI38" s="4106"/>
      <c r="AJ38" s="4106"/>
      <c r="AK38" s="4106"/>
      <c r="AL38" s="4106"/>
      <c r="AM38" s="4106"/>
      <c r="AN38" s="4106"/>
      <c r="AO38" s="4106"/>
      <c r="AP38" s="4106"/>
      <c r="AQ38" s="4106"/>
      <c r="AR38" s="4106"/>
      <c r="AS38" s="4106"/>
      <c r="AT38" s="4106"/>
      <c r="AU38" s="4106"/>
      <c r="AV38" s="4106"/>
      <c r="AW38" s="4106"/>
      <c r="AX38" s="4106"/>
      <c r="AY38" s="4106"/>
      <c r="AZ38" s="4106"/>
      <c r="BA38" s="4106"/>
      <c r="BB38" s="4106"/>
      <c r="BC38" s="4106"/>
      <c r="BD38" s="4106"/>
      <c r="BE38" s="4106"/>
      <c r="BF38" s="4106"/>
      <c r="BG38" s="4106"/>
      <c r="BH38" s="4106"/>
      <c r="BI38" s="4100"/>
      <c r="BJ38" s="4100"/>
      <c r="BK38" s="4100"/>
      <c r="BL38" s="4100"/>
      <c r="BM38" s="4103"/>
      <c r="BN38" s="4100"/>
      <c r="BO38" s="4100"/>
      <c r="BP38" s="3054"/>
      <c r="BQ38" s="3019"/>
      <c r="BR38" s="3019"/>
      <c r="BS38" s="3019"/>
      <c r="BT38" s="3019"/>
      <c r="BU38" s="3050"/>
    </row>
    <row r="39" spans="1:73" s="4" customFormat="1" ht="138" customHeight="1" x14ac:dyDescent="0.25">
      <c r="A39" s="2909"/>
      <c r="B39" s="4093"/>
      <c r="C39" s="2001"/>
      <c r="D39" s="2002"/>
      <c r="E39" s="2052"/>
      <c r="F39" s="2052"/>
      <c r="G39" s="4085"/>
      <c r="H39" s="2772"/>
      <c r="I39" s="4085"/>
      <c r="J39" s="2772"/>
      <c r="K39" s="3717"/>
      <c r="L39" s="2772"/>
      <c r="M39" s="3717"/>
      <c r="N39" s="2772"/>
      <c r="O39" s="4088"/>
      <c r="P39" s="4088"/>
      <c r="Q39" s="2511"/>
      <c r="R39" s="3204"/>
      <c r="S39" s="4115"/>
      <c r="T39" s="4120"/>
      <c r="U39" s="3204"/>
      <c r="V39" s="4119"/>
      <c r="W39" s="4118"/>
      <c r="X39" s="801">
        <v>57338150</v>
      </c>
      <c r="Y39" s="801">
        <v>57338150</v>
      </c>
      <c r="Z39" s="801">
        <v>57338150</v>
      </c>
      <c r="AA39" s="1989" t="s">
        <v>814</v>
      </c>
      <c r="AB39" s="419">
        <v>88</v>
      </c>
      <c r="AC39" s="1987" t="s">
        <v>284</v>
      </c>
      <c r="AD39" s="4100"/>
      <c r="AE39" s="4100"/>
      <c r="AF39" s="4100"/>
      <c r="AG39" s="4100"/>
      <c r="AH39" s="4100"/>
      <c r="AI39" s="4100"/>
      <c r="AJ39" s="4100"/>
      <c r="AK39" s="4100"/>
      <c r="AL39" s="4100"/>
      <c r="AM39" s="4100"/>
      <c r="AN39" s="4100"/>
      <c r="AO39" s="4100"/>
      <c r="AP39" s="4100"/>
      <c r="AQ39" s="4100"/>
      <c r="AR39" s="4100"/>
      <c r="AS39" s="4100"/>
      <c r="AT39" s="4100"/>
      <c r="AU39" s="4100"/>
      <c r="AV39" s="4100"/>
      <c r="AW39" s="4100"/>
      <c r="AX39" s="4100"/>
      <c r="AY39" s="4100"/>
      <c r="AZ39" s="4100"/>
      <c r="BA39" s="4100"/>
      <c r="BB39" s="4100"/>
      <c r="BC39" s="4100"/>
      <c r="BD39" s="4100"/>
      <c r="BE39" s="4100"/>
      <c r="BF39" s="4100"/>
      <c r="BG39" s="4100"/>
      <c r="BH39" s="4100"/>
      <c r="BI39" s="4100"/>
      <c r="BJ39" s="4100"/>
      <c r="BK39" s="4100"/>
      <c r="BL39" s="4100"/>
      <c r="BM39" s="4103"/>
      <c r="BN39" s="4100"/>
      <c r="BO39" s="4100"/>
      <c r="BP39" s="3054"/>
      <c r="BQ39" s="3019"/>
      <c r="BR39" s="3019"/>
      <c r="BS39" s="3019"/>
      <c r="BT39" s="3019"/>
      <c r="BU39" s="3050"/>
    </row>
    <row r="40" spans="1:73" s="4" customFormat="1" ht="93" customHeight="1" x14ac:dyDescent="0.25">
      <c r="A40" s="2909"/>
      <c r="B40" s="4093"/>
      <c r="C40" s="2001"/>
      <c r="D40" s="2002"/>
      <c r="E40" s="2052"/>
      <c r="F40" s="2052"/>
      <c r="G40" s="2033" t="s">
        <v>20</v>
      </c>
      <c r="H40" s="1983" t="s">
        <v>815</v>
      </c>
      <c r="I40" s="2033">
        <v>2201062</v>
      </c>
      <c r="J40" s="1983" t="s">
        <v>447</v>
      </c>
      <c r="K40" s="1974" t="s">
        <v>20</v>
      </c>
      <c r="L40" s="1983" t="s">
        <v>448</v>
      </c>
      <c r="M40" s="1974">
        <v>220106200</v>
      </c>
      <c r="N40" s="1983" t="s">
        <v>816</v>
      </c>
      <c r="O40" s="2034">
        <v>15</v>
      </c>
      <c r="P40" s="2034">
        <v>4</v>
      </c>
      <c r="Q40" s="2511"/>
      <c r="R40" s="3204"/>
      <c r="S40" s="2035">
        <f>X40/T13</f>
        <v>6.6096658640893719E-3</v>
      </c>
      <c r="T40" s="4120"/>
      <c r="U40" s="3204"/>
      <c r="V40" s="4119" t="s">
        <v>817</v>
      </c>
      <c r="W40" s="2031" t="s">
        <v>818</v>
      </c>
      <c r="X40" s="2007">
        <f>30000000+100000000-20480000</f>
        <v>109520000</v>
      </c>
      <c r="Y40" s="806">
        <v>108090000</v>
      </c>
      <c r="Z40" s="806">
        <v>108090000</v>
      </c>
      <c r="AA40" s="1989" t="s">
        <v>819</v>
      </c>
      <c r="AB40" s="808">
        <v>20</v>
      </c>
      <c r="AC40" s="1975" t="s">
        <v>284</v>
      </c>
      <c r="AD40" s="4100"/>
      <c r="AE40" s="4100"/>
      <c r="AF40" s="4100"/>
      <c r="AG40" s="4100"/>
      <c r="AH40" s="4100"/>
      <c r="AI40" s="4100"/>
      <c r="AJ40" s="4100"/>
      <c r="AK40" s="4100"/>
      <c r="AL40" s="4100"/>
      <c r="AM40" s="4100"/>
      <c r="AN40" s="4100"/>
      <c r="AO40" s="4100"/>
      <c r="AP40" s="4100"/>
      <c r="AQ40" s="4100"/>
      <c r="AR40" s="4100"/>
      <c r="AS40" s="4100"/>
      <c r="AT40" s="4100"/>
      <c r="AU40" s="4100"/>
      <c r="AV40" s="4100"/>
      <c r="AW40" s="4100"/>
      <c r="AX40" s="4100"/>
      <c r="AY40" s="4100"/>
      <c r="AZ40" s="4100"/>
      <c r="BA40" s="4100"/>
      <c r="BB40" s="4100"/>
      <c r="BC40" s="4100"/>
      <c r="BD40" s="4100"/>
      <c r="BE40" s="4100"/>
      <c r="BF40" s="4100"/>
      <c r="BG40" s="4100"/>
      <c r="BH40" s="4100"/>
      <c r="BI40" s="4100"/>
      <c r="BJ40" s="4100"/>
      <c r="BK40" s="4100"/>
      <c r="BL40" s="4100"/>
      <c r="BM40" s="4103"/>
      <c r="BN40" s="4100"/>
      <c r="BO40" s="4100"/>
      <c r="BP40" s="3054"/>
      <c r="BQ40" s="3019"/>
      <c r="BR40" s="3019"/>
      <c r="BS40" s="3019"/>
      <c r="BT40" s="3019"/>
      <c r="BU40" s="3050"/>
    </row>
    <row r="41" spans="1:73" s="4" customFormat="1" ht="74.25" customHeight="1" x14ac:dyDescent="0.25">
      <c r="A41" s="2909"/>
      <c r="B41" s="4093"/>
      <c r="C41" s="2001"/>
      <c r="D41" s="2002"/>
      <c r="E41" s="2052"/>
      <c r="F41" s="2052"/>
      <c r="G41" s="2033">
        <v>2201063</v>
      </c>
      <c r="H41" s="1983" t="s">
        <v>820</v>
      </c>
      <c r="I41" s="2033">
        <v>2201063</v>
      </c>
      <c r="J41" s="1983" t="s">
        <v>820</v>
      </c>
      <c r="K41" s="2020">
        <v>220106300</v>
      </c>
      <c r="L41" s="1983" t="s">
        <v>821</v>
      </c>
      <c r="M41" s="2020">
        <v>220106300</v>
      </c>
      <c r="N41" s="1983" t="s">
        <v>821</v>
      </c>
      <c r="O41" s="2034">
        <v>2</v>
      </c>
      <c r="P41" s="2034">
        <v>2</v>
      </c>
      <c r="Q41" s="2511"/>
      <c r="R41" s="3204"/>
      <c r="S41" s="2035">
        <f>X41/T13</f>
        <v>0</v>
      </c>
      <c r="T41" s="4120"/>
      <c r="U41" s="3204"/>
      <c r="V41" s="4119"/>
      <c r="W41" s="2031" t="s">
        <v>822</v>
      </c>
      <c r="X41" s="2007">
        <f>30000000-30000000</f>
        <v>0</v>
      </c>
      <c r="Y41" s="805">
        <v>0</v>
      </c>
      <c r="Z41" s="805">
        <v>0</v>
      </c>
      <c r="AA41" s="1989" t="s">
        <v>823</v>
      </c>
      <c r="AB41" s="813">
        <v>20</v>
      </c>
      <c r="AC41" s="1990" t="s">
        <v>284</v>
      </c>
      <c r="AD41" s="4100"/>
      <c r="AE41" s="4100"/>
      <c r="AF41" s="4100"/>
      <c r="AG41" s="4100"/>
      <c r="AH41" s="4100"/>
      <c r="AI41" s="4100"/>
      <c r="AJ41" s="4100"/>
      <c r="AK41" s="4100"/>
      <c r="AL41" s="4100"/>
      <c r="AM41" s="4100"/>
      <c r="AN41" s="4100"/>
      <c r="AO41" s="4100"/>
      <c r="AP41" s="4100"/>
      <c r="AQ41" s="4100"/>
      <c r="AR41" s="4100"/>
      <c r="AS41" s="4100"/>
      <c r="AT41" s="4100"/>
      <c r="AU41" s="4100"/>
      <c r="AV41" s="4100"/>
      <c r="AW41" s="4100"/>
      <c r="AX41" s="4100"/>
      <c r="AY41" s="4100"/>
      <c r="AZ41" s="4100"/>
      <c r="BA41" s="4100"/>
      <c r="BB41" s="4100"/>
      <c r="BC41" s="4100"/>
      <c r="BD41" s="4100"/>
      <c r="BE41" s="4100"/>
      <c r="BF41" s="4100"/>
      <c r="BG41" s="4100"/>
      <c r="BH41" s="4100"/>
      <c r="BI41" s="4100"/>
      <c r="BJ41" s="4100"/>
      <c r="BK41" s="4100"/>
      <c r="BL41" s="4100"/>
      <c r="BM41" s="4103"/>
      <c r="BN41" s="4100"/>
      <c r="BO41" s="4100"/>
      <c r="BP41" s="3054"/>
      <c r="BQ41" s="3019"/>
      <c r="BR41" s="3019"/>
      <c r="BS41" s="3019"/>
      <c r="BT41" s="3019"/>
      <c r="BU41" s="3050"/>
    </row>
    <row r="42" spans="1:73" s="4" customFormat="1" ht="59.25" customHeight="1" x14ac:dyDescent="0.25">
      <c r="A42" s="2909"/>
      <c r="B42" s="4093"/>
      <c r="C42" s="2001"/>
      <c r="D42" s="2002"/>
      <c r="E42" s="2052"/>
      <c r="F42" s="2052"/>
      <c r="G42" s="4121">
        <v>2201069</v>
      </c>
      <c r="H42" s="4122" t="s">
        <v>824</v>
      </c>
      <c r="I42" s="4121">
        <v>2201069</v>
      </c>
      <c r="J42" s="4122" t="s">
        <v>824</v>
      </c>
      <c r="K42" s="4121">
        <v>220106900</v>
      </c>
      <c r="L42" s="4122" t="s">
        <v>825</v>
      </c>
      <c r="M42" s="4121">
        <v>220106900</v>
      </c>
      <c r="N42" s="4122" t="s">
        <v>825</v>
      </c>
      <c r="O42" s="4124">
        <v>3</v>
      </c>
      <c r="P42" s="4124">
        <v>3</v>
      </c>
      <c r="Q42" s="2511"/>
      <c r="R42" s="3204"/>
      <c r="S42" s="4125">
        <f>SUM(X42:X43)/T13</f>
        <v>1.4053667943104121E-3</v>
      </c>
      <c r="T42" s="4120"/>
      <c r="U42" s="3204"/>
      <c r="V42" s="4119"/>
      <c r="W42" s="4118" t="s">
        <v>826</v>
      </c>
      <c r="X42" s="801">
        <v>20000000</v>
      </c>
      <c r="Y42" s="806">
        <v>15568000</v>
      </c>
      <c r="Z42" s="806">
        <v>15568000</v>
      </c>
      <c r="AA42" s="814" t="s">
        <v>827</v>
      </c>
      <c r="AB42" s="813">
        <v>20</v>
      </c>
      <c r="AC42" s="1990" t="s">
        <v>284</v>
      </c>
      <c r="AD42" s="4100"/>
      <c r="AE42" s="4100"/>
      <c r="AF42" s="4100"/>
      <c r="AG42" s="4100"/>
      <c r="AH42" s="4100"/>
      <c r="AI42" s="4100"/>
      <c r="AJ42" s="4100"/>
      <c r="AK42" s="4100"/>
      <c r="AL42" s="4100"/>
      <c r="AM42" s="4100"/>
      <c r="AN42" s="4100"/>
      <c r="AO42" s="4100"/>
      <c r="AP42" s="4100"/>
      <c r="AQ42" s="4100"/>
      <c r="AR42" s="4100"/>
      <c r="AS42" s="4100"/>
      <c r="AT42" s="4100"/>
      <c r="AU42" s="4100"/>
      <c r="AV42" s="4100"/>
      <c r="AW42" s="4100"/>
      <c r="AX42" s="4100"/>
      <c r="AY42" s="4100"/>
      <c r="AZ42" s="4100"/>
      <c r="BA42" s="4100"/>
      <c r="BB42" s="4100"/>
      <c r="BC42" s="4100"/>
      <c r="BD42" s="4100"/>
      <c r="BE42" s="4100"/>
      <c r="BF42" s="4100"/>
      <c r="BG42" s="4100"/>
      <c r="BH42" s="4100"/>
      <c r="BI42" s="4100"/>
      <c r="BJ42" s="4100"/>
      <c r="BK42" s="4100"/>
      <c r="BL42" s="4100"/>
      <c r="BM42" s="4103"/>
      <c r="BN42" s="4100"/>
      <c r="BO42" s="4100"/>
      <c r="BP42" s="3054"/>
      <c r="BQ42" s="3019"/>
      <c r="BR42" s="3019"/>
      <c r="BS42" s="3019"/>
      <c r="BT42" s="3019"/>
      <c r="BU42" s="3050"/>
    </row>
    <row r="43" spans="1:73" s="4" customFormat="1" ht="50.25" customHeight="1" x14ac:dyDescent="0.25">
      <c r="A43" s="2909"/>
      <c r="B43" s="4093"/>
      <c r="C43" s="2001"/>
      <c r="D43" s="2002"/>
      <c r="E43" s="2052"/>
      <c r="F43" s="2052"/>
      <c r="G43" s="4121"/>
      <c r="H43" s="4122"/>
      <c r="I43" s="4121"/>
      <c r="J43" s="4122"/>
      <c r="K43" s="4121"/>
      <c r="L43" s="4122"/>
      <c r="M43" s="4121"/>
      <c r="N43" s="4122"/>
      <c r="O43" s="4124"/>
      <c r="P43" s="4124"/>
      <c r="Q43" s="2511"/>
      <c r="R43" s="3204"/>
      <c r="S43" s="4125"/>
      <c r="T43" s="4120"/>
      <c r="U43" s="3204"/>
      <c r="V43" s="4119"/>
      <c r="W43" s="4118"/>
      <c r="X43" s="801">
        <v>3286467.8</v>
      </c>
      <c r="Y43" s="806">
        <v>0</v>
      </c>
      <c r="Z43" s="806">
        <v>0</v>
      </c>
      <c r="AA43" s="814" t="s">
        <v>828</v>
      </c>
      <c r="AB43" s="2115">
        <v>21</v>
      </c>
      <c r="AC43" s="1988" t="s">
        <v>829</v>
      </c>
      <c r="AD43" s="4100"/>
      <c r="AE43" s="4100"/>
      <c r="AF43" s="4100"/>
      <c r="AG43" s="4100"/>
      <c r="AH43" s="4100"/>
      <c r="AI43" s="4100"/>
      <c r="AJ43" s="4100"/>
      <c r="AK43" s="4100"/>
      <c r="AL43" s="4100"/>
      <c r="AM43" s="4100"/>
      <c r="AN43" s="4100"/>
      <c r="AO43" s="4100"/>
      <c r="AP43" s="4100"/>
      <c r="AQ43" s="4100"/>
      <c r="AR43" s="4100"/>
      <c r="AS43" s="4100"/>
      <c r="AT43" s="4100"/>
      <c r="AU43" s="4100"/>
      <c r="AV43" s="4100"/>
      <c r="AW43" s="4100"/>
      <c r="AX43" s="4100"/>
      <c r="AY43" s="4100"/>
      <c r="AZ43" s="4100"/>
      <c r="BA43" s="4100"/>
      <c r="BB43" s="4100"/>
      <c r="BC43" s="4100"/>
      <c r="BD43" s="4100"/>
      <c r="BE43" s="4100"/>
      <c r="BF43" s="4100"/>
      <c r="BG43" s="4100"/>
      <c r="BH43" s="4100"/>
      <c r="BI43" s="4100"/>
      <c r="BJ43" s="4101"/>
      <c r="BK43" s="4101"/>
      <c r="BL43" s="4101"/>
      <c r="BM43" s="4104"/>
      <c r="BN43" s="4101"/>
      <c r="BO43" s="4101"/>
      <c r="BP43" s="3055"/>
      <c r="BQ43" s="3020"/>
      <c r="BR43" s="3020"/>
      <c r="BS43" s="3020"/>
      <c r="BT43" s="3020"/>
      <c r="BU43" s="3051"/>
    </row>
    <row r="44" spans="1:73" ht="180.75" customHeight="1" x14ac:dyDescent="0.25">
      <c r="A44" s="2018"/>
      <c r="B44" s="1997"/>
      <c r="C44" s="1984"/>
      <c r="D44" s="1982"/>
      <c r="G44" s="2043">
        <v>2201018</v>
      </c>
      <c r="H44" s="2009" t="s">
        <v>830</v>
      </c>
      <c r="I44" s="2043">
        <v>2201018</v>
      </c>
      <c r="J44" s="2009" t="s">
        <v>830</v>
      </c>
      <c r="K44" s="2004">
        <v>220101802</v>
      </c>
      <c r="L44" s="2009" t="s">
        <v>831</v>
      </c>
      <c r="M44" s="2004">
        <v>220101802</v>
      </c>
      <c r="N44" s="2009" t="s">
        <v>831</v>
      </c>
      <c r="O44" s="2049">
        <v>1</v>
      </c>
      <c r="P44" s="2048">
        <v>1</v>
      </c>
      <c r="Q44" s="2502" t="s">
        <v>832</v>
      </c>
      <c r="R44" s="2772" t="s">
        <v>833</v>
      </c>
      <c r="S44" s="816">
        <f>X44/T44</f>
        <v>0</v>
      </c>
      <c r="T44" s="4126">
        <f>SUM(X44:X45)</f>
        <v>10000000</v>
      </c>
      <c r="U44" s="2772" t="s">
        <v>834</v>
      </c>
      <c r="V44" s="1992" t="s">
        <v>835</v>
      </c>
      <c r="W44" s="1993" t="s">
        <v>836</v>
      </c>
      <c r="X44" s="2007">
        <f>6000000-6000000</f>
        <v>0</v>
      </c>
      <c r="Y44" s="805">
        <v>0</v>
      </c>
      <c r="Z44" s="805">
        <v>0</v>
      </c>
      <c r="AA44" s="1989" t="s">
        <v>837</v>
      </c>
      <c r="AB44" s="813">
        <v>20</v>
      </c>
      <c r="AC44" s="1990" t="s">
        <v>284</v>
      </c>
      <c r="AD44" s="4123">
        <v>1263</v>
      </c>
      <c r="AE44" s="4123">
        <v>1263</v>
      </c>
      <c r="AF44" s="4123">
        <v>1364</v>
      </c>
      <c r="AG44" s="4123">
        <v>1364</v>
      </c>
      <c r="AH44" s="4123">
        <v>2622</v>
      </c>
      <c r="AI44" s="4123">
        <v>2622</v>
      </c>
      <c r="AJ44" s="4123">
        <v>4</v>
      </c>
      <c r="AK44" s="4123">
        <v>4</v>
      </c>
      <c r="AL44" s="4123">
        <v>1</v>
      </c>
      <c r="AM44" s="4123">
        <v>1</v>
      </c>
      <c r="AN44" s="4123">
        <v>0</v>
      </c>
      <c r="AO44" s="4123">
        <v>0</v>
      </c>
      <c r="AP44" s="4123">
        <v>14</v>
      </c>
      <c r="AQ44" s="4123">
        <v>14</v>
      </c>
      <c r="AR44" s="4123">
        <v>3</v>
      </c>
      <c r="AS44" s="4123">
        <v>3</v>
      </c>
      <c r="AT44" s="4123">
        <v>0</v>
      </c>
      <c r="AU44" s="4123">
        <v>0</v>
      </c>
      <c r="AV44" s="4123">
        <v>0</v>
      </c>
      <c r="AW44" s="4123">
        <v>0</v>
      </c>
      <c r="AX44" s="4123">
        <v>0</v>
      </c>
      <c r="AY44" s="4123">
        <v>0</v>
      </c>
      <c r="AZ44" s="4123">
        <v>0</v>
      </c>
      <c r="BA44" s="4123">
        <v>0</v>
      </c>
      <c r="BB44" s="4123">
        <v>158</v>
      </c>
      <c r="BC44" s="4123">
        <v>158</v>
      </c>
      <c r="BD44" s="4123">
        <v>31</v>
      </c>
      <c r="BE44" s="4123">
        <v>31</v>
      </c>
      <c r="BF44" s="4123">
        <v>42</v>
      </c>
      <c r="BG44" s="4123">
        <v>42</v>
      </c>
      <c r="BH44" s="4123">
        <f>+AD44+AF44</f>
        <v>2627</v>
      </c>
      <c r="BI44" s="4123">
        <f>+AE44+AG44</f>
        <v>2627</v>
      </c>
      <c r="BJ44" s="4123">
        <v>1</v>
      </c>
      <c r="BK44" s="4123">
        <f>SUM(Y44:Y45)</f>
        <v>9905167</v>
      </c>
      <c r="BL44" s="4123">
        <f>SUM(Z44:Z45)</f>
        <v>9905167</v>
      </c>
      <c r="BM44" s="4129">
        <f>+BL44/BK44</f>
        <v>1</v>
      </c>
      <c r="BN44" s="4123">
        <v>20</v>
      </c>
      <c r="BO44" s="4123" t="s">
        <v>1</v>
      </c>
      <c r="BP44" s="3074" t="s">
        <v>838</v>
      </c>
      <c r="BQ44" s="3018">
        <v>44198</v>
      </c>
      <c r="BR44" s="3018">
        <v>44198</v>
      </c>
      <c r="BS44" s="3018">
        <v>44560</v>
      </c>
      <c r="BT44" s="3018">
        <v>44560</v>
      </c>
      <c r="BU44" s="3049" t="s">
        <v>762</v>
      </c>
    </row>
    <row r="45" spans="1:73" ht="151.5" customHeight="1" x14ac:dyDescent="0.25">
      <c r="A45" s="2018"/>
      <c r="B45" s="1997"/>
      <c r="C45" s="1984"/>
      <c r="D45" s="1982"/>
      <c r="G45" s="2050">
        <v>2201037</v>
      </c>
      <c r="H45" s="2010" t="s">
        <v>839</v>
      </c>
      <c r="I45" s="2050">
        <v>2201037</v>
      </c>
      <c r="J45" s="2010" t="s">
        <v>839</v>
      </c>
      <c r="K45" s="2012">
        <v>220103700</v>
      </c>
      <c r="L45" s="2011" t="s">
        <v>840</v>
      </c>
      <c r="M45" s="2012">
        <v>220103700</v>
      </c>
      <c r="N45" s="2011" t="s">
        <v>840</v>
      </c>
      <c r="O45" s="2030">
        <v>54</v>
      </c>
      <c r="P45" s="2047">
        <v>54</v>
      </c>
      <c r="Q45" s="2502"/>
      <c r="R45" s="2680"/>
      <c r="S45" s="2045">
        <f>X45/T44</f>
        <v>1</v>
      </c>
      <c r="T45" s="4126"/>
      <c r="U45" s="2681"/>
      <c r="V45" s="1991" t="s">
        <v>841</v>
      </c>
      <c r="W45" s="819" t="s">
        <v>842</v>
      </c>
      <c r="X45" s="2007">
        <v>10000000</v>
      </c>
      <c r="Y45" s="806">
        <v>9905167</v>
      </c>
      <c r="Z45" s="806">
        <v>9905167</v>
      </c>
      <c r="AA45" s="1989" t="s">
        <v>843</v>
      </c>
      <c r="AB45" s="2024">
        <v>20</v>
      </c>
      <c r="AC45" s="1990" t="s">
        <v>284</v>
      </c>
      <c r="AD45" s="4100"/>
      <c r="AE45" s="4100"/>
      <c r="AF45" s="4100"/>
      <c r="AG45" s="4100"/>
      <c r="AH45" s="4100"/>
      <c r="AI45" s="4100"/>
      <c r="AJ45" s="4100"/>
      <c r="AK45" s="4100"/>
      <c r="AL45" s="4100"/>
      <c r="AM45" s="4100"/>
      <c r="AN45" s="4100"/>
      <c r="AO45" s="4100"/>
      <c r="AP45" s="4100"/>
      <c r="AQ45" s="4100"/>
      <c r="AR45" s="4100"/>
      <c r="AS45" s="4100"/>
      <c r="AT45" s="4100"/>
      <c r="AU45" s="4100"/>
      <c r="AV45" s="4100"/>
      <c r="AW45" s="4100"/>
      <c r="AX45" s="4100"/>
      <c r="AY45" s="4100"/>
      <c r="AZ45" s="4100"/>
      <c r="BA45" s="4100"/>
      <c r="BB45" s="4100"/>
      <c r="BC45" s="4100"/>
      <c r="BD45" s="4100"/>
      <c r="BE45" s="4100"/>
      <c r="BF45" s="4100"/>
      <c r="BG45" s="4100"/>
      <c r="BH45" s="4100"/>
      <c r="BI45" s="4100"/>
      <c r="BJ45" s="4100"/>
      <c r="BK45" s="4100"/>
      <c r="BL45" s="4100"/>
      <c r="BM45" s="4130"/>
      <c r="BN45" s="4100"/>
      <c r="BO45" s="4100"/>
      <c r="BP45" s="3075"/>
      <c r="BQ45" s="3020"/>
      <c r="BR45" s="3020"/>
      <c r="BS45" s="3020"/>
      <c r="BT45" s="3020"/>
      <c r="BU45" s="3051"/>
    </row>
    <row r="46" spans="1:73" ht="18.75" customHeight="1" x14ac:dyDescent="0.25">
      <c r="A46" s="2018"/>
      <c r="B46" s="1997"/>
      <c r="C46" s="1984"/>
      <c r="D46" s="1982"/>
      <c r="G46" s="4127">
        <v>2201007</v>
      </c>
      <c r="H46" s="3205" t="s">
        <v>844</v>
      </c>
      <c r="I46" s="4127">
        <v>2201073</v>
      </c>
      <c r="J46" s="3205" t="s">
        <v>844</v>
      </c>
      <c r="K46" s="4127">
        <v>2201007</v>
      </c>
      <c r="L46" s="3205" t="s">
        <v>845</v>
      </c>
      <c r="M46" s="4127">
        <v>220107300</v>
      </c>
      <c r="N46" s="3205" t="s">
        <v>845</v>
      </c>
      <c r="O46" s="4131">
        <v>7774</v>
      </c>
      <c r="P46" s="4133">
        <v>8318</v>
      </c>
      <c r="Q46" s="2745" t="s">
        <v>846</v>
      </c>
      <c r="R46" s="2680" t="s">
        <v>847</v>
      </c>
      <c r="S46" s="4136">
        <f>SUM(X46:X50)/T46</f>
        <v>0.22120578086620721</v>
      </c>
      <c r="T46" s="4138">
        <f>SUM(X46:X79)</f>
        <v>152973653.48000002</v>
      </c>
      <c r="U46" s="3204" t="s">
        <v>848</v>
      </c>
      <c r="V46" s="4119" t="s">
        <v>849</v>
      </c>
      <c r="W46" s="4147" t="s">
        <v>850</v>
      </c>
      <c r="X46" s="801">
        <v>1328898.3899999999</v>
      </c>
      <c r="Y46" s="806">
        <v>1240678.93</v>
      </c>
      <c r="Z46" s="806">
        <v>1240678.93</v>
      </c>
      <c r="AA46" s="1989" t="s">
        <v>851</v>
      </c>
      <c r="AB46" s="2702">
        <v>20</v>
      </c>
      <c r="AC46" s="4150" t="s">
        <v>284</v>
      </c>
      <c r="AD46" s="4146">
        <v>19649</v>
      </c>
      <c r="AE46" s="4146">
        <v>19649</v>
      </c>
      <c r="AF46" s="4146">
        <v>20118</v>
      </c>
      <c r="AG46" s="4146">
        <v>20118</v>
      </c>
      <c r="AH46" s="4146">
        <v>28907</v>
      </c>
      <c r="AI46" s="4146">
        <v>28907</v>
      </c>
      <c r="AJ46" s="4146">
        <v>9525</v>
      </c>
      <c r="AK46" s="4146">
        <v>9525</v>
      </c>
      <c r="AL46" s="4146">
        <v>1222</v>
      </c>
      <c r="AM46" s="4146">
        <v>1222</v>
      </c>
      <c r="AN46" s="4146">
        <v>113</v>
      </c>
      <c r="AO46" s="4146">
        <v>113</v>
      </c>
      <c r="AP46" s="4146">
        <v>297</v>
      </c>
      <c r="AQ46" s="4146">
        <v>2987</v>
      </c>
      <c r="AR46" s="4146">
        <v>345</v>
      </c>
      <c r="AS46" s="4146">
        <v>345</v>
      </c>
      <c r="AT46" s="4146">
        <v>0</v>
      </c>
      <c r="AU46" s="4146">
        <v>0</v>
      </c>
      <c r="AV46" s="4146">
        <v>0</v>
      </c>
      <c r="AW46" s="4146">
        <v>0</v>
      </c>
      <c r="AX46" s="4146">
        <v>0</v>
      </c>
      <c r="AY46" s="4146">
        <v>0</v>
      </c>
      <c r="AZ46" s="4146">
        <v>0</v>
      </c>
      <c r="BA46" s="4146">
        <v>0</v>
      </c>
      <c r="BB46" s="4146">
        <v>3301</v>
      </c>
      <c r="BC46" s="4146">
        <v>3301</v>
      </c>
      <c r="BD46" s="4146">
        <v>2507</v>
      </c>
      <c r="BE46" s="4146">
        <v>2507</v>
      </c>
      <c r="BF46" s="4146">
        <v>113</v>
      </c>
      <c r="BG46" s="4146">
        <v>113</v>
      </c>
      <c r="BH46" s="4146">
        <f>+AD46+AF46</f>
        <v>39767</v>
      </c>
      <c r="BI46" s="4146">
        <f>+AE46+AG46</f>
        <v>39767</v>
      </c>
      <c r="BJ46" s="4123">
        <v>20</v>
      </c>
      <c r="BK46" s="4123">
        <f>SUM(Y46:Y79)</f>
        <v>149855776</v>
      </c>
      <c r="BL46" s="4123">
        <f>SUM(Z46:Z79)</f>
        <v>149855776</v>
      </c>
      <c r="BM46" s="4159">
        <f>+BL46/BK46</f>
        <v>1</v>
      </c>
      <c r="BN46" s="4123" t="s">
        <v>852</v>
      </c>
      <c r="BO46" s="4123" t="s">
        <v>853</v>
      </c>
      <c r="BP46" s="3074" t="s">
        <v>838</v>
      </c>
      <c r="BQ46" s="3018">
        <v>44198</v>
      </c>
      <c r="BR46" s="3018">
        <v>44198</v>
      </c>
      <c r="BS46" s="3018">
        <v>44560</v>
      </c>
      <c r="BT46" s="3018">
        <v>44560</v>
      </c>
      <c r="BU46" s="3049" t="s">
        <v>762</v>
      </c>
    </row>
    <row r="47" spans="1:73" ht="18.75" customHeight="1" x14ac:dyDescent="0.25">
      <c r="A47" s="2018"/>
      <c r="B47" s="1997"/>
      <c r="C47" s="1984"/>
      <c r="D47" s="1982"/>
      <c r="G47" s="4128"/>
      <c r="H47" s="3403"/>
      <c r="I47" s="4128"/>
      <c r="J47" s="3403"/>
      <c r="K47" s="4128"/>
      <c r="L47" s="3403"/>
      <c r="M47" s="4128"/>
      <c r="N47" s="3403"/>
      <c r="O47" s="4132"/>
      <c r="P47" s="4134"/>
      <c r="Q47" s="2502"/>
      <c r="R47" s="2680"/>
      <c r="S47" s="4137"/>
      <c r="T47" s="4138"/>
      <c r="U47" s="3204"/>
      <c r="V47" s="4119"/>
      <c r="W47" s="4148"/>
      <c r="X47" s="801">
        <v>8252158.0700000003</v>
      </c>
      <c r="Y47" s="806">
        <v>7704335.2800000003</v>
      </c>
      <c r="Z47" s="806">
        <v>7704335.2800000003</v>
      </c>
      <c r="AA47" s="1989" t="s">
        <v>854</v>
      </c>
      <c r="AB47" s="2702"/>
      <c r="AC47" s="4119"/>
      <c r="AD47" s="4106"/>
      <c r="AE47" s="4106"/>
      <c r="AF47" s="4106"/>
      <c r="AG47" s="4106"/>
      <c r="AH47" s="4106"/>
      <c r="AI47" s="4106"/>
      <c r="AJ47" s="4106"/>
      <c r="AK47" s="4106"/>
      <c r="AL47" s="4106"/>
      <c r="AM47" s="4106"/>
      <c r="AN47" s="4106"/>
      <c r="AO47" s="4106"/>
      <c r="AP47" s="4106"/>
      <c r="AQ47" s="4106"/>
      <c r="AR47" s="4106"/>
      <c r="AS47" s="4106"/>
      <c r="AT47" s="4106"/>
      <c r="AU47" s="4106"/>
      <c r="AV47" s="4106"/>
      <c r="AW47" s="4106"/>
      <c r="AX47" s="4106"/>
      <c r="AY47" s="4106"/>
      <c r="AZ47" s="4106"/>
      <c r="BA47" s="4106"/>
      <c r="BB47" s="4106"/>
      <c r="BC47" s="4106"/>
      <c r="BD47" s="4106"/>
      <c r="BE47" s="4106"/>
      <c r="BF47" s="4106"/>
      <c r="BG47" s="4106"/>
      <c r="BH47" s="4106"/>
      <c r="BI47" s="4106"/>
      <c r="BJ47" s="4100"/>
      <c r="BK47" s="4100"/>
      <c r="BL47" s="4100"/>
      <c r="BM47" s="4103"/>
      <c r="BN47" s="4100"/>
      <c r="BO47" s="4100"/>
      <c r="BP47" s="3075"/>
      <c r="BQ47" s="3019"/>
      <c r="BR47" s="3019"/>
      <c r="BS47" s="3019"/>
      <c r="BT47" s="3019"/>
      <c r="BU47" s="3050"/>
    </row>
    <row r="48" spans="1:73" ht="18.75" customHeight="1" x14ac:dyDescent="0.25">
      <c r="A48" s="2018"/>
      <c r="B48" s="1997"/>
      <c r="C48" s="1984"/>
      <c r="D48" s="1982"/>
      <c r="G48" s="4128"/>
      <c r="H48" s="3403"/>
      <c r="I48" s="4128"/>
      <c r="J48" s="3403"/>
      <c r="K48" s="4128"/>
      <c r="L48" s="3403"/>
      <c r="M48" s="4128"/>
      <c r="N48" s="3403"/>
      <c r="O48" s="4132"/>
      <c r="P48" s="4134"/>
      <c r="Q48" s="2502"/>
      <c r="R48" s="2680"/>
      <c r="S48" s="4137"/>
      <c r="T48" s="4138"/>
      <c r="U48" s="3204"/>
      <c r="V48" s="4119"/>
      <c r="W48" s="4148"/>
      <c r="X48" s="801">
        <v>7501385.9199999999</v>
      </c>
      <c r="Y48" s="806">
        <v>7003403.4100000001</v>
      </c>
      <c r="Z48" s="806">
        <v>7003403.4100000001</v>
      </c>
      <c r="AA48" s="1989" t="s">
        <v>855</v>
      </c>
      <c r="AB48" s="2702"/>
      <c r="AC48" s="4119"/>
      <c r="AD48" s="4106"/>
      <c r="AE48" s="4106"/>
      <c r="AF48" s="4106"/>
      <c r="AG48" s="4106"/>
      <c r="AH48" s="4106"/>
      <c r="AI48" s="4106"/>
      <c r="AJ48" s="4106"/>
      <c r="AK48" s="4106"/>
      <c r="AL48" s="4106"/>
      <c r="AM48" s="4106"/>
      <c r="AN48" s="4106"/>
      <c r="AO48" s="4106"/>
      <c r="AP48" s="4106"/>
      <c r="AQ48" s="4106"/>
      <c r="AR48" s="4106"/>
      <c r="AS48" s="4106"/>
      <c r="AT48" s="4106"/>
      <c r="AU48" s="4106"/>
      <c r="AV48" s="4106"/>
      <c r="AW48" s="4106"/>
      <c r="AX48" s="4106"/>
      <c r="AY48" s="4106"/>
      <c r="AZ48" s="4106"/>
      <c r="BA48" s="4106"/>
      <c r="BB48" s="4106"/>
      <c r="BC48" s="4106"/>
      <c r="BD48" s="4106"/>
      <c r="BE48" s="4106"/>
      <c r="BF48" s="4106"/>
      <c r="BG48" s="4106"/>
      <c r="BH48" s="4106"/>
      <c r="BI48" s="4106"/>
      <c r="BJ48" s="4100"/>
      <c r="BK48" s="4100"/>
      <c r="BL48" s="4100"/>
      <c r="BM48" s="4103"/>
      <c r="BN48" s="4100"/>
      <c r="BO48" s="4100"/>
      <c r="BP48" s="3075"/>
      <c r="BQ48" s="3019"/>
      <c r="BR48" s="3019"/>
      <c r="BS48" s="3019"/>
      <c r="BT48" s="3019"/>
      <c r="BU48" s="3050"/>
    </row>
    <row r="49" spans="1:73" ht="18.75" customHeight="1" x14ac:dyDescent="0.25">
      <c r="A49" s="2018"/>
      <c r="B49" s="1997"/>
      <c r="C49" s="1984"/>
      <c r="D49" s="1982"/>
      <c r="G49" s="4128"/>
      <c r="H49" s="3403"/>
      <c r="I49" s="4128"/>
      <c r="J49" s="3403"/>
      <c r="K49" s="4128"/>
      <c r="L49" s="3403"/>
      <c r="M49" s="4128"/>
      <c r="N49" s="3403"/>
      <c r="O49" s="4132"/>
      <c r="P49" s="4134"/>
      <c r="Q49" s="2502"/>
      <c r="R49" s="2680"/>
      <c r="S49" s="4137"/>
      <c r="T49" s="4138"/>
      <c r="U49" s="3204"/>
      <c r="V49" s="4119"/>
      <c r="W49" s="4148"/>
      <c r="X49" s="801">
        <v>2917557.61</v>
      </c>
      <c r="Y49" s="806">
        <v>2723874.38</v>
      </c>
      <c r="Z49" s="806">
        <v>2723874.38</v>
      </c>
      <c r="AA49" s="1989" t="s">
        <v>856</v>
      </c>
      <c r="AB49" s="2702"/>
      <c r="AC49" s="4119"/>
      <c r="AD49" s="4106"/>
      <c r="AE49" s="4106"/>
      <c r="AF49" s="4106"/>
      <c r="AG49" s="4106"/>
      <c r="AH49" s="4106"/>
      <c r="AI49" s="4106"/>
      <c r="AJ49" s="4106"/>
      <c r="AK49" s="4106"/>
      <c r="AL49" s="4106"/>
      <c r="AM49" s="4106"/>
      <c r="AN49" s="4106"/>
      <c r="AO49" s="4106"/>
      <c r="AP49" s="4106"/>
      <c r="AQ49" s="4106"/>
      <c r="AR49" s="4106"/>
      <c r="AS49" s="4106"/>
      <c r="AT49" s="4106"/>
      <c r="AU49" s="4106"/>
      <c r="AV49" s="4106"/>
      <c r="AW49" s="4106"/>
      <c r="AX49" s="4106"/>
      <c r="AY49" s="4106"/>
      <c r="AZ49" s="4106"/>
      <c r="BA49" s="4106"/>
      <c r="BB49" s="4106"/>
      <c r="BC49" s="4106"/>
      <c r="BD49" s="4106"/>
      <c r="BE49" s="4106"/>
      <c r="BF49" s="4106"/>
      <c r="BG49" s="4106"/>
      <c r="BH49" s="4106"/>
      <c r="BI49" s="4106"/>
      <c r="BJ49" s="4100"/>
      <c r="BK49" s="4100"/>
      <c r="BL49" s="4100"/>
      <c r="BM49" s="4103"/>
      <c r="BN49" s="4100"/>
      <c r="BO49" s="4100"/>
      <c r="BP49" s="3075"/>
      <c r="BQ49" s="3019"/>
      <c r="BR49" s="3019"/>
      <c r="BS49" s="3019"/>
      <c r="BT49" s="3019"/>
      <c r="BU49" s="3050"/>
    </row>
    <row r="50" spans="1:73" ht="60" x14ac:dyDescent="0.25">
      <c r="A50" s="2018"/>
      <c r="B50" s="1997"/>
      <c r="C50" s="1984"/>
      <c r="D50" s="1982"/>
      <c r="G50" s="4128"/>
      <c r="H50" s="3403"/>
      <c r="I50" s="4128"/>
      <c r="J50" s="3403"/>
      <c r="K50" s="4128"/>
      <c r="L50" s="3403"/>
      <c r="M50" s="4128"/>
      <c r="N50" s="3403"/>
      <c r="O50" s="4132"/>
      <c r="P50" s="4135"/>
      <c r="Q50" s="2502"/>
      <c r="R50" s="2680"/>
      <c r="S50" s="4137"/>
      <c r="T50" s="4138"/>
      <c r="U50" s="3204"/>
      <c r="V50" s="4119"/>
      <c r="W50" s="4149"/>
      <c r="X50" s="801">
        <v>13838656.48</v>
      </c>
      <c r="Y50" s="806">
        <v>13834320</v>
      </c>
      <c r="Z50" s="806">
        <v>13834320</v>
      </c>
      <c r="AA50" s="1989" t="s">
        <v>857</v>
      </c>
      <c r="AB50" s="2054">
        <v>189</v>
      </c>
      <c r="AC50" s="1980" t="s">
        <v>858</v>
      </c>
      <c r="AD50" s="4106"/>
      <c r="AE50" s="4106"/>
      <c r="AF50" s="4106"/>
      <c r="AG50" s="4106"/>
      <c r="AH50" s="4106"/>
      <c r="AI50" s="4106"/>
      <c r="AJ50" s="4106"/>
      <c r="AK50" s="4106"/>
      <c r="AL50" s="4106"/>
      <c r="AM50" s="4106"/>
      <c r="AN50" s="4106"/>
      <c r="AO50" s="4106"/>
      <c r="AP50" s="4106"/>
      <c r="AQ50" s="4106"/>
      <c r="AR50" s="4106"/>
      <c r="AS50" s="4106"/>
      <c r="AT50" s="4106"/>
      <c r="AU50" s="4106"/>
      <c r="AV50" s="4106"/>
      <c r="AW50" s="4106"/>
      <c r="AX50" s="4106"/>
      <c r="AY50" s="4106"/>
      <c r="AZ50" s="4106"/>
      <c r="BA50" s="4106"/>
      <c r="BB50" s="4106"/>
      <c r="BC50" s="4106"/>
      <c r="BD50" s="4106"/>
      <c r="BE50" s="4106"/>
      <c r="BF50" s="4106"/>
      <c r="BG50" s="4106"/>
      <c r="BH50" s="4106"/>
      <c r="BI50" s="4106"/>
      <c r="BJ50" s="4100"/>
      <c r="BK50" s="4100"/>
      <c r="BL50" s="4100"/>
      <c r="BM50" s="4103"/>
      <c r="BN50" s="4100"/>
      <c r="BO50" s="4100"/>
      <c r="BP50" s="3075"/>
      <c r="BQ50" s="3019"/>
      <c r="BR50" s="3019"/>
      <c r="BS50" s="3019"/>
      <c r="BT50" s="3019"/>
      <c r="BU50" s="3050"/>
    </row>
    <row r="51" spans="1:73" ht="37.5" customHeight="1" x14ac:dyDescent="0.25">
      <c r="A51" s="2018"/>
      <c r="B51" s="1997"/>
      <c r="C51" s="1984"/>
      <c r="D51" s="1982"/>
      <c r="G51" s="4121">
        <v>2201068</v>
      </c>
      <c r="H51" s="2680" t="s">
        <v>859</v>
      </c>
      <c r="I51" s="4121">
        <v>2201068</v>
      </c>
      <c r="J51" s="2680" t="s">
        <v>859</v>
      </c>
      <c r="K51" s="4157">
        <v>220106800</v>
      </c>
      <c r="L51" s="2688" t="s">
        <v>860</v>
      </c>
      <c r="M51" s="4157">
        <v>220106800</v>
      </c>
      <c r="N51" s="2688" t="s">
        <v>860</v>
      </c>
      <c r="O51" s="4158">
        <v>70</v>
      </c>
      <c r="P51" s="3268">
        <v>79</v>
      </c>
      <c r="Q51" s="2502"/>
      <c r="R51" s="2680"/>
      <c r="S51" s="4139">
        <f>SUM(X51:X54)/T46</f>
        <v>0.11766732107469306</v>
      </c>
      <c r="T51" s="4138"/>
      <c r="U51" s="3204"/>
      <c r="V51" s="4119"/>
      <c r="W51" s="4147" t="s">
        <v>861</v>
      </c>
      <c r="X51" s="801">
        <v>1196008.55</v>
      </c>
      <c r="Y51" s="806">
        <v>1196008.55</v>
      </c>
      <c r="Z51" s="806">
        <v>1196008.55</v>
      </c>
      <c r="AA51" s="1989" t="s">
        <v>862</v>
      </c>
      <c r="AB51" s="4108">
        <v>20</v>
      </c>
      <c r="AC51" s="2781" t="s">
        <v>284</v>
      </c>
      <c r="AD51" s="4100"/>
      <c r="AE51" s="4100"/>
      <c r="AF51" s="4100"/>
      <c r="AG51" s="4100"/>
      <c r="AH51" s="4100"/>
      <c r="AI51" s="4100"/>
      <c r="AJ51" s="4100"/>
      <c r="AK51" s="4100"/>
      <c r="AL51" s="4100"/>
      <c r="AM51" s="4100"/>
      <c r="AN51" s="4100"/>
      <c r="AO51" s="4100"/>
      <c r="AP51" s="4100"/>
      <c r="AQ51" s="4100"/>
      <c r="AR51" s="4100"/>
      <c r="AS51" s="4100"/>
      <c r="AT51" s="4100"/>
      <c r="AU51" s="4100"/>
      <c r="AV51" s="4100"/>
      <c r="AW51" s="4100"/>
      <c r="AX51" s="4100"/>
      <c r="AY51" s="4100"/>
      <c r="AZ51" s="4100"/>
      <c r="BA51" s="4100"/>
      <c r="BB51" s="4100"/>
      <c r="BC51" s="4100"/>
      <c r="BD51" s="4100"/>
      <c r="BE51" s="4100"/>
      <c r="BF51" s="4100"/>
      <c r="BG51" s="4100"/>
      <c r="BH51" s="4100"/>
      <c r="BI51" s="4100"/>
      <c r="BJ51" s="4100"/>
      <c r="BK51" s="4100"/>
      <c r="BL51" s="4100"/>
      <c r="BM51" s="4103"/>
      <c r="BN51" s="4100"/>
      <c r="BO51" s="4100"/>
      <c r="BP51" s="3075"/>
      <c r="BQ51" s="3019"/>
      <c r="BR51" s="3019"/>
      <c r="BS51" s="3019"/>
      <c r="BT51" s="3019"/>
      <c r="BU51" s="3050"/>
    </row>
    <row r="52" spans="1:73" ht="25.5" customHeight="1" x14ac:dyDescent="0.25">
      <c r="A52" s="2018"/>
      <c r="B52" s="1997"/>
      <c r="C52" s="1984"/>
      <c r="D52" s="1982"/>
      <c r="G52" s="4121"/>
      <c r="H52" s="2680"/>
      <c r="I52" s="4121"/>
      <c r="J52" s="2680"/>
      <c r="K52" s="4157"/>
      <c r="L52" s="2688"/>
      <c r="M52" s="4157"/>
      <c r="N52" s="2688"/>
      <c r="O52" s="4158"/>
      <c r="P52" s="3269"/>
      <c r="Q52" s="2502"/>
      <c r="R52" s="2680"/>
      <c r="S52" s="4139"/>
      <c r="T52" s="4138"/>
      <c r="U52" s="3204"/>
      <c r="V52" s="4119"/>
      <c r="W52" s="4148"/>
      <c r="X52" s="801">
        <v>7426942.2699999996</v>
      </c>
      <c r="Y52" s="806">
        <v>7426942.2699999996</v>
      </c>
      <c r="Z52" s="806">
        <v>7426942.2699999996</v>
      </c>
      <c r="AA52" s="1989" t="s">
        <v>863</v>
      </c>
      <c r="AB52" s="4108"/>
      <c r="AC52" s="2781"/>
      <c r="AD52" s="4100"/>
      <c r="AE52" s="4100"/>
      <c r="AF52" s="4100"/>
      <c r="AG52" s="4100"/>
      <c r="AH52" s="4100"/>
      <c r="AI52" s="4100"/>
      <c r="AJ52" s="4100"/>
      <c r="AK52" s="4100"/>
      <c r="AL52" s="4100"/>
      <c r="AM52" s="4100"/>
      <c r="AN52" s="4100"/>
      <c r="AO52" s="4100"/>
      <c r="AP52" s="4100"/>
      <c r="AQ52" s="4100"/>
      <c r="AR52" s="4100"/>
      <c r="AS52" s="4100"/>
      <c r="AT52" s="4100"/>
      <c r="AU52" s="4100"/>
      <c r="AV52" s="4100"/>
      <c r="AW52" s="4100"/>
      <c r="AX52" s="4100"/>
      <c r="AY52" s="4100"/>
      <c r="AZ52" s="4100"/>
      <c r="BA52" s="4100"/>
      <c r="BB52" s="4100"/>
      <c r="BC52" s="4100"/>
      <c r="BD52" s="4100"/>
      <c r="BE52" s="4100"/>
      <c r="BF52" s="4100"/>
      <c r="BG52" s="4100"/>
      <c r="BH52" s="4100"/>
      <c r="BI52" s="4100"/>
      <c r="BJ52" s="4100"/>
      <c r="BK52" s="4100"/>
      <c r="BL52" s="4100"/>
      <c r="BM52" s="4103"/>
      <c r="BN52" s="4100"/>
      <c r="BO52" s="4100"/>
      <c r="BP52" s="3075"/>
      <c r="BQ52" s="3019"/>
      <c r="BR52" s="3019"/>
      <c r="BS52" s="3019"/>
      <c r="BT52" s="3019"/>
      <c r="BU52" s="3050"/>
    </row>
    <row r="53" spans="1:73" ht="25.5" customHeight="1" x14ac:dyDescent="0.25">
      <c r="A53" s="2018"/>
      <c r="B53" s="1997"/>
      <c r="C53" s="1984"/>
      <c r="D53" s="1982"/>
      <c r="G53" s="4121"/>
      <c r="H53" s="2680"/>
      <c r="I53" s="4121"/>
      <c r="J53" s="2680"/>
      <c r="K53" s="4157"/>
      <c r="L53" s="2688"/>
      <c r="M53" s="4157"/>
      <c r="N53" s="2688"/>
      <c r="O53" s="4158"/>
      <c r="P53" s="3269"/>
      <c r="Q53" s="2502"/>
      <c r="R53" s="2680"/>
      <c r="S53" s="4139"/>
      <c r="T53" s="4138"/>
      <c r="U53" s="3204"/>
      <c r="V53" s="4119"/>
      <c r="W53" s="4148"/>
      <c r="X53" s="801">
        <v>6751247.3300000001</v>
      </c>
      <c r="Y53" s="801">
        <v>6751247.3300000001</v>
      </c>
      <c r="Z53" s="801">
        <v>6751247.3300000001</v>
      </c>
      <c r="AA53" s="1989" t="s">
        <v>864</v>
      </c>
      <c r="AB53" s="4108"/>
      <c r="AC53" s="2781"/>
      <c r="AD53" s="4100"/>
      <c r="AE53" s="4100"/>
      <c r="AF53" s="4100"/>
      <c r="AG53" s="4100"/>
      <c r="AH53" s="4100"/>
      <c r="AI53" s="4100"/>
      <c r="AJ53" s="4100"/>
      <c r="AK53" s="4100"/>
      <c r="AL53" s="4100"/>
      <c r="AM53" s="4100"/>
      <c r="AN53" s="4100"/>
      <c r="AO53" s="4100"/>
      <c r="AP53" s="4100"/>
      <c r="AQ53" s="4100"/>
      <c r="AR53" s="4100"/>
      <c r="AS53" s="4100"/>
      <c r="AT53" s="4100"/>
      <c r="AU53" s="4100"/>
      <c r="AV53" s="4100"/>
      <c r="AW53" s="4100"/>
      <c r="AX53" s="4100"/>
      <c r="AY53" s="4100"/>
      <c r="AZ53" s="4100"/>
      <c r="BA53" s="4100"/>
      <c r="BB53" s="4100"/>
      <c r="BC53" s="4100"/>
      <c r="BD53" s="4100"/>
      <c r="BE53" s="4100"/>
      <c r="BF53" s="4100"/>
      <c r="BG53" s="4100"/>
      <c r="BH53" s="4100"/>
      <c r="BI53" s="4100"/>
      <c r="BJ53" s="4100"/>
      <c r="BK53" s="4100"/>
      <c r="BL53" s="4100"/>
      <c r="BM53" s="4103"/>
      <c r="BN53" s="4100"/>
      <c r="BO53" s="4100"/>
      <c r="BP53" s="3075"/>
      <c r="BQ53" s="3019"/>
      <c r="BR53" s="3019"/>
      <c r="BS53" s="3019"/>
      <c r="BT53" s="3019"/>
      <c r="BU53" s="3050"/>
    </row>
    <row r="54" spans="1:73" ht="30.75" customHeight="1" x14ac:dyDescent="0.25">
      <c r="A54" s="2018"/>
      <c r="B54" s="1997"/>
      <c r="C54" s="1984"/>
      <c r="D54" s="1982"/>
      <c r="G54" s="4121"/>
      <c r="H54" s="2680"/>
      <c r="I54" s="4121"/>
      <c r="J54" s="2680"/>
      <c r="K54" s="4157"/>
      <c r="L54" s="2688"/>
      <c r="M54" s="4157"/>
      <c r="N54" s="2688"/>
      <c r="O54" s="4158"/>
      <c r="P54" s="3270"/>
      <c r="Q54" s="2502"/>
      <c r="R54" s="2680"/>
      <c r="S54" s="4139"/>
      <c r="T54" s="4138"/>
      <c r="U54" s="3204"/>
      <c r="V54" s="4119"/>
      <c r="W54" s="4149"/>
      <c r="X54" s="801">
        <v>2625801.85</v>
      </c>
      <c r="Y54" s="801">
        <v>1935801.85</v>
      </c>
      <c r="Z54" s="801">
        <v>1935801.85</v>
      </c>
      <c r="AA54" s="1989" t="s">
        <v>865</v>
      </c>
      <c r="AB54" s="4109"/>
      <c r="AC54" s="2782"/>
      <c r="AD54" s="4100"/>
      <c r="AE54" s="4100"/>
      <c r="AF54" s="4100"/>
      <c r="AG54" s="4100"/>
      <c r="AH54" s="4100"/>
      <c r="AI54" s="4100"/>
      <c r="AJ54" s="4100"/>
      <c r="AK54" s="4100"/>
      <c r="AL54" s="4100"/>
      <c r="AM54" s="4100"/>
      <c r="AN54" s="4100"/>
      <c r="AO54" s="4100"/>
      <c r="AP54" s="4100"/>
      <c r="AQ54" s="4100"/>
      <c r="AR54" s="4100"/>
      <c r="AS54" s="4100"/>
      <c r="AT54" s="4100"/>
      <c r="AU54" s="4100"/>
      <c r="AV54" s="4100"/>
      <c r="AW54" s="4100"/>
      <c r="AX54" s="4100"/>
      <c r="AY54" s="4100"/>
      <c r="AZ54" s="4100"/>
      <c r="BA54" s="4100"/>
      <c r="BB54" s="4100"/>
      <c r="BC54" s="4100"/>
      <c r="BD54" s="4100"/>
      <c r="BE54" s="4100"/>
      <c r="BF54" s="4100"/>
      <c r="BG54" s="4100"/>
      <c r="BH54" s="4100"/>
      <c r="BI54" s="4100"/>
      <c r="BJ54" s="4100"/>
      <c r="BK54" s="4100"/>
      <c r="BL54" s="4100"/>
      <c r="BM54" s="4103"/>
      <c r="BN54" s="4100"/>
      <c r="BO54" s="4100"/>
      <c r="BP54" s="3075"/>
      <c r="BQ54" s="3019"/>
      <c r="BR54" s="3019"/>
      <c r="BS54" s="3019"/>
      <c r="BT54" s="3019"/>
      <c r="BU54" s="3050"/>
    </row>
    <row r="55" spans="1:73" ht="30.75" customHeight="1" x14ac:dyDescent="0.25">
      <c r="A55" s="2018"/>
      <c r="B55" s="1997"/>
      <c r="C55" s="1984"/>
      <c r="D55" s="1982"/>
      <c r="G55" s="4083" t="s">
        <v>866</v>
      </c>
      <c r="H55" s="2681" t="s">
        <v>867</v>
      </c>
      <c r="I55" s="4083" t="s">
        <v>866</v>
      </c>
      <c r="J55" s="2681" t="s">
        <v>867</v>
      </c>
      <c r="K55" s="3715">
        <v>220102600</v>
      </c>
      <c r="L55" s="2681" t="s">
        <v>868</v>
      </c>
      <c r="M55" s="3715">
        <v>220102600</v>
      </c>
      <c r="N55" s="2681" t="s">
        <v>868</v>
      </c>
      <c r="O55" s="4086">
        <v>17</v>
      </c>
      <c r="P55" s="4133">
        <v>17</v>
      </c>
      <c r="Q55" s="2502"/>
      <c r="R55" s="2680"/>
      <c r="S55" s="4143">
        <f>SUM(X55:X63)/T46</f>
        <v>0.1280939335253693</v>
      </c>
      <c r="T55" s="4138"/>
      <c r="U55" s="3204"/>
      <c r="V55" s="4119"/>
      <c r="W55" s="4147" t="s">
        <v>869</v>
      </c>
      <c r="X55" s="2007">
        <f>10000000-8405003-1594997</f>
        <v>0</v>
      </c>
      <c r="Y55" s="805">
        <v>0</v>
      </c>
      <c r="Z55" s="805">
        <v>0</v>
      </c>
      <c r="AA55" s="1989" t="s">
        <v>870</v>
      </c>
      <c r="AB55" s="3891">
        <v>25</v>
      </c>
      <c r="AC55" s="2992" t="s">
        <v>758</v>
      </c>
      <c r="AD55" s="4100"/>
      <c r="AE55" s="4100"/>
      <c r="AF55" s="4100"/>
      <c r="AG55" s="4100"/>
      <c r="AH55" s="4100"/>
      <c r="AI55" s="4100"/>
      <c r="AJ55" s="4100"/>
      <c r="AK55" s="4100"/>
      <c r="AL55" s="4100"/>
      <c r="AM55" s="4100"/>
      <c r="AN55" s="4100"/>
      <c r="AO55" s="4100"/>
      <c r="AP55" s="4100"/>
      <c r="AQ55" s="4100"/>
      <c r="AR55" s="4100"/>
      <c r="AS55" s="4100"/>
      <c r="AT55" s="4100"/>
      <c r="AU55" s="4100"/>
      <c r="AV55" s="4100"/>
      <c r="AW55" s="4100"/>
      <c r="AX55" s="4100"/>
      <c r="AY55" s="4100"/>
      <c r="AZ55" s="4100"/>
      <c r="BA55" s="4100"/>
      <c r="BB55" s="4100"/>
      <c r="BC55" s="4100"/>
      <c r="BD55" s="4100"/>
      <c r="BE55" s="4100"/>
      <c r="BF55" s="4100"/>
      <c r="BG55" s="4100"/>
      <c r="BH55" s="4100"/>
      <c r="BI55" s="4100"/>
      <c r="BJ55" s="4100"/>
      <c r="BK55" s="4100"/>
      <c r="BL55" s="4100"/>
      <c r="BM55" s="4103"/>
      <c r="BN55" s="4100"/>
      <c r="BO55" s="4100"/>
      <c r="BP55" s="3075"/>
      <c r="BQ55" s="3019"/>
      <c r="BR55" s="3019"/>
      <c r="BS55" s="3019"/>
      <c r="BT55" s="3019"/>
      <c r="BU55" s="3050"/>
    </row>
    <row r="56" spans="1:73" ht="18" customHeight="1" x14ac:dyDescent="0.25">
      <c r="A56" s="2018"/>
      <c r="B56" s="1997"/>
      <c r="C56" s="1984"/>
      <c r="D56" s="1982"/>
      <c r="G56" s="4084"/>
      <c r="H56" s="2771"/>
      <c r="I56" s="4084"/>
      <c r="J56" s="2771"/>
      <c r="K56" s="3716"/>
      <c r="L56" s="2771"/>
      <c r="M56" s="3716"/>
      <c r="N56" s="2771"/>
      <c r="O56" s="4087"/>
      <c r="P56" s="4134"/>
      <c r="Q56" s="2502"/>
      <c r="R56" s="2680"/>
      <c r="S56" s="4144"/>
      <c r="T56" s="4138"/>
      <c r="U56" s="3204"/>
      <c r="V56" s="4119"/>
      <c r="W56" s="4148"/>
      <c r="X56" s="2007">
        <f>5000000-5000000</f>
        <v>0</v>
      </c>
      <c r="Y56" s="805">
        <v>0</v>
      </c>
      <c r="Z56" s="805">
        <v>0</v>
      </c>
      <c r="AA56" s="1989" t="s">
        <v>871</v>
      </c>
      <c r="AB56" s="4110"/>
      <c r="AC56" s="2993"/>
      <c r="AD56" s="4100"/>
      <c r="AE56" s="4100"/>
      <c r="AF56" s="4100"/>
      <c r="AG56" s="4100"/>
      <c r="AH56" s="4100"/>
      <c r="AI56" s="4100"/>
      <c r="AJ56" s="4100"/>
      <c r="AK56" s="4100"/>
      <c r="AL56" s="4100"/>
      <c r="AM56" s="4100"/>
      <c r="AN56" s="4100"/>
      <c r="AO56" s="4100"/>
      <c r="AP56" s="4100"/>
      <c r="AQ56" s="4100"/>
      <c r="AR56" s="4100"/>
      <c r="AS56" s="4100"/>
      <c r="AT56" s="4100"/>
      <c r="AU56" s="4100"/>
      <c r="AV56" s="4100"/>
      <c r="AW56" s="4100"/>
      <c r="AX56" s="4100"/>
      <c r="AY56" s="4100"/>
      <c r="AZ56" s="4100"/>
      <c r="BA56" s="4100"/>
      <c r="BB56" s="4100"/>
      <c r="BC56" s="4100"/>
      <c r="BD56" s="4100"/>
      <c r="BE56" s="4100"/>
      <c r="BF56" s="4100"/>
      <c r="BG56" s="4100"/>
      <c r="BH56" s="4100"/>
      <c r="BI56" s="4100"/>
      <c r="BJ56" s="4100"/>
      <c r="BK56" s="4100"/>
      <c r="BL56" s="4100"/>
      <c r="BM56" s="4103"/>
      <c r="BN56" s="4100"/>
      <c r="BO56" s="4100"/>
      <c r="BP56" s="3075"/>
      <c r="BQ56" s="3019"/>
      <c r="BR56" s="3019"/>
      <c r="BS56" s="3019"/>
      <c r="BT56" s="3019"/>
      <c r="BU56" s="3050"/>
    </row>
    <row r="57" spans="1:73" ht="18" customHeight="1" x14ac:dyDescent="0.25">
      <c r="A57" s="2018"/>
      <c r="B57" s="1997"/>
      <c r="C57" s="1984"/>
      <c r="D57" s="1982"/>
      <c r="G57" s="4084"/>
      <c r="H57" s="2771"/>
      <c r="I57" s="4084"/>
      <c r="J57" s="2771"/>
      <c r="K57" s="3716"/>
      <c r="L57" s="2771"/>
      <c r="M57" s="3716"/>
      <c r="N57" s="2771"/>
      <c r="O57" s="4087"/>
      <c r="P57" s="4134"/>
      <c r="Q57" s="2502"/>
      <c r="R57" s="2680"/>
      <c r="S57" s="4144"/>
      <c r="T57" s="4138"/>
      <c r="U57" s="3204"/>
      <c r="V57" s="4119"/>
      <c r="W57" s="4148"/>
      <c r="X57" s="2007">
        <f>5000000-5000000</f>
        <v>0</v>
      </c>
      <c r="Y57" s="805"/>
      <c r="Z57" s="805">
        <v>0</v>
      </c>
      <c r="AA57" s="1989" t="s">
        <v>872</v>
      </c>
      <c r="AB57" s="4110"/>
      <c r="AC57" s="2993"/>
      <c r="AD57" s="4100"/>
      <c r="AE57" s="4100"/>
      <c r="AF57" s="4100"/>
      <c r="AG57" s="4100"/>
      <c r="AH57" s="4100"/>
      <c r="AI57" s="4100"/>
      <c r="AJ57" s="4100"/>
      <c r="AK57" s="4100"/>
      <c r="AL57" s="4100"/>
      <c r="AM57" s="4100"/>
      <c r="AN57" s="4100"/>
      <c r="AO57" s="4100"/>
      <c r="AP57" s="4100"/>
      <c r="AQ57" s="4100"/>
      <c r="AR57" s="4100"/>
      <c r="AS57" s="4100"/>
      <c r="AT57" s="4100"/>
      <c r="AU57" s="4100"/>
      <c r="AV57" s="4100"/>
      <c r="AW57" s="4100"/>
      <c r="AX57" s="4100"/>
      <c r="AY57" s="4100"/>
      <c r="AZ57" s="4100"/>
      <c r="BA57" s="4100"/>
      <c r="BB57" s="4100"/>
      <c r="BC57" s="4100"/>
      <c r="BD57" s="4100"/>
      <c r="BE57" s="4100"/>
      <c r="BF57" s="4100"/>
      <c r="BG57" s="4100"/>
      <c r="BH57" s="4100"/>
      <c r="BI57" s="4100"/>
      <c r="BJ57" s="4100"/>
      <c r="BK57" s="4100"/>
      <c r="BL57" s="4100"/>
      <c r="BM57" s="4103"/>
      <c r="BN57" s="4100"/>
      <c r="BO57" s="4100"/>
      <c r="BP57" s="3075"/>
      <c r="BQ57" s="3019"/>
      <c r="BR57" s="3019"/>
      <c r="BS57" s="3019"/>
      <c r="BT57" s="3019"/>
      <c r="BU57" s="3050"/>
    </row>
    <row r="58" spans="1:73" ht="18" customHeight="1" x14ac:dyDescent="0.25">
      <c r="A58" s="2018"/>
      <c r="B58" s="1997"/>
      <c r="C58" s="1984"/>
      <c r="D58" s="1982"/>
      <c r="G58" s="4084"/>
      <c r="H58" s="2771"/>
      <c r="I58" s="4084"/>
      <c r="J58" s="2771"/>
      <c r="K58" s="3716"/>
      <c r="L58" s="2771"/>
      <c r="M58" s="3716"/>
      <c r="N58" s="2771"/>
      <c r="O58" s="4087"/>
      <c r="P58" s="4134"/>
      <c r="Q58" s="2502"/>
      <c r="R58" s="2680"/>
      <c r="S58" s="4144"/>
      <c r="T58" s="4138"/>
      <c r="U58" s="3204"/>
      <c r="V58" s="4119"/>
      <c r="W58" s="4148"/>
      <c r="X58" s="2007">
        <v>1594997</v>
      </c>
      <c r="Y58" s="806">
        <v>1594997</v>
      </c>
      <c r="Z58" s="806">
        <v>1594997</v>
      </c>
      <c r="AA58" s="1989" t="s">
        <v>873</v>
      </c>
      <c r="AB58" s="4110"/>
      <c r="AC58" s="2993"/>
      <c r="AD58" s="4100"/>
      <c r="AE58" s="4100"/>
      <c r="AF58" s="4100"/>
      <c r="AG58" s="4100"/>
      <c r="AH58" s="4100"/>
      <c r="AI58" s="4100"/>
      <c r="AJ58" s="4100"/>
      <c r="AK58" s="4100"/>
      <c r="AL58" s="4100"/>
      <c r="AM58" s="4100"/>
      <c r="AN58" s="4100"/>
      <c r="AO58" s="4100"/>
      <c r="AP58" s="4100"/>
      <c r="AQ58" s="4100"/>
      <c r="AR58" s="4100"/>
      <c r="AS58" s="4100"/>
      <c r="AT58" s="4100"/>
      <c r="AU58" s="4100"/>
      <c r="AV58" s="4100"/>
      <c r="AW58" s="4100"/>
      <c r="AX58" s="4100"/>
      <c r="AY58" s="4100"/>
      <c r="AZ58" s="4100"/>
      <c r="BA58" s="4100"/>
      <c r="BB58" s="4100"/>
      <c r="BC58" s="4100"/>
      <c r="BD58" s="4100"/>
      <c r="BE58" s="4100"/>
      <c r="BF58" s="4100"/>
      <c r="BG58" s="4100"/>
      <c r="BH58" s="4100"/>
      <c r="BI58" s="4100"/>
      <c r="BJ58" s="4100"/>
      <c r="BK58" s="4100"/>
      <c r="BL58" s="4100"/>
      <c r="BM58" s="4103"/>
      <c r="BN58" s="4100"/>
      <c r="BO58" s="4100"/>
      <c r="BP58" s="3075"/>
      <c r="BQ58" s="3019"/>
      <c r="BR58" s="3019"/>
      <c r="BS58" s="3019"/>
      <c r="BT58" s="3019"/>
      <c r="BU58" s="3050"/>
    </row>
    <row r="59" spans="1:73" ht="18" customHeight="1" x14ac:dyDescent="0.25">
      <c r="A59" s="2018"/>
      <c r="B59" s="1997"/>
      <c r="C59" s="1984"/>
      <c r="D59" s="1982"/>
      <c r="G59" s="4084"/>
      <c r="H59" s="2771"/>
      <c r="I59" s="4084"/>
      <c r="J59" s="2771"/>
      <c r="K59" s="3716"/>
      <c r="L59" s="2771"/>
      <c r="M59" s="3716"/>
      <c r="N59" s="2771"/>
      <c r="O59" s="4087"/>
      <c r="P59" s="4134"/>
      <c r="Q59" s="2502"/>
      <c r="R59" s="2680"/>
      <c r="S59" s="4144"/>
      <c r="T59" s="4138"/>
      <c r="U59" s="3204"/>
      <c r="V59" s="4119"/>
      <c r="W59" s="4148"/>
      <c r="X59" s="2007">
        <f>5000000-5000000</f>
        <v>0</v>
      </c>
      <c r="Y59" s="805"/>
      <c r="Z59" s="805"/>
      <c r="AA59" s="1989" t="s">
        <v>874</v>
      </c>
      <c r="AB59" s="3892"/>
      <c r="AC59" s="2994"/>
      <c r="AD59" s="4100"/>
      <c r="AE59" s="4100"/>
      <c r="AF59" s="4100"/>
      <c r="AG59" s="4100"/>
      <c r="AH59" s="4100"/>
      <c r="AI59" s="4100"/>
      <c r="AJ59" s="4100"/>
      <c r="AK59" s="4100"/>
      <c r="AL59" s="4100"/>
      <c r="AM59" s="4100"/>
      <c r="AN59" s="4100"/>
      <c r="AO59" s="4100"/>
      <c r="AP59" s="4100"/>
      <c r="AQ59" s="4100"/>
      <c r="AR59" s="4100"/>
      <c r="AS59" s="4100"/>
      <c r="AT59" s="4100"/>
      <c r="AU59" s="4100"/>
      <c r="AV59" s="4100"/>
      <c r="AW59" s="4100"/>
      <c r="AX59" s="4100"/>
      <c r="AY59" s="4100"/>
      <c r="AZ59" s="4100"/>
      <c r="BA59" s="4100"/>
      <c r="BB59" s="4100"/>
      <c r="BC59" s="4100"/>
      <c r="BD59" s="4100"/>
      <c r="BE59" s="4100"/>
      <c r="BF59" s="4100"/>
      <c r="BG59" s="4100"/>
      <c r="BH59" s="4100"/>
      <c r="BI59" s="4100"/>
      <c r="BJ59" s="4100"/>
      <c r="BK59" s="4100"/>
      <c r="BL59" s="4100"/>
      <c r="BM59" s="4103"/>
      <c r="BN59" s="4100"/>
      <c r="BO59" s="4100"/>
      <c r="BP59" s="3075"/>
      <c r="BQ59" s="3019"/>
      <c r="BR59" s="3019"/>
      <c r="BS59" s="3019"/>
      <c r="BT59" s="3019"/>
      <c r="BU59" s="3050"/>
    </row>
    <row r="60" spans="1:73" ht="18" customHeight="1" x14ac:dyDescent="0.25">
      <c r="A60" s="2018"/>
      <c r="B60" s="1997"/>
      <c r="C60" s="1984"/>
      <c r="D60" s="1982"/>
      <c r="G60" s="4084"/>
      <c r="H60" s="2771"/>
      <c r="I60" s="4084"/>
      <c r="J60" s="2771"/>
      <c r="K60" s="3716"/>
      <c r="L60" s="2771"/>
      <c r="M60" s="3716"/>
      <c r="N60" s="2771"/>
      <c r="O60" s="4087"/>
      <c r="P60" s="4134"/>
      <c r="Q60" s="2502"/>
      <c r="R60" s="2680"/>
      <c r="S60" s="4144"/>
      <c r="T60" s="4138"/>
      <c r="U60" s="3204"/>
      <c r="V60" s="4119"/>
      <c r="W60" s="4148"/>
      <c r="X60" s="801">
        <v>0</v>
      </c>
      <c r="Y60" s="806">
        <v>0</v>
      </c>
      <c r="Z60" s="806">
        <v>0</v>
      </c>
      <c r="AA60" s="1989" t="s">
        <v>875</v>
      </c>
      <c r="AB60" s="4154">
        <v>20</v>
      </c>
      <c r="AC60" s="2992" t="s">
        <v>284</v>
      </c>
      <c r="AD60" s="4100"/>
      <c r="AE60" s="4100"/>
      <c r="AF60" s="4100"/>
      <c r="AG60" s="4100"/>
      <c r="AH60" s="4100"/>
      <c r="AI60" s="4100"/>
      <c r="AJ60" s="4100"/>
      <c r="AK60" s="4100"/>
      <c r="AL60" s="4100"/>
      <c r="AM60" s="4100"/>
      <c r="AN60" s="4100"/>
      <c r="AO60" s="4100"/>
      <c r="AP60" s="4100"/>
      <c r="AQ60" s="4100"/>
      <c r="AR60" s="4100"/>
      <c r="AS60" s="4100"/>
      <c r="AT60" s="4100"/>
      <c r="AU60" s="4100"/>
      <c r="AV60" s="4100"/>
      <c r="AW60" s="4100"/>
      <c r="AX60" s="4100"/>
      <c r="AY60" s="4100"/>
      <c r="AZ60" s="4100"/>
      <c r="BA60" s="4100"/>
      <c r="BB60" s="4100"/>
      <c r="BC60" s="4100"/>
      <c r="BD60" s="4100"/>
      <c r="BE60" s="4100"/>
      <c r="BF60" s="4100"/>
      <c r="BG60" s="4100"/>
      <c r="BH60" s="4100"/>
      <c r="BI60" s="4100"/>
      <c r="BJ60" s="4100"/>
      <c r="BK60" s="4100"/>
      <c r="BL60" s="4100"/>
      <c r="BM60" s="4103"/>
      <c r="BN60" s="4100"/>
      <c r="BO60" s="4100"/>
      <c r="BP60" s="3075"/>
      <c r="BQ60" s="3019"/>
      <c r="BR60" s="3019"/>
      <c r="BS60" s="3019"/>
      <c r="BT60" s="3019"/>
      <c r="BU60" s="3050"/>
    </row>
    <row r="61" spans="1:73" ht="18" customHeight="1" x14ac:dyDescent="0.25">
      <c r="A61" s="2018"/>
      <c r="B61" s="1997"/>
      <c r="C61" s="1984"/>
      <c r="D61" s="1982"/>
      <c r="G61" s="4084"/>
      <c r="H61" s="2771"/>
      <c r="I61" s="4084"/>
      <c r="J61" s="2771"/>
      <c r="K61" s="3716"/>
      <c r="L61" s="2771"/>
      <c r="M61" s="3716"/>
      <c r="N61" s="2771"/>
      <c r="O61" s="4087"/>
      <c r="P61" s="4134"/>
      <c r="Q61" s="2502"/>
      <c r="R61" s="2680"/>
      <c r="S61" s="4144"/>
      <c r="T61" s="4138"/>
      <c r="U61" s="3204"/>
      <c r="V61" s="4119"/>
      <c r="W61" s="4148"/>
      <c r="X61" s="801">
        <v>0</v>
      </c>
      <c r="Y61" s="806">
        <v>0</v>
      </c>
      <c r="Z61" s="806"/>
      <c r="AA61" s="1989" t="s">
        <v>876</v>
      </c>
      <c r="AB61" s="4155"/>
      <c r="AC61" s="2993"/>
      <c r="AD61" s="4100"/>
      <c r="AE61" s="4100"/>
      <c r="AF61" s="4100"/>
      <c r="AG61" s="4100"/>
      <c r="AH61" s="4100"/>
      <c r="AI61" s="4100"/>
      <c r="AJ61" s="4100"/>
      <c r="AK61" s="4100"/>
      <c r="AL61" s="4100"/>
      <c r="AM61" s="4100"/>
      <c r="AN61" s="4100"/>
      <c r="AO61" s="4100"/>
      <c r="AP61" s="4100"/>
      <c r="AQ61" s="4100"/>
      <c r="AR61" s="4100"/>
      <c r="AS61" s="4100"/>
      <c r="AT61" s="4100"/>
      <c r="AU61" s="4100"/>
      <c r="AV61" s="4100"/>
      <c r="AW61" s="4100"/>
      <c r="AX61" s="4100"/>
      <c r="AY61" s="4100"/>
      <c r="AZ61" s="4100"/>
      <c r="BA61" s="4100"/>
      <c r="BB61" s="4100"/>
      <c r="BC61" s="4100"/>
      <c r="BD61" s="4100"/>
      <c r="BE61" s="4100"/>
      <c r="BF61" s="4100"/>
      <c r="BG61" s="4100"/>
      <c r="BH61" s="4100"/>
      <c r="BI61" s="4100"/>
      <c r="BJ61" s="4100"/>
      <c r="BK61" s="4100"/>
      <c r="BL61" s="4100"/>
      <c r="BM61" s="4103"/>
      <c r="BN61" s="4100"/>
      <c r="BO61" s="4100"/>
      <c r="BP61" s="3075"/>
      <c r="BQ61" s="3019"/>
      <c r="BR61" s="3019"/>
      <c r="BS61" s="3019"/>
      <c r="BT61" s="3019"/>
      <c r="BU61" s="3050"/>
    </row>
    <row r="62" spans="1:73" ht="18" customHeight="1" x14ac:dyDescent="0.25">
      <c r="A62" s="2018"/>
      <c r="B62" s="1997"/>
      <c r="C62" s="1984"/>
      <c r="D62" s="1982"/>
      <c r="G62" s="4084"/>
      <c r="H62" s="2771"/>
      <c r="I62" s="4084"/>
      <c r="J62" s="2771"/>
      <c r="K62" s="3716"/>
      <c r="L62" s="2771"/>
      <c r="M62" s="3716"/>
      <c r="N62" s="2771"/>
      <c r="O62" s="4087"/>
      <c r="P62" s="4134"/>
      <c r="Q62" s="2502"/>
      <c r="R62" s="2680"/>
      <c r="S62" s="4144"/>
      <c r="T62" s="4138"/>
      <c r="U62" s="3204"/>
      <c r="V62" s="4119"/>
      <c r="W62" s="4148"/>
      <c r="X62" s="801">
        <v>18000000</v>
      </c>
      <c r="Y62" s="806">
        <v>17000000</v>
      </c>
      <c r="Z62" s="806">
        <v>17000000</v>
      </c>
      <c r="AA62" s="1989" t="s">
        <v>877</v>
      </c>
      <c r="AB62" s="4155"/>
      <c r="AC62" s="2993"/>
      <c r="AD62" s="4100"/>
      <c r="AE62" s="4100"/>
      <c r="AF62" s="4100"/>
      <c r="AG62" s="4100"/>
      <c r="AH62" s="4100"/>
      <c r="AI62" s="4100"/>
      <c r="AJ62" s="4100"/>
      <c r="AK62" s="4100"/>
      <c r="AL62" s="4100"/>
      <c r="AM62" s="4100"/>
      <c r="AN62" s="4100"/>
      <c r="AO62" s="4100"/>
      <c r="AP62" s="4100"/>
      <c r="AQ62" s="4100"/>
      <c r="AR62" s="4100"/>
      <c r="AS62" s="4100"/>
      <c r="AT62" s="4100"/>
      <c r="AU62" s="4100"/>
      <c r="AV62" s="4100"/>
      <c r="AW62" s="4100"/>
      <c r="AX62" s="4100"/>
      <c r="AY62" s="4100"/>
      <c r="AZ62" s="4100"/>
      <c r="BA62" s="4100"/>
      <c r="BB62" s="4100"/>
      <c r="BC62" s="4100"/>
      <c r="BD62" s="4100"/>
      <c r="BE62" s="4100"/>
      <c r="BF62" s="4100"/>
      <c r="BG62" s="4100"/>
      <c r="BH62" s="4100"/>
      <c r="BI62" s="4100"/>
      <c r="BJ62" s="4100"/>
      <c r="BK62" s="4100"/>
      <c r="BL62" s="4100"/>
      <c r="BM62" s="4103"/>
      <c r="BN62" s="4100"/>
      <c r="BO62" s="4100"/>
      <c r="BP62" s="3075"/>
      <c r="BQ62" s="3019"/>
      <c r="BR62" s="3019"/>
      <c r="BS62" s="3019"/>
      <c r="BT62" s="3019"/>
      <c r="BU62" s="3050"/>
    </row>
    <row r="63" spans="1:73" ht="33" customHeight="1" x14ac:dyDescent="0.25">
      <c r="A63" s="2018"/>
      <c r="B63" s="1997"/>
      <c r="C63" s="1984"/>
      <c r="D63" s="1982"/>
      <c r="G63" s="4085"/>
      <c r="H63" s="2772"/>
      <c r="I63" s="4085"/>
      <c r="J63" s="2772"/>
      <c r="K63" s="3717"/>
      <c r="L63" s="2772"/>
      <c r="M63" s="3717"/>
      <c r="N63" s="2772"/>
      <c r="O63" s="4088"/>
      <c r="P63" s="4135"/>
      <c r="Q63" s="2502"/>
      <c r="R63" s="2680"/>
      <c r="S63" s="4145"/>
      <c r="T63" s="4138"/>
      <c r="U63" s="3204"/>
      <c r="V63" s="4119"/>
      <c r="W63" s="4149"/>
      <c r="X63" s="801">
        <v>0</v>
      </c>
      <c r="Y63" s="806">
        <v>0</v>
      </c>
      <c r="Z63" s="806">
        <v>0</v>
      </c>
      <c r="AA63" s="1989" t="s">
        <v>878</v>
      </c>
      <c r="AB63" s="4156"/>
      <c r="AC63" s="2994"/>
      <c r="AD63" s="4100"/>
      <c r="AE63" s="4100"/>
      <c r="AF63" s="4100"/>
      <c r="AG63" s="4100"/>
      <c r="AH63" s="4100"/>
      <c r="AI63" s="4100"/>
      <c r="AJ63" s="4100"/>
      <c r="AK63" s="4100"/>
      <c r="AL63" s="4100"/>
      <c r="AM63" s="4100"/>
      <c r="AN63" s="4100"/>
      <c r="AO63" s="4100"/>
      <c r="AP63" s="4100"/>
      <c r="AQ63" s="4100"/>
      <c r="AR63" s="4100"/>
      <c r="AS63" s="4100"/>
      <c r="AT63" s="4100"/>
      <c r="AU63" s="4100"/>
      <c r="AV63" s="4100"/>
      <c r="AW63" s="4100"/>
      <c r="AX63" s="4100"/>
      <c r="AY63" s="4100"/>
      <c r="AZ63" s="4100"/>
      <c r="BA63" s="4100"/>
      <c r="BB63" s="4100"/>
      <c r="BC63" s="4100"/>
      <c r="BD63" s="4100"/>
      <c r="BE63" s="4100"/>
      <c r="BF63" s="4100"/>
      <c r="BG63" s="4100"/>
      <c r="BH63" s="4100"/>
      <c r="BI63" s="4100"/>
      <c r="BJ63" s="4100"/>
      <c r="BK63" s="4100"/>
      <c r="BL63" s="4100"/>
      <c r="BM63" s="4103"/>
      <c r="BN63" s="4100"/>
      <c r="BO63" s="4100"/>
      <c r="BP63" s="3075"/>
      <c r="BQ63" s="3019"/>
      <c r="BR63" s="3019"/>
      <c r="BS63" s="3019"/>
      <c r="BT63" s="3019"/>
      <c r="BU63" s="3050"/>
    </row>
    <row r="64" spans="1:73" ht="43.5" customHeight="1" x14ac:dyDescent="0.25">
      <c r="A64" s="2018"/>
      <c r="B64" s="1997"/>
      <c r="C64" s="1984"/>
      <c r="D64" s="1982"/>
      <c r="G64" s="4160" t="s">
        <v>879</v>
      </c>
      <c r="H64" s="3402" t="s">
        <v>880</v>
      </c>
      <c r="I64" s="4160">
        <v>2201074</v>
      </c>
      <c r="J64" s="3402" t="s">
        <v>880</v>
      </c>
      <c r="K64" s="4162">
        <v>220100900</v>
      </c>
      <c r="L64" s="3402" t="s">
        <v>881</v>
      </c>
      <c r="M64" s="4162">
        <v>220107400</v>
      </c>
      <c r="N64" s="3402" t="s">
        <v>882</v>
      </c>
      <c r="O64" s="4140">
        <v>606</v>
      </c>
      <c r="P64" s="4133">
        <v>620</v>
      </c>
      <c r="Q64" s="2502"/>
      <c r="R64" s="2680"/>
      <c r="S64" s="4141">
        <f>SUM(X64:X67)/T46</f>
        <v>0.13074146779539936</v>
      </c>
      <c r="T64" s="4138"/>
      <c r="U64" s="3204"/>
      <c r="V64" s="4119"/>
      <c r="W64" s="4151" t="s">
        <v>883</v>
      </c>
      <c r="X64" s="801">
        <v>1328898.3899999999</v>
      </c>
      <c r="Y64" s="801">
        <v>1328898.3899999999</v>
      </c>
      <c r="Z64" s="801">
        <v>1328898.3899999999</v>
      </c>
      <c r="AA64" s="1989" t="s">
        <v>884</v>
      </c>
      <c r="AB64" s="821">
        <v>20</v>
      </c>
      <c r="AC64" s="1990" t="s">
        <v>284</v>
      </c>
      <c r="AD64" s="4100"/>
      <c r="AE64" s="4100"/>
      <c r="AF64" s="4100"/>
      <c r="AG64" s="4100"/>
      <c r="AH64" s="4100"/>
      <c r="AI64" s="4100"/>
      <c r="AJ64" s="4100"/>
      <c r="AK64" s="4100"/>
      <c r="AL64" s="4100"/>
      <c r="AM64" s="4100"/>
      <c r="AN64" s="4100"/>
      <c r="AO64" s="4100"/>
      <c r="AP64" s="4100"/>
      <c r="AQ64" s="4100"/>
      <c r="AR64" s="4100"/>
      <c r="AS64" s="4100"/>
      <c r="AT64" s="4100"/>
      <c r="AU64" s="4100"/>
      <c r="AV64" s="4100"/>
      <c r="AW64" s="4100"/>
      <c r="AX64" s="4100"/>
      <c r="AY64" s="4100"/>
      <c r="AZ64" s="4100"/>
      <c r="BA64" s="4100"/>
      <c r="BB64" s="4100"/>
      <c r="BC64" s="4100"/>
      <c r="BD64" s="4100"/>
      <c r="BE64" s="4100"/>
      <c r="BF64" s="4100"/>
      <c r="BG64" s="4100"/>
      <c r="BH64" s="4100"/>
      <c r="BI64" s="4100"/>
      <c r="BJ64" s="4100"/>
      <c r="BK64" s="4100"/>
      <c r="BL64" s="4100"/>
      <c r="BM64" s="4103"/>
      <c r="BN64" s="4100"/>
      <c r="BO64" s="4100"/>
      <c r="BP64" s="3075"/>
      <c r="BQ64" s="3019"/>
      <c r="BR64" s="3019"/>
      <c r="BS64" s="3019"/>
      <c r="BT64" s="3019"/>
      <c r="BU64" s="3050"/>
    </row>
    <row r="65" spans="1:73" ht="36.75" customHeight="1" x14ac:dyDescent="0.25">
      <c r="A65" s="2018"/>
      <c r="B65" s="1997"/>
      <c r="C65" s="1984"/>
      <c r="D65" s="1982"/>
      <c r="G65" s="4128"/>
      <c r="H65" s="3403"/>
      <c r="I65" s="4128"/>
      <c r="J65" s="3403"/>
      <c r="K65" s="4163"/>
      <c r="L65" s="3403"/>
      <c r="M65" s="4163"/>
      <c r="N65" s="3403"/>
      <c r="O65" s="4132"/>
      <c r="P65" s="4134"/>
      <c r="Q65" s="2502"/>
      <c r="R65" s="2680"/>
      <c r="S65" s="4137"/>
      <c r="T65" s="4138"/>
      <c r="U65" s="3204"/>
      <c r="V65" s="4119"/>
      <c r="W65" s="4152"/>
      <c r="X65" s="801">
        <v>8252158.0700000003</v>
      </c>
      <c r="Y65" s="801">
        <v>8252158.0700000003</v>
      </c>
      <c r="Z65" s="801">
        <v>8252158.0700000003</v>
      </c>
      <c r="AA65" s="1989" t="s">
        <v>885</v>
      </c>
      <c r="AB65" s="821">
        <v>20</v>
      </c>
      <c r="AC65" s="1990" t="s">
        <v>284</v>
      </c>
      <c r="AD65" s="4100"/>
      <c r="AE65" s="4100"/>
      <c r="AF65" s="4100"/>
      <c r="AG65" s="4100"/>
      <c r="AH65" s="4100"/>
      <c r="AI65" s="4100"/>
      <c r="AJ65" s="4100"/>
      <c r="AK65" s="4100"/>
      <c r="AL65" s="4100"/>
      <c r="AM65" s="4100"/>
      <c r="AN65" s="4100"/>
      <c r="AO65" s="4100"/>
      <c r="AP65" s="4100"/>
      <c r="AQ65" s="4100"/>
      <c r="AR65" s="4100"/>
      <c r="AS65" s="4100"/>
      <c r="AT65" s="4100"/>
      <c r="AU65" s="4100"/>
      <c r="AV65" s="4100"/>
      <c r="AW65" s="4100"/>
      <c r="AX65" s="4100"/>
      <c r="AY65" s="4100"/>
      <c r="AZ65" s="4100"/>
      <c r="BA65" s="4100"/>
      <c r="BB65" s="4100"/>
      <c r="BC65" s="4100"/>
      <c r="BD65" s="4100"/>
      <c r="BE65" s="4100"/>
      <c r="BF65" s="4100"/>
      <c r="BG65" s="4100"/>
      <c r="BH65" s="4100"/>
      <c r="BI65" s="4100"/>
      <c r="BJ65" s="4100"/>
      <c r="BK65" s="4100"/>
      <c r="BL65" s="4100"/>
      <c r="BM65" s="4103"/>
      <c r="BN65" s="4100"/>
      <c r="BO65" s="4100"/>
      <c r="BP65" s="3075"/>
      <c r="BQ65" s="3019"/>
      <c r="BR65" s="3019"/>
      <c r="BS65" s="3019"/>
      <c r="BT65" s="3019"/>
      <c r="BU65" s="3050"/>
    </row>
    <row r="66" spans="1:73" ht="84" customHeight="1" x14ac:dyDescent="0.25">
      <c r="A66" s="2018"/>
      <c r="B66" s="1997"/>
      <c r="C66" s="1984"/>
      <c r="D66" s="1982"/>
      <c r="G66" s="4128"/>
      <c r="H66" s="3403"/>
      <c r="I66" s="4128"/>
      <c r="J66" s="3403"/>
      <c r="K66" s="4163"/>
      <c r="L66" s="3403"/>
      <c r="M66" s="4163"/>
      <c r="N66" s="3403"/>
      <c r="O66" s="4132"/>
      <c r="P66" s="4134"/>
      <c r="Q66" s="2502"/>
      <c r="R66" s="2680"/>
      <c r="S66" s="4137"/>
      <c r="T66" s="4138"/>
      <c r="U66" s="3204"/>
      <c r="V66" s="4119"/>
      <c r="W66" s="4152"/>
      <c r="X66" s="801">
        <v>7501385.9199999999</v>
      </c>
      <c r="Y66" s="801">
        <v>7501385.9199999999</v>
      </c>
      <c r="Z66" s="801">
        <v>7501385.9199999999</v>
      </c>
      <c r="AA66" s="1989" t="s">
        <v>886</v>
      </c>
      <c r="AB66" s="821">
        <v>20</v>
      </c>
      <c r="AC66" s="1990" t="s">
        <v>284</v>
      </c>
      <c r="AD66" s="4100"/>
      <c r="AE66" s="4100"/>
      <c r="AF66" s="4100"/>
      <c r="AG66" s="4100"/>
      <c r="AH66" s="4100"/>
      <c r="AI66" s="4100"/>
      <c r="AJ66" s="4100"/>
      <c r="AK66" s="4100"/>
      <c r="AL66" s="4100"/>
      <c r="AM66" s="4100"/>
      <c r="AN66" s="4100"/>
      <c r="AO66" s="4100"/>
      <c r="AP66" s="4100"/>
      <c r="AQ66" s="4100"/>
      <c r="AR66" s="4100"/>
      <c r="AS66" s="4100"/>
      <c r="AT66" s="4100"/>
      <c r="AU66" s="4100"/>
      <c r="AV66" s="4100"/>
      <c r="AW66" s="4100"/>
      <c r="AX66" s="4100"/>
      <c r="AY66" s="4100"/>
      <c r="AZ66" s="4100"/>
      <c r="BA66" s="4100"/>
      <c r="BB66" s="4100"/>
      <c r="BC66" s="4100"/>
      <c r="BD66" s="4100"/>
      <c r="BE66" s="4100"/>
      <c r="BF66" s="4100"/>
      <c r="BG66" s="4100"/>
      <c r="BH66" s="4100"/>
      <c r="BI66" s="4100"/>
      <c r="BJ66" s="4100"/>
      <c r="BK66" s="4100"/>
      <c r="BL66" s="4100"/>
      <c r="BM66" s="4103"/>
      <c r="BN66" s="4100"/>
      <c r="BO66" s="4100"/>
      <c r="BP66" s="3075"/>
      <c r="BQ66" s="3019"/>
      <c r="BR66" s="3019"/>
      <c r="BS66" s="3019"/>
      <c r="BT66" s="3019"/>
      <c r="BU66" s="3050"/>
    </row>
    <row r="67" spans="1:73" ht="117" customHeight="1" x14ac:dyDescent="0.25">
      <c r="A67" s="2018"/>
      <c r="B67" s="1997"/>
      <c r="C67" s="1984"/>
      <c r="D67" s="1982"/>
      <c r="G67" s="4161"/>
      <c r="H67" s="3417"/>
      <c r="I67" s="4161"/>
      <c r="J67" s="3417"/>
      <c r="K67" s="4164"/>
      <c r="L67" s="3417"/>
      <c r="M67" s="4164"/>
      <c r="N67" s="3417"/>
      <c r="O67" s="4116"/>
      <c r="P67" s="4135"/>
      <c r="Q67" s="2502"/>
      <c r="R67" s="2680"/>
      <c r="S67" s="4142"/>
      <c r="T67" s="4138"/>
      <c r="U67" s="3204"/>
      <c r="V67" s="4119"/>
      <c r="W67" s="4153"/>
      <c r="X67" s="801">
        <v>2917557.61</v>
      </c>
      <c r="Y67" s="801">
        <v>2917557.61</v>
      </c>
      <c r="Z67" s="801">
        <v>2917557.61</v>
      </c>
      <c r="AA67" s="1989" t="s">
        <v>887</v>
      </c>
      <c r="AB67" s="821">
        <v>20</v>
      </c>
      <c r="AC67" s="1990" t="s">
        <v>284</v>
      </c>
      <c r="AD67" s="4100"/>
      <c r="AE67" s="4100"/>
      <c r="AF67" s="4100"/>
      <c r="AG67" s="4100"/>
      <c r="AH67" s="4100"/>
      <c r="AI67" s="4100"/>
      <c r="AJ67" s="4100"/>
      <c r="AK67" s="4100"/>
      <c r="AL67" s="4100"/>
      <c r="AM67" s="4100"/>
      <c r="AN67" s="4100"/>
      <c r="AO67" s="4100"/>
      <c r="AP67" s="4100"/>
      <c r="AQ67" s="4100"/>
      <c r="AR67" s="4100"/>
      <c r="AS67" s="4100"/>
      <c r="AT67" s="4100"/>
      <c r="AU67" s="4100"/>
      <c r="AV67" s="4100"/>
      <c r="AW67" s="4100"/>
      <c r="AX67" s="4100"/>
      <c r="AY67" s="4100"/>
      <c r="AZ67" s="4100"/>
      <c r="BA67" s="4100"/>
      <c r="BB67" s="4100"/>
      <c r="BC67" s="4100"/>
      <c r="BD67" s="4100"/>
      <c r="BE67" s="4100"/>
      <c r="BF67" s="4100"/>
      <c r="BG67" s="4100"/>
      <c r="BH67" s="4100"/>
      <c r="BI67" s="4100"/>
      <c r="BJ67" s="4100"/>
      <c r="BK67" s="4100"/>
      <c r="BL67" s="4100"/>
      <c r="BM67" s="4103"/>
      <c r="BN67" s="4100"/>
      <c r="BO67" s="4100"/>
      <c r="BP67" s="3075"/>
      <c r="BQ67" s="3019"/>
      <c r="BR67" s="3019"/>
      <c r="BS67" s="3019"/>
      <c r="BT67" s="3019"/>
      <c r="BU67" s="3050"/>
    </row>
    <row r="68" spans="1:73" ht="120.75" customHeight="1" x14ac:dyDescent="0.25">
      <c r="A68" s="2018"/>
      <c r="B68" s="1997"/>
      <c r="C68" s="1984"/>
      <c r="D68" s="1982"/>
      <c r="G68" s="1978">
        <v>220101010</v>
      </c>
      <c r="H68" s="2010" t="s">
        <v>888</v>
      </c>
      <c r="I68" s="2043">
        <v>2201074</v>
      </c>
      <c r="J68" s="2010" t="s">
        <v>889</v>
      </c>
      <c r="K68" s="1978">
        <v>220101000</v>
      </c>
      <c r="L68" s="2010" t="s">
        <v>882</v>
      </c>
      <c r="M68" s="2005">
        <v>220107400</v>
      </c>
      <c r="N68" s="2010" t="s">
        <v>882</v>
      </c>
      <c r="O68" s="2030">
        <v>94</v>
      </c>
      <c r="P68" s="2047">
        <v>94</v>
      </c>
      <c r="Q68" s="2502"/>
      <c r="R68" s="2680"/>
      <c r="S68" s="823">
        <f>X68/T46</f>
        <v>0.13074146786077007</v>
      </c>
      <c r="T68" s="4138"/>
      <c r="U68" s="3204"/>
      <c r="V68" s="4119"/>
      <c r="W68" s="824" t="s">
        <v>890</v>
      </c>
      <c r="X68" s="801">
        <v>20000000</v>
      </c>
      <c r="Y68" s="806">
        <v>20000000</v>
      </c>
      <c r="Z68" s="806">
        <v>20000000</v>
      </c>
      <c r="AA68" s="1989" t="s">
        <v>891</v>
      </c>
      <c r="AB68" s="821">
        <v>20</v>
      </c>
      <c r="AC68" s="1990" t="s">
        <v>284</v>
      </c>
      <c r="AD68" s="4100"/>
      <c r="AE68" s="4100"/>
      <c r="AF68" s="4100"/>
      <c r="AG68" s="4100"/>
      <c r="AH68" s="4100"/>
      <c r="AI68" s="4100"/>
      <c r="AJ68" s="4100"/>
      <c r="AK68" s="4100"/>
      <c r="AL68" s="4100"/>
      <c r="AM68" s="4100"/>
      <c r="AN68" s="4100"/>
      <c r="AO68" s="4100"/>
      <c r="AP68" s="4100"/>
      <c r="AQ68" s="4100"/>
      <c r="AR68" s="4100"/>
      <c r="AS68" s="4100"/>
      <c r="AT68" s="4100"/>
      <c r="AU68" s="4100"/>
      <c r="AV68" s="4100"/>
      <c r="AW68" s="4100"/>
      <c r="AX68" s="4100"/>
      <c r="AY68" s="4100"/>
      <c r="AZ68" s="4100"/>
      <c r="BA68" s="4100"/>
      <c r="BB68" s="4100"/>
      <c r="BC68" s="4100"/>
      <c r="BD68" s="4100"/>
      <c r="BE68" s="4100"/>
      <c r="BF68" s="4100"/>
      <c r="BG68" s="4100"/>
      <c r="BH68" s="4100"/>
      <c r="BI68" s="4100"/>
      <c r="BJ68" s="4100"/>
      <c r="BK68" s="4100"/>
      <c r="BL68" s="4100"/>
      <c r="BM68" s="4103"/>
      <c r="BN68" s="4100"/>
      <c r="BO68" s="4100"/>
      <c r="BP68" s="3075"/>
      <c r="BQ68" s="3019"/>
      <c r="BR68" s="3019"/>
      <c r="BS68" s="3019"/>
      <c r="BT68" s="3019"/>
      <c r="BU68" s="3050"/>
    </row>
    <row r="69" spans="1:73" ht="81" customHeight="1" x14ac:dyDescent="0.25">
      <c r="A69" s="2018"/>
      <c r="B69" s="1997"/>
      <c r="C69" s="1984"/>
      <c r="D69" s="1982"/>
      <c r="G69" s="2050">
        <v>2201035</v>
      </c>
      <c r="H69" s="2010" t="s">
        <v>892</v>
      </c>
      <c r="I69" s="2050">
        <v>2201035</v>
      </c>
      <c r="J69" s="2010" t="s">
        <v>892</v>
      </c>
      <c r="K69" s="2005">
        <v>220103500</v>
      </c>
      <c r="L69" s="2010" t="s">
        <v>893</v>
      </c>
      <c r="M69" s="2005">
        <v>220103500</v>
      </c>
      <c r="N69" s="2010" t="s">
        <v>893</v>
      </c>
      <c r="O69" s="2030">
        <v>8</v>
      </c>
      <c r="P69" s="2047">
        <v>8</v>
      </c>
      <c r="Q69" s="2502"/>
      <c r="R69" s="2680"/>
      <c r="S69" s="823">
        <f>X69/T46</f>
        <v>6.5370733930385033E-2</v>
      </c>
      <c r="T69" s="4138"/>
      <c r="U69" s="3204"/>
      <c r="V69" s="4119" t="s">
        <v>894</v>
      </c>
      <c r="W69" s="2044" t="s">
        <v>895</v>
      </c>
      <c r="X69" s="801">
        <v>10000000</v>
      </c>
      <c r="Y69" s="806">
        <v>10000000</v>
      </c>
      <c r="Z69" s="806">
        <v>10000000</v>
      </c>
      <c r="AA69" s="1989" t="s">
        <v>896</v>
      </c>
      <c r="AB69" s="821">
        <v>20</v>
      </c>
      <c r="AC69" s="1990" t="s">
        <v>284</v>
      </c>
      <c r="AD69" s="4100"/>
      <c r="AE69" s="4100"/>
      <c r="AF69" s="4100"/>
      <c r="AG69" s="4100"/>
      <c r="AH69" s="4100"/>
      <c r="AI69" s="4100"/>
      <c r="AJ69" s="4100"/>
      <c r="AK69" s="4100"/>
      <c r="AL69" s="4100"/>
      <c r="AM69" s="4100"/>
      <c r="AN69" s="4100"/>
      <c r="AO69" s="4100"/>
      <c r="AP69" s="4100"/>
      <c r="AQ69" s="4100"/>
      <c r="AR69" s="4100"/>
      <c r="AS69" s="4100"/>
      <c r="AT69" s="4100"/>
      <c r="AU69" s="4100"/>
      <c r="AV69" s="4100"/>
      <c r="AW69" s="4100"/>
      <c r="AX69" s="4100"/>
      <c r="AY69" s="4100"/>
      <c r="AZ69" s="4100"/>
      <c r="BA69" s="4100"/>
      <c r="BB69" s="4100"/>
      <c r="BC69" s="4100"/>
      <c r="BD69" s="4100"/>
      <c r="BE69" s="4100"/>
      <c r="BF69" s="4100"/>
      <c r="BG69" s="4100"/>
      <c r="BH69" s="4100"/>
      <c r="BI69" s="4100"/>
      <c r="BJ69" s="4100"/>
      <c r="BK69" s="4100"/>
      <c r="BL69" s="4100"/>
      <c r="BM69" s="4103"/>
      <c r="BN69" s="4100"/>
      <c r="BO69" s="4100"/>
      <c r="BP69" s="3075"/>
      <c r="BQ69" s="3019"/>
      <c r="BR69" s="3019"/>
      <c r="BS69" s="3019"/>
      <c r="BT69" s="3019"/>
      <c r="BU69" s="3050"/>
    </row>
    <row r="70" spans="1:73" ht="39.75" customHeight="1" x14ac:dyDescent="0.25">
      <c r="A70" s="2018"/>
      <c r="B70" s="1997"/>
      <c r="C70" s="1984"/>
      <c r="D70" s="1982"/>
      <c r="G70" s="4160">
        <v>2201046</v>
      </c>
      <c r="H70" s="3402" t="s">
        <v>897</v>
      </c>
      <c r="I70" s="4160">
        <v>2201046</v>
      </c>
      <c r="J70" s="3402" t="s">
        <v>897</v>
      </c>
      <c r="K70" s="4162">
        <v>220104602</v>
      </c>
      <c r="L70" s="3402" t="s">
        <v>898</v>
      </c>
      <c r="M70" s="4162">
        <v>220104602</v>
      </c>
      <c r="N70" s="3402" t="s">
        <v>898</v>
      </c>
      <c r="O70" s="4140">
        <v>13</v>
      </c>
      <c r="P70" s="4133">
        <v>16</v>
      </c>
      <c r="Q70" s="2502"/>
      <c r="R70" s="2680"/>
      <c r="S70" s="4141">
        <f>SUM(X70:X73)/T46</f>
        <v>6.537073399575577E-2</v>
      </c>
      <c r="T70" s="4138"/>
      <c r="U70" s="3204"/>
      <c r="V70" s="4119"/>
      <c r="W70" s="4151" t="s">
        <v>899</v>
      </c>
      <c r="X70" s="801">
        <v>664449.19999999995</v>
      </c>
      <c r="Y70" s="801">
        <v>663449.21</v>
      </c>
      <c r="Z70" s="806">
        <v>663449.21</v>
      </c>
      <c r="AA70" s="1989" t="s">
        <v>900</v>
      </c>
      <c r="AB70" s="4154">
        <v>20</v>
      </c>
      <c r="AC70" s="2992" t="s">
        <v>284</v>
      </c>
      <c r="AD70" s="4100"/>
      <c r="AE70" s="4100"/>
      <c r="AF70" s="4100"/>
      <c r="AG70" s="4100"/>
      <c r="AH70" s="4100"/>
      <c r="AI70" s="4100"/>
      <c r="AJ70" s="4100"/>
      <c r="AK70" s="4100"/>
      <c r="AL70" s="4100"/>
      <c r="AM70" s="4100"/>
      <c r="AN70" s="4100"/>
      <c r="AO70" s="4100"/>
      <c r="AP70" s="4100"/>
      <c r="AQ70" s="4100"/>
      <c r="AR70" s="4100"/>
      <c r="AS70" s="4100"/>
      <c r="AT70" s="4100"/>
      <c r="AU70" s="4100"/>
      <c r="AV70" s="4100"/>
      <c r="AW70" s="4100"/>
      <c r="AX70" s="4100"/>
      <c r="AY70" s="4100"/>
      <c r="AZ70" s="4100"/>
      <c r="BA70" s="4100"/>
      <c r="BB70" s="4100"/>
      <c r="BC70" s="4100"/>
      <c r="BD70" s="4100"/>
      <c r="BE70" s="4100"/>
      <c r="BF70" s="4100"/>
      <c r="BG70" s="4100"/>
      <c r="BH70" s="4100"/>
      <c r="BI70" s="4100"/>
      <c r="BJ70" s="4100"/>
      <c r="BK70" s="4100"/>
      <c r="BL70" s="4100"/>
      <c r="BM70" s="4103"/>
      <c r="BN70" s="4100"/>
      <c r="BO70" s="4100"/>
      <c r="BP70" s="3075"/>
      <c r="BQ70" s="3019"/>
      <c r="BR70" s="3019"/>
      <c r="BS70" s="3019"/>
      <c r="BT70" s="3019"/>
      <c r="BU70" s="3050"/>
    </row>
    <row r="71" spans="1:73" ht="23.25" customHeight="1" x14ac:dyDescent="0.25">
      <c r="A71" s="2018"/>
      <c r="B71" s="1997"/>
      <c r="C71" s="1984"/>
      <c r="D71" s="1982"/>
      <c r="G71" s="4128"/>
      <c r="H71" s="3403"/>
      <c r="I71" s="4128"/>
      <c r="J71" s="3403"/>
      <c r="K71" s="4163"/>
      <c r="L71" s="3403"/>
      <c r="M71" s="4163"/>
      <c r="N71" s="3403"/>
      <c r="O71" s="4132"/>
      <c r="P71" s="4134"/>
      <c r="Q71" s="2502"/>
      <c r="R71" s="2680"/>
      <c r="S71" s="4137"/>
      <c r="T71" s="4138"/>
      <c r="U71" s="3204"/>
      <c r="V71" s="4119"/>
      <c r="W71" s="4152"/>
      <c r="X71" s="801">
        <v>4126079.04</v>
      </c>
      <c r="Y71" s="801">
        <v>4126079.04</v>
      </c>
      <c r="Z71" s="801">
        <v>4126079.04</v>
      </c>
      <c r="AA71" s="1989" t="s">
        <v>901</v>
      </c>
      <c r="AB71" s="4155"/>
      <c r="AC71" s="2993"/>
      <c r="AD71" s="4100"/>
      <c r="AE71" s="4100"/>
      <c r="AF71" s="4100"/>
      <c r="AG71" s="4100"/>
      <c r="AH71" s="4100"/>
      <c r="AI71" s="4100"/>
      <c r="AJ71" s="4100"/>
      <c r="AK71" s="4100"/>
      <c r="AL71" s="4100"/>
      <c r="AM71" s="4100"/>
      <c r="AN71" s="4100"/>
      <c r="AO71" s="4100"/>
      <c r="AP71" s="4100"/>
      <c r="AQ71" s="4100"/>
      <c r="AR71" s="4100"/>
      <c r="AS71" s="4100"/>
      <c r="AT71" s="4100"/>
      <c r="AU71" s="4100"/>
      <c r="AV71" s="4100"/>
      <c r="AW71" s="4100"/>
      <c r="AX71" s="4100"/>
      <c r="AY71" s="4100"/>
      <c r="AZ71" s="4100"/>
      <c r="BA71" s="4100"/>
      <c r="BB71" s="4100"/>
      <c r="BC71" s="4100"/>
      <c r="BD71" s="4100"/>
      <c r="BE71" s="4100"/>
      <c r="BF71" s="4100"/>
      <c r="BG71" s="4100"/>
      <c r="BH71" s="4100"/>
      <c r="BI71" s="4100"/>
      <c r="BJ71" s="4100"/>
      <c r="BK71" s="4100"/>
      <c r="BL71" s="4100"/>
      <c r="BM71" s="4103"/>
      <c r="BN71" s="4100"/>
      <c r="BO71" s="4100"/>
      <c r="BP71" s="3075"/>
      <c r="BQ71" s="3019"/>
      <c r="BR71" s="3019"/>
      <c r="BS71" s="3019"/>
      <c r="BT71" s="3019"/>
      <c r="BU71" s="3050"/>
    </row>
    <row r="72" spans="1:73" ht="30" customHeight="1" x14ac:dyDescent="0.25">
      <c r="A72" s="2018"/>
      <c r="B72" s="1997"/>
      <c r="C72" s="1984"/>
      <c r="D72" s="1982"/>
      <c r="G72" s="4128"/>
      <c r="H72" s="3403"/>
      <c r="I72" s="4128"/>
      <c r="J72" s="3403"/>
      <c r="K72" s="4163"/>
      <c r="L72" s="3403"/>
      <c r="M72" s="4163"/>
      <c r="N72" s="3403"/>
      <c r="O72" s="4132"/>
      <c r="P72" s="4134"/>
      <c r="Q72" s="2502"/>
      <c r="R72" s="2680"/>
      <c r="S72" s="4137"/>
      <c r="T72" s="4138"/>
      <c r="U72" s="3204"/>
      <c r="V72" s="4119"/>
      <c r="W72" s="4152"/>
      <c r="X72" s="801">
        <v>3750692.96</v>
      </c>
      <c r="Y72" s="801">
        <v>3750692.96</v>
      </c>
      <c r="Z72" s="801">
        <v>3750692.96</v>
      </c>
      <c r="AA72" s="1989" t="s">
        <v>902</v>
      </c>
      <c r="AB72" s="4155"/>
      <c r="AC72" s="2993"/>
      <c r="AD72" s="4100"/>
      <c r="AE72" s="4100"/>
      <c r="AF72" s="4100"/>
      <c r="AG72" s="4100"/>
      <c r="AH72" s="4100"/>
      <c r="AI72" s="4100"/>
      <c r="AJ72" s="4100"/>
      <c r="AK72" s="4100"/>
      <c r="AL72" s="4100"/>
      <c r="AM72" s="4100"/>
      <c r="AN72" s="4100"/>
      <c r="AO72" s="4100"/>
      <c r="AP72" s="4100"/>
      <c r="AQ72" s="4100"/>
      <c r="AR72" s="4100"/>
      <c r="AS72" s="4100"/>
      <c r="AT72" s="4100"/>
      <c r="AU72" s="4100"/>
      <c r="AV72" s="4100"/>
      <c r="AW72" s="4100"/>
      <c r="AX72" s="4100"/>
      <c r="AY72" s="4100"/>
      <c r="AZ72" s="4100"/>
      <c r="BA72" s="4100"/>
      <c r="BB72" s="4100"/>
      <c r="BC72" s="4100"/>
      <c r="BD72" s="4100"/>
      <c r="BE72" s="4100"/>
      <c r="BF72" s="4100"/>
      <c r="BG72" s="4100"/>
      <c r="BH72" s="4100"/>
      <c r="BI72" s="4100"/>
      <c r="BJ72" s="4100"/>
      <c r="BK72" s="4100"/>
      <c r="BL72" s="4100"/>
      <c r="BM72" s="4103"/>
      <c r="BN72" s="4100"/>
      <c r="BO72" s="4100"/>
      <c r="BP72" s="3075"/>
      <c r="BQ72" s="3019"/>
      <c r="BR72" s="3019"/>
      <c r="BS72" s="3019"/>
      <c r="BT72" s="3019"/>
      <c r="BU72" s="3050"/>
    </row>
    <row r="73" spans="1:73" ht="33.75" customHeight="1" x14ac:dyDescent="0.25">
      <c r="A73" s="2018"/>
      <c r="B73" s="1997"/>
      <c r="C73" s="1984"/>
      <c r="D73" s="1982"/>
      <c r="G73" s="4161"/>
      <c r="H73" s="3417"/>
      <c r="I73" s="4161"/>
      <c r="J73" s="3417"/>
      <c r="K73" s="4164"/>
      <c r="L73" s="3417"/>
      <c r="M73" s="4164"/>
      <c r="N73" s="3417"/>
      <c r="O73" s="4116"/>
      <c r="P73" s="4135"/>
      <c r="Q73" s="2502"/>
      <c r="R73" s="2680"/>
      <c r="S73" s="4142"/>
      <c r="T73" s="4138"/>
      <c r="U73" s="3204"/>
      <c r="V73" s="4119"/>
      <c r="W73" s="4152"/>
      <c r="X73" s="801">
        <v>1458778.81</v>
      </c>
      <c r="Y73" s="801">
        <v>1458778.8</v>
      </c>
      <c r="Z73" s="806">
        <v>1458778.8</v>
      </c>
      <c r="AA73" s="1989" t="s">
        <v>903</v>
      </c>
      <c r="AB73" s="4156"/>
      <c r="AC73" s="2994"/>
      <c r="AD73" s="4100"/>
      <c r="AE73" s="4100"/>
      <c r="AF73" s="4100"/>
      <c r="AG73" s="4100"/>
      <c r="AH73" s="4100"/>
      <c r="AI73" s="4100"/>
      <c r="AJ73" s="4100"/>
      <c r="AK73" s="4100"/>
      <c r="AL73" s="4100"/>
      <c r="AM73" s="4100"/>
      <c r="AN73" s="4100"/>
      <c r="AO73" s="4100"/>
      <c r="AP73" s="4100"/>
      <c r="AQ73" s="4100"/>
      <c r="AR73" s="4100"/>
      <c r="AS73" s="4100"/>
      <c r="AT73" s="4100"/>
      <c r="AU73" s="4100"/>
      <c r="AV73" s="4100"/>
      <c r="AW73" s="4100"/>
      <c r="AX73" s="4100"/>
      <c r="AY73" s="4100"/>
      <c r="AZ73" s="4100"/>
      <c r="BA73" s="4100"/>
      <c r="BB73" s="4100"/>
      <c r="BC73" s="4100"/>
      <c r="BD73" s="4100"/>
      <c r="BE73" s="4100"/>
      <c r="BF73" s="4100"/>
      <c r="BG73" s="4100"/>
      <c r="BH73" s="4100"/>
      <c r="BI73" s="4100"/>
      <c r="BJ73" s="4100"/>
      <c r="BK73" s="4100"/>
      <c r="BL73" s="4100"/>
      <c r="BM73" s="4103"/>
      <c r="BN73" s="4100"/>
      <c r="BO73" s="4100"/>
      <c r="BP73" s="3075"/>
      <c r="BQ73" s="3019"/>
      <c r="BR73" s="3019"/>
      <c r="BS73" s="3019"/>
      <c r="BT73" s="3019"/>
      <c r="BU73" s="3050"/>
    </row>
    <row r="74" spans="1:73" ht="28.5" customHeight="1" x14ac:dyDescent="0.25">
      <c r="A74" s="2018"/>
      <c r="B74" s="1997"/>
      <c r="C74" s="1984"/>
      <c r="D74" s="1982"/>
      <c r="G74" s="4160">
        <v>2201054</v>
      </c>
      <c r="H74" s="3402" t="s">
        <v>904</v>
      </c>
      <c r="I74" s="4160">
        <v>2201054</v>
      </c>
      <c r="J74" s="3402" t="s">
        <v>904</v>
      </c>
      <c r="K74" s="4162">
        <v>220105400</v>
      </c>
      <c r="L74" s="3402" t="s">
        <v>905</v>
      </c>
      <c r="M74" s="4162">
        <v>220105400</v>
      </c>
      <c r="N74" s="3402" t="s">
        <v>905</v>
      </c>
      <c r="O74" s="4140">
        <v>11</v>
      </c>
      <c r="P74" s="4133">
        <v>11</v>
      </c>
      <c r="Q74" s="2502"/>
      <c r="R74" s="2680"/>
      <c r="S74" s="4165">
        <f>SUM(X74:X77)/T46</f>
        <v>6.537073399575577E-2</v>
      </c>
      <c r="T74" s="4138"/>
      <c r="U74" s="3204"/>
      <c r="V74" s="4119" t="s">
        <v>906</v>
      </c>
      <c r="W74" s="4168" t="s">
        <v>907</v>
      </c>
      <c r="X74" s="801">
        <v>664449.19999999995</v>
      </c>
      <c r="Y74" s="801">
        <v>658149</v>
      </c>
      <c r="Z74" s="806">
        <v>658149</v>
      </c>
      <c r="AA74" s="1989" t="s">
        <v>908</v>
      </c>
      <c r="AB74" s="4154">
        <v>20</v>
      </c>
      <c r="AC74" s="2992" t="s">
        <v>284</v>
      </c>
      <c r="AD74" s="4100"/>
      <c r="AE74" s="4100"/>
      <c r="AF74" s="4100"/>
      <c r="AG74" s="4100"/>
      <c r="AH74" s="4100"/>
      <c r="AI74" s="4100"/>
      <c r="AJ74" s="4100"/>
      <c r="AK74" s="4100"/>
      <c r="AL74" s="4100"/>
      <c r="AM74" s="4100"/>
      <c r="AN74" s="4100"/>
      <c r="AO74" s="4100"/>
      <c r="AP74" s="4100"/>
      <c r="AQ74" s="4100"/>
      <c r="AR74" s="4100"/>
      <c r="AS74" s="4100"/>
      <c r="AT74" s="4100"/>
      <c r="AU74" s="4100"/>
      <c r="AV74" s="4100"/>
      <c r="AW74" s="4100"/>
      <c r="AX74" s="4100"/>
      <c r="AY74" s="4100"/>
      <c r="AZ74" s="4100"/>
      <c r="BA74" s="4100"/>
      <c r="BB74" s="4100"/>
      <c r="BC74" s="4100"/>
      <c r="BD74" s="4100"/>
      <c r="BE74" s="4100"/>
      <c r="BF74" s="4100"/>
      <c r="BG74" s="4100"/>
      <c r="BH74" s="4100"/>
      <c r="BI74" s="4100"/>
      <c r="BJ74" s="4100"/>
      <c r="BK74" s="4100"/>
      <c r="BL74" s="4100"/>
      <c r="BM74" s="4103"/>
      <c r="BN74" s="4100"/>
      <c r="BO74" s="4100"/>
      <c r="BP74" s="3075"/>
      <c r="BQ74" s="3019"/>
      <c r="BR74" s="3019"/>
      <c r="BS74" s="3019"/>
      <c r="BT74" s="3019"/>
      <c r="BU74" s="3050"/>
    </row>
    <row r="75" spans="1:73" ht="39" customHeight="1" x14ac:dyDescent="0.25">
      <c r="A75" s="2018"/>
      <c r="B75" s="1997"/>
      <c r="C75" s="1984"/>
      <c r="D75" s="1982"/>
      <c r="G75" s="4128"/>
      <c r="H75" s="3403"/>
      <c r="I75" s="4128"/>
      <c r="J75" s="3403"/>
      <c r="K75" s="4163"/>
      <c r="L75" s="3403"/>
      <c r="M75" s="4163"/>
      <c r="N75" s="3403"/>
      <c r="O75" s="4132"/>
      <c r="P75" s="4134"/>
      <c r="Q75" s="2502"/>
      <c r="R75" s="2680"/>
      <c r="S75" s="4166"/>
      <c r="T75" s="4138"/>
      <c r="U75" s="3204"/>
      <c r="V75" s="4119"/>
      <c r="W75" s="4168"/>
      <c r="X75" s="801">
        <v>4126079.04</v>
      </c>
      <c r="Y75" s="806">
        <v>4086950</v>
      </c>
      <c r="Z75" s="806">
        <v>4086950</v>
      </c>
      <c r="AA75" s="1989" t="s">
        <v>909</v>
      </c>
      <c r="AB75" s="4155"/>
      <c r="AC75" s="2993"/>
      <c r="AD75" s="4100"/>
      <c r="AE75" s="4100"/>
      <c r="AF75" s="4100"/>
      <c r="AG75" s="4100"/>
      <c r="AH75" s="4100"/>
      <c r="AI75" s="4100"/>
      <c r="AJ75" s="4100"/>
      <c r="AK75" s="4100"/>
      <c r="AL75" s="4100"/>
      <c r="AM75" s="4100"/>
      <c r="AN75" s="4100"/>
      <c r="AO75" s="4100"/>
      <c r="AP75" s="4100"/>
      <c r="AQ75" s="4100"/>
      <c r="AR75" s="4100"/>
      <c r="AS75" s="4100"/>
      <c r="AT75" s="4100"/>
      <c r="AU75" s="4100"/>
      <c r="AV75" s="4100"/>
      <c r="AW75" s="4100"/>
      <c r="AX75" s="4100"/>
      <c r="AY75" s="4100"/>
      <c r="AZ75" s="4100"/>
      <c r="BA75" s="4100"/>
      <c r="BB75" s="4100"/>
      <c r="BC75" s="4100"/>
      <c r="BD75" s="4100"/>
      <c r="BE75" s="4100"/>
      <c r="BF75" s="4100"/>
      <c r="BG75" s="4100"/>
      <c r="BH75" s="4100"/>
      <c r="BI75" s="4100"/>
      <c r="BJ75" s="4100"/>
      <c r="BK75" s="4100"/>
      <c r="BL75" s="4100"/>
      <c r="BM75" s="4103"/>
      <c r="BN75" s="4100"/>
      <c r="BO75" s="4100"/>
      <c r="BP75" s="3075"/>
      <c r="BQ75" s="3019"/>
      <c r="BR75" s="3019"/>
      <c r="BS75" s="3019"/>
      <c r="BT75" s="3019"/>
      <c r="BU75" s="3050"/>
    </row>
    <row r="76" spans="1:73" ht="39.75" customHeight="1" x14ac:dyDescent="0.25">
      <c r="A76" s="2018"/>
      <c r="B76" s="1997"/>
      <c r="C76" s="1984"/>
      <c r="D76" s="1982"/>
      <c r="G76" s="4128"/>
      <c r="H76" s="3403"/>
      <c r="I76" s="4128"/>
      <c r="J76" s="3403"/>
      <c r="K76" s="4163"/>
      <c r="L76" s="3403"/>
      <c r="M76" s="4163"/>
      <c r="N76" s="3403"/>
      <c r="O76" s="4132"/>
      <c r="P76" s="4134"/>
      <c r="Q76" s="2502"/>
      <c r="R76" s="2680"/>
      <c r="S76" s="4166"/>
      <c r="T76" s="4138"/>
      <c r="U76" s="3204"/>
      <c r="V76" s="4119"/>
      <c r="W76" s="4168"/>
      <c r="X76" s="801">
        <v>3750692.96</v>
      </c>
      <c r="Y76" s="806">
        <v>3715124</v>
      </c>
      <c r="Z76" s="806">
        <v>3715124</v>
      </c>
      <c r="AA76" s="1989" t="s">
        <v>910</v>
      </c>
      <c r="AB76" s="4155"/>
      <c r="AC76" s="2993"/>
      <c r="AD76" s="4100"/>
      <c r="AE76" s="4100"/>
      <c r="AF76" s="4100"/>
      <c r="AG76" s="4100"/>
      <c r="AH76" s="4100"/>
      <c r="AI76" s="4100"/>
      <c r="AJ76" s="4100"/>
      <c r="AK76" s="4100"/>
      <c r="AL76" s="4100"/>
      <c r="AM76" s="4100"/>
      <c r="AN76" s="4100"/>
      <c r="AO76" s="4100"/>
      <c r="AP76" s="4100"/>
      <c r="AQ76" s="4100"/>
      <c r="AR76" s="4100"/>
      <c r="AS76" s="4100"/>
      <c r="AT76" s="4100"/>
      <c r="AU76" s="4100"/>
      <c r="AV76" s="4100"/>
      <c r="AW76" s="4100"/>
      <c r="AX76" s="4100"/>
      <c r="AY76" s="4100"/>
      <c r="AZ76" s="4100"/>
      <c r="BA76" s="4100"/>
      <c r="BB76" s="4100"/>
      <c r="BC76" s="4100"/>
      <c r="BD76" s="4100"/>
      <c r="BE76" s="4100"/>
      <c r="BF76" s="4100"/>
      <c r="BG76" s="4100"/>
      <c r="BH76" s="4100"/>
      <c r="BI76" s="4100"/>
      <c r="BJ76" s="4100"/>
      <c r="BK76" s="4100"/>
      <c r="BL76" s="4100"/>
      <c r="BM76" s="4103"/>
      <c r="BN76" s="4100"/>
      <c r="BO76" s="4100"/>
      <c r="BP76" s="3075"/>
      <c r="BQ76" s="3019"/>
      <c r="BR76" s="3019"/>
      <c r="BS76" s="3019"/>
      <c r="BT76" s="3019"/>
      <c r="BU76" s="3050"/>
    </row>
    <row r="77" spans="1:73" ht="83.25" customHeight="1" x14ac:dyDescent="0.25">
      <c r="A77" s="2018"/>
      <c r="B77" s="1997"/>
      <c r="C77" s="1984"/>
      <c r="D77" s="1982"/>
      <c r="G77" s="4161"/>
      <c r="H77" s="3417"/>
      <c r="I77" s="4161"/>
      <c r="J77" s="3417"/>
      <c r="K77" s="4164"/>
      <c r="L77" s="3417"/>
      <c r="M77" s="4164"/>
      <c r="N77" s="3417"/>
      <c r="O77" s="4116"/>
      <c r="P77" s="4135"/>
      <c r="Q77" s="2502"/>
      <c r="R77" s="2680"/>
      <c r="S77" s="4167"/>
      <c r="T77" s="4138"/>
      <c r="U77" s="3204"/>
      <c r="V77" s="4119"/>
      <c r="W77" s="4168"/>
      <c r="X77" s="801">
        <v>1458778.81</v>
      </c>
      <c r="Y77" s="806">
        <v>1444944</v>
      </c>
      <c r="Z77" s="806">
        <v>1444944</v>
      </c>
      <c r="AA77" s="1989" t="s">
        <v>911</v>
      </c>
      <c r="AB77" s="4156"/>
      <c r="AC77" s="2994"/>
      <c r="AD77" s="4100"/>
      <c r="AE77" s="4100"/>
      <c r="AF77" s="4100"/>
      <c r="AG77" s="4100"/>
      <c r="AH77" s="4100"/>
      <c r="AI77" s="4100"/>
      <c r="AJ77" s="4100"/>
      <c r="AK77" s="4100"/>
      <c r="AL77" s="4100"/>
      <c r="AM77" s="4100"/>
      <c r="AN77" s="4100"/>
      <c r="AO77" s="4100"/>
      <c r="AP77" s="4100"/>
      <c r="AQ77" s="4100"/>
      <c r="AR77" s="4100"/>
      <c r="AS77" s="4100"/>
      <c r="AT77" s="4100"/>
      <c r="AU77" s="4100"/>
      <c r="AV77" s="4100"/>
      <c r="AW77" s="4100"/>
      <c r="AX77" s="4100"/>
      <c r="AY77" s="4100"/>
      <c r="AZ77" s="4100"/>
      <c r="BA77" s="4100"/>
      <c r="BB77" s="4100"/>
      <c r="BC77" s="4100"/>
      <c r="BD77" s="4100"/>
      <c r="BE77" s="4100"/>
      <c r="BF77" s="4100"/>
      <c r="BG77" s="4100"/>
      <c r="BH77" s="4100"/>
      <c r="BI77" s="4100"/>
      <c r="BJ77" s="4100"/>
      <c r="BK77" s="4100"/>
      <c r="BL77" s="4100"/>
      <c r="BM77" s="4103"/>
      <c r="BN77" s="4100"/>
      <c r="BO77" s="4100"/>
      <c r="BP77" s="3075"/>
      <c r="BQ77" s="3019"/>
      <c r="BR77" s="3019"/>
      <c r="BS77" s="3019"/>
      <c r="BT77" s="3019"/>
      <c r="BU77" s="3050"/>
    </row>
    <row r="78" spans="1:73" ht="95.25" customHeight="1" x14ac:dyDescent="0.25">
      <c r="A78" s="2018"/>
      <c r="B78" s="1997"/>
      <c r="C78" s="1984"/>
      <c r="D78" s="1982"/>
      <c r="G78" s="2036">
        <v>2201061</v>
      </c>
      <c r="H78" s="2008" t="s">
        <v>912</v>
      </c>
      <c r="I78" s="2036">
        <v>2201061</v>
      </c>
      <c r="J78" s="2008" t="s">
        <v>912</v>
      </c>
      <c r="K78" s="2013">
        <v>220106102</v>
      </c>
      <c r="L78" s="2008" t="s">
        <v>913</v>
      </c>
      <c r="M78" s="2013">
        <v>220106102</v>
      </c>
      <c r="N78" s="2008" t="s">
        <v>913</v>
      </c>
      <c r="O78" s="2037">
        <v>12</v>
      </c>
      <c r="P78" s="2047">
        <v>12</v>
      </c>
      <c r="Q78" s="2502"/>
      <c r="R78" s="2680"/>
      <c r="S78" s="2038">
        <f>X78/T46</f>
        <v>6.5370733930385033E-2</v>
      </c>
      <c r="T78" s="4138"/>
      <c r="U78" s="3204"/>
      <c r="V78" s="2032" t="s">
        <v>894</v>
      </c>
      <c r="W78" s="2041" t="s">
        <v>914</v>
      </c>
      <c r="X78" s="801">
        <v>10000000</v>
      </c>
      <c r="Y78" s="806">
        <v>10000000</v>
      </c>
      <c r="Z78" s="806">
        <v>10000000</v>
      </c>
      <c r="AA78" s="1989" t="s">
        <v>915</v>
      </c>
      <c r="AB78" s="821">
        <v>20</v>
      </c>
      <c r="AC78" s="1990" t="s">
        <v>284</v>
      </c>
      <c r="AD78" s="4100"/>
      <c r="AE78" s="4100"/>
      <c r="AF78" s="4100"/>
      <c r="AG78" s="4100"/>
      <c r="AH78" s="4100"/>
      <c r="AI78" s="4100"/>
      <c r="AJ78" s="4100"/>
      <c r="AK78" s="4100"/>
      <c r="AL78" s="4100"/>
      <c r="AM78" s="4100"/>
      <c r="AN78" s="4100"/>
      <c r="AO78" s="4100"/>
      <c r="AP78" s="4100"/>
      <c r="AQ78" s="4100"/>
      <c r="AR78" s="4100"/>
      <c r="AS78" s="4100"/>
      <c r="AT78" s="4100"/>
      <c r="AU78" s="4100"/>
      <c r="AV78" s="4100"/>
      <c r="AW78" s="4100"/>
      <c r="AX78" s="4100"/>
      <c r="AY78" s="4100"/>
      <c r="AZ78" s="4100"/>
      <c r="BA78" s="4100"/>
      <c r="BB78" s="4100"/>
      <c r="BC78" s="4100"/>
      <c r="BD78" s="4100"/>
      <c r="BE78" s="4100"/>
      <c r="BF78" s="4100"/>
      <c r="BG78" s="4100"/>
      <c r="BH78" s="4100"/>
      <c r="BI78" s="4100"/>
      <c r="BJ78" s="4100"/>
      <c r="BK78" s="4100"/>
      <c r="BL78" s="4100"/>
      <c r="BM78" s="4103"/>
      <c r="BN78" s="4100"/>
      <c r="BO78" s="4100"/>
      <c r="BP78" s="3075"/>
      <c r="BQ78" s="3019"/>
      <c r="BR78" s="3019"/>
      <c r="BS78" s="3019"/>
      <c r="BT78" s="3019"/>
      <c r="BU78" s="3050"/>
    </row>
    <row r="79" spans="1:73" ht="87" customHeight="1" x14ac:dyDescent="0.25">
      <c r="A79" s="2018"/>
      <c r="B79" s="1997"/>
      <c r="C79" s="1984"/>
      <c r="D79" s="1982"/>
      <c r="G79" s="2033">
        <v>2201066</v>
      </c>
      <c r="H79" s="1983" t="s">
        <v>916</v>
      </c>
      <c r="I79" s="2033">
        <v>2201066</v>
      </c>
      <c r="J79" s="1983" t="s">
        <v>916</v>
      </c>
      <c r="K79" s="2020">
        <v>220106600</v>
      </c>
      <c r="L79" s="1983" t="s">
        <v>917</v>
      </c>
      <c r="M79" s="2020">
        <v>220106600</v>
      </c>
      <c r="N79" s="1983" t="s">
        <v>917</v>
      </c>
      <c r="O79" s="2034">
        <v>10000</v>
      </c>
      <c r="P79" s="2047">
        <v>4934</v>
      </c>
      <c r="Q79" s="2502"/>
      <c r="R79" s="2681"/>
      <c r="S79" s="2039">
        <f>X79/T46</f>
        <v>1.0067093025279295E-2</v>
      </c>
      <c r="T79" s="4138"/>
      <c r="U79" s="3204"/>
      <c r="V79" s="2032" t="s">
        <v>906</v>
      </c>
      <c r="W79" s="2040" t="s">
        <v>918</v>
      </c>
      <c r="X79" s="801">
        <v>1540000</v>
      </c>
      <c r="Y79" s="806">
        <v>1540000</v>
      </c>
      <c r="Z79" s="806">
        <v>1540000</v>
      </c>
      <c r="AA79" s="1989" t="s">
        <v>919</v>
      </c>
      <c r="AB79" s="2042">
        <v>20</v>
      </c>
      <c r="AC79" s="1991" t="s">
        <v>284</v>
      </c>
      <c r="AD79" s="4100"/>
      <c r="AE79" s="4100"/>
      <c r="AF79" s="4100"/>
      <c r="AG79" s="4100"/>
      <c r="AH79" s="4100"/>
      <c r="AI79" s="4100"/>
      <c r="AJ79" s="4100"/>
      <c r="AK79" s="4100"/>
      <c r="AL79" s="4100"/>
      <c r="AM79" s="4100"/>
      <c r="AN79" s="4100"/>
      <c r="AO79" s="4100"/>
      <c r="AP79" s="4100"/>
      <c r="AQ79" s="4100"/>
      <c r="AR79" s="4100"/>
      <c r="AS79" s="4100"/>
      <c r="AT79" s="4100"/>
      <c r="AU79" s="4100"/>
      <c r="AV79" s="4100"/>
      <c r="AW79" s="4100"/>
      <c r="AX79" s="4100"/>
      <c r="AY79" s="4100"/>
      <c r="AZ79" s="4100"/>
      <c r="BA79" s="4100"/>
      <c r="BB79" s="4100"/>
      <c r="BC79" s="4100"/>
      <c r="BD79" s="4100"/>
      <c r="BE79" s="4100"/>
      <c r="BF79" s="4100"/>
      <c r="BG79" s="4100"/>
      <c r="BH79" s="4100"/>
      <c r="BI79" s="4100"/>
      <c r="BJ79" s="4101"/>
      <c r="BK79" s="4101"/>
      <c r="BL79" s="4101"/>
      <c r="BM79" s="4104"/>
      <c r="BN79" s="4101"/>
      <c r="BO79" s="4101"/>
      <c r="BP79" s="3076"/>
      <c r="BQ79" s="3020"/>
      <c r="BR79" s="3020"/>
      <c r="BS79" s="3020"/>
      <c r="BT79" s="3020"/>
      <c r="BU79" s="3051"/>
    </row>
    <row r="80" spans="1:73" ht="29.25" customHeight="1" x14ac:dyDescent="0.25">
      <c r="A80" s="2018"/>
      <c r="B80" s="1997"/>
      <c r="C80" s="1984"/>
      <c r="D80" s="1982"/>
      <c r="G80" s="4160">
        <v>2201050</v>
      </c>
      <c r="H80" s="3402" t="s">
        <v>920</v>
      </c>
      <c r="I80" s="4160">
        <v>2201050</v>
      </c>
      <c r="J80" s="3402" t="s">
        <v>920</v>
      </c>
      <c r="K80" s="4162">
        <v>220105000</v>
      </c>
      <c r="L80" s="3402" t="s">
        <v>921</v>
      </c>
      <c r="M80" s="4162">
        <v>220105000</v>
      </c>
      <c r="N80" s="3402" t="s">
        <v>921</v>
      </c>
      <c r="O80" s="4171">
        <v>8000</v>
      </c>
      <c r="P80" s="4174">
        <v>8000</v>
      </c>
      <c r="Q80" s="2745" t="s">
        <v>922</v>
      </c>
      <c r="R80" s="2734" t="s">
        <v>923</v>
      </c>
      <c r="S80" s="4175">
        <f>SUM(X80:X83)/T80</f>
        <v>1.6341321671867436E-2</v>
      </c>
      <c r="T80" s="4176">
        <f>SUM(X80:X91)</f>
        <v>611945607.01999998</v>
      </c>
      <c r="U80" s="2771" t="s">
        <v>924</v>
      </c>
      <c r="V80" s="3906" t="s">
        <v>925</v>
      </c>
      <c r="W80" s="3807" t="s">
        <v>926</v>
      </c>
      <c r="X80" s="801">
        <v>664449.19999999995</v>
      </c>
      <c r="Y80" s="801">
        <v>664449.19999999995</v>
      </c>
      <c r="Z80" s="801">
        <v>664449.19999999995</v>
      </c>
      <c r="AA80" s="1989" t="s">
        <v>927</v>
      </c>
      <c r="AB80" s="4170">
        <v>20</v>
      </c>
      <c r="AC80" s="4119" t="s">
        <v>284</v>
      </c>
      <c r="AD80" s="4146">
        <v>19649</v>
      </c>
      <c r="AE80" s="4146">
        <v>19649</v>
      </c>
      <c r="AF80" s="4146">
        <v>20118</v>
      </c>
      <c r="AG80" s="4146">
        <v>20118</v>
      </c>
      <c r="AH80" s="4146">
        <v>28907</v>
      </c>
      <c r="AI80" s="4146">
        <v>28907</v>
      </c>
      <c r="AJ80" s="4146">
        <v>9525</v>
      </c>
      <c r="AK80" s="4146">
        <v>9525</v>
      </c>
      <c r="AL80" s="4146">
        <v>1222</v>
      </c>
      <c r="AM80" s="4146">
        <v>1222</v>
      </c>
      <c r="AN80" s="4146">
        <v>113</v>
      </c>
      <c r="AO80" s="4146">
        <v>113</v>
      </c>
      <c r="AP80" s="4146">
        <v>297</v>
      </c>
      <c r="AQ80" s="4146">
        <v>297</v>
      </c>
      <c r="AR80" s="4146">
        <v>345</v>
      </c>
      <c r="AS80" s="4146">
        <v>345</v>
      </c>
      <c r="AT80" s="4146">
        <v>0</v>
      </c>
      <c r="AU80" s="4146"/>
      <c r="AV80" s="4146">
        <v>0</v>
      </c>
      <c r="AW80" s="4146"/>
      <c r="AX80" s="4146">
        <v>0</v>
      </c>
      <c r="AY80" s="4146"/>
      <c r="AZ80" s="4146">
        <v>0</v>
      </c>
      <c r="BA80" s="4146"/>
      <c r="BB80" s="4146">
        <v>3301</v>
      </c>
      <c r="BC80" s="4146">
        <v>3301</v>
      </c>
      <c r="BD80" s="4146">
        <v>2507</v>
      </c>
      <c r="BE80" s="4146">
        <v>2507</v>
      </c>
      <c r="BF80" s="4146">
        <v>113</v>
      </c>
      <c r="BG80" s="4146">
        <v>113</v>
      </c>
      <c r="BH80" s="4146">
        <f>+AD80+AF80</f>
        <v>39767</v>
      </c>
      <c r="BI80" s="4146">
        <f>+AE80+AG80</f>
        <v>39767</v>
      </c>
      <c r="BJ80" s="4123">
        <v>3</v>
      </c>
      <c r="BK80" s="4123">
        <f>SUM(Y80:Y91)</f>
        <v>609602211</v>
      </c>
      <c r="BL80" s="4123">
        <f>SUM(Z80:Z91)</f>
        <v>609602211</v>
      </c>
      <c r="BM80" s="3039">
        <f>+BL80/BK80</f>
        <v>1</v>
      </c>
      <c r="BN80" s="4123" t="s">
        <v>928</v>
      </c>
      <c r="BO80" s="4123" t="s">
        <v>929</v>
      </c>
      <c r="BP80" s="3074" t="s">
        <v>838</v>
      </c>
      <c r="BQ80" s="3018">
        <v>44198</v>
      </c>
      <c r="BR80" s="3036" t="s">
        <v>930</v>
      </c>
      <c r="BS80" s="3036">
        <v>44560</v>
      </c>
      <c r="BT80" s="3036">
        <v>44560</v>
      </c>
      <c r="BU80" s="3049" t="s">
        <v>762</v>
      </c>
    </row>
    <row r="81" spans="1:73" ht="27" customHeight="1" x14ac:dyDescent="0.25">
      <c r="A81" s="2018"/>
      <c r="B81" s="1997"/>
      <c r="C81" s="1984"/>
      <c r="D81" s="1982"/>
      <c r="G81" s="4128"/>
      <c r="H81" s="3403"/>
      <c r="I81" s="4128"/>
      <c r="J81" s="3403"/>
      <c r="K81" s="4163"/>
      <c r="L81" s="3403"/>
      <c r="M81" s="4163"/>
      <c r="N81" s="3403"/>
      <c r="O81" s="4172"/>
      <c r="P81" s="4174"/>
      <c r="Q81" s="2502"/>
      <c r="R81" s="2734"/>
      <c r="S81" s="4175"/>
      <c r="T81" s="4176"/>
      <c r="U81" s="2771"/>
      <c r="V81" s="2685"/>
      <c r="W81" s="3807"/>
      <c r="X81" s="801">
        <v>4126079.04</v>
      </c>
      <c r="Y81" s="801">
        <v>4126079.04</v>
      </c>
      <c r="Z81" s="801">
        <v>4126079.04</v>
      </c>
      <c r="AA81" s="1989" t="s">
        <v>931</v>
      </c>
      <c r="AB81" s="4170"/>
      <c r="AC81" s="4119"/>
      <c r="AD81" s="4106"/>
      <c r="AE81" s="4106"/>
      <c r="AF81" s="4106"/>
      <c r="AG81" s="4106"/>
      <c r="AH81" s="4106"/>
      <c r="AI81" s="4106"/>
      <c r="AJ81" s="4106"/>
      <c r="AK81" s="4106"/>
      <c r="AL81" s="4106"/>
      <c r="AM81" s="4106"/>
      <c r="AN81" s="4106"/>
      <c r="AO81" s="4106"/>
      <c r="AP81" s="4106"/>
      <c r="AQ81" s="4106"/>
      <c r="AR81" s="4106"/>
      <c r="AS81" s="4106"/>
      <c r="AT81" s="4106"/>
      <c r="AU81" s="4106"/>
      <c r="AV81" s="4106"/>
      <c r="AW81" s="4106"/>
      <c r="AX81" s="4106"/>
      <c r="AY81" s="4106"/>
      <c r="AZ81" s="4106"/>
      <c r="BA81" s="4106"/>
      <c r="BB81" s="4106"/>
      <c r="BC81" s="4106"/>
      <c r="BD81" s="4106"/>
      <c r="BE81" s="4106"/>
      <c r="BF81" s="4106"/>
      <c r="BG81" s="4106"/>
      <c r="BH81" s="4106"/>
      <c r="BI81" s="4106"/>
      <c r="BJ81" s="4100"/>
      <c r="BK81" s="4100"/>
      <c r="BL81" s="4100"/>
      <c r="BM81" s="3040"/>
      <c r="BN81" s="4100"/>
      <c r="BO81" s="4100"/>
      <c r="BP81" s="3075"/>
      <c r="BQ81" s="3019"/>
      <c r="BR81" s="3037"/>
      <c r="BS81" s="3037"/>
      <c r="BT81" s="3037"/>
      <c r="BU81" s="3050"/>
    </row>
    <row r="82" spans="1:73" ht="30.75" customHeight="1" x14ac:dyDescent="0.25">
      <c r="A82" s="2018"/>
      <c r="B82" s="1997"/>
      <c r="C82" s="1984"/>
      <c r="D82" s="1982"/>
      <c r="G82" s="4128"/>
      <c r="H82" s="3403"/>
      <c r="I82" s="4128"/>
      <c r="J82" s="3403"/>
      <c r="K82" s="4163"/>
      <c r="L82" s="3403"/>
      <c r="M82" s="4163"/>
      <c r="N82" s="3403"/>
      <c r="O82" s="4172"/>
      <c r="P82" s="4174"/>
      <c r="Q82" s="2502"/>
      <c r="R82" s="2734"/>
      <c r="S82" s="4175"/>
      <c r="T82" s="4176"/>
      <c r="U82" s="2771"/>
      <c r="V82" s="2685"/>
      <c r="W82" s="3807"/>
      <c r="X82" s="801">
        <v>3750692.96</v>
      </c>
      <c r="Y82" s="801">
        <v>3750692.96</v>
      </c>
      <c r="Z82" s="801">
        <v>3750692.96</v>
      </c>
      <c r="AA82" s="1989" t="s">
        <v>932</v>
      </c>
      <c r="AB82" s="4170"/>
      <c r="AC82" s="4119"/>
      <c r="AD82" s="4106"/>
      <c r="AE82" s="4106"/>
      <c r="AF82" s="4106"/>
      <c r="AG82" s="4106"/>
      <c r="AH82" s="4106"/>
      <c r="AI82" s="4106"/>
      <c r="AJ82" s="4106"/>
      <c r="AK82" s="4106"/>
      <c r="AL82" s="4106"/>
      <c r="AM82" s="4106"/>
      <c r="AN82" s="4106"/>
      <c r="AO82" s="4106"/>
      <c r="AP82" s="4106"/>
      <c r="AQ82" s="4106"/>
      <c r="AR82" s="4106"/>
      <c r="AS82" s="4106"/>
      <c r="AT82" s="4106"/>
      <c r="AU82" s="4106"/>
      <c r="AV82" s="4106"/>
      <c r="AW82" s="4106"/>
      <c r="AX82" s="4106"/>
      <c r="AY82" s="4106"/>
      <c r="AZ82" s="4106"/>
      <c r="BA82" s="4106"/>
      <c r="BB82" s="4106"/>
      <c r="BC82" s="4106"/>
      <c r="BD82" s="4106"/>
      <c r="BE82" s="4106"/>
      <c r="BF82" s="4106"/>
      <c r="BG82" s="4106"/>
      <c r="BH82" s="4106"/>
      <c r="BI82" s="4106"/>
      <c r="BJ82" s="4100"/>
      <c r="BK82" s="4100"/>
      <c r="BL82" s="4100"/>
      <c r="BM82" s="3040"/>
      <c r="BN82" s="4100"/>
      <c r="BO82" s="4100"/>
      <c r="BP82" s="3075"/>
      <c r="BQ82" s="3019"/>
      <c r="BR82" s="3037"/>
      <c r="BS82" s="3037"/>
      <c r="BT82" s="3037"/>
      <c r="BU82" s="3050"/>
    </row>
    <row r="83" spans="1:73" ht="35.25" customHeight="1" x14ac:dyDescent="0.25">
      <c r="A83" s="2018"/>
      <c r="B83" s="1997"/>
      <c r="C83" s="1984"/>
      <c r="D83" s="1982"/>
      <c r="G83" s="4161"/>
      <c r="H83" s="3417"/>
      <c r="I83" s="4161"/>
      <c r="J83" s="3417"/>
      <c r="K83" s="4164"/>
      <c r="L83" s="3417"/>
      <c r="M83" s="4164"/>
      <c r="N83" s="3417"/>
      <c r="O83" s="4173"/>
      <c r="P83" s="4174"/>
      <c r="Q83" s="2502"/>
      <c r="R83" s="2734"/>
      <c r="S83" s="4175"/>
      <c r="T83" s="4176"/>
      <c r="U83" s="2771"/>
      <c r="V83" s="2685"/>
      <c r="W83" s="3807"/>
      <c r="X83" s="801">
        <v>1458778.81</v>
      </c>
      <c r="Y83" s="801">
        <v>1458778.8</v>
      </c>
      <c r="Z83" s="801">
        <v>1458778.8</v>
      </c>
      <c r="AA83" s="1989" t="s">
        <v>933</v>
      </c>
      <c r="AB83" s="4170"/>
      <c r="AC83" s="4119"/>
      <c r="AD83" s="4106"/>
      <c r="AE83" s="4106"/>
      <c r="AF83" s="4106"/>
      <c r="AG83" s="4106"/>
      <c r="AH83" s="4106"/>
      <c r="AI83" s="4106"/>
      <c r="AJ83" s="4106"/>
      <c r="AK83" s="4106"/>
      <c r="AL83" s="4106"/>
      <c r="AM83" s="4106"/>
      <c r="AN83" s="4106"/>
      <c r="AO83" s="4106"/>
      <c r="AP83" s="4106"/>
      <c r="AQ83" s="4106"/>
      <c r="AR83" s="4106"/>
      <c r="AS83" s="4106"/>
      <c r="AT83" s="4106"/>
      <c r="AU83" s="4106"/>
      <c r="AV83" s="4106"/>
      <c r="AW83" s="4106"/>
      <c r="AX83" s="4106"/>
      <c r="AY83" s="4106"/>
      <c r="AZ83" s="4106"/>
      <c r="BA83" s="4106"/>
      <c r="BB83" s="4106"/>
      <c r="BC83" s="4106"/>
      <c r="BD83" s="4106"/>
      <c r="BE83" s="4106"/>
      <c r="BF83" s="4106"/>
      <c r="BG83" s="4106"/>
      <c r="BH83" s="4106"/>
      <c r="BI83" s="4106"/>
      <c r="BJ83" s="4100"/>
      <c r="BK83" s="4100"/>
      <c r="BL83" s="4100"/>
      <c r="BM83" s="3040"/>
      <c r="BN83" s="4100"/>
      <c r="BO83" s="4100"/>
      <c r="BP83" s="3075"/>
      <c r="BQ83" s="3019"/>
      <c r="BR83" s="3037"/>
      <c r="BS83" s="3037"/>
      <c r="BT83" s="3037"/>
      <c r="BU83" s="3050"/>
    </row>
    <row r="84" spans="1:73" ht="26.25" customHeight="1" x14ac:dyDescent="0.25">
      <c r="A84" s="2018"/>
      <c r="B84" s="1997"/>
      <c r="C84" s="1984"/>
      <c r="D84" s="1982"/>
      <c r="G84" s="4160">
        <v>2201050</v>
      </c>
      <c r="H84" s="3402" t="s">
        <v>920</v>
      </c>
      <c r="I84" s="4160">
        <v>2201050</v>
      </c>
      <c r="J84" s="3402" t="s">
        <v>920</v>
      </c>
      <c r="K84" s="4162">
        <v>220105001</v>
      </c>
      <c r="L84" s="3402" t="s">
        <v>934</v>
      </c>
      <c r="M84" s="4162">
        <v>220105001</v>
      </c>
      <c r="N84" s="3402" t="s">
        <v>934</v>
      </c>
      <c r="O84" s="4171">
        <v>150</v>
      </c>
      <c r="P84" s="4174">
        <v>150</v>
      </c>
      <c r="Q84" s="2502"/>
      <c r="R84" s="2734"/>
      <c r="S84" s="4169">
        <f>SUM(X84:X87)/T80</f>
        <v>0.96731735665626517</v>
      </c>
      <c r="T84" s="4176"/>
      <c r="U84" s="2771"/>
      <c r="V84" s="2685"/>
      <c r="W84" s="3807" t="s">
        <v>935</v>
      </c>
      <c r="X84" s="801">
        <v>39331779</v>
      </c>
      <c r="Y84" s="801">
        <v>39295659</v>
      </c>
      <c r="Z84" s="801">
        <v>39295659</v>
      </c>
      <c r="AA84" s="1989" t="s">
        <v>936</v>
      </c>
      <c r="AB84" s="4170">
        <v>25</v>
      </c>
      <c r="AC84" s="4119" t="s">
        <v>758</v>
      </c>
      <c r="AD84" s="4106"/>
      <c r="AE84" s="4106"/>
      <c r="AF84" s="4106"/>
      <c r="AG84" s="4106"/>
      <c r="AH84" s="4106"/>
      <c r="AI84" s="4106"/>
      <c r="AJ84" s="4106"/>
      <c r="AK84" s="4106"/>
      <c r="AL84" s="4106"/>
      <c r="AM84" s="4106"/>
      <c r="AN84" s="4106"/>
      <c r="AO84" s="4106"/>
      <c r="AP84" s="4106"/>
      <c r="AQ84" s="4106"/>
      <c r="AR84" s="4106"/>
      <c r="AS84" s="4106"/>
      <c r="AT84" s="4106"/>
      <c r="AU84" s="4106"/>
      <c r="AV84" s="4106"/>
      <c r="AW84" s="4106"/>
      <c r="AX84" s="4106"/>
      <c r="AY84" s="4106"/>
      <c r="AZ84" s="4106"/>
      <c r="BA84" s="4106"/>
      <c r="BB84" s="4106"/>
      <c r="BC84" s="4106"/>
      <c r="BD84" s="4106"/>
      <c r="BE84" s="4106"/>
      <c r="BF84" s="4106"/>
      <c r="BG84" s="4106"/>
      <c r="BH84" s="4106"/>
      <c r="BI84" s="4106"/>
      <c r="BJ84" s="4100"/>
      <c r="BK84" s="4100"/>
      <c r="BL84" s="4100"/>
      <c r="BM84" s="3040"/>
      <c r="BN84" s="4100"/>
      <c r="BO84" s="4100"/>
      <c r="BP84" s="3075"/>
      <c r="BQ84" s="3019"/>
      <c r="BR84" s="3037"/>
      <c r="BS84" s="3037"/>
      <c r="BT84" s="3037"/>
      <c r="BU84" s="3050"/>
    </row>
    <row r="85" spans="1:73" ht="21" customHeight="1" x14ac:dyDescent="0.25">
      <c r="A85" s="2018"/>
      <c r="B85" s="1997"/>
      <c r="C85" s="1984"/>
      <c r="D85" s="1982"/>
      <c r="G85" s="4128"/>
      <c r="H85" s="3403"/>
      <c r="I85" s="4128"/>
      <c r="J85" s="3403"/>
      <c r="K85" s="4163"/>
      <c r="L85" s="3403"/>
      <c r="M85" s="4163"/>
      <c r="N85" s="3403"/>
      <c r="O85" s="4172"/>
      <c r="P85" s="4174"/>
      <c r="Q85" s="2502"/>
      <c r="R85" s="2734"/>
      <c r="S85" s="4169"/>
      <c r="T85" s="4176"/>
      <c r="U85" s="2771"/>
      <c r="V85" s="2685"/>
      <c r="W85" s="3807"/>
      <c r="X85" s="801">
        <v>244241436</v>
      </c>
      <c r="Y85" s="801">
        <v>244177597</v>
      </c>
      <c r="Z85" s="801">
        <v>244177597</v>
      </c>
      <c r="AA85" s="1989" t="s">
        <v>937</v>
      </c>
      <c r="AB85" s="4170"/>
      <c r="AC85" s="4119"/>
      <c r="AD85" s="4106"/>
      <c r="AE85" s="4106"/>
      <c r="AF85" s="4106"/>
      <c r="AG85" s="4106"/>
      <c r="AH85" s="4106"/>
      <c r="AI85" s="4106"/>
      <c r="AJ85" s="4106"/>
      <c r="AK85" s="4106"/>
      <c r="AL85" s="4106"/>
      <c r="AM85" s="4106"/>
      <c r="AN85" s="4106"/>
      <c r="AO85" s="4106"/>
      <c r="AP85" s="4106"/>
      <c r="AQ85" s="4106"/>
      <c r="AR85" s="4106"/>
      <c r="AS85" s="4106"/>
      <c r="AT85" s="4106"/>
      <c r="AU85" s="4106"/>
      <c r="AV85" s="4106"/>
      <c r="AW85" s="4106"/>
      <c r="AX85" s="4106"/>
      <c r="AY85" s="4106"/>
      <c r="AZ85" s="4106"/>
      <c r="BA85" s="4106"/>
      <c r="BB85" s="4106"/>
      <c r="BC85" s="4106"/>
      <c r="BD85" s="4106"/>
      <c r="BE85" s="4106"/>
      <c r="BF85" s="4106"/>
      <c r="BG85" s="4106"/>
      <c r="BH85" s="4106"/>
      <c r="BI85" s="4106"/>
      <c r="BJ85" s="4100"/>
      <c r="BK85" s="4100"/>
      <c r="BL85" s="4100"/>
      <c r="BM85" s="3040"/>
      <c r="BN85" s="4100"/>
      <c r="BO85" s="4100"/>
      <c r="BP85" s="3075"/>
      <c r="BQ85" s="3019"/>
      <c r="BR85" s="3037"/>
      <c r="BS85" s="3037"/>
      <c r="BT85" s="3037"/>
      <c r="BU85" s="3050"/>
    </row>
    <row r="86" spans="1:73" ht="17.25" customHeight="1" x14ac:dyDescent="0.25">
      <c r="A86" s="2018"/>
      <c r="B86" s="1997"/>
      <c r="C86" s="1984"/>
      <c r="D86" s="1982"/>
      <c r="G86" s="4128"/>
      <c r="H86" s="3403"/>
      <c r="I86" s="4128"/>
      <c r="J86" s="3403"/>
      <c r="K86" s="4163"/>
      <c r="L86" s="3403"/>
      <c r="M86" s="4163"/>
      <c r="N86" s="3403"/>
      <c r="O86" s="4172"/>
      <c r="P86" s="4174"/>
      <c r="Q86" s="2502"/>
      <c r="R86" s="2734"/>
      <c r="S86" s="4169"/>
      <c r="T86" s="4176"/>
      <c r="U86" s="2771"/>
      <c r="V86" s="2685"/>
      <c r="W86" s="3807"/>
      <c r="X86" s="801">
        <v>222020622</v>
      </c>
      <c r="Y86" s="801">
        <v>221985001</v>
      </c>
      <c r="Z86" s="801">
        <v>221985001</v>
      </c>
      <c r="AA86" s="1989" t="s">
        <v>938</v>
      </c>
      <c r="AB86" s="4170"/>
      <c r="AC86" s="4119"/>
      <c r="AD86" s="4106"/>
      <c r="AE86" s="4106"/>
      <c r="AF86" s="4106"/>
      <c r="AG86" s="4106"/>
      <c r="AH86" s="4106"/>
      <c r="AI86" s="4106"/>
      <c r="AJ86" s="4106"/>
      <c r="AK86" s="4106"/>
      <c r="AL86" s="4106"/>
      <c r="AM86" s="4106"/>
      <c r="AN86" s="4106"/>
      <c r="AO86" s="4106"/>
      <c r="AP86" s="4106"/>
      <c r="AQ86" s="4106"/>
      <c r="AR86" s="4106"/>
      <c r="AS86" s="4106"/>
      <c r="AT86" s="4106"/>
      <c r="AU86" s="4106"/>
      <c r="AV86" s="4106"/>
      <c r="AW86" s="4106"/>
      <c r="AX86" s="4106"/>
      <c r="AY86" s="4106"/>
      <c r="AZ86" s="4106"/>
      <c r="BA86" s="4106"/>
      <c r="BB86" s="4106"/>
      <c r="BC86" s="4106"/>
      <c r="BD86" s="4106"/>
      <c r="BE86" s="4106"/>
      <c r="BF86" s="4106"/>
      <c r="BG86" s="4106"/>
      <c r="BH86" s="4106"/>
      <c r="BI86" s="4106"/>
      <c r="BJ86" s="4100"/>
      <c r="BK86" s="4100"/>
      <c r="BL86" s="4100"/>
      <c r="BM86" s="3040"/>
      <c r="BN86" s="4100"/>
      <c r="BO86" s="4100"/>
      <c r="BP86" s="3075"/>
      <c r="BQ86" s="3019"/>
      <c r="BR86" s="3037"/>
      <c r="BS86" s="3037"/>
      <c r="BT86" s="3037"/>
      <c r="BU86" s="3050"/>
    </row>
    <row r="87" spans="1:73" ht="28.5" customHeight="1" x14ac:dyDescent="0.25">
      <c r="A87" s="2018"/>
      <c r="B87" s="1997"/>
      <c r="C87" s="1984"/>
      <c r="D87" s="1982"/>
      <c r="G87" s="4161"/>
      <c r="H87" s="3417"/>
      <c r="I87" s="4161"/>
      <c r="J87" s="3417"/>
      <c r="K87" s="4164"/>
      <c r="L87" s="3417"/>
      <c r="M87" s="4164"/>
      <c r="N87" s="3417"/>
      <c r="O87" s="4173"/>
      <c r="P87" s="4174"/>
      <c r="Q87" s="2502"/>
      <c r="R87" s="2734"/>
      <c r="S87" s="4169"/>
      <c r="T87" s="4176"/>
      <c r="U87" s="2771"/>
      <c r="V87" s="2685"/>
      <c r="W87" s="3807"/>
      <c r="X87" s="801">
        <v>86351770</v>
      </c>
      <c r="Y87" s="801">
        <v>86343954</v>
      </c>
      <c r="Z87" s="801">
        <v>86343954</v>
      </c>
      <c r="AA87" s="1989" t="s">
        <v>939</v>
      </c>
      <c r="AB87" s="4170"/>
      <c r="AC87" s="4119"/>
      <c r="AD87" s="4106"/>
      <c r="AE87" s="4106"/>
      <c r="AF87" s="4106"/>
      <c r="AG87" s="4106"/>
      <c r="AH87" s="4106"/>
      <c r="AI87" s="4106"/>
      <c r="AJ87" s="4106"/>
      <c r="AK87" s="4106"/>
      <c r="AL87" s="4106"/>
      <c r="AM87" s="4106"/>
      <c r="AN87" s="4106"/>
      <c r="AO87" s="4106"/>
      <c r="AP87" s="4106"/>
      <c r="AQ87" s="4106"/>
      <c r="AR87" s="4106"/>
      <c r="AS87" s="4106"/>
      <c r="AT87" s="4106"/>
      <c r="AU87" s="4106"/>
      <c r="AV87" s="4106"/>
      <c r="AW87" s="4106"/>
      <c r="AX87" s="4106"/>
      <c r="AY87" s="4106"/>
      <c r="AZ87" s="4106"/>
      <c r="BA87" s="4106"/>
      <c r="BB87" s="4106"/>
      <c r="BC87" s="4106"/>
      <c r="BD87" s="4106"/>
      <c r="BE87" s="4106"/>
      <c r="BF87" s="4106"/>
      <c r="BG87" s="4106"/>
      <c r="BH87" s="4106"/>
      <c r="BI87" s="4106"/>
      <c r="BJ87" s="4100"/>
      <c r="BK87" s="4100"/>
      <c r="BL87" s="4100"/>
      <c r="BM87" s="3040"/>
      <c r="BN87" s="4100"/>
      <c r="BO87" s="4100"/>
      <c r="BP87" s="3075"/>
      <c r="BQ87" s="3019"/>
      <c r="BR87" s="3037"/>
      <c r="BS87" s="3037"/>
      <c r="BT87" s="3037"/>
      <c r="BU87" s="3050"/>
    </row>
    <row r="88" spans="1:73" ht="25.5" customHeight="1" x14ac:dyDescent="0.25">
      <c r="A88" s="2018"/>
      <c r="B88" s="1997"/>
      <c r="C88" s="1984"/>
      <c r="D88" s="1982"/>
      <c r="G88" s="4160" t="s">
        <v>20</v>
      </c>
      <c r="H88" s="3402" t="s">
        <v>940</v>
      </c>
      <c r="I88" s="4160">
        <v>2201001</v>
      </c>
      <c r="J88" s="3402" t="s">
        <v>941</v>
      </c>
      <c r="K88" s="4162" t="s">
        <v>20</v>
      </c>
      <c r="L88" s="3402" t="s">
        <v>942</v>
      </c>
      <c r="M88" s="4162">
        <v>220100100</v>
      </c>
      <c r="N88" s="3402" t="s">
        <v>943</v>
      </c>
      <c r="O88" s="4171">
        <v>2</v>
      </c>
      <c r="P88" s="4174">
        <v>2</v>
      </c>
      <c r="Q88" s="2502"/>
      <c r="R88" s="2734"/>
      <c r="S88" s="4175">
        <f>SUM(X88:X91)/T80</f>
        <v>1.6341321671867436E-2</v>
      </c>
      <c r="T88" s="4176"/>
      <c r="U88" s="2771"/>
      <c r="V88" s="2685" t="s">
        <v>944</v>
      </c>
      <c r="W88" s="2832" t="s">
        <v>945</v>
      </c>
      <c r="X88" s="801">
        <v>664449.19999999995</v>
      </c>
      <c r="Y88" s="806">
        <v>0</v>
      </c>
      <c r="Z88" s="806">
        <v>0</v>
      </c>
      <c r="AA88" s="1989" t="s">
        <v>946</v>
      </c>
      <c r="AB88" s="4155">
        <v>20</v>
      </c>
      <c r="AC88" s="2993" t="s">
        <v>284</v>
      </c>
      <c r="AD88" s="4100"/>
      <c r="AE88" s="4100"/>
      <c r="AF88" s="4100"/>
      <c r="AG88" s="4100"/>
      <c r="AH88" s="4100"/>
      <c r="AI88" s="4100"/>
      <c r="AJ88" s="4100"/>
      <c r="AK88" s="4100"/>
      <c r="AL88" s="4100"/>
      <c r="AM88" s="4100"/>
      <c r="AN88" s="4100"/>
      <c r="AO88" s="4100"/>
      <c r="AP88" s="4100"/>
      <c r="AQ88" s="4100"/>
      <c r="AR88" s="4100"/>
      <c r="AS88" s="4100"/>
      <c r="AT88" s="4100"/>
      <c r="AU88" s="4100"/>
      <c r="AV88" s="4100"/>
      <c r="AW88" s="4100"/>
      <c r="AX88" s="4100"/>
      <c r="AY88" s="4100"/>
      <c r="AZ88" s="4100"/>
      <c r="BA88" s="4100"/>
      <c r="BB88" s="4100"/>
      <c r="BC88" s="4100"/>
      <c r="BD88" s="4100"/>
      <c r="BE88" s="4100"/>
      <c r="BF88" s="4100"/>
      <c r="BG88" s="4100"/>
      <c r="BH88" s="4100"/>
      <c r="BI88" s="4100"/>
      <c r="BJ88" s="4100"/>
      <c r="BK88" s="4100"/>
      <c r="BL88" s="4100"/>
      <c r="BM88" s="3040"/>
      <c r="BN88" s="4100"/>
      <c r="BO88" s="4100"/>
      <c r="BP88" s="3075"/>
      <c r="BQ88" s="3019"/>
      <c r="BR88" s="3037"/>
      <c r="BS88" s="3037"/>
      <c r="BT88" s="3037"/>
      <c r="BU88" s="3050"/>
    </row>
    <row r="89" spans="1:73" ht="21.75" customHeight="1" x14ac:dyDescent="0.25">
      <c r="A89" s="2018"/>
      <c r="B89" s="1997"/>
      <c r="C89" s="1984"/>
      <c r="D89" s="1982"/>
      <c r="G89" s="4128"/>
      <c r="H89" s="3403"/>
      <c r="I89" s="4128"/>
      <c r="J89" s="3403"/>
      <c r="K89" s="4163"/>
      <c r="L89" s="3403"/>
      <c r="M89" s="4163"/>
      <c r="N89" s="3403"/>
      <c r="O89" s="4172"/>
      <c r="P89" s="4174"/>
      <c r="Q89" s="2502"/>
      <c r="R89" s="2734"/>
      <c r="S89" s="4175"/>
      <c r="T89" s="4176"/>
      <c r="U89" s="2771"/>
      <c r="V89" s="2685"/>
      <c r="W89" s="3807"/>
      <c r="X89" s="801">
        <v>4126079.04</v>
      </c>
      <c r="Y89" s="801">
        <v>3800000</v>
      </c>
      <c r="Z89" s="806">
        <v>3800000</v>
      </c>
      <c r="AA89" s="1989" t="s">
        <v>947</v>
      </c>
      <c r="AB89" s="4155"/>
      <c r="AC89" s="2993"/>
      <c r="AD89" s="4100"/>
      <c r="AE89" s="4100"/>
      <c r="AF89" s="4100"/>
      <c r="AG89" s="4100"/>
      <c r="AH89" s="4100"/>
      <c r="AI89" s="4100"/>
      <c r="AJ89" s="4100"/>
      <c r="AK89" s="4100"/>
      <c r="AL89" s="4100"/>
      <c r="AM89" s="4100"/>
      <c r="AN89" s="4100"/>
      <c r="AO89" s="4100"/>
      <c r="AP89" s="4100"/>
      <c r="AQ89" s="4100"/>
      <c r="AR89" s="4100"/>
      <c r="AS89" s="4100"/>
      <c r="AT89" s="4100"/>
      <c r="AU89" s="4100"/>
      <c r="AV89" s="4100"/>
      <c r="AW89" s="4100"/>
      <c r="AX89" s="4100"/>
      <c r="AY89" s="4100"/>
      <c r="AZ89" s="4100"/>
      <c r="BA89" s="4100"/>
      <c r="BB89" s="4100"/>
      <c r="BC89" s="4100"/>
      <c r="BD89" s="4100"/>
      <c r="BE89" s="4100"/>
      <c r="BF89" s="4100"/>
      <c r="BG89" s="4100"/>
      <c r="BH89" s="4100"/>
      <c r="BI89" s="4100"/>
      <c r="BJ89" s="4100"/>
      <c r="BK89" s="4100"/>
      <c r="BL89" s="4100"/>
      <c r="BM89" s="3040"/>
      <c r="BN89" s="4100"/>
      <c r="BO89" s="4100"/>
      <c r="BP89" s="3075"/>
      <c r="BQ89" s="3019"/>
      <c r="BR89" s="3037"/>
      <c r="BS89" s="3037"/>
      <c r="BT89" s="3037"/>
      <c r="BU89" s="3050"/>
    </row>
    <row r="90" spans="1:73" ht="24.75" customHeight="1" x14ac:dyDescent="0.25">
      <c r="A90" s="2018"/>
      <c r="B90" s="1997"/>
      <c r="C90" s="1984"/>
      <c r="D90" s="1982"/>
      <c r="G90" s="4128"/>
      <c r="H90" s="3403"/>
      <c r="I90" s="4128"/>
      <c r="J90" s="3403"/>
      <c r="K90" s="4163"/>
      <c r="L90" s="3403"/>
      <c r="M90" s="4163"/>
      <c r="N90" s="3403"/>
      <c r="O90" s="4172"/>
      <c r="P90" s="4174"/>
      <c r="Q90" s="2502"/>
      <c r="R90" s="2734"/>
      <c r="S90" s="4175"/>
      <c r="T90" s="4176"/>
      <c r="U90" s="2771"/>
      <c r="V90" s="2685"/>
      <c r="W90" s="3807"/>
      <c r="X90" s="801">
        <v>3750692.96</v>
      </c>
      <c r="Y90" s="806">
        <v>3000000</v>
      </c>
      <c r="Z90" s="806">
        <v>3000000</v>
      </c>
      <c r="AA90" s="1989" t="s">
        <v>948</v>
      </c>
      <c r="AB90" s="4155"/>
      <c r="AC90" s="2993"/>
      <c r="AD90" s="4100"/>
      <c r="AE90" s="4100"/>
      <c r="AF90" s="4100"/>
      <c r="AG90" s="4100"/>
      <c r="AH90" s="4100"/>
      <c r="AI90" s="4100"/>
      <c r="AJ90" s="4100"/>
      <c r="AK90" s="4100"/>
      <c r="AL90" s="4100"/>
      <c r="AM90" s="4100"/>
      <c r="AN90" s="4100"/>
      <c r="AO90" s="4100"/>
      <c r="AP90" s="4100"/>
      <c r="AQ90" s="4100"/>
      <c r="AR90" s="4100"/>
      <c r="AS90" s="4100"/>
      <c r="AT90" s="4100"/>
      <c r="AU90" s="4100"/>
      <c r="AV90" s="4100"/>
      <c r="AW90" s="4100"/>
      <c r="AX90" s="4100"/>
      <c r="AY90" s="4100"/>
      <c r="AZ90" s="4100"/>
      <c r="BA90" s="4100"/>
      <c r="BB90" s="4100"/>
      <c r="BC90" s="4100"/>
      <c r="BD90" s="4100"/>
      <c r="BE90" s="4100"/>
      <c r="BF90" s="4100"/>
      <c r="BG90" s="4100"/>
      <c r="BH90" s="4100"/>
      <c r="BI90" s="4100"/>
      <c r="BJ90" s="4100"/>
      <c r="BK90" s="4100"/>
      <c r="BL90" s="4100"/>
      <c r="BM90" s="3040"/>
      <c r="BN90" s="4100"/>
      <c r="BO90" s="4100"/>
      <c r="BP90" s="3075"/>
      <c r="BQ90" s="3019"/>
      <c r="BR90" s="3037"/>
      <c r="BS90" s="3037"/>
      <c r="BT90" s="3037"/>
      <c r="BU90" s="3050"/>
    </row>
    <row r="91" spans="1:73" ht="35.25" customHeight="1" x14ac:dyDescent="0.25">
      <c r="A91" s="2018"/>
      <c r="B91" s="1997"/>
      <c r="C91" s="1984"/>
      <c r="D91" s="1982"/>
      <c r="G91" s="4161"/>
      <c r="H91" s="3417"/>
      <c r="I91" s="4161"/>
      <c r="J91" s="3417"/>
      <c r="K91" s="4164"/>
      <c r="L91" s="3417"/>
      <c r="M91" s="4164"/>
      <c r="N91" s="3417"/>
      <c r="O91" s="4173"/>
      <c r="P91" s="4174"/>
      <c r="Q91" s="2770"/>
      <c r="R91" s="2734"/>
      <c r="S91" s="4175"/>
      <c r="T91" s="4177"/>
      <c r="U91" s="2772"/>
      <c r="V91" s="2685"/>
      <c r="W91" s="3807"/>
      <c r="X91" s="801">
        <v>1458778.81</v>
      </c>
      <c r="Y91" s="806">
        <v>1000000</v>
      </c>
      <c r="Z91" s="806">
        <v>1000000</v>
      </c>
      <c r="AA91" s="1989" t="s">
        <v>949</v>
      </c>
      <c r="AB91" s="4156"/>
      <c r="AC91" s="2994"/>
      <c r="AD91" s="4101"/>
      <c r="AE91" s="4101"/>
      <c r="AF91" s="4101"/>
      <c r="AG91" s="4101"/>
      <c r="AH91" s="4101"/>
      <c r="AI91" s="4101"/>
      <c r="AJ91" s="4101"/>
      <c r="AK91" s="4101"/>
      <c r="AL91" s="4101"/>
      <c r="AM91" s="4101"/>
      <c r="AN91" s="4101"/>
      <c r="AO91" s="4101"/>
      <c r="AP91" s="4101"/>
      <c r="AQ91" s="4101"/>
      <c r="AR91" s="4101"/>
      <c r="AS91" s="4101"/>
      <c r="AT91" s="4101"/>
      <c r="AU91" s="4101"/>
      <c r="AV91" s="4101"/>
      <c r="AW91" s="4101"/>
      <c r="AX91" s="4101"/>
      <c r="AY91" s="4101"/>
      <c r="AZ91" s="4101"/>
      <c r="BA91" s="4101"/>
      <c r="BB91" s="4101"/>
      <c r="BC91" s="4101"/>
      <c r="BD91" s="4101"/>
      <c r="BE91" s="4101"/>
      <c r="BF91" s="4101"/>
      <c r="BG91" s="4101"/>
      <c r="BH91" s="4101"/>
      <c r="BI91" s="4101"/>
      <c r="BJ91" s="4101"/>
      <c r="BK91" s="4101"/>
      <c r="BL91" s="4101"/>
      <c r="BM91" s="3041"/>
      <c r="BN91" s="4101"/>
      <c r="BO91" s="4101"/>
      <c r="BP91" s="3076"/>
      <c r="BQ91" s="3020"/>
      <c r="BR91" s="3038"/>
      <c r="BS91" s="3038"/>
      <c r="BT91" s="3038"/>
      <c r="BU91" s="3051"/>
    </row>
    <row r="92" spans="1:73" ht="35.25" customHeight="1" x14ac:dyDescent="0.25">
      <c r="A92" s="2018"/>
      <c r="B92" s="1997"/>
      <c r="C92" s="1984"/>
      <c r="D92" s="1982"/>
      <c r="G92" s="4160">
        <v>2201001</v>
      </c>
      <c r="H92" s="3402" t="s">
        <v>941</v>
      </c>
      <c r="I92" s="4160">
        <v>2201001</v>
      </c>
      <c r="J92" s="3402" t="s">
        <v>941</v>
      </c>
      <c r="K92" s="4162">
        <v>220100100</v>
      </c>
      <c r="L92" s="3402" t="s">
        <v>943</v>
      </c>
      <c r="M92" s="4162">
        <v>220100100</v>
      </c>
      <c r="N92" s="3402" t="s">
        <v>943</v>
      </c>
      <c r="O92" s="4171">
        <v>5</v>
      </c>
      <c r="P92" s="4174">
        <v>5</v>
      </c>
      <c r="Q92" s="2745" t="s">
        <v>950</v>
      </c>
      <c r="R92" s="4178" t="s">
        <v>951</v>
      </c>
      <c r="S92" s="4181">
        <f>SUM(X92:X95)/T92</f>
        <v>1</v>
      </c>
      <c r="T92" s="4183">
        <f>SUM(X92:X99)</f>
        <v>14100000</v>
      </c>
      <c r="U92" s="2681" t="s">
        <v>952</v>
      </c>
      <c r="V92" s="2930" t="s">
        <v>953</v>
      </c>
      <c r="W92" s="4152" t="s">
        <v>945</v>
      </c>
      <c r="X92" s="801">
        <v>1873004.28</v>
      </c>
      <c r="Y92" s="806">
        <v>1698004.28</v>
      </c>
      <c r="Z92" s="806">
        <v>1698004.28</v>
      </c>
      <c r="AA92" s="1989" t="s">
        <v>954</v>
      </c>
      <c r="AB92" s="4154">
        <v>20</v>
      </c>
      <c r="AC92" s="2992" t="s">
        <v>284</v>
      </c>
      <c r="AD92" s="4123">
        <v>19649</v>
      </c>
      <c r="AE92" s="4123">
        <v>19649</v>
      </c>
      <c r="AF92" s="4123">
        <v>20118</v>
      </c>
      <c r="AG92" s="4123">
        <v>20118</v>
      </c>
      <c r="AH92" s="4123">
        <v>28907</v>
      </c>
      <c r="AI92" s="4123">
        <v>28907</v>
      </c>
      <c r="AJ92" s="4123">
        <v>9525</v>
      </c>
      <c r="AK92" s="4123">
        <v>9525</v>
      </c>
      <c r="AL92" s="4123">
        <v>1222</v>
      </c>
      <c r="AM92" s="4123">
        <v>1222</v>
      </c>
      <c r="AN92" s="4123">
        <v>113</v>
      </c>
      <c r="AO92" s="4123">
        <v>113</v>
      </c>
      <c r="AP92" s="4123">
        <v>297</v>
      </c>
      <c r="AQ92" s="4123">
        <v>297</v>
      </c>
      <c r="AR92" s="4123">
        <v>345</v>
      </c>
      <c r="AS92" s="4123">
        <v>345</v>
      </c>
      <c r="AT92" s="4123">
        <v>0</v>
      </c>
      <c r="AU92" s="4123">
        <v>0</v>
      </c>
      <c r="AV92" s="4123">
        <v>0</v>
      </c>
      <c r="AW92" s="4123">
        <v>0</v>
      </c>
      <c r="AX92" s="4123">
        <v>0</v>
      </c>
      <c r="AY92" s="4123">
        <v>0</v>
      </c>
      <c r="AZ92" s="4123">
        <v>0</v>
      </c>
      <c r="BA92" s="4123">
        <v>0</v>
      </c>
      <c r="BB92" s="4123">
        <v>3301</v>
      </c>
      <c r="BC92" s="4123">
        <v>3301</v>
      </c>
      <c r="BD92" s="4123">
        <v>2507</v>
      </c>
      <c r="BE92" s="4123">
        <v>2507</v>
      </c>
      <c r="BF92" s="4123">
        <v>113</v>
      </c>
      <c r="BG92" s="4123">
        <v>113</v>
      </c>
      <c r="BH92" s="4123">
        <f>+AD92+AF92</f>
        <v>39767</v>
      </c>
      <c r="BI92" s="4123">
        <f>+AE92+AG92</f>
        <v>39767</v>
      </c>
      <c r="BJ92" s="4123">
        <v>2</v>
      </c>
      <c r="BK92" s="4123">
        <f>SUM(Y92:Y99)</f>
        <v>13100000</v>
      </c>
      <c r="BL92" s="4123">
        <f>SUM(Z92:Z99)</f>
        <v>13100000</v>
      </c>
      <c r="BM92" s="4159">
        <f>+BL92/BK92</f>
        <v>1</v>
      </c>
      <c r="BN92" s="4123">
        <v>20</v>
      </c>
      <c r="BO92" s="4123" t="s">
        <v>1</v>
      </c>
      <c r="BP92" s="3074" t="s">
        <v>838</v>
      </c>
      <c r="BQ92" s="3018">
        <v>44198</v>
      </c>
      <c r="BR92" s="3018">
        <v>44198</v>
      </c>
      <c r="BS92" s="3018">
        <v>44560</v>
      </c>
      <c r="BT92" s="3018">
        <v>44560</v>
      </c>
      <c r="BU92" s="3049" t="s">
        <v>762</v>
      </c>
    </row>
    <row r="93" spans="1:73" ht="35.25" customHeight="1" x14ac:dyDescent="0.25">
      <c r="A93" s="2018"/>
      <c r="B93" s="1997"/>
      <c r="C93" s="1984"/>
      <c r="D93" s="1982"/>
      <c r="G93" s="4128"/>
      <c r="H93" s="3403"/>
      <c r="I93" s="4128"/>
      <c r="J93" s="3403"/>
      <c r="K93" s="4163"/>
      <c r="L93" s="3403"/>
      <c r="M93" s="4163"/>
      <c r="N93" s="3403"/>
      <c r="O93" s="4172"/>
      <c r="P93" s="4174"/>
      <c r="Q93" s="2502"/>
      <c r="R93" s="4179"/>
      <c r="S93" s="4181"/>
      <c r="T93" s="4184"/>
      <c r="U93" s="2771"/>
      <c r="V93" s="2930"/>
      <c r="W93" s="4152"/>
      <c r="X93" s="801">
        <v>4988471.13</v>
      </c>
      <c r="Y93" s="801">
        <v>4713471.13</v>
      </c>
      <c r="Z93" s="801">
        <v>4713471.13</v>
      </c>
      <c r="AA93" s="1989" t="s">
        <v>955</v>
      </c>
      <c r="AB93" s="4155"/>
      <c r="AC93" s="2993"/>
      <c r="AD93" s="4100"/>
      <c r="AE93" s="4100"/>
      <c r="AF93" s="4100"/>
      <c r="AG93" s="4100"/>
      <c r="AH93" s="4100"/>
      <c r="AI93" s="4100"/>
      <c r="AJ93" s="4100"/>
      <c r="AK93" s="4100"/>
      <c r="AL93" s="4100"/>
      <c r="AM93" s="4100"/>
      <c r="AN93" s="4100"/>
      <c r="AO93" s="4100"/>
      <c r="AP93" s="4100"/>
      <c r="AQ93" s="4100"/>
      <c r="AR93" s="4100"/>
      <c r="AS93" s="4100"/>
      <c r="AT93" s="4100"/>
      <c r="AU93" s="4100"/>
      <c r="AV93" s="4100"/>
      <c r="AW93" s="4100"/>
      <c r="AX93" s="4100"/>
      <c r="AY93" s="4100"/>
      <c r="AZ93" s="4100"/>
      <c r="BA93" s="4100"/>
      <c r="BB93" s="4100"/>
      <c r="BC93" s="4100"/>
      <c r="BD93" s="4100"/>
      <c r="BE93" s="4100"/>
      <c r="BF93" s="4100"/>
      <c r="BG93" s="4100"/>
      <c r="BH93" s="4100"/>
      <c r="BI93" s="4100"/>
      <c r="BJ93" s="4100"/>
      <c r="BK93" s="4100"/>
      <c r="BL93" s="4100"/>
      <c r="BM93" s="4103"/>
      <c r="BN93" s="4100"/>
      <c r="BO93" s="4100"/>
      <c r="BP93" s="3075"/>
      <c r="BQ93" s="3019"/>
      <c r="BR93" s="3019"/>
      <c r="BS93" s="3019"/>
      <c r="BT93" s="3019"/>
      <c r="BU93" s="3050"/>
    </row>
    <row r="94" spans="1:73" ht="35.25" customHeight="1" x14ac:dyDescent="0.25">
      <c r="A94" s="2018"/>
      <c r="B94" s="1997"/>
      <c r="C94" s="1984"/>
      <c r="D94" s="1982"/>
      <c r="G94" s="4128"/>
      <c r="H94" s="3403"/>
      <c r="I94" s="4128"/>
      <c r="J94" s="3403"/>
      <c r="K94" s="4163"/>
      <c r="L94" s="3403"/>
      <c r="M94" s="4163"/>
      <c r="N94" s="3403"/>
      <c r="O94" s="4172"/>
      <c r="P94" s="4174"/>
      <c r="Q94" s="2502"/>
      <c r="R94" s="4179"/>
      <c r="S94" s="4181"/>
      <c r="T94" s="4184"/>
      <c r="U94" s="2771"/>
      <c r="V94" s="2930"/>
      <c r="W94" s="4152"/>
      <c r="X94" s="801">
        <v>4650623.66</v>
      </c>
      <c r="Y94" s="806">
        <v>4375623.66</v>
      </c>
      <c r="Z94" s="806">
        <v>4375623.66</v>
      </c>
      <c r="AA94" s="1989" t="s">
        <v>956</v>
      </c>
      <c r="AB94" s="4155"/>
      <c r="AC94" s="2993"/>
      <c r="AD94" s="4100"/>
      <c r="AE94" s="4100"/>
      <c r="AF94" s="4100"/>
      <c r="AG94" s="4100"/>
      <c r="AH94" s="4100"/>
      <c r="AI94" s="4100"/>
      <c r="AJ94" s="4100"/>
      <c r="AK94" s="4100"/>
      <c r="AL94" s="4100"/>
      <c r="AM94" s="4100"/>
      <c r="AN94" s="4100"/>
      <c r="AO94" s="4100"/>
      <c r="AP94" s="4100"/>
      <c r="AQ94" s="4100"/>
      <c r="AR94" s="4100"/>
      <c r="AS94" s="4100"/>
      <c r="AT94" s="4100"/>
      <c r="AU94" s="4100"/>
      <c r="AV94" s="4100"/>
      <c r="AW94" s="4100"/>
      <c r="AX94" s="4100"/>
      <c r="AY94" s="4100"/>
      <c r="AZ94" s="4100"/>
      <c r="BA94" s="4100"/>
      <c r="BB94" s="4100"/>
      <c r="BC94" s="4100"/>
      <c r="BD94" s="4100"/>
      <c r="BE94" s="4100"/>
      <c r="BF94" s="4100"/>
      <c r="BG94" s="4100"/>
      <c r="BH94" s="4100"/>
      <c r="BI94" s="4100"/>
      <c r="BJ94" s="4100"/>
      <c r="BK94" s="4100"/>
      <c r="BL94" s="4100"/>
      <c r="BM94" s="4103"/>
      <c r="BN94" s="4100"/>
      <c r="BO94" s="4100"/>
      <c r="BP94" s="3075"/>
      <c r="BQ94" s="3019"/>
      <c r="BR94" s="3019"/>
      <c r="BS94" s="3019"/>
      <c r="BT94" s="3019"/>
      <c r="BU94" s="3050"/>
    </row>
    <row r="95" spans="1:73" ht="35.25" customHeight="1" x14ac:dyDescent="0.25">
      <c r="A95" s="2018"/>
      <c r="B95" s="1997"/>
      <c r="C95" s="1984"/>
      <c r="D95" s="1982"/>
      <c r="G95" s="4161"/>
      <c r="H95" s="3417"/>
      <c r="I95" s="4161"/>
      <c r="J95" s="3417"/>
      <c r="K95" s="4164"/>
      <c r="L95" s="3417"/>
      <c r="M95" s="4164"/>
      <c r="N95" s="3417"/>
      <c r="O95" s="4173"/>
      <c r="P95" s="4174"/>
      <c r="Q95" s="2502"/>
      <c r="R95" s="4179"/>
      <c r="S95" s="4182"/>
      <c r="T95" s="4184"/>
      <c r="U95" s="2771"/>
      <c r="V95" s="2930"/>
      <c r="W95" s="4153"/>
      <c r="X95" s="801">
        <v>2587900.9300000002</v>
      </c>
      <c r="Y95" s="806">
        <v>2312900.9300000002</v>
      </c>
      <c r="Z95" s="806">
        <v>2312900.9300000002</v>
      </c>
      <c r="AA95" s="1989" t="s">
        <v>957</v>
      </c>
      <c r="AB95" s="4156"/>
      <c r="AC95" s="2994"/>
      <c r="AD95" s="4100"/>
      <c r="AE95" s="4100"/>
      <c r="AF95" s="4100"/>
      <c r="AG95" s="4100"/>
      <c r="AH95" s="4100"/>
      <c r="AI95" s="4100"/>
      <c r="AJ95" s="4100"/>
      <c r="AK95" s="4100"/>
      <c r="AL95" s="4100"/>
      <c r="AM95" s="4100"/>
      <c r="AN95" s="4100"/>
      <c r="AO95" s="4100"/>
      <c r="AP95" s="4100"/>
      <c r="AQ95" s="4100"/>
      <c r="AR95" s="4100"/>
      <c r="AS95" s="4100"/>
      <c r="AT95" s="4100"/>
      <c r="AU95" s="4100"/>
      <c r="AV95" s="4100"/>
      <c r="AW95" s="4100"/>
      <c r="AX95" s="4100"/>
      <c r="AY95" s="4100"/>
      <c r="AZ95" s="4100"/>
      <c r="BA95" s="4100"/>
      <c r="BB95" s="4100"/>
      <c r="BC95" s="4100"/>
      <c r="BD95" s="4100"/>
      <c r="BE95" s="4100"/>
      <c r="BF95" s="4100"/>
      <c r="BG95" s="4100"/>
      <c r="BH95" s="4100"/>
      <c r="BI95" s="4100"/>
      <c r="BJ95" s="4100"/>
      <c r="BK95" s="4100"/>
      <c r="BL95" s="4100"/>
      <c r="BM95" s="4103"/>
      <c r="BN95" s="4100"/>
      <c r="BO95" s="4100"/>
      <c r="BP95" s="3075"/>
      <c r="BQ95" s="3019"/>
      <c r="BR95" s="3019"/>
      <c r="BS95" s="3019"/>
      <c r="BT95" s="3019"/>
      <c r="BU95" s="3050"/>
    </row>
    <row r="96" spans="1:73" ht="35.25" customHeight="1" x14ac:dyDescent="0.25">
      <c r="A96" s="2018"/>
      <c r="B96" s="1997"/>
      <c r="C96" s="1984"/>
      <c r="D96" s="1982"/>
      <c r="G96" s="4160">
        <v>2201048</v>
      </c>
      <c r="H96" s="3402" t="s">
        <v>958</v>
      </c>
      <c r="I96" s="4160">
        <v>2201048</v>
      </c>
      <c r="J96" s="3402" t="s">
        <v>958</v>
      </c>
      <c r="K96" s="4162">
        <v>220104801</v>
      </c>
      <c r="L96" s="3402" t="s">
        <v>959</v>
      </c>
      <c r="M96" s="4162">
        <v>220104801</v>
      </c>
      <c r="N96" s="3402" t="s">
        <v>959</v>
      </c>
      <c r="O96" s="4171">
        <v>1</v>
      </c>
      <c r="P96" s="4174">
        <v>1</v>
      </c>
      <c r="Q96" s="2502"/>
      <c r="R96" s="4179"/>
      <c r="S96" s="4186">
        <f>SUM(X96:X99)/T92</f>
        <v>0</v>
      </c>
      <c r="T96" s="4184"/>
      <c r="U96" s="2771"/>
      <c r="V96" s="2930" t="s">
        <v>960</v>
      </c>
      <c r="W96" s="4151" t="s">
        <v>961</v>
      </c>
      <c r="X96" s="2007">
        <f>598004.28-598004.28</f>
        <v>0</v>
      </c>
      <c r="Y96" s="805">
        <v>0</v>
      </c>
      <c r="Z96" s="805">
        <v>0</v>
      </c>
      <c r="AA96" s="1989" t="s">
        <v>962</v>
      </c>
      <c r="AB96" s="4154">
        <v>20</v>
      </c>
      <c r="AC96" s="2992" t="s">
        <v>284</v>
      </c>
      <c r="AD96" s="4100"/>
      <c r="AE96" s="4100"/>
      <c r="AF96" s="4100"/>
      <c r="AG96" s="4100"/>
      <c r="AH96" s="4100"/>
      <c r="AI96" s="4100"/>
      <c r="AJ96" s="4100"/>
      <c r="AK96" s="4100"/>
      <c r="AL96" s="4100"/>
      <c r="AM96" s="4100"/>
      <c r="AN96" s="4100"/>
      <c r="AO96" s="4100"/>
      <c r="AP96" s="4100"/>
      <c r="AQ96" s="4100"/>
      <c r="AR96" s="4100"/>
      <c r="AS96" s="4100"/>
      <c r="AT96" s="4100"/>
      <c r="AU96" s="4100"/>
      <c r="AV96" s="4100"/>
      <c r="AW96" s="4100"/>
      <c r="AX96" s="4100"/>
      <c r="AY96" s="4100"/>
      <c r="AZ96" s="4100"/>
      <c r="BA96" s="4100"/>
      <c r="BB96" s="4100"/>
      <c r="BC96" s="4100"/>
      <c r="BD96" s="4100"/>
      <c r="BE96" s="4100"/>
      <c r="BF96" s="4100"/>
      <c r="BG96" s="4100"/>
      <c r="BH96" s="4100"/>
      <c r="BI96" s="4100"/>
      <c r="BJ96" s="4100"/>
      <c r="BK96" s="4100"/>
      <c r="BL96" s="4100"/>
      <c r="BM96" s="4103"/>
      <c r="BN96" s="4100"/>
      <c r="BO96" s="4100"/>
      <c r="BP96" s="3075"/>
      <c r="BQ96" s="3019"/>
      <c r="BR96" s="3019"/>
      <c r="BS96" s="3019"/>
      <c r="BT96" s="3019"/>
      <c r="BU96" s="3050"/>
    </row>
    <row r="97" spans="1:73" ht="35.25" customHeight="1" x14ac:dyDescent="0.25">
      <c r="A97" s="2018"/>
      <c r="B97" s="1997"/>
      <c r="C97" s="1984"/>
      <c r="D97" s="1982"/>
      <c r="G97" s="4128"/>
      <c r="H97" s="3403"/>
      <c r="I97" s="4128"/>
      <c r="J97" s="3403"/>
      <c r="K97" s="4163"/>
      <c r="L97" s="3403"/>
      <c r="M97" s="4163"/>
      <c r="N97" s="3403"/>
      <c r="O97" s="4172"/>
      <c r="P97" s="4174"/>
      <c r="Q97" s="2502"/>
      <c r="R97" s="4179"/>
      <c r="S97" s="4181"/>
      <c r="T97" s="4184"/>
      <c r="U97" s="2771"/>
      <c r="V97" s="2930"/>
      <c r="W97" s="4152"/>
      <c r="X97" s="2007">
        <f>3713471.13-3713471.13</f>
        <v>0</v>
      </c>
      <c r="Y97" s="805">
        <v>0</v>
      </c>
      <c r="Z97" s="805">
        <v>0</v>
      </c>
      <c r="AA97" s="1989" t="s">
        <v>963</v>
      </c>
      <c r="AB97" s="4155"/>
      <c r="AC97" s="2993"/>
      <c r="AD97" s="4100"/>
      <c r="AE97" s="4100"/>
      <c r="AF97" s="4100"/>
      <c r="AG97" s="4100"/>
      <c r="AH97" s="4100"/>
      <c r="AI97" s="4100"/>
      <c r="AJ97" s="4100"/>
      <c r="AK97" s="4100"/>
      <c r="AL97" s="4100"/>
      <c r="AM97" s="4100"/>
      <c r="AN97" s="4100"/>
      <c r="AO97" s="4100"/>
      <c r="AP97" s="4100"/>
      <c r="AQ97" s="4100"/>
      <c r="AR97" s="4100"/>
      <c r="AS97" s="4100"/>
      <c r="AT97" s="4100"/>
      <c r="AU97" s="4100"/>
      <c r="AV97" s="4100"/>
      <c r="AW97" s="4100"/>
      <c r="AX97" s="4100"/>
      <c r="AY97" s="4100"/>
      <c r="AZ97" s="4100"/>
      <c r="BA97" s="4100"/>
      <c r="BB97" s="4100"/>
      <c r="BC97" s="4100"/>
      <c r="BD97" s="4100"/>
      <c r="BE97" s="4100"/>
      <c r="BF97" s="4100"/>
      <c r="BG97" s="4100"/>
      <c r="BH97" s="4100"/>
      <c r="BI97" s="4100"/>
      <c r="BJ97" s="4100"/>
      <c r="BK97" s="4100"/>
      <c r="BL97" s="4100"/>
      <c r="BM97" s="4103"/>
      <c r="BN97" s="4100"/>
      <c r="BO97" s="4100"/>
      <c r="BP97" s="3075"/>
      <c r="BQ97" s="3019"/>
      <c r="BR97" s="3019"/>
      <c r="BS97" s="3019"/>
      <c r="BT97" s="3019"/>
      <c r="BU97" s="3050"/>
    </row>
    <row r="98" spans="1:73" ht="35.25" customHeight="1" x14ac:dyDescent="0.25">
      <c r="A98" s="2018"/>
      <c r="B98" s="1997"/>
      <c r="C98" s="1984"/>
      <c r="D98" s="1982"/>
      <c r="G98" s="4128"/>
      <c r="H98" s="3403"/>
      <c r="I98" s="4128"/>
      <c r="J98" s="3403"/>
      <c r="K98" s="4163"/>
      <c r="L98" s="3403"/>
      <c r="M98" s="4163"/>
      <c r="N98" s="3403"/>
      <c r="O98" s="4172"/>
      <c r="P98" s="4174"/>
      <c r="Q98" s="2502"/>
      <c r="R98" s="4179"/>
      <c r="S98" s="4181"/>
      <c r="T98" s="4184"/>
      <c r="U98" s="2771"/>
      <c r="V98" s="2930"/>
      <c r="W98" s="4152"/>
      <c r="X98" s="2007">
        <f>3375623.66-3375623.66</f>
        <v>0</v>
      </c>
      <c r="Y98" s="805">
        <v>0</v>
      </c>
      <c r="Z98" s="805">
        <v>0</v>
      </c>
      <c r="AA98" s="1989" t="s">
        <v>964</v>
      </c>
      <c r="AB98" s="4155"/>
      <c r="AC98" s="2993"/>
      <c r="AD98" s="4100"/>
      <c r="AE98" s="4100"/>
      <c r="AF98" s="4100"/>
      <c r="AG98" s="4100"/>
      <c r="AH98" s="4100"/>
      <c r="AI98" s="4100"/>
      <c r="AJ98" s="4100"/>
      <c r="AK98" s="4100"/>
      <c r="AL98" s="4100"/>
      <c r="AM98" s="4100"/>
      <c r="AN98" s="4100"/>
      <c r="AO98" s="4100"/>
      <c r="AP98" s="4100"/>
      <c r="AQ98" s="4100"/>
      <c r="AR98" s="4100"/>
      <c r="AS98" s="4100"/>
      <c r="AT98" s="4100"/>
      <c r="AU98" s="4100"/>
      <c r="AV98" s="4100"/>
      <c r="AW98" s="4100"/>
      <c r="AX98" s="4100"/>
      <c r="AY98" s="4100"/>
      <c r="AZ98" s="4100"/>
      <c r="BA98" s="4100"/>
      <c r="BB98" s="4100"/>
      <c r="BC98" s="4100"/>
      <c r="BD98" s="4100"/>
      <c r="BE98" s="4100"/>
      <c r="BF98" s="4100"/>
      <c r="BG98" s="4100"/>
      <c r="BH98" s="4100"/>
      <c r="BI98" s="4100"/>
      <c r="BJ98" s="4100"/>
      <c r="BK98" s="4100"/>
      <c r="BL98" s="4100"/>
      <c r="BM98" s="4103"/>
      <c r="BN98" s="4100"/>
      <c r="BO98" s="4100"/>
      <c r="BP98" s="3075"/>
      <c r="BQ98" s="3019"/>
      <c r="BR98" s="3019"/>
      <c r="BS98" s="3019"/>
      <c r="BT98" s="3019"/>
      <c r="BU98" s="3050"/>
    </row>
    <row r="99" spans="1:73" ht="37.5" customHeight="1" x14ac:dyDescent="0.25">
      <c r="A99" s="2018"/>
      <c r="B99" s="1997"/>
      <c r="C99" s="1984"/>
      <c r="D99" s="1982"/>
      <c r="G99" s="4161"/>
      <c r="H99" s="3417"/>
      <c r="I99" s="4161"/>
      <c r="J99" s="3417"/>
      <c r="K99" s="4164"/>
      <c r="L99" s="3417"/>
      <c r="M99" s="4164"/>
      <c r="N99" s="3417"/>
      <c r="O99" s="4172"/>
      <c r="P99" s="4133"/>
      <c r="Q99" s="2770"/>
      <c r="R99" s="4180"/>
      <c r="S99" s="4182"/>
      <c r="T99" s="4185"/>
      <c r="U99" s="2772"/>
      <c r="V99" s="2930"/>
      <c r="W99" s="4153"/>
      <c r="X99" s="2007">
        <f>1312900.93-1312900.93</f>
        <v>0</v>
      </c>
      <c r="Y99" s="805">
        <v>0</v>
      </c>
      <c r="Z99" s="805">
        <v>0</v>
      </c>
      <c r="AA99" s="1989" t="s">
        <v>965</v>
      </c>
      <c r="AB99" s="4156"/>
      <c r="AC99" s="2994"/>
      <c r="AD99" s="4101"/>
      <c r="AE99" s="4101"/>
      <c r="AF99" s="4101"/>
      <c r="AG99" s="4101"/>
      <c r="AH99" s="4101"/>
      <c r="AI99" s="4101"/>
      <c r="AJ99" s="4101"/>
      <c r="AK99" s="4101"/>
      <c r="AL99" s="4101"/>
      <c r="AM99" s="4101"/>
      <c r="AN99" s="4101"/>
      <c r="AO99" s="4101"/>
      <c r="AP99" s="4101"/>
      <c r="AQ99" s="4101"/>
      <c r="AR99" s="4101"/>
      <c r="AS99" s="4101"/>
      <c r="AT99" s="4101"/>
      <c r="AU99" s="4101"/>
      <c r="AV99" s="4101"/>
      <c r="AW99" s="4101"/>
      <c r="AX99" s="4101"/>
      <c r="AY99" s="4101"/>
      <c r="AZ99" s="4101"/>
      <c r="BA99" s="4101"/>
      <c r="BB99" s="4101"/>
      <c r="BC99" s="4101"/>
      <c r="BD99" s="4101"/>
      <c r="BE99" s="4101"/>
      <c r="BF99" s="4101"/>
      <c r="BG99" s="4101"/>
      <c r="BH99" s="4101"/>
      <c r="BI99" s="4101"/>
      <c r="BJ99" s="4101"/>
      <c r="BK99" s="4101"/>
      <c r="BL99" s="4101"/>
      <c r="BM99" s="4104"/>
      <c r="BN99" s="4101"/>
      <c r="BO99" s="4101"/>
      <c r="BP99" s="3076"/>
      <c r="BQ99" s="3020"/>
      <c r="BR99" s="3020"/>
      <c r="BS99" s="3020"/>
      <c r="BT99" s="3020"/>
      <c r="BU99" s="3051"/>
    </row>
    <row r="100" spans="1:73" ht="47.25" customHeight="1" x14ac:dyDescent="0.25">
      <c r="A100" s="2018"/>
      <c r="B100" s="1997"/>
      <c r="C100" s="1984"/>
      <c r="D100" s="1982"/>
      <c r="G100" s="4127" t="s">
        <v>966</v>
      </c>
      <c r="H100" s="3205" t="s">
        <v>967</v>
      </c>
      <c r="I100" s="4127">
        <v>2201034</v>
      </c>
      <c r="J100" s="3205" t="s">
        <v>967</v>
      </c>
      <c r="K100" s="4187">
        <v>220103400</v>
      </c>
      <c r="L100" s="2523" t="s">
        <v>968</v>
      </c>
      <c r="M100" s="4187">
        <v>220103400</v>
      </c>
      <c r="N100" s="4189" t="s">
        <v>968</v>
      </c>
      <c r="O100" s="4174">
        <v>5500</v>
      </c>
      <c r="P100" s="4174">
        <v>4760</v>
      </c>
      <c r="Q100" s="2745" t="s">
        <v>969</v>
      </c>
      <c r="R100" s="4178" t="s">
        <v>970</v>
      </c>
      <c r="S100" s="4136">
        <f>SUM(X104:X107)/T100</f>
        <v>0.50000000075000006</v>
      </c>
      <c r="T100" s="4192">
        <f>SUM(X100:X111)</f>
        <v>19999999.989999998</v>
      </c>
      <c r="U100" s="2681" t="s">
        <v>971</v>
      </c>
      <c r="V100" s="2992" t="s">
        <v>972</v>
      </c>
      <c r="W100" s="4189" t="s">
        <v>973</v>
      </c>
      <c r="X100" s="801">
        <v>664449.17000000004</v>
      </c>
      <c r="Y100" s="806">
        <v>620220.64</v>
      </c>
      <c r="Z100" s="806">
        <v>620220.64</v>
      </c>
      <c r="AA100" s="1989" t="s">
        <v>974</v>
      </c>
      <c r="AB100" s="4154">
        <v>20</v>
      </c>
      <c r="AC100" s="2992" t="s">
        <v>284</v>
      </c>
      <c r="AD100" s="4123">
        <v>19649</v>
      </c>
      <c r="AE100" s="4123">
        <v>19649</v>
      </c>
      <c r="AF100" s="4123">
        <v>20118</v>
      </c>
      <c r="AG100" s="4123">
        <v>20118</v>
      </c>
      <c r="AH100" s="4123">
        <v>28907</v>
      </c>
      <c r="AI100" s="4123">
        <v>28907</v>
      </c>
      <c r="AJ100" s="4123">
        <v>9525</v>
      </c>
      <c r="AK100" s="4123">
        <v>9525</v>
      </c>
      <c r="AL100" s="4123">
        <v>1222</v>
      </c>
      <c r="AM100" s="4123">
        <v>1222</v>
      </c>
      <c r="AN100" s="4123">
        <v>113</v>
      </c>
      <c r="AO100" s="4123">
        <v>113</v>
      </c>
      <c r="AP100" s="4123">
        <v>297</v>
      </c>
      <c r="AQ100" s="4123">
        <v>297</v>
      </c>
      <c r="AR100" s="4123">
        <v>345</v>
      </c>
      <c r="AS100" s="4123">
        <v>345</v>
      </c>
      <c r="AT100" s="4123">
        <v>0</v>
      </c>
      <c r="AU100" s="4123">
        <v>0</v>
      </c>
      <c r="AV100" s="4123">
        <v>0</v>
      </c>
      <c r="AW100" s="4123">
        <v>0</v>
      </c>
      <c r="AX100" s="4123">
        <v>0</v>
      </c>
      <c r="AY100" s="4123">
        <v>0</v>
      </c>
      <c r="AZ100" s="4123">
        <v>0</v>
      </c>
      <c r="BA100" s="4123">
        <v>0</v>
      </c>
      <c r="BB100" s="4123">
        <v>3301</v>
      </c>
      <c r="BC100" s="4123">
        <v>3301</v>
      </c>
      <c r="BD100" s="4123">
        <v>2507</v>
      </c>
      <c r="BE100" s="4123">
        <v>2507</v>
      </c>
      <c r="BF100" s="4123">
        <v>113</v>
      </c>
      <c r="BG100" s="4123">
        <v>113</v>
      </c>
      <c r="BH100" s="4123">
        <f>+AD100+AF100</f>
        <v>39767</v>
      </c>
      <c r="BI100" s="4123">
        <f>+AE100+AG100</f>
        <v>39767</v>
      </c>
      <c r="BJ100" s="4123">
        <v>1</v>
      </c>
      <c r="BK100" s="4123">
        <f>SUM(Y100:Y111)</f>
        <v>19334358.999999996</v>
      </c>
      <c r="BL100" s="4123">
        <f>SUM(Z100:Z111)</f>
        <v>19334358.999999996</v>
      </c>
      <c r="BM100" s="3039">
        <f>+BL100/BK100</f>
        <v>1</v>
      </c>
      <c r="BN100" s="4123">
        <v>20</v>
      </c>
      <c r="BO100" s="4123" t="s">
        <v>1</v>
      </c>
      <c r="BP100" s="3074" t="s">
        <v>838</v>
      </c>
      <c r="BQ100" s="3018">
        <v>44198</v>
      </c>
      <c r="BR100" s="3018">
        <v>44198</v>
      </c>
      <c r="BS100" s="3018">
        <v>44560</v>
      </c>
      <c r="BT100" s="3018">
        <v>44560</v>
      </c>
      <c r="BU100" s="3049" t="s">
        <v>762</v>
      </c>
    </row>
    <row r="101" spans="1:73" ht="24.75" customHeight="1" x14ac:dyDescent="0.25">
      <c r="A101" s="2018"/>
      <c r="B101" s="1997"/>
      <c r="C101" s="1984"/>
      <c r="D101" s="1982"/>
      <c r="G101" s="4128"/>
      <c r="H101" s="3403"/>
      <c r="I101" s="4128"/>
      <c r="J101" s="3403"/>
      <c r="K101" s="4188"/>
      <c r="L101" s="2524"/>
      <c r="M101" s="4188"/>
      <c r="N101" s="4190"/>
      <c r="O101" s="4174"/>
      <c r="P101" s="4174"/>
      <c r="Q101" s="2502"/>
      <c r="R101" s="4179"/>
      <c r="S101" s="4137"/>
      <c r="T101" s="4192"/>
      <c r="U101" s="2771"/>
      <c r="V101" s="2993"/>
      <c r="W101" s="4190"/>
      <c r="X101" s="801">
        <v>4126079.04</v>
      </c>
      <c r="Y101" s="806">
        <v>3851430.69</v>
      </c>
      <c r="Z101" s="806">
        <v>3851430.69</v>
      </c>
      <c r="AA101" s="1989" t="s">
        <v>975</v>
      </c>
      <c r="AB101" s="4155"/>
      <c r="AC101" s="2993"/>
      <c r="AD101" s="4100"/>
      <c r="AE101" s="4100"/>
      <c r="AF101" s="4100"/>
      <c r="AG101" s="4100"/>
      <c r="AH101" s="4100"/>
      <c r="AI101" s="4100"/>
      <c r="AJ101" s="4100"/>
      <c r="AK101" s="4100"/>
      <c r="AL101" s="4100"/>
      <c r="AM101" s="4100"/>
      <c r="AN101" s="4100"/>
      <c r="AO101" s="4100"/>
      <c r="AP101" s="4100"/>
      <c r="AQ101" s="4100"/>
      <c r="AR101" s="4100"/>
      <c r="AS101" s="4100"/>
      <c r="AT101" s="4100"/>
      <c r="AU101" s="4100"/>
      <c r="AV101" s="4100"/>
      <c r="AW101" s="4100"/>
      <c r="AX101" s="4100"/>
      <c r="AY101" s="4100"/>
      <c r="AZ101" s="4100"/>
      <c r="BA101" s="4100"/>
      <c r="BB101" s="4100"/>
      <c r="BC101" s="4100"/>
      <c r="BD101" s="4100"/>
      <c r="BE101" s="4100"/>
      <c r="BF101" s="4100"/>
      <c r="BG101" s="4100"/>
      <c r="BH101" s="4100"/>
      <c r="BI101" s="4100"/>
      <c r="BJ101" s="4100"/>
      <c r="BK101" s="4100"/>
      <c r="BL101" s="4100"/>
      <c r="BM101" s="3040"/>
      <c r="BN101" s="4100"/>
      <c r="BO101" s="4100"/>
      <c r="BP101" s="3075"/>
      <c r="BQ101" s="3019"/>
      <c r="BR101" s="3019"/>
      <c r="BS101" s="3019"/>
      <c r="BT101" s="3019"/>
      <c r="BU101" s="3050"/>
    </row>
    <row r="102" spans="1:73" ht="26.25" customHeight="1" x14ac:dyDescent="0.25">
      <c r="A102" s="2018"/>
      <c r="B102" s="1997"/>
      <c r="C102" s="1984"/>
      <c r="D102" s="1982"/>
      <c r="G102" s="4128"/>
      <c r="H102" s="3403"/>
      <c r="I102" s="4128"/>
      <c r="J102" s="3403"/>
      <c r="K102" s="4188"/>
      <c r="L102" s="2524"/>
      <c r="M102" s="4188"/>
      <c r="N102" s="4190"/>
      <c r="O102" s="4174"/>
      <c r="P102" s="4174"/>
      <c r="Q102" s="2502"/>
      <c r="R102" s="4179"/>
      <c r="S102" s="4137"/>
      <c r="T102" s="4192"/>
      <c r="U102" s="2771"/>
      <c r="V102" s="2993"/>
      <c r="W102" s="4190"/>
      <c r="X102" s="801">
        <v>3750692.96</v>
      </c>
      <c r="Y102" s="806">
        <v>3501031.79</v>
      </c>
      <c r="Z102" s="806">
        <v>3501031.79</v>
      </c>
      <c r="AA102" s="1989" t="s">
        <v>976</v>
      </c>
      <c r="AB102" s="4155"/>
      <c r="AC102" s="2993"/>
      <c r="AD102" s="4100"/>
      <c r="AE102" s="4100"/>
      <c r="AF102" s="4100"/>
      <c r="AG102" s="4100"/>
      <c r="AH102" s="4100"/>
      <c r="AI102" s="4100"/>
      <c r="AJ102" s="4100"/>
      <c r="AK102" s="4100"/>
      <c r="AL102" s="4100"/>
      <c r="AM102" s="4100"/>
      <c r="AN102" s="4100"/>
      <c r="AO102" s="4100"/>
      <c r="AP102" s="4100"/>
      <c r="AQ102" s="4100"/>
      <c r="AR102" s="4100"/>
      <c r="AS102" s="4100"/>
      <c r="AT102" s="4100"/>
      <c r="AU102" s="4100"/>
      <c r="AV102" s="4100"/>
      <c r="AW102" s="4100"/>
      <c r="AX102" s="4100"/>
      <c r="AY102" s="4100"/>
      <c r="AZ102" s="4100"/>
      <c r="BA102" s="4100"/>
      <c r="BB102" s="4100"/>
      <c r="BC102" s="4100"/>
      <c r="BD102" s="4100"/>
      <c r="BE102" s="4100"/>
      <c r="BF102" s="4100"/>
      <c r="BG102" s="4100"/>
      <c r="BH102" s="4100"/>
      <c r="BI102" s="4100"/>
      <c r="BJ102" s="4100"/>
      <c r="BK102" s="4100"/>
      <c r="BL102" s="4100"/>
      <c r="BM102" s="3040"/>
      <c r="BN102" s="4100"/>
      <c r="BO102" s="4100"/>
      <c r="BP102" s="3075"/>
      <c r="BQ102" s="3019"/>
      <c r="BR102" s="3019"/>
      <c r="BS102" s="3019"/>
      <c r="BT102" s="3019"/>
      <c r="BU102" s="3050"/>
    </row>
    <row r="103" spans="1:73" ht="30" customHeight="1" x14ac:dyDescent="0.25">
      <c r="A103" s="2018"/>
      <c r="B103" s="1997"/>
      <c r="C103" s="1984"/>
      <c r="D103" s="1982"/>
      <c r="G103" s="4161"/>
      <c r="H103" s="3417"/>
      <c r="I103" s="4161"/>
      <c r="J103" s="3417"/>
      <c r="K103" s="4097"/>
      <c r="L103" s="3293"/>
      <c r="M103" s="4097"/>
      <c r="N103" s="4191"/>
      <c r="O103" s="4174"/>
      <c r="P103" s="4174"/>
      <c r="Q103" s="2502"/>
      <c r="R103" s="4179"/>
      <c r="S103" s="4142"/>
      <c r="T103" s="4192"/>
      <c r="U103" s="2771"/>
      <c r="V103" s="2993"/>
      <c r="W103" s="4191"/>
      <c r="X103" s="801">
        <v>1458778.81</v>
      </c>
      <c r="Y103" s="806">
        <v>1361675.88</v>
      </c>
      <c r="Z103" s="806">
        <v>1361675.88</v>
      </c>
      <c r="AA103" s="1989" t="s">
        <v>977</v>
      </c>
      <c r="AB103" s="4156"/>
      <c r="AC103" s="2994"/>
      <c r="AD103" s="4100"/>
      <c r="AE103" s="4100"/>
      <c r="AF103" s="4100"/>
      <c r="AG103" s="4100"/>
      <c r="AH103" s="4100"/>
      <c r="AI103" s="4100"/>
      <c r="AJ103" s="4100"/>
      <c r="AK103" s="4100"/>
      <c r="AL103" s="4100"/>
      <c r="AM103" s="4100"/>
      <c r="AN103" s="4100"/>
      <c r="AO103" s="4100"/>
      <c r="AP103" s="4100"/>
      <c r="AQ103" s="4100"/>
      <c r="AR103" s="4100"/>
      <c r="AS103" s="4100"/>
      <c r="AT103" s="4100"/>
      <c r="AU103" s="4100"/>
      <c r="AV103" s="4100"/>
      <c r="AW103" s="4100"/>
      <c r="AX103" s="4100"/>
      <c r="AY103" s="4100"/>
      <c r="AZ103" s="4100"/>
      <c r="BA103" s="4100"/>
      <c r="BB103" s="4100"/>
      <c r="BC103" s="4100"/>
      <c r="BD103" s="4100"/>
      <c r="BE103" s="4100"/>
      <c r="BF103" s="4100"/>
      <c r="BG103" s="4100"/>
      <c r="BH103" s="4100"/>
      <c r="BI103" s="4100"/>
      <c r="BJ103" s="4100"/>
      <c r="BK103" s="4100"/>
      <c r="BL103" s="4100"/>
      <c r="BM103" s="3040"/>
      <c r="BN103" s="4100"/>
      <c r="BO103" s="4100"/>
      <c r="BP103" s="3075"/>
      <c r="BQ103" s="3019"/>
      <c r="BR103" s="3019"/>
      <c r="BS103" s="3019"/>
      <c r="BT103" s="3019"/>
      <c r="BU103" s="3050"/>
    </row>
    <row r="104" spans="1:73" ht="26.25" customHeight="1" x14ac:dyDescent="0.25">
      <c r="A104" s="2018"/>
      <c r="B104" s="1997"/>
      <c r="C104" s="1984"/>
      <c r="D104" s="1982"/>
      <c r="G104" s="4127">
        <v>2201034</v>
      </c>
      <c r="H104" s="3205" t="s">
        <v>978</v>
      </c>
      <c r="I104" s="4127">
        <v>2201034</v>
      </c>
      <c r="J104" s="3205" t="s">
        <v>978</v>
      </c>
      <c r="K104" s="4193">
        <v>220103401</v>
      </c>
      <c r="L104" s="3205" t="s">
        <v>979</v>
      </c>
      <c r="M104" s="4193">
        <v>220103401</v>
      </c>
      <c r="N104" s="3205" t="s">
        <v>979</v>
      </c>
      <c r="O104" s="4132">
        <v>54</v>
      </c>
      <c r="P104" s="4174">
        <v>54</v>
      </c>
      <c r="Q104" s="2502"/>
      <c r="R104" s="4179"/>
      <c r="S104" s="4136">
        <f>SUM(X100:X103)/T100</f>
        <v>0.49999999925000005</v>
      </c>
      <c r="T104" s="4192"/>
      <c r="U104" s="2771"/>
      <c r="V104" s="2993"/>
      <c r="W104" s="3259" t="s">
        <v>980</v>
      </c>
      <c r="X104" s="801">
        <v>664449.19999999995</v>
      </c>
      <c r="Y104" s="801">
        <v>664449.19999999995</v>
      </c>
      <c r="Z104" s="801">
        <v>664449.19999999995</v>
      </c>
      <c r="AA104" s="1989" t="s">
        <v>981</v>
      </c>
      <c r="AB104" s="4154">
        <v>20</v>
      </c>
      <c r="AC104" s="2992" t="s">
        <v>284</v>
      </c>
      <c r="AD104" s="4100"/>
      <c r="AE104" s="4100"/>
      <c r="AF104" s="4100"/>
      <c r="AG104" s="4100"/>
      <c r="AH104" s="4100"/>
      <c r="AI104" s="4100"/>
      <c r="AJ104" s="4100"/>
      <c r="AK104" s="4100"/>
      <c r="AL104" s="4100"/>
      <c r="AM104" s="4100"/>
      <c r="AN104" s="4100"/>
      <c r="AO104" s="4100"/>
      <c r="AP104" s="4100"/>
      <c r="AQ104" s="4100"/>
      <c r="AR104" s="4100"/>
      <c r="AS104" s="4100"/>
      <c r="AT104" s="4100"/>
      <c r="AU104" s="4100"/>
      <c r="AV104" s="4100"/>
      <c r="AW104" s="4100"/>
      <c r="AX104" s="4100"/>
      <c r="AY104" s="4100"/>
      <c r="AZ104" s="4100"/>
      <c r="BA104" s="4100"/>
      <c r="BB104" s="4100"/>
      <c r="BC104" s="4100"/>
      <c r="BD104" s="4100"/>
      <c r="BE104" s="4100"/>
      <c r="BF104" s="4100"/>
      <c r="BG104" s="4100"/>
      <c r="BH104" s="4100"/>
      <c r="BI104" s="4100"/>
      <c r="BJ104" s="4100"/>
      <c r="BK104" s="4100"/>
      <c r="BL104" s="4100"/>
      <c r="BM104" s="3040"/>
      <c r="BN104" s="4100"/>
      <c r="BO104" s="4100"/>
      <c r="BP104" s="3075"/>
      <c r="BQ104" s="3019"/>
      <c r="BR104" s="3019"/>
      <c r="BS104" s="3019"/>
      <c r="BT104" s="3019"/>
      <c r="BU104" s="3050"/>
    </row>
    <row r="105" spans="1:73" ht="26.25" customHeight="1" x14ac:dyDescent="0.25">
      <c r="A105" s="2018"/>
      <c r="B105" s="1997"/>
      <c r="C105" s="1984"/>
      <c r="D105" s="1982"/>
      <c r="G105" s="4128"/>
      <c r="H105" s="3403"/>
      <c r="I105" s="4128"/>
      <c r="J105" s="3403"/>
      <c r="K105" s="4163"/>
      <c r="L105" s="3403"/>
      <c r="M105" s="4163"/>
      <c r="N105" s="3403"/>
      <c r="O105" s="4132"/>
      <c r="P105" s="4174"/>
      <c r="Q105" s="2502"/>
      <c r="R105" s="4179"/>
      <c r="S105" s="4137"/>
      <c r="T105" s="4192"/>
      <c r="U105" s="2771"/>
      <c r="V105" s="2993"/>
      <c r="W105" s="3260"/>
      <c r="X105" s="801">
        <v>4126079.04</v>
      </c>
      <c r="Y105" s="801">
        <v>4126079.03</v>
      </c>
      <c r="Z105" s="801">
        <v>4126079.03</v>
      </c>
      <c r="AA105" s="1989" t="s">
        <v>982</v>
      </c>
      <c r="AB105" s="4155"/>
      <c r="AC105" s="2993"/>
      <c r="AD105" s="4100"/>
      <c r="AE105" s="4100"/>
      <c r="AF105" s="4100"/>
      <c r="AG105" s="4100"/>
      <c r="AH105" s="4100"/>
      <c r="AI105" s="4100"/>
      <c r="AJ105" s="4100"/>
      <c r="AK105" s="4100"/>
      <c r="AL105" s="4100"/>
      <c r="AM105" s="4100"/>
      <c r="AN105" s="4100"/>
      <c r="AO105" s="4100"/>
      <c r="AP105" s="4100"/>
      <c r="AQ105" s="4100"/>
      <c r="AR105" s="4100"/>
      <c r="AS105" s="4100"/>
      <c r="AT105" s="4100"/>
      <c r="AU105" s="4100"/>
      <c r="AV105" s="4100"/>
      <c r="AW105" s="4100"/>
      <c r="AX105" s="4100"/>
      <c r="AY105" s="4100"/>
      <c r="AZ105" s="4100"/>
      <c r="BA105" s="4100"/>
      <c r="BB105" s="4100"/>
      <c r="BC105" s="4100"/>
      <c r="BD105" s="4100"/>
      <c r="BE105" s="4100"/>
      <c r="BF105" s="4100"/>
      <c r="BG105" s="4100"/>
      <c r="BH105" s="4100"/>
      <c r="BI105" s="4100"/>
      <c r="BJ105" s="4100"/>
      <c r="BK105" s="4100"/>
      <c r="BL105" s="4100"/>
      <c r="BM105" s="3040"/>
      <c r="BN105" s="4100"/>
      <c r="BO105" s="4100"/>
      <c r="BP105" s="3075"/>
      <c r="BQ105" s="3019"/>
      <c r="BR105" s="3019"/>
      <c r="BS105" s="3019"/>
      <c r="BT105" s="3019"/>
      <c r="BU105" s="3050"/>
    </row>
    <row r="106" spans="1:73" ht="30.75" customHeight="1" x14ac:dyDescent="0.25">
      <c r="A106" s="2018"/>
      <c r="B106" s="1997"/>
      <c r="C106" s="1984"/>
      <c r="D106" s="1982"/>
      <c r="G106" s="4128"/>
      <c r="H106" s="3403"/>
      <c r="I106" s="4128"/>
      <c r="J106" s="3403"/>
      <c r="K106" s="4163"/>
      <c r="L106" s="3403"/>
      <c r="M106" s="4163"/>
      <c r="N106" s="3403"/>
      <c r="O106" s="4132"/>
      <c r="P106" s="4174"/>
      <c r="Q106" s="2502"/>
      <c r="R106" s="4179"/>
      <c r="S106" s="4137"/>
      <c r="T106" s="4192"/>
      <c r="U106" s="2771"/>
      <c r="V106" s="2993"/>
      <c r="W106" s="3260"/>
      <c r="X106" s="801">
        <v>3750692.96</v>
      </c>
      <c r="Y106" s="801">
        <v>3750692.96</v>
      </c>
      <c r="Z106" s="801">
        <v>3750692.96</v>
      </c>
      <c r="AA106" s="1989" t="s">
        <v>983</v>
      </c>
      <c r="AB106" s="4155"/>
      <c r="AC106" s="2993"/>
      <c r="AD106" s="4100"/>
      <c r="AE106" s="4100"/>
      <c r="AF106" s="4100"/>
      <c r="AG106" s="4100"/>
      <c r="AH106" s="4100"/>
      <c r="AI106" s="4100"/>
      <c r="AJ106" s="4100"/>
      <c r="AK106" s="4100"/>
      <c r="AL106" s="4100"/>
      <c r="AM106" s="4100"/>
      <c r="AN106" s="4100"/>
      <c r="AO106" s="4100"/>
      <c r="AP106" s="4100"/>
      <c r="AQ106" s="4100"/>
      <c r="AR106" s="4100"/>
      <c r="AS106" s="4100"/>
      <c r="AT106" s="4100"/>
      <c r="AU106" s="4100"/>
      <c r="AV106" s="4100"/>
      <c r="AW106" s="4100"/>
      <c r="AX106" s="4100"/>
      <c r="AY106" s="4100"/>
      <c r="AZ106" s="4100"/>
      <c r="BA106" s="4100"/>
      <c r="BB106" s="4100"/>
      <c r="BC106" s="4100"/>
      <c r="BD106" s="4100"/>
      <c r="BE106" s="4100"/>
      <c r="BF106" s="4100"/>
      <c r="BG106" s="4100"/>
      <c r="BH106" s="4100"/>
      <c r="BI106" s="4100"/>
      <c r="BJ106" s="4100"/>
      <c r="BK106" s="4100"/>
      <c r="BL106" s="4100"/>
      <c r="BM106" s="3040"/>
      <c r="BN106" s="4100"/>
      <c r="BO106" s="4100"/>
      <c r="BP106" s="3075"/>
      <c r="BQ106" s="3019"/>
      <c r="BR106" s="3019"/>
      <c r="BS106" s="3019"/>
      <c r="BT106" s="3019"/>
      <c r="BU106" s="3050"/>
    </row>
    <row r="107" spans="1:73" ht="26.25" customHeight="1" x14ac:dyDescent="0.25">
      <c r="A107" s="2018"/>
      <c r="B107" s="1997"/>
      <c r="C107" s="1984"/>
      <c r="D107" s="1982"/>
      <c r="G107" s="4161"/>
      <c r="H107" s="3417"/>
      <c r="I107" s="4161"/>
      <c r="J107" s="3417"/>
      <c r="K107" s="4164"/>
      <c r="L107" s="3417"/>
      <c r="M107" s="4164"/>
      <c r="N107" s="3417"/>
      <c r="O107" s="4116"/>
      <c r="P107" s="4174"/>
      <c r="Q107" s="2502"/>
      <c r="R107" s="4179"/>
      <c r="S107" s="4142"/>
      <c r="T107" s="4192"/>
      <c r="U107" s="2771"/>
      <c r="V107" s="2993"/>
      <c r="W107" s="2832"/>
      <c r="X107" s="801">
        <v>1458778.81</v>
      </c>
      <c r="Y107" s="801">
        <v>1458778.81</v>
      </c>
      <c r="Z107" s="801">
        <v>1458778.81</v>
      </c>
      <c r="AA107" s="1989" t="s">
        <v>984</v>
      </c>
      <c r="AB107" s="4156"/>
      <c r="AC107" s="2994"/>
      <c r="AD107" s="4100"/>
      <c r="AE107" s="4100"/>
      <c r="AF107" s="4100"/>
      <c r="AG107" s="4100"/>
      <c r="AH107" s="4100"/>
      <c r="AI107" s="4100"/>
      <c r="AJ107" s="4100"/>
      <c r="AK107" s="4100"/>
      <c r="AL107" s="4100"/>
      <c r="AM107" s="4100"/>
      <c r="AN107" s="4100"/>
      <c r="AO107" s="4100"/>
      <c r="AP107" s="4100"/>
      <c r="AQ107" s="4100"/>
      <c r="AR107" s="4100"/>
      <c r="AS107" s="4100"/>
      <c r="AT107" s="4100"/>
      <c r="AU107" s="4100"/>
      <c r="AV107" s="4100"/>
      <c r="AW107" s="4100"/>
      <c r="AX107" s="4100"/>
      <c r="AY107" s="4100"/>
      <c r="AZ107" s="4100"/>
      <c r="BA107" s="4100"/>
      <c r="BB107" s="4100"/>
      <c r="BC107" s="4100"/>
      <c r="BD107" s="4100"/>
      <c r="BE107" s="4100"/>
      <c r="BF107" s="4100"/>
      <c r="BG107" s="4100"/>
      <c r="BH107" s="4100"/>
      <c r="BI107" s="4100"/>
      <c r="BJ107" s="4100"/>
      <c r="BK107" s="4100"/>
      <c r="BL107" s="4100"/>
      <c r="BM107" s="3040"/>
      <c r="BN107" s="4100"/>
      <c r="BO107" s="4100"/>
      <c r="BP107" s="3075"/>
      <c r="BQ107" s="3019"/>
      <c r="BR107" s="3019"/>
      <c r="BS107" s="3019"/>
      <c r="BT107" s="3019"/>
      <c r="BU107" s="3050"/>
    </row>
    <row r="108" spans="1:73" ht="30.75" customHeight="1" x14ac:dyDescent="0.25">
      <c r="A108" s="2018"/>
      <c r="B108" s="1997"/>
      <c r="C108" s="1984"/>
      <c r="D108" s="1982"/>
      <c r="G108" s="4127">
        <v>2201060</v>
      </c>
      <c r="H108" s="3205" t="s">
        <v>985</v>
      </c>
      <c r="I108" s="4127">
        <v>2201060</v>
      </c>
      <c r="J108" s="3205" t="s">
        <v>985</v>
      </c>
      <c r="K108" s="4187">
        <v>220106000</v>
      </c>
      <c r="L108" s="3205" t="s">
        <v>986</v>
      </c>
      <c r="M108" s="4187">
        <v>220106000</v>
      </c>
      <c r="N108" s="3205" t="s">
        <v>986</v>
      </c>
      <c r="O108" s="4131">
        <v>200</v>
      </c>
      <c r="P108" s="4174">
        <v>153</v>
      </c>
      <c r="Q108" s="2502"/>
      <c r="R108" s="4179"/>
      <c r="S108" s="4136"/>
      <c r="T108" s="4192"/>
      <c r="U108" s="2771"/>
      <c r="V108" s="2993"/>
      <c r="W108" s="3259" t="s">
        <v>987</v>
      </c>
      <c r="X108" s="2007">
        <f>664449.2-664449.2</f>
        <v>0</v>
      </c>
      <c r="Y108" s="805">
        <v>0</v>
      </c>
      <c r="Z108" s="805">
        <v>0</v>
      </c>
      <c r="AA108" s="1989" t="s">
        <v>988</v>
      </c>
      <c r="AB108" s="4154">
        <v>20</v>
      </c>
      <c r="AC108" s="2992" t="s">
        <v>284</v>
      </c>
      <c r="AD108" s="4100"/>
      <c r="AE108" s="4100"/>
      <c r="AF108" s="4100"/>
      <c r="AG108" s="4100"/>
      <c r="AH108" s="4100"/>
      <c r="AI108" s="4100"/>
      <c r="AJ108" s="4100"/>
      <c r="AK108" s="4100"/>
      <c r="AL108" s="4100"/>
      <c r="AM108" s="4100"/>
      <c r="AN108" s="4100"/>
      <c r="AO108" s="4100"/>
      <c r="AP108" s="4100"/>
      <c r="AQ108" s="4100"/>
      <c r="AR108" s="4100"/>
      <c r="AS108" s="4100"/>
      <c r="AT108" s="4100"/>
      <c r="AU108" s="4100"/>
      <c r="AV108" s="4100"/>
      <c r="AW108" s="4100"/>
      <c r="AX108" s="4100"/>
      <c r="AY108" s="4100"/>
      <c r="AZ108" s="4100"/>
      <c r="BA108" s="4100"/>
      <c r="BB108" s="4100"/>
      <c r="BC108" s="4100"/>
      <c r="BD108" s="4100"/>
      <c r="BE108" s="4100"/>
      <c r="BF108" s="4100"/>
      <c r="BG108" s="4100"/>
      <c r="BH108" s="4100"/>
      <c r="BI108" s="4100"/>
      <c r="BJ108" s="4100"/>
      <c r="BK108" s="4100"/>
      <c r="BL108" s="4100"/>
      <c r="BM108" s="3040"/>
      <c r="BN108" s="4100"/>
      <c r="BO108" s="4100"/>
      <c r="BP108" s="3075"/>
      <c r="BQ108" s="3019"/>
      <c r="BR108" s="3019"/>
      <c r="BS108" s="3019"/>
      <c r="BT108" s="3019"/>
      <c r="BU108" s="3050"/>
    </row>
    <row r="109" spans="1:73" ht="26.25" customHeight="1" x14ac:dyDescent="0.25">
      <c r="A109" s="2018"/>
      <c r="B109" s="1997"/>
      <c r="C109" s="1984"/>
      <c r="D109" s="1982"/>
      <c r="G109" s="4128"/>
      <c r="H109" s="3403"/>
      <c r="I109" s="4128"/>
      <c r="J109" s="3403"/>
      <c r="K109" s="4188"/>
      <c r="L109" s="3403"/>
      <c r="M109" s="4188"/>
      <c r="N109" s="3403"/>
      <c r="O109" s="4132"/>
      <c r="P109" s="4174"/>
      <c r="Q109" s="2502"/>
      <c r="R109" s="4179"/>
      <c r="S109" s="4137"/>
      <c r="T109" s="4192"/>
      <c r="U109" s="2771"/>
      <c r="V109" s="2993"/>
      <c r="W109" s="3260"/>
      <c r="X109" s="2007">
        <f>4126079.04-4126079.04</f>
        <v>0</v>
      </c>
      <c r="Y109" s="805">
        <v>0</v>
      </c>
      <c r="Z109" s="805">
        <v>0</v>
      </c>
      <c r="AA109" s="1989" t="s">
        <v>989</v>
      </c>
      <c r="AB109" s="4155"/>
      <c r="AC109" s="2993"/>
      <c r="AD109" s="4100"/>
      <c r="AE109" s="4100"/>
      <c r="AF109" s="4100"/>
      <c r="AG109" s="4100"/>
      <c r="AH109" s="4100"/>
      <c r="AI109" s="4100"/>
      <c r="AJ109" s="4100"/>
      <c r="AK109" s="4100"/>
      <c r="AL109" s="4100"/>
      <c r="AM109" s="4100"/>
      <c r="AN109" s="4100"/>
      <c r="AO109" s="4100"/>
      <c r="AP109" s="4100"/>
      <c r="AQ109" s="4100"/>
      <c r="AR109" s="4100"/>
      <c r="AS109" s="4100"/>
      <c r="AT109" s="4100"/>
      <c r="AU109" s="4100"/>
      <c r="AV109" s="4100"/>
      <c r="AW109" s="4100"/>
      <c r="AX109" s="4100"/>
      <c r="AY109" s="4100"/>
      <c r="AZ109" s="4100"/>
      <c r="BA109" s="4100"/>
      <c r="BB109" s="4100"/>
      <c r="BC109" s="4100"/>
      <c r="BD109" s="4100"/>
      <c r="BE109" s="4100"/>
      <c r="BF109" s="4100"/>
      <c r="BG109" s="4100"/>
      <c r="BH109" s="4100"/>
      <c r="BI109" s="4100"/>
      <c r="BJ109" s="4100"/>
      <c r="BK109" s="4100"/>
      <c r="BL109" s="4100"/>
      <c r="BM109" s="3040"/>
      <c r="BN109" s="4100"/>
      <c r="BO109" s="4100"/>
      <c r="BP109" s="3075"/>
      <c r="BQ109" s="3019"/>
      <c r="BR109" s="3019"/>
      <c r="BS109" s="3019"/>
      <c r="BT109" s="3019"/>
      <c r="BU109" s="3050"/>
    </row>
    <row r="110" spans="1:73" ht="27" customHeight="1" x14ac:dyDescent="0.25">
      <c r="A110" s="2018"/>
      <c r="B110" s="1997"/>
      <c r="C110" s="1984"/>
      <c r="D110" s="1982"/>
      <c r="G110" s="4128"/>
      <c r="H110" s="3403"/>
      <c r="I110" s="4128"/>
      <c r="J110" s="3403"/>
      <c r="K110" s="4188"/>
      <c r="L110" s="3403"/>
      <c r="M110" s="4188"/>
      <c r="N110" s="3403"/>
      <c r="O110" s="4132"/>
      <c r="P110" s="4174"/>
      <c r="Q110" s="2502"/>
      <c r="R110" s="4179"/>
      <c r="S110" s="4137"/>
      <c r="T110" s="4192"/>
      <c r="U110" s="2771"/>
      <c r="V110" s="2993"/>
      <c r="W110" s="3260"/>
      <c r="X110" s="2007">
        <f>3750692.96-3750692.96</f>
        <v>0</v>
      </c>
      <c r="Y110" s="805"/>
      <c r="Z110" s="805"/>
      <c r="AA110" s="1989" t="s">
        <v>990</v>
      </c>
      <c r="AB110" s="4155"/>
      <c r="AC110" s="2993"/>
      <c r="AD110" s="4100"/>
      <c r="AE110" s="4100"/>
      <c r="AF110" s="4100"/>
      <c r="AG110" s="4100"/>
      <c r="AH110" s="4100"/>
      <c r="AI110" s="4100"/>
      <c r="AJ110" s="4100"/>
      <c r="AK110" s="4100"/>
      <c r="AL110" s="4100"/>
      <c r="AM110" s="4100"/>
      <c r="AN110" s="4100"/>
      <c r="AO110" s="4100"/>
      <c r="AP110" s="4100"/>
      <c r="AQ110" s="4100"/>
      <c r="AR110" s="4100"/>
      <c r="AS110" s="4100"/>
      <c r="AT110" s="4100"/>
      <c r="AU110" s="4100"/>
      <c r="AV110" s="4100"/>
      <c r="AW110" s="4100"/>
      <c r="AX110" s="4100"/>
      <c r="AY110" s="4100"/>
      <c r="AZ110" s="4100"/>
      <c r="BA110" s="4100"/>
      <c r="BB110" s="4100"/>
      <c r="BC110" s="4100"/>
      <c r="BD110" s="4100"/>
      <c r="BE110" s="4100"/>
      <c r="BF110" s="4100"/>
      <c r="BG110" s="4100"/>
      <c r="BH110" s="4100"/>
      <c r="BI110" s="4100"/>
      <c r="BJ110" s="4100"/>
      <c r="BK110" s="4100"/>
      <c r="BL110" s="4100"/>
      <c r="BM110" s="3040"/>
      <c r="BN110" s="4100"/>
      <c r="BO110" s="4100"/>
      <c r="BP110" s="3075"/>
      <c r="BQ110" s="3019"/>
      <c r="BR110" s="3019"/>
      <c r="BS110" s="3019"/>
      <c r="BT110" s="3019"/>
      <c r="BU110" s="3050"/>
    </row>
    <row r="111" spans="1:73" ht="32.25" customHeight="1" x14ac:dyDescent="0.25">
      <c r="A111" s="2018"/>
      <c r="B111" s="1997"/>
      <c r="C111" s="1984"/>
      <c r="D111" s="1982"/>
      <c r="G111" s="4161"/>
      <c r="H111" s="3417"/>
      <c r="I111" s="4161"/>
      <c r="J111" s="3417"/>
      <c r="K111" s="4097"/>
      <c r="L111" s="3417"/>
      <c r="M111" s="4097"/>
      <c r="N111" s="3417"/>
      <c r="O111" s="4132"/>
      <c r="P111" s="4174"/>
      <c r="Q111" s="2502"/>
      <c r="R111" s="4180"/>
      <c r="S111" s="4142"/>
      <c r="T111" s="4192"/>
      <c r="U111" s="2772"/>
      <c r="V111" s="2994"/>
      <c r="W111" s="2832"/>
      <c r="X111" s="2007">
        <f>1458778.81-1458778.81</f>
        <v>0</v>
      </c>
      <c r="Y111" s="805"/>
      <c r="Z111" s="805"/>
      <c r="AA111" s="1989" t="s">
        <v>991</v>
      </c>
      <c r="AB111" s="4156"/>
      <c r="AC111" s="2994"/>
      <c r="AD111" s="4101"/>
      <c r="AE111" s="4101"/>
      <c r="AF111" s="4101"/>
      <c r="AG111" s="4101"/>
      <c r="AH111" s="4101"/>
      <c r="AI111" s="4101"/>
      <c r="AJ111" s="4101"/>
      <c r="AK111" s="4101"/>
      <c r="AL111" s="4101"/>
      <c r="AM111" s="4101"/>
      <c r="AN111" s="4101"/>
      <c r="AO111" s="4101"/>
      <c r="AP111" s="4101"/>
      <c r="AQ111" s="4101"/>
      <c r="AR111" s="4101"/>
      <c r="AS111" s="4101"/>
      <c r="AT111" s="4101"/>
      <c r="AU111" s="4101"/>
      <c r="AV111" s="4101"/>
      <c r="AW111" s="4101"/>
      <c r="AX111" s="4101"/>
      <c r="AY111" s="4101"/>
      <c r="AZ111" s="4101"/>
      <c r="BA111" s="4101"/>
      <c r="BB111" s="4101"/>
      <c r="BC111" s="4101"/>
      <c r="BD111" s="4101"/>
      <c r="BE111" s="4101"/>
      <c r="BF111" s="4101"/>
      <c r="BG111" s="4101"/>
      <c r="BH111" s="4101"/>
      <c r="BI111" s="4101"/>
      <c r="BJ111" s="4101"/>
      <c r="BK111" s="4101"/>
      <c r="BL111" s="4101"/>
      <c r="BM111" s="3041"/>
      <c r="BN111" s="4101"/>
      <c r="BO111" s="4101"/>
      <c r="BP111" s="3076"/>
      <c r="BQ111" s="3020"/>
      <c r="BR111" s="3020"/>
      <c r="BS111" s="3020"/>
      <c r="BT111" s="3020"/>
      <c r="BU111" s="3051"/>
    </row>
    <row r="112" spans="1:73" ht="32.25" customHeight="1" x14ac:dyDescent="0.25">
      <c r="A112" s="2018"/>
      <c r="B112" s="1997"/>
      <c r="C112" s="1984"/>
      <c r="D112" s="1982"/>
      <c r="G112" s="4127">
        <v>2201006</v>
      </c>
      <c r="H112" s="3205" t="s">
        <v>992</v>
      </c>
      <c r="I112" s="4127">
        <v>2201006</v>
      </c>
      <c r="J112" s="3205" t="s">
        <v>992</v>
      </c>
      <c r="K112" s="4127">
        <v>220100600</v>
      </c>
      <c r="L112" s="3259" t="s">
        <v>993</v>
      </c>
      <c r="M112" s="4127">
        <v>220100600</v>
      </c>
      <c r="N112" s="3259" t="s">
        <v>993</v>
      </c>
      <c r="O112" s="4194">
        <v>54</v>
      </c>
      <c r="P112" s="4195">
        <v>54</v>
      </c>
      <c r="Q112" s="2511" t="s">
        <v>994</v>
      </c>
      <c r="R112" s="3236" t="s">
        <v>995</v>
      </c>
      <c r="S112" s="4202">
        <f>(X112+X113+X114+X115)/T112</f>
        <v>9.9730773038475095E-4</v>
      </c>
      <c r="T112" s="4205">
        <f>SUM(X112:X234)</f>
        <v>175372150060.97003</v>
      </c>
      <c r="U112" s="2681" t="s">
        <v>996</v>
      </c>
      <c r="V112" s="3089" t="s">
        <v>997</v>
      </c>
      <c r="W112" s="4210" t="s">
        <v>998</v>
      </c>
      <c r="X112" s="801">
        <v>41652222.450000003</v>
      </c>
      <c r="Y112" s="806">
        <v>40459155.600000001</v>
      </c>
      <c r="Z112" s="806">
        <v>40459155.600000001</v>
      </c>
      <c r="AA112" s="1989" t="s">
        <v>999</v>
      </c>
      <c r="AB112" s="4154">
        <v>20</v>
      </c>
      <c r="AC112" s="2992" t="s">
        <v>284</v>
      </c>
      <c r="AD112" s="4146">
        <v>19649</v>
      </c>
      <c r="AE112" s="4146">
        <v>19649</v>
      </c>
      <c r="AF112" s="4146">
        <v>20118</v>
      </c>
      <c r="AG112" s="4146">
        <v>20118</v>
      </c>
      <c r="AH112" s="4146">
        <v>28907</v>
      </c>
      <c r="AI112" s="4146">
        <v>28907</v>
      </c>
      <c r="AJ112" s="4146">
        <v>9525</v>
      </c>
      <c r="AK112" s="4146">
        <v>9525</v>
      </c>
      <c r="AL112" s="4146">
        <v>1222</v>
      </c>
      <c r="AM112" s="4146">
        <v>1222</v>
      </c>
      <c r="AN112" s="4146">
        <v>113</v>
      </c>
      <c r="AO112" s="4146">
        <v>113</v>
      </c>
      <c r="AP112" s="4146">
        <v>297</v>
      </c>
      <c r="AQ112" s="4146">
        <v>297</v>
      </c>
      <c r="AR112" s="4146">
        <v>345</v>
      </c>
      <c r="AS112" s="4146">
        <v>345</v>
      </c>
      <c r="AT112" s="4146">
        <v>0</v>
      </c>
      <c r="AU112" s="4146">
        <v>0</v>
      </c>
      <c r="AV112" s="4146">
        <v>0</v>
      </c>
      <c r="AW112" s="4146">
        <v>0</v>
      </c>
      <c r="AX112" s="4146">
        <v>0</v>
      </c>
      <c r="AY112" s="4146">
        <v>0</v>
      </c>
      <c r="AZ112" s="4146">
        <v>0</v>
      </c>
      <c r="BA112" s="4146">
        <v>0</v>
      </c>
      <c r="BB112" s="4146">
        <v>3301</v>
      </c>
      <c r="BC112" s="4146">
        <v>3301</v>
      </c>
      <c r="BD112" s="4146">
        <v>2507</v>
      </c>
      <c r="BE112" s="4146">
        <v>2507</v>
      </c>
      <c r="BF112" s="4146">
        <v>113</v>
      </c>
      <c r="BG112" s="4146">
        <v>113</v>
      </c>
      <c r="BH112" s="4146">
        <f>+AD112+AF112</f>
        <v>39767</v>
      </c>
      <c r="BI112" s="4146">
        <f>+AE112+AG112</f>
        <v>39767</v>
      </c>
      <c r="BJ112" s="4123">
        <v>140</v>
      </c>
      <c r="BK112" s="4123">
        <f>SUM(Y112:Y234)</f>
        <v>173173976411.95001</v>
      </c>
      <c r="BL112" s="4123">
        <f>SUM(Z112:Z234)</f>
        <v>173173976411.95001</v>
      </c>
      <c r="BM112" s="4159">
        <f>+BL112/BK112</f>
        <v>1</v>
      </c>
      <c r="BN112" s="4123" t="s">
        <v>1000</v>
      </c>
      <c r="BO112" s="4123" t="s">
        <v>1001</v>
      </c>
      <c r="BP112" s="3074" t="s">
        <v>1002</v>
      </c>
      <c r="BQ112" s="3018">
        <v>44198</v>
      </c>
      <c r="BR112" s="3018">
        <v>44198</v>
      </c>
      <c r="BS112" s="3018">
        <v>44560</v>
      </c>
      <c r="BT112" s="3018">
        <v>44560</v>
      </c>
      <c r="BU112" s="3049" t="s">
        <v>762</v>
      </c>
    </row>
    <row r="113" spans="1:73" ht="32.25" customHeight="1" x14ac:dyDescent="0.25">
      <c r="A113" s="2018"/>
      <c r="B113" s="1997"/>
      <c r="C113" s="1984"/>
      <c r="D113" s="1982"/>
      <c r="G113" s="4128"/>
      <c r="H113" s="3403"/>
      <c r="I113" s="4128"/>
      <c r="J113" s="3403"/>
      <c r="K113" s="4128"/>
      <c r="L113" s="3260"/>
      <c r="M113" s="4128"/>
      <c r="N113" s="3260"/>
      <c r="O113" s="4194"/>
      <c r="P113" s="4196"/>
      <c r="Q113" s="2511"/>
      <c r="R113" s="3214"/>
      <c r="S113" s="4203"/>
      <c r="T113" s="4176"/>
      <c r="U113" s="2771"/>
      <c r="V113" s="3089"/>
      <c r="W113" s="4152"/>
      <c r="X113" s="801">
        <v>86351729.530000001</v>
      </c>
      <c r="Y113" s="806">
        <v>84533128.430000007</v>
      </c>
      <c r="Z113" s="806">
        <v>84533128.430000007</v>
      </c>
      <c r="AA113" s="1989" t="s">
        <v>1003</v>
      </c>
      <c r="AB113" s="4155"/>
      <c r="AC113" s="2993"/>
      <c r="AD113" s="4106"/>
      <c r="AE113" s="4106"/>
      <c r="AF113" s="4106"/>
      <c r="AG113" s="4106"/>
      <c r="AH113" s="4106"/>
      <c r="AI113" s="4106"/>
      <c r="AJ113" s="4106"/>
      <c r="AK113" s="4106"/>
      <c r="AL113" s="4106"/>
      <c r="AM113" s="4106"/>
      <c r="AN113" s="4106"/>
      <c r="AO113" s="4106"/>
      <c r="AP113" s="4106"/>
      <c r="AQ113" s="4106"/>
      <c r="AR113" s="4106"/>
      <c r="AS113" s="4106"/>
      <c r="AT113" s="4106"/>
      <c r="AU113" s="4106"/>
      <c r="AV113" s="4106"/>
      <c r="AW113" s="4106"/>
      <c r="AX113" s="4106"/>
      <c r="AY113" s="4106"/>
      <c r="AZ113" s="4106"/>
      <c r="BA113" s="4106"/>
      <c r="BB113" s="4106"/>
      <c r="BC113" s="4106"/>
      <c r="BD113" s="4106"/>
      <c r="BE113" s="4106"/>
      <c r="BF113" s="4106"/>
      <c r="BG113" s="4106"/>
      <c r="BH113" s="4106"/>
      <c r="BI113" s="4106"/>
      <c r="BJ113" s="4100"/>
      <c r="BK113" s="4100"/>
      <c r="BL113" s="4100"/>
      <c r="BM113" s="4103"/>
      <c r="BN113" s="4100"/>
      <c r="BO113" s="4100"/>
      <c r="BP113" s="3075"/>
      <c r="BQ113" s="3019"/>
      <c r="BR113" s="3019"/>
      <c r="BS113" s="3019"/>
      <c r="BT113" s="3019"/>
      <c r="BU113" s="3050"/>
    </row>
    <row r="114" spans="1:73" ht="32.25" customHeight="1" x14ac:dyDescent="0.25">
      <c r="A114" s="2018"/>
      <c r="B114" s="1997"/>
      <c r="C114" s="1984"/>
      <c r="D114" s="1982"/>
      <c r="G114" s="4128"/>
      <c r="H114" s="3403"/>
      <c r="I114" s="4128"/>
      <c r="J114" s="3403"/>
      <c r="K114" s="4128"/>
      <c r="L114" s="3260"/>
      <c r="M114" s="4128"/>
      <c r="N114" s="3260"/>
      <c r="O114" s="4194"/>
      <c r="P114" s="4196"/>
      <c r="Q114" s="2511"/>
      <c r="R114" s="3214"/>
      <c r="S114" s="4203"/>
      <c r="T114" s="4176"/>
      <c r="U114" s="2771"/>
      <c r="V114" s="3089"/>
      <c r="W114" s="4152"/>
      <c r="X114" s="801">
        <v>45437270.159999996</v>
      </c>
      <c r="Y114" s="806">
        <v>44937270.159999996</v>
      </c>
      <c r="Z114" s="806">
        <v>44937270.159999996</v>
      </c>
      <c r="AA114" s="1989" t="s">
        <v>1004</v>
      </c>
      <c r="AB114" s="4155"/>
      <c r="AC114" s="2993"/>
      <c r="AD114" s="4106"/>
      <c r="AE114" s="4106"/>
      <c r="AF114" s="4106"/>
      <c r="AG114" s="4106"/>
      <c r="AH114" s="4106"/>
      <c r="AI114" s="4106"/>
      <c r="AJ114" s="4106"/>
      <c r="AK114" s="4106"/>
      <c r="AL114" s="4106"/>
      <c r="AM114" s="4106"/>
      <c r="AN114" s="4106"/>
      <c r="AO114" s="4106"/>
      <c r="AP114" s="4106"/>
      <c r="AQ114" s="4106"/>
      <c r="AR114" s="4106"/>
      <c r="AS114" s="4106"/>
      <c r="AT114" s="4106"/>
      <c r="AU114" s="4106"/>
      <c r="AV114" s="4106"/>
      <c r="AW114" s="4106"/>
      <c r="AX114" s="4106"/>
      <c r="AY114" s="4106"/>
      <c r="AZ114" s="4106"/>
      <c r="BA114" s="4106"/>
      <c r="BB114" s="4106"/>
      <c r="BC114" s="4106"/>
      <c r="BD114" s="4106"/>
      <c r="BE114" s="4106"/>
      <c r="BF114" s="4106"/>
      <c r="BG114" s="4106"/>
      <c r="BH114" s="4106"/>
      <c r="BI114" s="4106"/>
      <c r="BJ114" s="4100"/>
      <c r="BK114" s="4100"/>
      <c r="BL114" s="4100"/>
      <c r="BM114" s="4103"/>
      <c r="BN114" s="4100"/>
      <c r="BO114" s="4100"/>
      <c r="BP114" s="3075"/>
      <c r="BQ114" s="3019"/>
      <c r="BR114" s="3019"/>
      <c r="BS114" s="3019"/>
      <c r="BT114" s="3019"/>
      <c r="BU114" s="3050"/>
    </row>
    <row r="115" spans="1:73" ht="36.75" customHeight="1" x14ac:dyDescent="0.25">
      <c r="A115" s="2018"/>
      <c r="B115" s="1997"/>
      <c r="C115" s="1984"/>
      <c r="D115" s="1982"/>
      <c r="G115" s="4161"/>
      <c r="H115" s="3417"/>
      <c r="I115" s="4161"/>
      <c r="J115" s="3417"/>
      <c r="K115" s="4161"/>
      <c r="L115" s="2832"/>
      <c r="M115" s="4161"/>
      <c r="N115" s="2832"/>
      <c r="O115" s="4194"/>
      <c r="P115" s="4197"/>
      <c r="Q115" s="2511"/>
      <c r="R115" s="3214"/>
      <c r="S115" s="4204"/>
      <c r="T115" s="4176"/>
      <c r="U115" s="2771"/>
      <c r="V115" s="3089"/>
      <c r="W115" s="4153"/>
      <c r="X115" s="801">
        <v>1458778.81</v>
      </c>
      <c r="Y115" s="801">
        <v>1458778.81</v>
      </c>
      <c r="Z115" s="801">
        <v>1458778.81</v>
      </c>
      <c r="AA115" s="1989" t="s">
        <v>1005</v>
      </c>
      <c r="AB115" s="4156"/>
      <c r="AC115" s="2994"/>
      <c r="AD115" s="4106"/>
      <c r="AE115" s="4106"/>
      <c r="AF115" s="4106"/>
      <c r="AG115" s="4106"/>
      <c r="AH115" s="4106"/>
      <c r="AI115" s="4106"/>
      <c r="AJ115" s="4106"/>
      <c r="AK115" s="4106"/>
      <c r="AL115" s="4106"/>
      <c r="AM115" s="4106"/>
      <c r="AN115" s="4106"/>
      <c r="AO115" s="4106"/>
      <c r="AP115" s="4106"/>
      <c r="AQ115" s="4106"/>
      <c r="AR115" s="4106"/>
      <c r="AS115" s="4106"/>
      <c r="AT115" s="4106"/>
      <c r="AU115" s="4106"/>
      <c r="AV115" s="4106"/>
      <c r="AW115" s="4106"/>
      <c r="AX115" s="4106"/>
      <c r="AY115" s="4106"/>
      <c r="AZ115" s="4106"/>
      <c r="BA115" s="4106"/>
      <c r="BB115" s="4106"/>
      <c r="BC115" s="4106"/>
      <c r="BD115" s="4106"/>
      <c r="BE115" s="4106"/>
      <c r="BF115" s="4106"/>
      <c r="BG115" s="4106"/>
      <c r="BH115" s="4106"/>
      <c r="BI115" s="4106"/>
      <c r="BJ115" s="4100"/>
      <c r="BK115" s="4100"/>
      <c r="BL115" s="4100"/>
      <c r="BM115" s="4103"/>
      <c r="BN115" s="4100"/>
      <c r="BO115" s="4100"/>
      <c r="BP115" s="3075"/>
      <c r="BQ115" s="3019"/>
      <c r="BR115" s="3019"/>
      <c r="BS115" s="3019"/>
      <c r="BT115" s="3019"/>
      <c r="BU115" s="3050"/>
    </row>
    <row r="116" spans="1:73" ht="36.75" customHeight="1" x14ac:dyDescent="0.25">
      <c r="A116" s="2018"/>
      <c r="B116" s="1997"/>
      <c r="C116" s="1984"/>
      <c r="D116" s="1982"/>
      <c r="G116" s="4127">
        <v>2201015</v>
      </c>
      <c r="H116" s="3205" t="s">
        <v>1006</v>
      </c>
      <c r="I116" s="4127">
        <v>2201015</v>
      </c>
      <c r="J116" s="3205" t="s">
        <v>1006</v>
      </c>
      <c r="K116" s="4127">
        <v>220101500</v>
      </c>
      <c r="L116" s="3259" t="s">
        <v>1007</v>
      </c>
      <c r="M116" s="4127">
        <v>220101500</v>
      </c>
      <c r="N116" s="3259" t="s">
        <v>1007</v>
      </c>
      <c r="O116" s="4194">
        <v>11</v>
      </c>
      <c r="P116" s="4200">
        <v>11</v>
      </c>
      <c r="Q116" s="2511"/>
      <c r="R116" s="3214"/>
      <c r="S116" s="4202">
        <f>(X116+X117+X118+X119)/T112</f>
        <v>0</v>
      </c>
      <c r="T116" s="4176"/>
      <c r="U116" s="2771"/>
      <c r="V116" s="2930" t="s">
        <v>1008</v>
      </c>
      <c r="W116" s="4210" t="s">
        <v>1009</v>
      </c>
      <c r="X116" s="2007">
        <f>797339.04-797339.04</f>
        <v>0</v>
      </c>
      <c r="Y116" s="805">
        <v>0</v>
      </c>
      <c r="Z116" s="805">
        <v>0</v>
      </c>
      <c r="AA116" s="1989" t="s">
        <v>1010</v>
      </c>
      <c r="AB116" s="4154">
        <v>20</v>
      </c>
      <c r="AC116" s="2992" t="s">
        <v>284</v>
      </c>
      <c r="AD116" s="4106"/>
      <c r="AE116" s="4106"/>
      <c r="AF116" s="4106"/>
      <c r="AG116" s="4106"/>
      <c r="AH116" s="4106"/>
      <c r="AI116" s="4106"/>
      <c r="AJ116" s="4106"/>
      <c r="AK116" s="4106"/>
      <c r="AL116" s="4106"/>
      <c r="AM116" s="4106"/>
      <c r="AN116" s="4106"/>
      <c r="AO116" s="4106"/>
      <c r="AP116" s="4106"/>
      <c r="AQ116" s="4106"/>
      <c r="AR116" s="4106"/>
      <c r="AS116" s="4106"/>
      <c r="AT116" s="4106"/>
      <c r="AU116" s="4106"/>
      <c r="AV116" s="4106"/>
      <c r="AW116" s="4106"/>
      <c r="AX116" s="4106"/>
      <c r="AY116" s="4106"/>
      <c r="AZ116" s="4106"/>
      <c r="BA116" s="4106"/>
      <c r="BB116" s="4106"/>
      <c r="BC116" s="4106"/>
      <c r="BD116" s="4106"/>
      <c r="BE116" s="4106"/>
      <c r="BF116" s="4106"/>
      <c r="BG116" s="4106"/>
      <c r="BH116" s="4106"/>
      <c r="BI116" s="4106"/>
      <c r="BJ116" s="4100"/>
      <c r="BK116" s="4100"/>
      <c r="BL116" s="4100"/>
      <c r="BM116" s="4103"/>
      <c r="BN116" s="4100"/>
      <c r="BO116" s="4100"/>
      <c r="BP116" s="3075"/>
      <c r="BQ116" s="3019"/>
      <c r="BR116" s="3019"/>
      <c r="BS116" s="3019"/>
      <c r="BT116" s="3019"/>
      <c r="BU116" s="3050"/>
    </row>
    <row r="117" spans="1:73" ht="38.25" customHeight="1" x14ac:dyDescent="0.25">
      <c r="A117" s="2018"/>
      <c r="B117" s="1997"/>
      <c r="C117" s="1984"/>
      <c r="D117" s="1982"/>
      <c r="G117" s="4128"/>
      <c r="H117" s="3403"/>
      <c r="I117" s="4128"/>
      <c r="J117" s="3403"/>
      <c r="K117" s="4128"/>
      <c r="L117" s="3260"/>
      <c r="M117" s="4128"/>
      <c r="N117" s="3260"/>
      <c r="O117" s="4194"/>
      <c r="P117" s="4196"/>
      <c r="Q117" s="2511"/>
      <c r="R117" s="3214"/>
      <c r="S117" s="4203"/>
      <c r="T117" s="4176"/>
      <c r="U117" s="2771"/>
      <c r="V117" s="2930"/>
      <c r="W117" s="4152"/>
      <c r="X117" s="2007">
        <f>4951294.84-4951294.84</f>
        <v>0</v>
      </c>
      <c r="Y117" s="805">
        <v>0</v>
      </c>
      <c r="Z117" s="805">
        <v>0</v>
      </c>
      <c r="AA117" s="1989" t="s">
        <v>1011</v>
      </c>
      <c r="AB117" s="4155"/>
      <c r="AC117" s="2993"/>
      <c r="AD117" s="4106"/>
      <c r="AE117" s="4106"/>
      <c r="AF117" s="4106"/>
      <c r="AG117" s="4106"/>
      <c r="AH117" s="4106"/>
      <c r="AI117" s="4106"/>
      <c r="AJ117" s="4106"/>
      <c r="AK117" s="4106"/>
      <c r="AL117" s="4106"/>
      <c r="AM117" s="4106"/>
      <c r="AN117" s="4106"/>
      <c r="AO117" s="4106"/>
      <c r="AP117" s="4106"/>
      <c r="AQ117" s="4106"/>
      <c r="AR117" s="4106"/>
      <c r="AS117" s="4106"/>
      <c r="AT117" s="4106"/>
      <c r="AU117" s="4106"/>
      <c r="AV117" s="4106"/>
      <c r="AW117" s="4106"/>
      <c r="AX117" s="4106"/>
      <c r="AY117" s="4106"/>
      <c r="AZ117" s="4106"/>
      <c r="BA117" s="4106"/>
      <c r="BB117" s="4106"/>
      <c r="BC117" s="4106"/>
      <c r="BD117" s="4106"/>
      <c r="BE117" s="4106"/>
      <c r="BF117" s="4106"/>
      <c r="BG117" s="4106"/>
      <c r="BH117" s="4106"/>
      <c r="BI117" s="4106"/>
      <c r="BJ117" s="4100"/>
      <c r="BK117" s="4100"/>
      <c r="BL117" s="4100"/>
      <c r="BM117" s="4103"/>
      <c r="BN117" s="4100"/>
      <c r="BO117" s="4100"/>
      <c r="BP117" s="3075"/>
      <c r="BQ117" s="3019"/>
      <c r="BR117" s="3019"/>
      <c r="BS117" s="3019"/>
      <c r="BT117" s="3019"/>
      <c r="BU117" s="3050"/>
    </row>
    <row r="118" spans="1:73" ht="39" customHeight="1" x14ac:dyDescent="0.25">
      <c r="A118" s="2018"/>
      <c r="B118" s="1997"/>
      <c r="C118" s="1984"/>
      <c r="D118" s="1982"/>
      <c r="G118" s="4128"/>
      <c r="H118" s="3403"/>
      <c r="I118" s="4128"/>
      <c r="J118" s="3403"/>
      <c r="K118" s="4128"/>
      <c r="L118" s="3260"/>
      <c r="M118" s="4128"/>
      <c r="N118" s="3260"/>
      <c r="O118" s="4194"/>
      <c r="P118" s="4196"/>
      <c r="Q118" s="2511"/>
      <c r="R118" s="3214"/>
      <c r="S118" s="4203"/>
      <c r="T118" s="4176"/>
      <c r="U118" s="2771"/>
      <c r="V118" s="2930"/>
      <c r="W118" s="4152"/>
      <c r="X118" s="2007">
        <f>4500831.55-4500831.55</f>
        <v>0</v>
      </c>
      <c r="Y118" s="805">
        <v>0</v>
      </c>
      <c r="Z118" s="805">
        <v>0</v>
      </c>
      <c r="AA118" s="1989" t="s">
        <v>1012</v>
      </c>
      <c r="AB118" s="4155"/>
      <c r="AC118" s="2993"/>
      <c r="AD118" s="4106"/>
      <c r="AE118" s="4106"/>
      <c r="AF118" s="4106"/>
      <c r="AG118" s="4106"/>
      <c r="AH118" s="4106"/>
      <c r="AI118" s="4106"/>
      <c r="AJ118" s="4106"/>
      <c r="AK118" s="4106"/>
      <c r="AL118" s="4106"/>
      <c r="AM118" s="4106"/>
      <c r="AN118" s="4106"/>
      <c r="AO118" s="4106"/>
      <c r="AP118" s="4106"/>
      <c r="AQ118" s="4106"/>
      <c r="AR118" s="4106"/>
      <c r="AS118" s="4106"/>
      <c r="AT118" s="4106"/>
      <c r="AU118" s="4106"/>
      <c r="AV118" s="4106"/>
      <c r="AW118" s="4106"/>
      <c r="AX118" s="4106"/>
      <c r="AY118" s="4106"/>
      <c r="AZ118" s="4106"/>
      <c r="BA118" s="4106"/>
      <c r="BB118" s="4106"/>
      <c r="BC118" s="4106"/>
      <c r="BD118" s="4106"/>
      <c r="BE118" s="4106"/>
      <c r="BF118" s="4106"/>
      <c r="BG118" s="4106"/>
      <c r="BH118" s="4106"/>
      <c r="BI118" s="4106"/>
      <c r="BJ118" s="4100"/>
      <c r="BK118" s="4100"/>
      <c r="BL118" s="4100"/>
      <c r="BM118" s="4103"/>
      <c r="BN118" s="4100"/>
      <c r="BO118" s="4100"/>
      <c r="BP118" s="3075"/>
      <c r="BQ118" s="3019"/>
      <c r="BR118" s="3019"/>
      <c r="BS118" s="3019"/>
      <c r="BT118" s="3019"/>
      <c r="BU118" s="3050"/>
    </row>
    <row r="119" spans="1:73" ht="30" customHeight="1" x14ac:dyDescent="0.25">
      <c r="A119" s="2018"/>
      <c r="B119" s="1997"/>
      <c r="C119" s="1984"/>
      <c r="D119" s="1982"/>
      <c r="G119" s="4229"/>
      <c r="H119" s="3404"/>
      <c r="I119" s="4229"/>
      <c r="J119" s="3404"/>
      <c r="K119" s="4229"/>
      <c r="L119" s="4199"/>
      <c r="M119" s="4229"/>
      <c r="N119" s="4199"/>
      <c r="O119" s="4194"/>
      <c r="P119" s="4197"/>
      <c r="Q119" s="2511"/>
      <c r="R119" s="3214"/>
      <c r="S119" s="4211"/>
      <c r="T119" s="4176"/>
      <c r="U119" s="2771"/>
      <c r="V119" s="2930"/>
      <c r="W119" s="4212"/>
      <c r="X119" s="2007">
        <f>1750534.57-1750534.57</f>
        <v>0</v>
      </c>
      <c r="Y119" s="805">
        <v>0</v>
      </c>
      <c r="Z119" s="805">
        <v>0</v>
      </c>
      <c r="AA119" s="1989" t="s">
        <v>1013</v>
      </c>
      <c r="AB119" s="4156"/>
      <c r="AC119" s="2994"/>
      <c r="AD119" s="4106"/>
      <c r="AE119" s="4106"/>
      <c r="AF119" s="4106"/>
      <c r="AG119" s="4106"/>
      <c r="AH119" s="4106"/>
      <c r="AI119" s="4106"/>
      <c r="AJ119" s="4106"/>
      <c r="AK119" s="4106"/>
      <c r="AL119" s="4106"/>
      <c r="AM119" s="4106"/>
      <c r="AN119" s="4106"/>
      <c r="AO119" s="4106"/>
      <c r="AP119" s="4106"/>
      <c r="AQ119" s="4106"/>
      <c r="AR119" s="4106"/>
      <c r="AS119" s="4106"/>
      <c r="AT119" s="4106"/>
      <c r="AU119" s="4106"/>
      <c r="AV119" s="4106"/>
      <c r="AW119" s="4106"/>
      <c r="AX119" s="4106"/>
      <c r="AY119" s="4106"/>
      <c r="AZ119" s="4106"/>
      <c r="BA119" s="4106"/>
      <c r="BB119" s="4106"/>
      <c r="BC119" s="4106"/>
      <c r="BD119" s="4106"/>
      <c r="BE119" s="4106"/>
      <c r="BF119" s="4106"/>
      <c r="BG119" s="4106"/>
      <c r="BH119" s="4106"/>
      <c r="BI119" s="4106"/>
      <c r="BJ119" s="4100"/>
      <c r="BK119" s="4100"/>
      <c r="BL119" s="4100"/>
      <c r="BM119" s="4103"/>
      <c r="BN119" s="4100"/>
      <c r="BO119" s="4100"/>
      <c r="BP119" s="3075"/>
      <c r="BQ119" s="3019"/>
      <c r="BR119" s="3019"/>
      <c r="BS119" s="3019"/>
      <c r="BT119" s="3019"/>
      <c r="BU119" s="3050"/>
    </row>
    <row r="120" spans="1:73" ht="24" customHeight="1" x14ac:dyDescent="0.25">
      <c r="A120" s="2018"/>
      <c r="B120" s="1997"/>
      <c r="C120" s="1984"/>
      <c r="D120" s="1982"/>
      <c r="G120" s="4121">
        <v>2201042</v>
      </c>
      <c r="H120" s="2680" t="s">
        <v>1014</v>
      </c>
      <c r="I120" s="4121">
        <v>2201042</v>
      </c>
      <c r="J120" s="2680" t="s">
        <v>1014</v>
      </c>
      <c r="K120" s="2932">
        <v>220104200</v>
      </c>
      <c r="L120" s="2734" t="s">
        <v>1015</v>
      </c>
      <c r="M120" s="2932">
        <v>220104200</v>
      </c>
      <c r="N120" s="2734" t="s">
        <v>1015</v>
      </c>
      <c r="O120" s="4194">
        <v>6000</v>
      </c>
      <c r="P120" s="4200">
        <v>6000</v>
      </c>
      <c r="Q120" s="2511"/>
      <c r="R120" s="3214"/>
      <c r="S120" s="4213">
        <f>(X120+X121+X122+X123)/T112</f>
        <v>5.7021596681818587E-5</v>
      </c>
      <c r="T120" s="4176"/>
      <c r="U120" s="2771"/>
      <c r="V120" s="2930" t="s">
        <v>997</v>
      </c>
      <c r="W120" s="2680" t="s">
        <v>1016</v>
      </c>
      <c r="X120" s="801">
        <v>664449.19999999995</v>
      </c>
      <c r="Y120" s="801">
        <v>664449.19999999995</v>
      </c>
      <c r="Z120" s="801">
        <v>664449.19999999995</v>
      </c>
      <c r="AA120" s="1989" t="s">
        <v>1017</v>
      </c>
      <c r="AB120" s="4154">
        <v>20</v>
      </c>
      <c r="AC120" s="2992" t="s">
        <v>284</v>
      </c>
      <c r="AD120" s="4106"/>
      <c r="AE120" s="4106"/>
      <c r="AF120" s="4106"/>
      <c r="AG120" s="4106"/>
      <c r="AH120" s="4106"/>
      <c r="AI120" s="4106"/>
      <c r="AJ120" s="4106"/>
      <c r="AK120" s="4106"/>
      <c r="AL120" s="4106"/>
      <c r="AM120" s="4106"/>
      <c r="AN120" s="4106"/>
      <c r="AO120" s="4106"/>
      <c r="AP120" s="4106"/>
      <c r="AQ120" s="4106"/>
      <c r="AR120" s="4106"/>
      <c r="AS120" s="4106"/>
      <c r="AT120" s="4106"/>
      <c r="AU120" s="4106"/>
      <c r="AV120" s="4106"/>
      <c r="AW120" s="4106"/>
      <c r="AX120" s="4106"/>
      <c r="AY120" s="4106"/>
      <c r="AZ120" s="4106"/>
      <c r="BA120" s="4106"/>
      <c r="BB120" s="4106"/>
      <c r="BC120" s="4106"/>
      <c r="BD120" s="4106"/>
      <c r="BE120" s="4106"/>
      <c r="BF120" s="4106"/>
      <c r="BG120" s="4106"/>
      <c r="BH120" s="4106"/>
      <c r="BI120" s="4106"/>
      <c r="BJ120" s="4100"/>
      <c r="BK120" s="4100"/>
      <c r="BL120" s="4100"/>
      <c r="BM120" s="4103"/>
      <c r="BN120" s="4100"/>
      <c r="BO120" s="4100"/>
      <c r="BP120" s="3075"/>
      <c r="BQ120" s="3019"/>
      <c r="BR120" s="3019"/>
      <c r="BS120" s="3019"/>
      <c r="BT120" s="3019"/>
      <c r="BU120" s="3050"/>
    </row>
    <row r="121" spans="1:73" ht="18.75" customHeight="1" x14ac:dyDescent="0.25">
      <c r="A121" s="2018"/>
      <c r="B121" s="1997"/>
      <c r="C121" s="1984"/>
      <c r="D121" s="1982"/>
      <c r="G121" s="4121"/>
      <c r="H121" s="2680"/>
      <c r="I121" s="4121"/>
      <c r="J121" s="2680"/>
      <c r="K121" s="2932"/>
      <c r="L121" s="2734"/>
      <c r="M121" s="2932"/>
      <c r="N121" s="2734"/>
      <c r="O121" s="4194"/>
      <c r="P121" s="4196"/>
      <c r="Q121" s="2511"/>
      <c r="R121" s="3214"/>
      <c r="S121" s="4213"/>
      <c r="T121" s="4206"/>
      <c r="U121" s="4208"/>
      <c r="V121" s="4214"/>
      <c r="W121" s="4216"/>
      <c r="X121" s="801">
        <v>4126079.04</v>
      </c>
      <c r="Y121" s="806">
        <v>4031246.04</v>
      </c>
      <c r="Z121" s="806">
        <v>4031246.04</v>
      </c>
      <c r="AA121" s="1989" t="s">
        <v>1018</v>
      </c>
      <c r="AB121" s="4155"/>
      <c r="AC121" s="2993"/>
      <c r="AD121" s="4106"/>
      <c r="AE121" s="4106"/>
      <c r="AF121" s="4106"/>
      <c r="AG121" s="4106"/>
      <c r="AH121" s="4106"/>
      <c r="AI121" s="4106"/>
      <c r="AJ121" s="4106"/>
      <c r="AK121" s="4106"/>
      <c r="AL121" s="4106"/>
      <c r="AM121" s="4106"/>
      <c r="AN121" s="4106"/>
      <c r="AO121" s="4106"/>
      <c r="AP121" s="4106"/>
      <c r="AQ121" s="4106"/>
      <c r="AR121" s="4106"/>
      <c r="AS121" s="4106"/>
      <c r="AT121" s="4106"/>
      <c r="AU121" s="4106"/>
      <c r="AV121" s="4106"/>
      <c r="AW121" s="4106"/>
      <c r="AX121" s="4106"/>
      <c r="AY121" s="4106"/>
      <c r="AZ121" s="4106"/>
      <c r="BA121" s="4106"/>
      <c r="BB121" s="4106"/>
      <c r="BC121" s="4106"/>
      <c r="BD121" s="4106"/>
      <c r="BE121" s="4106"/>
      <c r="BF121" s="4106"/>
      <c r="BG121" s="4106"/>
      <c r="BH121" s="4106"/>
      <c r="BI121" s="4106"/>
      <c r="BJ121" s="4100"/>
      <c r="BK121" s="4100"/>
      <c r="BL121" s="4100"/>
      <c r="BM121" s="4103"/>
      <c r="BN121" s="4100"/>
      <c r="BO121" s="4100"/>
      <c r="BP121" s="3075"/>
      <c r="BQ121" s="3019"/>
      <c r="BR121" s="3019"/>
      <c r="BS121" s="3019"/>
      <c r="BT121" s="3019"/>
      <c r="BU121" s="3050"/>
    </row>
    <row r="122" spans="1:73" ht="34.5" customHeight="1" x14ac:dyDescent="0.25">
      <c r="A122" s="2018"/>
      <c r="B122" s="1997"/>
      <c r="C122" s="1984"/>
      <c r="D122" s="1982"/>
      <c r="G122" s="4121"/>
      <c r="H122" s="2680"/>
      <c r="I122" s="4121"/>
      <c r="J122" s="2680"/>
      <c r="K122" s="2932"/>
      <c r="L122" s="2734"/>
      <c r="M122" s="2932"/>
      <c r="N122" s="2734"/>
      <c r="O122" s="4194"/>
      <c r="P122" s="4196"/>
      <c r="Q122" s="2511"/>
      <c r="R122" s="3214"/>
      <c r="S122" s="4213"/>
      <c r="T122" s="4206"/>
      <c r="U122" s="4208"/>
      <c r="V122" s="4214"/>
      <c r="W122" s="4216"/>
      <c r="X122" s="801">
        <v>3750692.96</v>
      </c>
      <c r="Y122" s="801">
        <v>3750692.96</v>
      </c>
      <c r="Z122" s="801">
        <v>3750692.96</v>
      </c>
      <c r="AA122" s="1989" t="s">
        <v>1019</v>
      </c>
      <c r="AB122" s="4155"/>
      <c r="AC122" s="2993"/>
      <c r="AD122" s="4106"/>
      <c r="AE122" s="4106"/>
      <c r="AF122" s="4106"/>
      <c r="AG122" s="4106"/>
      <c r="AH122" s="4106"/>
      <c r="AI122" s="4106"/>
      <c r="AJ122" s="4106"/>
      <c r="AK122" s="4106"/>
      <c r="AL122" s="4106"/>
      <c r="AM122" s="4106"/>
      <c r="AN122" s="4106"/>
      <c r="AO122" s="4106"/>
      <c r="AP122" s="4106"/>
      <c r="AQ122" s="4106"/>
      <c r="AR122" s="4106"/>
      <c r="AS122" s="4106"/>
      <c r="AT122" s="4106"/>
      <c r="AU122" s="4106"/>
      <c r="AV122" s="4106"/>
      <c r="AW122" s="4106"/>
      <c r="AX122" s="4106"/>
      <c r="AY122" s="4106"/>
      <c r="AZ122" s="4106"/>
      <c r="BA122" s="4106"/>
      <c r="BB122" s="4106"/>
      <c r="BC122" s="4106"/>
      <c r="BD122" s="4106"/>
      <c r="BE122" s="4106"/>
      <c r="BF122" s="4106"/>
      <c r="BG122" s="4106"/>
      <c r="BH122" s="4106"/>
      <c r="BI122" s="4106"/>
      <c r="BJ122" s="4100"/>
      <c r="BK122" s="4100"/>
      <c r="BL122" s="4100"/>
      <c r="BM122" s="4103"/>
      <c r="BN122" s="4100"/>
      <c r="BO122" s="4100"/>
      <c r="BP122" s="3075"/>
      <c r="BQ122" s="3019"/>
      <c r="BR122" s="3019"/>
      <c r="BS122" s="3019"/>
      <c r="BT122" s="3019"/>
      <c r="BU122" s="3050"/>
    </row>
    <row r="123" spans="1:73" ht="33" customHeight="1" x14ac:dyDescent="0.25">
      <c r="A123" s="2018"/>
      <c r="B123" s="1997"/>
      <c r="C123" s="1984"/>
      <c r="D123" s="1982"/>
      <c r="G123" s="4121"/>
      <c r="H123" s="2680"/>
      <c r="I123" s="4121"/>
      <c r="J123" s="2680"/>
      <c r="K123" s="2932"/>
      <c r="L123" s="2734"/>
      <c r="M123" s="2932"/>
      <c r="N123" s="2734"/>
      <c r="O123" s="4194"/>
      <c r="P123" s="4197"/>
      <c r="Q123" s="2511"/>
      <c r="R123" s="3214"/>
      <c r="S123" s="4213"/>
      <c r="T123" s="4176"/>
      <c r="U123" s="2771"/>
      <c r="V123" s="2930"/>
      <c r="W123" s="2680"/>
      <c r="X123" s="801">
        <v>1458778.81</v>
      </c>
      <c r="Y123" s="806">
        <v>1458778.8</v>
      </c>
      <c r="Z123" s="806">
        <v>1458778.8</v>
      </c>
      <c r="AA123" s="1989" t="s">
        <v>1020</v>
      </c>
      <c r="AB123" s="4156"/>
      <c r="AC123" s="2993"/>
      <c r="AD123" s="4106"/>
      <c r="AE123" s="4106"/>
      <c r="AF123" s="4106"/>
      <c r="AG123" s="4106"/>
      <c r="AH123" s="4106"/>
      <c r="AI123" s="4106"/>
      <c r="AJ123" s="4106"/>
      <c r="AK123" s="4106"/>
      <c r="AL123" s="4106"/>
      <c r="AM123" s="4106"/>
      <c r="AN123" s="4106"/>
      <c r="AO123" s="4106"/>
      <c r="AP123" s="4106"/>
      <c r="AQ123" s="4106"/>
      <c r="AR123" s="4106"/>
      <c r="AS123" s="4106"/>
      <c r="AT123" s="4106"/>
      <c r="AU123" s="4106"/>
      <c r="AV123" s="4106"/>
      <c r="AW123" s="4106"/>
      <c r="AX123" s="4106"/>
      <c r="AY123" s="4106"/>
      <c r="AZ123" s="4106"/>
      <c r="BA123" s="4106"/>
      <c r="BB123" s="4106"/>
      <c r="BC123" s="4106"/>
      <c r="BD123" s="4106"/>
      <c r="BE123" s="4106"/>
      <c r="BF123" s="4106"/>
      <c r="BG123" s="4106"/>
      <c r="BH123" s="4106"/>
      <c r="BI123" s="4106"/>
      <c r="BJ123" s="4100"/>
      <c r="BK123" s="4100"/>
      <c r="BL123" s="4100"/>
      <c r="BM123" s="4103"/>
      <c r="BN123" s="4100"/>
      <c r="BO123" s="4100"/>
      <c r="BP123" s="3075"/>
      <c r="BQ123" s="3019"/>
      <c r="BR123" s="3019"/>
      <c r="BS123" s="3019"/>
      <c r="BT123" s="3019"/>
      <c r="BU123" s="3050"/>
    </row>
    <row r="124" spans="1:73" ht="15" customHeight="1" x14ac:dyDescent="0.25">
      <c r="A124" s="2018"/>
      <c r="B124" s="1997"/>
      <c r="C124" s="1984"/>
      <c r="D124" s="1982"/>
      <c r="G124" s="4083" t="s">
        <v>1021</v>
      </c>
      <c r="H124" s="4238" t="s">
        <v>1022</v>
      </c>
      <c r="I124" s="4083" t="s">
        <v>1021</v>
      </c>
      <c r="J124" s="4238" t="s">
        <v>1022</v>
      </c>
      <c r="K124" s="4083" t="s">
        <v>1023</v>
      </c>
      <c r="L124" s="4241" t="s">
        <v>1024</v>
      </c>
      <c r="M124" s="4083" t="s">
        <v>1023</v>
      </c>
      <c r="N124" s="4241" t="s">
        <v>1024</v>
      </c>
      <c r="O124" s="4201" t="s">
        <v>1025</v>
      </c>
      <c r="P124" s="4127" t="s">
        <v>1025</v>
      </c>
      <c r="Q124" s="2511"/>
      <c r="R124" s="3214"/>
      <c r="S124" s="4217">
        <f>SUM(X124:X234)/T112</f>
        <v>0.99894567067293349</v>
      </c>
      <c r="T124" s="4176"/>
      <c r="U124" s="2771"/>
      <c r="V124" s="2930"/>
      <c r="W124" s="4219" t="s">
        <v>1026</v>
      </c>
      <c r="X124" s="801">
        <v>7910474412</v>
      </c>
      <c r="Y124" s="801">
        <v>7910474412</v>
      </c>
      <c r="Z124" s="801">
        <v>7910474412</v>
      </c>
      <c r="AA124" s="1989" t="s">
        <v>1027</v>
      </c>
      <c r="AB124" s="4223">
        <v>25</v>
      </c>
      <c r="AC124" s="4119" t="s">
        <v>758</v>
      </c>
      <c r="AD124" s="4106"/>
      <c r="AE124" s="4106"/>
      <c r="AF124" s="4106"/>
      <c r="AG124" s="4106"/>
      <c r="AH124" s="4106"/>
      <c r="AI124" s="4106"/>
      <c r="AJ124" s="4106"/>
      <c r="AK124" s="4106"/>
      <c r="AL124" s="4106"/>
      <c r="AM124" s="4106"/>
      <c r="AN124" s="4106"/>
      <c r="AO124" s="4106"/>
      <c r="AP124" s="4106"/>
      <c r="AQ124" s="4106"/>
      <c r="AR124" s="4106"/>
      <c r="AS124" s="4106"/>
      <c r="AT124" s="4106"/>
      <c r="AU124" s="4106"/>
      <c r="AV124" s="4106"/>
      <c r="AW124" s="4106"/>
      <c r="AX124" s="4106"/>
      <c r="AY124" s="4106"/>
      <c r="AZ124" s="4106"/>
      <c r="BA124" s="4106"/>
      <c r="BB124" s="4106"/>
      <c r="BC124" s="4106"/>
      <c r="BD124" s="4106"/>
      <c r="BE124" s="4106"/>
      <c r="BF124" s="4106"/>
      <c r="BG124" s="4106"/>
      <c r="BH124" s="4106"/>
      <c r="BI124" s="4106"/>
      <c r="BJ124" s="4100"/>
      <c r="BK124" s="4100"/>
      <c r="BL124" s="4100"/>
      <c r="BM124" s="4103"/>
      <c r="BN124" s="4100"/>
      <c r="BO124" s="4100"/>
      <c r="BP124" s="3075"/>
      <c r="BQ124" s="3019"/>
      <c r="BR124" s="3019"/>
      <c r="BS124" s="3019"/>
      <c r="BT124" s="3019"/>
      <c r="BU124" s="3050"/>
    </row>
    <row r="125" spans="1:73" x14ac:dyDescent="0.25">
      <c r="A125" s="2018"/>
      <c r="B125" s="1997"/>
      <c r="C125" s="1984"/>
      <c r="D125" s="1982"/>
      <c r="G125" s="4084"/>
      <c r="H125" s="4239"/>
      <c r="I125" s="4084"/>
      <c r="J125" s="4239"/>
      <c r="K125" s="4084"/>
      <c r="L125" s="4242"/>
      <c r="M125" s="4084"/>
      <c r="N125" s="4242"/>
      <c r="O125" s="4201"/>
      <c r="P125" s="4128"/>
      <c r="Q125" s="2511"/>
      <c r="R125" s="3214"/>
      <c r="S125" s="4218"/>
      <c r="T125" s="4207"/>
      <c r="U125" s="4209"/>
      <c r="V125" s="4215"/>
      <c r="W125" s="4220"/>
      <c r="X125" s="801">
        <v>500097896</v>
      </c>
      <c r="Y125" s="801">
        <v>500097896</v>
      </c>
      <c r="Z125" s="801">
        <v>500097896</v>
      </c>
      <c r="AA125" s="1989" t="s">
        <v>1028</v>
      </c>
      <c r="AB125" s="4223"/>
      <c r="AC125" s="4119"/>
      <c r="AD125" s="4106"/>
      <c r="AE125" s="4106"/>
      <c r="AF125" s="4106"/>
      <c r="AG125" s="4106"/>
      <c r="AH125" s="4106"/>
      <c r="AI125" s="4106"/>
      <c r="AJ125" s="4106"/>
      <c r="AK125" s="4106"/>
      <c r="AL125" s="4106"/>
      <c r="AM125" s="4106"/>
      <c r="AN125" s="4106"/>
      <c r="AO125" s="4106"/>
      <c r="AP125" s="4106"/>
      <c r="AQ125" s="4106"/>
      <c r="AR125" s="4106"/>
      <c r="AS125" s="4106"/>
      <c r="AT125" s="4106"/>
      <c r="AU125" s="4106"/>
      <c r="AV125" s="4106"/>
      <c r="AW125" s="4106"/>
      <c r="AX125" s="4106"/>
      <c r="AY125" s="4106"/>
      <c r="AZ125" s="4106"/>
      <c r="BA125" s="4106"/>
      <c r="BB125" s="4106"/>
      <c r="BC125" s="4106"/>
      <c r="BD125" s="4106"/>
      <c r="BE125" s="4106"/>
      <c r="BF125" s="4106"/>
      <c r="BG125" s="4106"/>
      <c r="BH125" s="4106"/>
      <c r="BI125" s="4106"/>
      <c r="BJ125" s="4100"/>
      <c r="BK125" s="4100"/>
      <c r="BL125" s="4100"/>
      <c r="BM125" s="4103"/>
      <c r="BN125" s="4100"/>
      <c r="BO125" s="4100"/>
      <c r="BP125" s="3075"/>
      <c r="BQ125" s="3019"/>
      <c r="BR125" s="3019"/>
      <c r="BS125" s="3019"/>
      <c r="BT125" s="3019"/>
      <c r="BU125" s="3050"/>
    </row>
    <row r="126" spans="1:73" x14ac:dyDescent="0.25">
      <c r="A126" s="2018"/>
      <c r="B126" s="1997"/>
      <c r="C126" s="1984"/>
      <c r="D126" s="1982"/>
      <c r="G126" s="4084"/>
      <c r="H126" s="4239"/>
      <c r="I126" s="4084"/>
      <c r="J126" s="4239"/>
      <c r="K126" s="4084"/>
      <c r="L126" s="4242"/>
      <c r="M126" s="4084"/>
      <c r="N126" s="4242"/>
      <c r="O126" s="4201"/>
      <c r="P126" s="4128"/>
      <c r="Q126" s="2511"/>
      <c r="R126" s="3214"/>
      <c r="S126" s="4218"/>
      <c r="T126" s="4176"/>
      <c r="U126" s="2771"/>
      <c r="V126" s="2930"/>
      <c r="W126" s="4220"/>
      <c r="X126" s="801">
        <v>342464972</v>
      </c>
      <c r="Y126" s="801">
        <v>342464972</v>
      </c>
      <c r="Z126" s="801">
        <v>342464972</v>
      </c>
      <c r="AA126" s="1989" t="s">
        <v>1029</v>
      </c>
      <c r="AB126" s="4223"/>
      <c r="AC126" s="4119"/>
      <c r="AD126" s="4106"/>
      <c r="AE126" s="4106"/>
      <c r="AF126" s="4106"/>
      <c r="AG126" s="4106"/>
      <c r="AH126" s="4106"/>
      <c r="AI126" s="4106"/>
      <c r="AJ126" s="4106"/>
      <c r="AK126" s="4106"/>
      <c r="AL126" s="4106"/>
      <c r="AM126" s="4106"/>
      <c r="AN126" s="4106"/>
      <c r="AO126" s="4106"/>
      <c r="AP126" s="4106"/>
      <c r="AQ126" s="4106"/>
      <c r="AR126" s="4106"/>
      <c r="AS126" s="4106"/>
      <c r="AT126" s="4106"/>
      <c r="AU126" s="4106"/>
      <c r="AV126" s="4106"/>
      <c r="AW126" s="4106"/>
      <c r="AX126" s="4106"/>
      <c r="AY126" s="4106"/>
      <c r="AZ126" s="4106"/>
      <c r="BA126" s="4106"/>
      <c r="BB126" s="4106"/>
      <c r="BC126" s="4106"/>
      <c r="BD126" s="4106"/>
      <c r="BE126" s="4106"/>
      <c r="BF126" s="4106"/>
      <c r="BG126" s="4106"/>
      <c r="BH126" s="4106"/>
      <c r="BI126" s="4106"/>
      <c r="BJ126" s="4100"/>
      <c r="BK126" s="4100"/>
      <c r="BL126" s="4100"/>
      <c r="BM126" s="4103"/>
      <c r="BN126" s="4100"/>
      <c r="BO126" s="4100"/>
      <c r="BP126" s="3075"/>
      <c r="BQ126" s="3019"/>
      <c r="BR126" s="3019"/>
      <c r="BS126" s="3019"/>
      <c r="BT126" s="3019"/>
      <c r="BU126" s="3050"/>
    </row>
    <row r="127" spans="1:73" x14ac:dyDescent="0.25">
      <c r="A127" s="2018"/>
      <c r="B127" s="1997"/>
      <c r="C127" s="1984"/>
      <c r="D127" s="1982"/>
      <c r="G127" s="4084"/>
      <c r="H127" s="4239"/>
      <c r="I127" s="4084"/>
      <c r="J127" s="4239"/>
      <c r="K127" s="4084"/>
      <c r="L127" s="4242"/>
      <c r="M127" s="4084"/>
      <c r="N127" s="4242"/>
      <c r="O127" s="4201"/>
      <c r="P127" s="4128"/>
      <c r="Q127" s="2511"/>
      <c r="R127" s="3214"/>
      <c r="S127" s="4218"/>
      <c r="T127" s="4176"/>
      <c r="U127" s="2771"/>
      <c r="V127" s="2930"/>
      <c r="W127" s="4220"/>
      <c r="X127" s="801">
        <v>232974427</v>
      </c>
      <c r="Y127" s="801">
        <v>232974427</v>
      </c>
      <c r="Z127" s="801">
        <v>232974427</v>
      </c>
      <c r="AA127" s="1989" t="s">
        <v>1030</v>
      </c>
      <c r="AB127" s="4223"/>
      <c r="AC127" s="4119"/>
      <c r="AD127" s="4106"/>
      <c r="AE127" s="4106"/>
      <c r="AF127" s="4106"/>
      <c r="AG127" s="4106"/>
      <c r="AH127" s="4106"/>
      <c r="AI127" s="4106"/>
      <c r="AJ127" s="4106"/>
      <c r="AK127" s="4106"/>
      <c r="AL127" s="4106"/>
      <c r="AM127" s="4106"/>
      <c r="AN127" s="4106"/>
      <c r="AO127" s="4106"/>
      <c r="AP127" s="4106"/>
      <c r="AQ127" s="4106"/>
      <c r="AR127" s="4106"/>
      <c r="AS127" s="4106"/>
      <c r="AT127" s="4106"/>
      <c r="AU127" s="4106"/>
      <c r="AV127" s="4106"/>
      <c r="AW127" s="4106"/>
      <c r="AX127" s="4106"/>
      <c r="AY127" s="4106"/>
      <c r="AZ127" s="4106"/>
      <c r="BA127" s="4106"/>
      <c r="BB127" s="4106"/>
      <c r="BC127" s="4106"/>
      <c r="BD127" s="4106"/>
      <c r="BE127" s="4106"/>
      <c r="BF127" s="4106"/>
      <c r="BG127" s="4106"/>
      <c r="BH127" s="4106"/>
      <c r="BI127" s="4106"/>
      <c r="BJ127" s="4100"/>
      <c r="BK127" s="4100"/>
      <c r="BL127" s="4100"/>
      <c r="BM127" s="4103"/>
      <c r="BN127" s="4100"/>
      <c r="BO127" s="4100"/>
      <c r="BP127" s="3075"/>
      <c r="BQ127" s="3019"/>
      <c r="BR127" s="3019"/>
      <c r="BS127" s="3019"/>
      <c r="BT127" s="3019"/>
      <c r="BU127" s="3050"/>
    </row>
    <row r="128" spans="1:73" x14ac:dyDescent="0.25">
      <c r="A128" s="2018"/>
      <c r="B128" s="1997"/>
      <c r="C128" s="1984"/>
      <c r="D128" s="1982"/>
      <c r="G128" s="4084"/>
      <c r="H128" s="4239"/>
      <c r="I128" s="4084"/>
      <c r="J128" s="4239"/>
      <c r="K128" s="4084"/>
      <c r="L128" s="4242"/>
      <c r="M128" s="4084"/>
      <c r="N128" s="4242"/>
      <c r="O128" s="4201"/>
      <c r="P128" s="4128"/>
      <c r="Q128" s="2511"/>
      <c r="R128" s="3214"/>
      <c r="S128" s="4218"/>
      <c r="T128" s="4176"/>
      <c r="U128" s="2771"/>
      <c r="V128" s="2930"/>
      <c r="W128" s="4220"/>
      <c r="X128" s="801">
        <v>602370432</v>
      </c>
      <c r="Y128" s="801">
        <v>602370432</v>
      </c>
      <c r="Z128" s="801">
        <v>602370432</v>
      </c>
      <c r="AA128" s="1989" t="s">
        <v>1031</v>
      </c>
      <c r="AB128" s="4223"/>
      <c r="AC128" s="4119"/>
      <c r="AD128" s="4106"/>
      <c r="AE128" s="4106"/>
      <c r="AF128" s="4106"/>
      <c r="AG128" s="4106"/>
      <c r="AH128" s="4106"/>
      <c r="AI128" s="4106"/>
      <c r="AJ128" s="4106"/>
      <c r="AK128" s="4106"/>
      <c r="AL128" s="4106"/>
      <c r="AM128" s="4106"/>
      <c r="AN128" s="4106"/>
      <c r="AO128" s="4106"/>
      <c r="AP128" s="4106"/>
      <c r="AQ128" s="4106"/>
      <c r="AR128" s="4106"/>
      <c r="AS128" s="4106"/>
      <c r="AT128" s="4106"/>
      <c r="AU128" s="4106"/>
      <c r="AV128" s="4106"/>
      <c r="AW128" s="4106"/>
      <c r="AX128" s="4106"/>
      <c r="AY128" s="4106"/>
      <c r="AZ128" s="4106"/>
      <c r="BA128" s="4106"/>
      <c r="BB128" s="4106"/>
      <c r="BC128" s="4106"/>
      <c r="BD128" s="4106"/>
      <c r="BE128" s="4106"/>
      <c r="BF128" s="4106"/>
      <c r="BG128" s="4106"/>
      <c r="BH128" s="4106"/>
      <c r="BI128" s="4106"/>
      <c r="BJ128" s="4100"/>
      <c r="BK128" s="4100"/>
      <c r="BL128" s="4100"/>
      <c r="BM128" s="4103"/>
      <c r="BN128" s="4100"/>
      <c r="BO128" s="4100"/>
      <c r="BP128" s="3075"/>
      <c r="BQ128" s="3019"/>
      <c r="BR128" s="3019"/>
      <c r="BS128" s="3019"/>
      <c r="BT128" s="3019"/>
      <c r="BU128" s="3050"/>
    </row>
    <row r="129" spans="1:73" x14ac:dyDescent="0.25">
      <c r="A129" s="2018"/>
      <c r="B129" s="1997"/>
      <c r="C129" s="1984"/>
      <c r="D129" s="1982"/>
      <c r="G129" s="4084"/>
      <c r="H129" s="4239"/>
      <c r="I129" s="4084"/>
      <c r="J129" s="4239"/>
      <c r="K129" s="4084"/>
      <c r="L129" s="4242"/>
      <c r="M129" s="4084"/>
      <c r="N129" s="4242"/>
      <c r="O129" s="4201"/>
      <c r="P129" s="4128"/>
      <c r="Q129" s="2511"/>
      <c r="R129" s="3214"/>
      <c r="S129" s="4218"/>
      <c r="T129" s="4176"/>
      <c r="U129" s="2771"/>
      <c r="V129" s="2930"/>
      <c r="W129" s="4220"/>
      <c r="X129" s="801">
        <v>356954983</v>
      </c>
      <c r="Y129" s="801">
        <v>356954983</v>
      </c>
      <c r="Z129" s="801">
        <v>356954983</v>
      </c>
      <c r="AA129" s="1989" t="s">
        <v>1032</v>
      </c>
      <c r="AB129" s="4223"/>
      <c r="AC129" s="4119"/>
      <c r="AD129" s="4106"/>
      <c r="AE129" s="4106"/>
      <c r="AF129" s="4106"/>
      <c r="AG129" s="4106"/>
      <c r="AH129" s="4106"/>
      <c r="AI129" s="4106"/>
      <c r="AJ129" s="4106"/>
      <c r="AK129" s="4106"/>
      <c r="AL129" s="4106"/>
      <c r="AM129" s="4106"/>
      <c r="AN129" s="4106"/>
      <c r="AO129" s="4106"/>
      <c r="AP129" s="4106"/>
      <c r="AQ129" s="4106"/>
      <c r="AR129" s="4106"/>
      <c r="AS129" s="4106"/>
      <c r="AT129" s="4106"/>
      <c r="AU129" s="4106"/>
      <c r="AV129" s="4106"/>
      <c r="AW129" s="4106"/>
      <c r="AX129" s="4106"/>
      <c r="AY129" s="4106"/>
      <c r="AZ129" s="4106"/>
      <c r="BA129" s="4106"/>
      <c r="BB129" s="4106"/>
      <c r="BC129" s="4106"/>
      <c r="BD129" s="4106"/>
      <c r="BE129" s="4106"/>
      <c r="BF129" s="4106"/>
      <c r="BG129" s="4106"/>
      <c r="BH129" s="4106"/>
      <c r="BI129" s="4106"/>
      <c r="BJ129" s="4100"/>
      <c r="BK129" s="4100"/>
      <c r="BL129" s="4100"/>
      <c r="BM129" s="4103"/>
      <c r="BN129" s="4100"/>
      <c r="BO129" s="4100"/>
      <c r="BP129" s="3075"/>
      <c r="BQ129" s="3019"/>
      <c r="BR129" s="3019"/>
      <c r="BS129" s="3019"/>
      <c r="BT129" s="3019"/>
      <c r="BU129" s="3050"/>
    </row>
    <row r="130" spans="1:73" x14ac:dyDescent="0.25">
      <c r="A130" s="2018"/>
      <c r="B130" s="1997"/>
      <c r="C130" s="1984"/>
      <c r="D130" s="1982"/>
      <c r="G130" s="4084"/>
      <c r="H130" s="4239"/>
      <c r="I130" s="4084"/>
      <c r="J130" s="4239"/>
      <c r="K130" s="4084"/>
      <c r="L130" s="4242"/>
      <c r="M130" s="4084"/>
      <c r="N130" s="4242"/>
      <c r="O130" s="4201"/>
      <c r="P130" s="4128"/>
      <c r="Q130" s="2511"/>
      <c r="R130" s="3214"/>
      <c r="S130" s="4218"/>
      <c r="T130" s="4176"/>
      <c r="U130" s="2771"/>
      <c r="V130" s="2930"/>
      <c r="W130" s="4220"/>
      <c r="X130" s="801">
        <v>199898397</v>
      </c>
      <c r="Y130" s="801">
        <v>199898397</v>
      </c>
      <c r="Z130" s="801">
        <v>199898397</v>
      </c>
      <c r="AA130" s="1989" t="s">
        <v>1033</v>
      </c>
      <c r="AB130" s="4223"/>
      <c r="AC130" s="4119"/>
      <c r="AD130" s="4106"/>
      <c r="AE130" s="4106"/>
      <c r="AF130" s="4106"/>
      <c r="AG130" s="4106"/>
      <c r="AH130" s="4106"/>
      <c r="AI130" s="4106"/>
      <c r="AJ130" s="4106"/>
      <c r="AK130" s="4106"/>
      <c r="AL130" s="4106"/>
      <c r="AM130" s="4106"/>
      <c r="AN130" s="4106"/>
      <c r="AO130" s="4106"/>
      <c r="AP130" s="4106"/>
      <c r="AQ130" s="4106"/>
      <c r="AR130" s="4106"/>
      <c r="AS130" s="4106"/>
      <c r="AT130" s="4106"/>
      <c r="AU130" s="4106"/>
      <c r="AV130" s="4106"/>
      <c r="AW130" s="4106"/>
      <c r="AX130" s="4106"/>
      <c r="AY130" s="4106"/>
      <c r="AZ130" s="4106"/>
      <c r="BA130" s="4106"/>
      <c r="BB130" s="4106"/>
      <c r="BC130" s="4106"/>
      <c r="BD130" s="4106"/>
      <c r="BE130" s="4106"/>
      <c r="BF130" s="4106"/>
      <c r="BG130" s="4106"/>
      <c r="BH130" s="4106"/>
      <c r="BI130" s="4106"/>
      <c r="BJ130" s="4100"/>
      <c r="BK130" s="4100"/>
      <c r="BL130" s="4100"/>
      <c r="BM130" s="4103"/>
      <c r="BN130" s="4100"/>
      <c r="BO130" s="4100"/>
      <c r="BP130" s="3075"/>
      <c r="BQ130" s="3019"/>
      <c r="BR130" s="3019"/>
      <c r="BS130" s="3019"/>
      <c r="BT130" s="3019"/>
      <c r="BU130" s="3050"/>
    </row>
    <row r="131" spans="1:73" x14ac:dyDescent="0.25">
      <c r="A131" s="2018"/>
      <c r="B131" s="1997"/>
      <c r="C131" s="1984"/>
      <c r="D131" s="1982"/>
      <c r="G131" s="4084"/>
      <c r="H131" s="4239"/>
      <c r="I131" s="4084"/>
      <c r="J131" s="4239"/>
      <c r="K131" s="4084"/>
      <c r="L131" s="4242"/>
      <c r="M131" s="4084"/>
      <c r="N131" s="4242"/>
      <c r="O131" s="4201"/>
      <c r="P131" s="4128"/>
      <c r="Q131" s="2511"/>
      <c r="R131" s="3214"/>
      <c r="S131" s="4218"/>
      <c r="T131" s="4176"/>
      <c r="U131" s="2771"/>
      <c r="V131" s="2930"/>
      <c r="W131" s="4220"/>
      <c r="X131" s="801">
        <v>1038275400</v>
      </c>
      <c r="Y131" s="801">
        <v>1038275400</v>
      </c>
      <c r="Z131" s="801">
        <v>1038275400</v>
      </c>
      <c r="AA131" s="1989" t="s">
        <v>1034</v>
      </c>
      <c r="AB131" s="4223"/>
      <c r="AC131" s="4119"/>
      <c r="AD131" s="4106"/>
      <c r="AE131" s="4106"/>
      <c r="AF131" s="4106"/>
      <c r="AG131" s="4106"/>
      <c r="AH131" s="4106"/>
      <c r="AI131" s="4106"/>
      <c r="AJ131" s="4106"/>
      <c r="AK131" s="4106"/>
      <c r="AL131" s="4106"/>
      <c r="AM131" s="4106"/>
      <c r="AN131" s="4106"/>
      <c r="AO131" s="4106"/>
      <c r="AP131" s="4106"/>
      <c r="AQ131" s="4106"/>
      <c r="AR131" s="4106"/>
      <c r="AS131" s="4106"/>
      <c r="AT131" s="4106"/>
      <c r="AU131" s="4106"/>
      <c r="AV131" s="4106"/>
      <c r="AW131" s="4106"/>
      <c r="AX131" s="4106"/>
      <c r="AY131" s="4106"/>
      <c r="AZ131" s="4106"/>
      <c r="BA131" s="4106"/>
      <c r="BB131" s="4106"/>
      <c r="BC131" s="4106"/>
      <c r="BD131" s="4106"/>
      <c r="BE131" s="4106"/>
      <c r="BF131" s="4106"/>
      <c r="BG131" s="4106"/>
      <c r="BH131" s="4106"/>
      <c r="BI131" s="4106"/>
      <c r="BJ131" s="4100"/>
      <c r="BK131" s="4100"/>
      <c r="BL131" s="4100"/>
      <c r="BM131" s="4103"/>
      <c r="BN131" s="4100"/>
      <c r="BO131" s="4100"/>
      <c r="BP131" s="3075"/>
      <c r="BQ131" s="3019"/>
      <c r="BR131" s="3019"/>
      <c r="BS131" s="3019"/>
      <c r="BT131" s="3019"/>
      <c r="BU131" s="3050"/>
    </row>
    <row r="132" spans="1:73" x14ac:dyDescent="0.25">
      <c r="A132" s="2018"/>
      <c r="B132" s="1997"/>
      <c r="C132" s="1984"/>
      <c r="D132" s="1982"/>
      <c r="G132" s="4084"/>
      <c r="H132" s="4239"/>
      <c r="I132" s="4084"/>
      <c r="J132" s="4239"/>
      <c r="K132" s="4084"/>
      <c r="L132" s="4242"/>
      <c r="M132" s="4084"/>
      <c r="N132" s="4242"/>
      <c r="O132" s="4201"/>
      <c r="P132" s="4128"/>
      <c r="Q132" s="2511"/>
      <c r="R132" s="3214"/>
      <c r="S132" s="4218"/>
      <c r="T132" s="4176"/>
      <c r="U132" s="2771"/>
      <c r="V132" s="2930"/>
      <c r="W132" s="4220"/>
      <c r="X132" s="801">
        <v>739875100</v>
      </c>
      <c r="Y132" s="801">
        <v>739875100</v>
      </c>
      <c r="Z132" s="801">
        <v>739875100</v>
      </c>
      <c r="AA132" s="1989" t="s">
        <v>1035</v>
      </c>
      <c r="AB132" s="4223"/>
      <c r="AC132" s="4119"/>
      <c r="AD132" s="4106"/>
      <c r="AE132" s="4106"/>
      <c r="AF132" s="4106"/>
      <c r="AG132" s="4106"/>
      <c r="AH132" s="4106"/>
      <c r="AI132" s="4106"/>
      <c r="AJ132" s="4106"/>
      <c r="AK132" s="4106"/>
      <c r="AL132" s="4106"/>
      <c r="AM132" s="4106"/>
      <c r="AN132" s="4106"/>
      <c r="AO132" s="4106"/>
      <c r="AP132" s="4106"/>
      <c r="AQ132" s="4106"/>
      <c r="AR132" s="4106"/>
      <c r="AS132" s="4106"/>
      <c r="AT132" s="4106"/>
      <c r="AU132" s="4106"/>
      <c r="AV132" s="4106"/>
      <c r="AW132" s="4106"/>
      <c r="AX132" s="4106"/>
      <c r="AY132" s="4106"/>
      <c r="AZ132" s="4106"/>
      <c r="BA132" s="4106"/>
      <c r="BB132" s="4106"/>
      <c r="BC132" s="4106"/>
      <c r="BD132" s="4106"/>
      <c r="BE132" s="4106"/>
      <c r="BF132" s="4106"/>
      <c r="BG132" s="4106"/>
      <c r="BH132" s="4106"/>
      <c r="BI132" s="4106"/>
      <c r="BJ132" s="4100"/>
      <c r="BK132" s="4100"/>
      <c r="BL132" s="4100"/>
      <c r="BM132" s="4103"/>
      <c r="BN132" s="4100"/>
      <c r="BO132" s="4100"/>
      <c r="BP132" s="3075"/>
      <c r="BQ132" s="3019"/>
      <c r="BR132" s="3019"/>
      <c r="BS132" s="3019"/>
      <c r="BT132" s="3019"/>
      <c r="BU132" s="3050"/>
    </row>
    <row r="133" spans="1:73" x14ac:dyDescent="0.25">
      <c r="A133" s="2018"/>
      <c r="B133" s="1997"/>
      <c r="C133" s="1984"/>
      <c r="D133" s="1982"/>
      <c r="G133" s="4084"/>
      <c r="H133" s="4239"/>
      <c r="I133" s="4084"/>
      <c r="J133" s="4239"/>
      <c r="K133" s="4084"/>
      <c r="L133" s="4242"/>
      <c r="M133" s="4084"/>
      <c r="N133" s="4242"/>
      <c r="O133" s="4201"/>
      <c r="P133" s="4128"/>
      <c r="Q133" s="2511"/>
      <c r="R133" s="3214"/>
      <c r="S133" s="4218"/>
      <c r="T133" s="4176"/>
      <c r="U133" s="2771"/>
      <c r="V133" s="2930"/>
      <c r="W133" s="4220"/>
      <c r="X133" s="801">
        <v>2048104876</v>
      </c>
      <c r="Y133" s="801">
        <v>2048104876</v>
      </c>
      <c r="Z133" s="801">
        <v>2048104876</v>
      </c>
      <c r="AA133" s="1989" t="s">
        <v>1036</v>
      </c>
      <c r="AB133" s="4223"/>
      <c r="AC133" s="4119"/>
      <c r="AD133" s="4106"/>
      <c r="AE133" s="4106"/>
      <c r="AF133" s="4106"/>
      <c r="AG133" s="4106"/>
      <c r="AH133" s="4106"/>
      <c r="AI133" s="4106"/>
      <c r="AJ133" s="4106"/>
      <c r="AK133" s="4106"/>
      <c r="AL133" s="4106"/>
      <c r="AM133" s="4106"/>
      <c r="AN133" s="4106"/>
      <c r="AO133" s="4106"/>
      <c r="AP133" s="4106"/>
      <c r="AQ133" s="4106"/>
      <c r="AR133" s="4106"/>
      <c r="AS133" s="4106"/>
      <c r="AT133" s="4106"/>
      <c r="AU133" s="4106"/>
      <c r="AV133" s="4106"/>
      <c r="AW133" s="4106"/>
      <c r="AX133" s="4106"/>
      <c r="AY133" s="4106"/>
      <c r="AZ133" s="4106"/>
      <c r="BA133" s="4106"/>
      <c r="BB133" s="4106"/>
      <c r="BC133" s="4106"/>
      <c r="BD133" s="4106"/>
      <c r="BE133" s="4106"/>
      <c r="BF133" s="4106"/>
      <c r="BG133" s="4106"/>
      <c r="BH133" s="4106"/>
      <c r="BI133" s="4106"/>
      <c r="BJ133" s="4100"/>
      <c r="BK133" s="4100"/>
      <c r="BL133" s="4100"/>
      <c r="BM133" s="4103"/>
      <c r="BN133" s="4100"/>
      <c r="BO133" s="4100"/>
      <c r="BP133" s="3075"/>
      <c r="BQ133" s="3019"/>
      <c r="BR133" s="3019"/>
      <c r="BS133" s="3019"/>
      <c r="BT133" s="3019"/>
      <c r="BU133" s="3050"/>
    </row>
    <row r="134" spans="1:73" x14ac:dyDescent="0.25">
      <c r="A134" s="2018"/>
      <c r="B134" s="1997"/>
      <c r="C134" s="1984"/>
      <c r="D134" s="1982"/>
      <c r="G134" s="4084"/>
      <c r="H134" s="4239"/>
      <c r="I134" s="4084"/>
      <c r="J134" s="4239"/>
      <c r="K134" s="4084"/>
      <c r="L134" s="4242"/>
      <c r="M134" s="4084"/>
      <c r="N134" s="4242"/>
      <c r="O134" s="4201"/>
      <c r="P134" s="4128"/>
      <c r="Q134" s="2511"/>
      <c r="R134" s="3214"/>
      <c r="S134" s="4218"/>
      <c r="T134" s="4176"/>
      <c r="U134" s="2771"/>
      <c r="V134" s="2930"/>
      <c r="W134" s="4220"/>
      <c r="X134" s="801">
        <v>383473600</v>
      </c>
      <c r="Y134" s="801">
        <v>383473600</v>
      </c>
      <c r="Z134" s="801">
        <v>383473600</v>
      </c>
      <c r="AA134" s="1989" t="s">
        <v>1037</v>
      </c>
      <c r="AB134" s="4223"/>
      <c r="AC134" s="4119"/>
      <c r="AD134" s="4106"/>
      <c r="AE134" s="4106"/>
      <c r="AF134" s="4106"/>
      <c r="AG134" s="4106"/>
      <c r="AH134" s="4106"/>
      <c r="AI134" s="4106"/>
      <c r="AJ134" s="4106"/>
      <c r="AK134" s="4106"/>
      <c r="AL134" s="4106"/>
      <c r="AM134" s="4106"/>
      <c r="AN134" s="4106"/>
      <c r="AO134" s="4106"/>
      <c r="AP134" s="4106"/>
      <c r="AQ134" s="4106"/>
      <c r="AR134" s="4106"/>
      <c r="AS134" s="4106"/>
      <c r="AT134" s="4106"/>
      <c r="AU134" s="4106"/>
      <c r="AV134" s="4106"/>
      <c r="AW134" s="4106"/>
      <c r="AX134" s="4106"/>
      <c r="AY134" s="4106"/>
      <c r="AZ134" s="4106"/>
      <c r="BA134" s="4106"/>
      <c r="BB134" s="4106"/>
      <c r="BC134" s="4106"/>
      <c r="BD134" s="4106"/>
      <c r="BE134" s="4106"/>
      <c r="BF134" s="4106"/>
      <c r="BG134" s="4106"/>
      <c r="BH134" s="4106"/>
      <c r="BI134" s="4106"/>
      <c r="BJ134" s="4100"/>
      <c r="BK134" s="4100"/>
      <c r="BL134" s="4100"/>
      <c r="BM134" s="4103"/>
      <c r="BN134" s="4100"/>
      <c r="BO134" s="4100"/>
      <c r="BP134" s="3075"/>
      <c r="BQ134" s="3019"/>
      <c r="BR134" s="3019"/>
      <c r="BS134" s="3019"/>
      <c r="BT134" s="3019"/>
      <c r="BU134" s="3050"/>
    </row>
    <row r="135" spans="1:73" x14ac:dyDescent="0.25">
      <c r="A135" s="2018"/>
      <c r="B135" s="1997"/>
      <c r="C135" s="1984"/>
      <c r="D135" s="1982"/>
      <c r="G135" s="4084"/>
      <c r="H135" s="4239"/>
      <c r="I135" s="4084"/>
      <c r="J135" s="4239"/>
      <c r="K135" s="4084"/>
      <c r="L135" s="4242"/>
      <c r="M135" s="4084"/>
      <c r="N135" s="4242"/>
      <c r="O135" s="4201"/>
      <c r="P135" s="4128"/>
      <c r="Q135" s="2511"/>
      <c r="R135" s="3214"/>
      <c r="S135" s="4218"/>
      <c r="T135" s="4176"/>
      <c r="U135" s="2771"/>
      <c r="V135" s="2930"/>
      <c r="W135" s="4220"/>
      <c r="X135" s="801">
        <v>42604800</v>
      </c>
      <c r="Y135" s="801">
        <v>42604800</v>
      </c>
      <c r="Z135" s="801">
        <v>42604800</v>
      </c>
      <c r="AA135" s="1989" t="s">
        <v>1038</v>
      </c>
      <c r="AB135" s="4223"/>
      <c r="AC135" s="4119"/>
      <c r="AD135" s="4106"/>
      <c r="AE135" s="4106"/>
      <c r="AF135" s="4106"/>
      <c r="AG135" s="4106"/>
      <c r="AH135" s="4106"/>
      <c r="AI135" s="4106"/>
      <c r="AJ135" s="4106"/>
      <c r="AK135" s="4106"/>
      <c r="AL135" s="4106"/>
      <c r="AM135" s="4106"/>
      <c r="AN135" s="4106"/>
      <c r="AO135" s="4106"/>
      <c r="AP135" s="4106"/>
      <c r="AQ135" s="4106"/>
      <c r="AR135" s="4106"/>
      <c r="AS135" s="4106"/>
      <c r="AT135" s="4106"/>
      <c r="AU135" s="4106"/>
      <c r="AV135" s="4106"/>
      <c r="AW135" s="4106"/>
      <c r="AX135" s="4106"/>
      <c r="AY135" s="4106"/>
      <c r="AZ135" s="4106"/>
      <c r="BA135" s="4106"/>
      <c r="BB135" s="4106"/>
      <c r="BC135" s="4106"/>
      <c r="BD135" s="4106"/>
      <c r="BE135" s="4106"/>
      <c r="BF135" s="4106"/>
      <c r="BG135" s="4106"/>
      <c r="BH135" s="4106"/>
      <c r="BI135" s="4106"/>
      <c r="BJ135" s="4100"/>
      <c r="BK135" s="4100"/>
      <c r="BL135" s="4100"/>
      <c r="BM135" s="4103"/>
      <c r="BN135" s="4100"/>
      <c r="BO135" s="4100"/>
      <c r="BP135" s="3075"/>
      <c r="BQ135" s="3019"/>
      <c r="BR135" s="3019"/>
      <c r="BS135" s="3019"/>
      <c r="BT135" s="3019"/>
      <c r="BU135" s="3050"/>
    </row>
    <row r="136" spans="1:73" x14ac:dyDescent="0.25">
      <c r="A136" s="2018"/>
      <c r="B136" s="1997"/>
      <c r="C136" s="1984"/>
      <c r="D136" s="1982"/>
      <c r="G136" s="4084"/>
      <c r="H136" s="4239"/>
      <c r="I136" s="4084"/>
      <c r="J136" s="4239"/>
      <c r="K136" s="4084"/>
      <c r="L136" s="4242"/>
      <c r="M136" s="4084"/>
      <c r="N136" s="4242"/>
      <c r="O136" s="4201"/>
      <c r="P136" s="4128"/>
      <c r="Q136" s="2511"/>
      <c r="R136" s="3214"/>
      <c r="S136" s="4218"/>
      <c r="T136" s="4176"/>
      <c r="U136" s="2771"/>
      <c r="V136" s="2930"/>
      <c r="W136" s="4220"/>
      <c r="X136" s="801">
        <v>287612700</v>
      </c>
      <c r="Y136" s="801">
        <v>287612700</v>
      </c>
      <c r="Z136" s="801">
        <v>287612700</v>
      </c>
      <c r="AA136" s="1989" t="s">
        <v>1039</v>
      </c>
      <c r="AB136" s="4223"/>
      <c r="AC136" s="4119"/>
      <c r="AD136" s="4106"/>
      <c r="AE136" s="4106"/>
      <c r="AF136" s="4106"/>
      <c r="AG136" s="4106"/>
      <c r="AH136" s="4106"/>
      <c r="AI136" s="4106"/>
      <c r="AJ136" s="4106"/>
      <c r="AK136" s="4106"/>
      <c r="AL136" s="4106"/>
      <c r="AM136" s="4106"/>
      <c r="AN136" s="4106"/>
      <c r="AO136" s="4106"/>
      <c r="AP136" s="4106"/>
      <c r="AQ136" s="4106"/>
      <c r="AR136" s="4106"/>
      <c r="AS136" s="4106"/>
      <c r="AT136" s="4106"/>
      <c r="AU136" s="4106"/>
      <c r="AV136" s="4106"/>
      <c r="AW136" s="4106"/>
      <c r="AX136" s="4106"/>
      <c r="AY136" s="4106"/>
      <c r="AZ136" s="4106"/>
      <c r="BA136" s="4106"/>
      <c r="BB136" s="4106"/>
      <c r="BC136" s="4106"/>
      <c r="BD136" s="4106"/>
      <c r="BE136" s="4106"/>
      <c r="BF136" s="4106"/>
      <c r="BG136" s="4106"/>
      <c r="BH136" s="4106"/>
      <c r="BI136" s="4106"/>
      <c r="BJ136" s="4100"/>
      <c r="BK136" s="4100"/>
      <c r="BL136" s="4100"/>
      <c r="BM136" s="4103"/>
      <c r="BN136" s="4100"/>
      <c r="BO136" s="4100"/>
      <c r="BP136" s="3075"/>
      <c r="BQ136" s="3019"/>
      <c r="BR136" s="3019"/>
      <c r="BS136" s="3019"/>
      <c r="BT136" s="3019"/>
      <c r="BU136" s="3050"/>
    </row>
    <row r="137" spans="1:73" x14ac:dyDescent="0.25">
      <c r="A137" s="2018"/>
      <c r="B137" s="1997"/>
      <c r="C137" s="1984"/>
      <c r="D137" s="1982"/>
      <c r="G137" s="4084"/>
      <c r="H137" s="4239"/>
      <c r="I137" s="4084"/>
      <c r="J137" s="4239"/>
      <c r="K137" s="4084"/>
      <c r="L137" s="4242"/>
      <c r="M137" s="4084"/>
      <c r="N137" s="4242"/>
      <c r="O137" s="4201"/>
      <c r="P137" s="4128"/>
      <c r="Q137" s="2511"/>
      <c r="R137" s="3214"/>
      <c r="S137" s="4218"/>
      <c r="T137" s="4176"/>
      <c r="U137" s="2771"/>
      <c r="V137" s="2930"/>
      <c r="W137" s="4220"/>
      <c r="X137" s="801">
        <v>48050800</v>
      </c>
      <c r="Y137" s="801">
        <v>48050800</v>
      </c>
      <c r="Z137" s="801">
        <v>48050800</v>
      </c>
      <c r="AA137" s="1989" t="s">
        <v>1040</v>
      </c>
      <c r="AB137" s="4223"/>
      <c r="AC137" s="4119"/>
      <c r="AD137" s="4106"/>
      <c r="AE137" s="4106"/>
      <c r="AF137" s="4106"/>
      <c r="AG137" s="4106"/>
      <c r="AH137" s="4106"/>
      <c r="AI137" s="4106"/>
      <c r="AJ137" s="4106"/>
      <c r="AK137" s="4106"/>
      <c r="AL137" s="4106"/>
      <c r="AM137" s="4106"/>
      <c r="AN137" s="4106"/>
      <c r="AO137" s="4106"/>
      <c r="AP137" s="4106"/>
      <c r="AQ137" s="4106"/>
      <c r="AR137" s="4106"/>
      <c r="AS137" s="4106"/>
      <c r="AT137" s="4106"/>
      <c r="AU137" s="4106"/>
      <c r="AV137" s="4106"/>
      <c r="AW137" s="4106"/>
      <c r="AX137" s="4106"/>
      <c r="AY137" s="4106"/>
      <c r="AZ137" s="4106"/>
      <c r="BA137" s="4106"/>
      <c r="BB137" s="4106"/>
      <c r="BC137" s="4106"/>
      <c r="BD137" s="4106"/>
      <c r="BE137" s="4106"/>
      <c r="BF137" s="4106"/>
      <c r="BG137" s="4106"/>
      <c r="BH137" s="4106"/>
      <c r="BI137" s="4106"/>
      <c r="BJ137" s="4100"/>
      <c r="BK137" s="4100"/>
      <c r="BL137" s="4100"/>
      <c r="BM137" s="4103"/>
      <c r="BN137" s="4100"/>
      <c r="BO137" s="4100"/>
      <c r="BP137" s="3075"/>
      <c r="BQ137" s="3019"/>
      <c r="BR137" s="3019"/>
      <c r="BS137" s="3019"/>
      <c r="BT137" s="3019"/>
      <c r="BU137" s="3050"/>
    </row>
    <row r="138" spans="1:73" x14ac:dyDescent="0.25">
      <c r="A138" s="2018"/>
      <c r="B138" s="1997"/>
      <c r="C138" s="1984"/>
      <c r="D138" s="1982"/>
      <c r="G138" s="4084"/>
      <c r="H138" s="4239"/>
      <c r="I138" s="4084"/>
      <c r="J138" s="4239"/>
      <c r="K138" s="4084"/>
      <c r="L138" s="4242"/>
      <c r="M138" s="4084"/>
      <c r="N138" s="4242"/>
      <c r="O138" s="4201"/>
      <c r="P138" s="4128"/>
      <c r="Q138" s="2511"/>
      <c r="R138" s="3214"/>
      <c r="S138" s="4218"/>
      <c r="T138" s="4176"/>
      <c r="U138" s="2771"/>
      <c r="V138" s="2930"/>
      <c r="W138" s="4220"/>
      <c r="X138" s="801">
        <v>48052300</v>
      </c>
      <c r="Y138" s="801">
        <v>48052300</v>
      </c>
      <c r="Z138" s="801">
        <v>48052300</v>
      </c>
      <c r="AA138" s="1989" t="s">
        <v>1041</v>
      </c>
      <c r="AB138" s="4223"/>
      <c r="AC138" s="4119"/>
      <c r="AD138" s="4106"/>
      <c r="AE138" s="4106"/>
      <c r="AF138" s="4106"/>
      <c r="AG138" s="4106"/>
      <c r="AH138" s="4106"/>
      <c r="AI138" s="4106"/>
      <c r="AJ138" s="4106"/>
      <c r="AK138" s="4106"/>
      <c r="AL138" s="4106"/>
      <c r="AM138" s="4106"/>
      <c r="AN138" s="4106"/>
      <c r="AO138" s="4106"/>
      <c r="AP138" s="4106"/>
      <c r="AQ138" s="4106"/>
      <c r="AR138" s="4106"/>
      <c r="AS138" s="4106"/>
      <c r="AT138" s="4106"/>
      <c r="AU138" s="4106"/>
      <c r="AV138" s="4106"/>
      <c r="AW138" s="4106"/>
      <c r="AX138" s="4106"/>
      <c r="AY138" s="4106"/>
      <c r="AZ138" s="4106"/>
      <c r="BA138" s="4106"/>
      <c r="BB138" s="4106"/>
      <c r="BC138" s="4106"/>
      <c r="BD138" s="4106"/>
      <c r="BE138" s="4106"/>
      <c r="BF138" s="4106"/>
      <c r="BG138" s="4106"/>
      <c r="BH138" s="4106"/>
      <c r="BI138" s="4106"/>
      <c r="BJ138" s="4100"/>
      <c r="BK138" s="4100"/>
      <c r="BL138" s="4100"/>
      <c r="BM138" s="4103"/>
      <c r="BN138" s="4100"/>
      <c r="BO138" s="4100"/>
      <c r="BP138" s="3075"/>
      <c r="BQ138" s="3019"/>
      <c r="BR138" s="3019"/>
      <c r="BS138" s="3019"/>
      <c r="BT138" s="3019"/>
      <c r="BU138" s="3050"/>
    </row>
    <row r="139" spans="1:73" x14ac:dyDescent="0.25">
      <c r="A139" s="2018"/>
      <c r="B139" s="1997"/>
      <c r="C139" s="1984"/>
      <c r="D139" s="1982"/>
      <c r="G139" s="4084"/>
      <c r="H139" s="4239"/>
      <c r="I139" s="4084"/>
      <c r="J139" s="4239"/>
      <c r="K139" s="4084"/>
      <c r="L139" s="4242"/>
      <c r="M139" s="4084"/>
      <c r="N139" s="4242"/>
      <c r="O139" s="4201"/>
      <c r="P139" s="4128"/>
      <c r="Q139" s="2511"/>
      <c r="R139" s="3214"/>
      <c r="S139" s="4218"/>
      <c r="T139" s="4176"/>
      <c r="U139" s="2771"/>
      <c r="V139" s="2930"/>
      <c r="W139" s="4220"/>
      <c r="X139" s="801">
        <v>95969700</v>
      </c>
      <c r="Y139" s="801">
        <v>95969700</v>
      </c>
      <c r="Z139" s="801">
        <v>95969700</v>
      </c>
      <c r="AA139" s="1989" t="s">
        <v>1042</v>
      </c>
      <c r="AB139" s="4223"/>
      <c r="AC139" s="4119"/>
      <c r="AD139" s="4106"/>
      <c r="AE139" s="4106"/>
      <c r="AF139" s="4106"/>
      <c r="AG139" s="4106"/>
      <c r="AH139" s="4106"/>
      <c r="AI139" s="4106"/>
      <c r="AJ139" s="4106"/>
      <c r="AK139" s="4106"/>
      <c r="AL139" s="4106"/>
      <c r="AM139" s="4106"/>
      <c r="AN139" s="4106"/>
      <c r="AO139" s="4106"/>
      <c r="AP139" s="4106"/>
      <c r="AQ139" s="4106"/>
      <c r="AR139" s="4106"/>
      <c r="AS139" s="4106"/>
      <c r="AT139" s="4106"/>
      <c r="AU139" s="4106"/>
      <c r="AV139" s="4106"/>
      <c r="AW139" s="4106"/>
      <c r="AX139" s="4106"/>
      <c r="AY139" s="4106"/>
      <c r="AZ139" s="4106"/>
      <c r="BA139" s="4106"/>
      <c r="BB139" s="4106"/>
      <c r="BC139" s="4106"/>
      <c r="BD139" s="4106"/>
      <c r="BE139" s="4106"/>
      <c r="BF139" s="4106"/>
      <c r="BG139" s="4106"/>
      <c r="BH139" s="4106"/>
      <c r="BI139" s="4106"/>
      <c r="BJ139" s="4100"/>
      <c r="BK139" s="4100"/>
      <c r="BL139" s="4100"/>
      <c r="BM139" s="4103"/>
      <c r="BN139" s="4100"/>
      <c r="BO139" s="4100"/>
      <c r="BP139" s="3075"/>
      <c r="BQ139" s="3019"/>
      <c r="BR139" s="3019"/>
      <c r="BS139" s="3019"/>
      <c r="BT139" s="3019"/>
      <c r="BU139" s="3050"/>
    </row>
    <row r="140" spans="1:73" x14ac:dyDescent="0.25">
      <c r="A140" s="2018"/>
      <c r="B140" s="1997"/>
      <c r="C140" s="1984"/>
      <c r="D140" s="1982"/>
      <c r="G140" s="4084"/>
      <c r="H140" s="4239"/>
      <c r="I140" s="4084"/>
      <c r="J140" s="4239"/>
      <c r="K140" s="4084"/>
      <c r="L140" s="4242"/>
      <c r="M140" s="4084"/>
      <c r="N140" s="4242"/>
      <c r="O140" s="4201"/>
      <c r="P140" s="4128"/>
      <c r="Q140" s="2511"/>
      <c r="R140" s="3214"/>
      <c r="S140" s="4218"/>
      <c r="T140" s="4176"/>
      <c r="U140" s="2771"/>
      <c r="V140" s="2930"/>
      <c r="W140" s="4220"/>
      <c r="X140" s="801">
        <v>0</v>
      </c>
      <c r="Y140" s="806">
        <v>0</v>
      </c>
      <c r="Z140" s="806">
        <v>0</v>
      </c>
      <c r="AA140" s="1989" t="s">
        <v>1043</v>
      </c>
      <c r="AB140" s="4223"/>
      <c r="AC140" s="4119"/>
      <c r="AD140" s="4106"/>
      <c r="AE140" s="4106"/>
      <c r="AF140" s="4106"/>
      <c r="AG140" s="4106"/>
      <c r="AH140" s="4106"/>
      <c r="AI140" s="4106"/>
      <c r="AJ140" s="4106"/>
      <c r="AK140" s="4106"/>
      <c r="AL140" s="4106"/>
      <c r="AM140" s="4106"/>
      <c r="AN140" s="4106"/>
      <c r="AO140" s="4106"/>
      <c r="AP140" s="4106"/>
      <c r="AQ140" s="4106"/>
      <c r="AR140" s="4106"/>
      <c r="AS140" s="4106"/>
      <c r="AT140" s="4106"/>
      <c r="AU140" s="4106"/>
      <c r="AV140" s="4106"/>
      <c r="AW140" s="4106"/>
      <c r="AX140" s="4106"/>
      <c r="AY140" s="4106"/>
      <c r="AZ140" s="4106"/>
      <c r="BA140" s="4106"/>
      <c r="BB140" s="4106"/>
      <c r="BC140" s="4106"/>
      <c r="BD140" s="4106"/>
      <c r="BE140" s="4106"/>
      <c r="BF140" s="4106"/>
      <c r="BG140" s="4106"/>
      <c r="BH140" s="4106"/>
      <c r="BI140" s="4106"/>
      <c r="BJ140" s="4100"/>
      <c r="BK140" s="4100"/>
      <c r="BL140" s="4100"/>
      <c r="BM140" s="4103"/>
      <c r="BN140" s="4100"/>
      <c r="BO140" s="4100"/>
      <c r="BP140" s="3075"/>
      <c r="BQ140" s="3019"/>
      <c r="BR140" s="3019"/>
      <c r="BS140" s="3019"/>
      <c r="BT140" s="3019"/>
      <c r="BU140" s="3050"/>
    </row>
    <row r="141" spans="1:73" x14ac:dyDescent="0.25">
      <c r="A141" s="2018"/>
      <c r="B141" s="1997"/>
      <c r="C141" s="1984"/>
      <c r="D141" s="1982"/>
      <c r="G141" s="4084"/>
      <c r="H141" s="4239"/>
      <c r="I141" s="4084"/>
      <c r="J141" s="4239"/>
      <c r="K141" s="4084"/>
      <c r="L141" s="4242"/>
      <c r="M141" s="4084"/>
      <c r="N141" s="4242"/>
      <c r="O141" s="4201"/>
      <c r="P141" s="4128"/>
      <c r="Q141" s="2511"/>
      <c r="R141" s="3214"/>
      <c r="S141" s="4218"/>
      <c r="T141" s="4176"/>
      <c r="U141" s="2771"/>
      <c r="V141" s="2930"/>
      <c r="W141" s="4220"/>
      <c r="X141" s="801">
        <v>44458438</v>
      </c>
      <c r="Y141" s="801">
        <v>44458438</v>
      </c>
      <c r="Z141" s="801">
        <v>44458438</v>
      </c>
      <c r="AA141" s="1989" t="s">
        <v>1044</v>
      </c>
      <c r="AB141" s="4223"/>
      <c r="AC141" s="4119"/>
      <c r="AD141" s="4106"/>
      <c r="AE141" s="4106"/>
      <c r="AF141" s="4106"/>
      <c r="AG141" s="4106"/>
      <c r="AH141" s="4106"/>
      <c r="AI141" s="4106"/>
      <c r="AJ141" s="4106"/>
      <c r="AK141" s="4106"/>
      <c r="AL141" s="4106"/>
      <c r="AM141" s="4106"/>
      <c r="AN141" s="4106"/>
      <c r="AO141" s="4106"/>
      <c r="AP141" s="4106"/>
      <c r="AQ141" s="4106"/>
      <c r="AR141" s="4106"/>
      <c r="AS141" s="4106"/>
      <c r="AT141" s="4106"/>
      <c r="AU141" s="4106"/>
      <c r="AV141" s="4106"/>
      <c r="AW141" s="4106"/>
      <c r="AX141" s="4106"/>
      <c r="AY141" s="4106"/>
      <c r="AZ141" s="4106"/>
      <c r="BA141" s="4106"/>
      <c r="BB141" s="4106"/>
      <c r="BC141" s="4106"/>
      <c r="BD141" s="4106"/>
      <c r="BE141" s="4106"/>
      <c r="BF141" s="4106"/>
      <c r="BG141" s="4106"/>
      <c r="BH141" s="4106"/>
      <c r="BI141" s="4106"/>
      <c r="BJ141" s="4100"/>
      <c r="BK141" s="4100"/>
      <c r="BL141" s="4100"/>
      <c r="BM141" s="4103"/>
      <c r="BN141" s="4100"/>
      <c r="BO141" s="4100"/>
      <c r="BP141" s="3075"/>
      <c r="BQ141" s="3019"/>
      <c r="BR141" s="3019"/>
      <c r="BS141" s="3019"/>
      <c r="BT141" s="3019"/>
      <c r="BU141" s="3050"/>
    </row>
    <row r="142" spans="1:73" ht="30" customHeight="1" x14ac:dyDescent="0.25">
      <c r="A142" s="2018"/>
      <c r="B142" s="1997"/>
      <c r="C142" s="1984"/>
      <c r="D142" s="1982"/>
      <c r="G142" s="4084"/>
      <c r="H142" s="4239"/>
      <c r="I142" s="4084"/>
      <c r="J142" s="4239"/>
      <c r="K142" s="4084"/>
      <c r="L142" s="4242"/>
      <c r="M142" s="4084"/>
      <c r="N142" s="4242"/>
      <c r="O142" s="4201"/>
      <c r="P142" s="4128"/>
      <c r="Q142" s="2511"/>
      <c r="R142" s="3214"/>
      <c r="S142" s="4218"/>
      <c r="T142" s="4176"/>
      <c r="U142" s="2771"/>
      <c r="V142" s="2930"/>
      <c r="W142" s="4220"/>
      <c r="X142" s="801">
        <v>120654948</v>
      </c>
      <c r="Y142" s="801">
        <v>120654948</v>
      </c>
      <c r="Z142" s="801">
        <v>120654948</v>
      </c>
      <c r="AA142" s="1989" t="s">
        <v>1045</v>
      </c>
      <c r="AB142" s="4223"/>
      <c r="AC142" s="4119"/>
      <c r="AD142" s="4106"/>
      <c r="AE142" s="4106"/>
      <c r="AF142" s="4106"/>
      <c r="AG142" s="4106"/>
      <c r="AH142" s="4106"/>
      <c r="AI142" s="4106"/>
      <c r="AJ142" s="4106"/>
      <c r="AK142" s="4106"/>
      <c r="AL142" s="4106"/>
      <c r="AM142" s="4106"/>
      <c r="AN142" s="4106"/>
      <c r="AO142" s="4106"/>
      <c r="AP142" s="4106"/>
      <c r="AQ142" s="4106"/>
      <c r="AR142" s="4106"/>
      <c r="AS142" s="4106"/>
      <c r="AT142" s="4106"/>
      <c r="AU142" s="4106"/>
      <c r="AV142" s="4106"/>
      <c r="AW142" s="4106"/>
      <c r="AX142" s="4106"/>
      <c r="AY142" s="4106"/>
      <c r="AZ142" s="4106"/>
      <c r="BA142" s="4106"/>
      <c r="BB142" s="4106"/>
      <c r="BC142" s="4106"/>
      <c r="BD142" s="4106"/>
      <c r="BE142" s="4106"/>
      <c r="BF142" s="4106"/>
      <c r="BG142" s="4106"/>
      <c r="BH142" s="4106"/>
      <c r="BI142" s="4106"/>
      <c r="BJ142" s="4100"/>
      <c r="BK142" s="4100"/>
      <c r="BL142" s="4100"/>
      <c r="BM142" s="4103"/>
      <c r="BN142" s="4100"/>
      <c r="BO142" s="4100"/>
      <c r="BP142" s="3075"/>
      <c r="BQ142" s="3019"/>
      <c r="BR142" s="3019"/>
      <c r="BS142" s="3019"/>
      <c r="BT142" s="3019"/>
      <c r="BU142" s="3050"/>
    </row>
    <row r="143" spans="1:73" x14ac:dyDescent="0.25">
      <c r="A143" s="2018"/>
      <c r="B143" s="1997"/>
      <c r="C143" s="1984"/>
      <c r="D143" s="1982"/>
      <c r="G143" s="4084"/>
      <c r="H143" s="4239"/>
      <c r="I143" s="4084"/>
      <c r="J143" s="4239"/>
      <c r="K143" s="4084"/>
      <c r="L143" s="4242"/>
      <c r="M143" s="4084"/>
      <c r="N143" s="4242"/>
      <c r="O143" s="4201"/>
      <c r="P143" s="4128"/>
      <c r="Q143" s="2511"/>
      <c r="R143" s="3214"/>
      <c r="S143" s="4218"/>
      <c r="T143" s="4176"/>
      <c r="U143" s="2771"/>
      <c r="V143" s="2930"/>
      <c r="W143" s="4220"/>
      <c r="X143" s="801">
        <v>0</v>
      </c>
      <c r="Y143" s="806">
        <v>0</v>
      </c>
      <c r="Z143" s="806">
        <v>0</v>
      </c>
      <c r="AA143" s="1989" t="s">
        <v>1046</v>
      </c>
      <c r="AB143" s="4223"/>
      <c r="AC143" s="4119"/>
      <c r="AD143" s="4106"/>
      <c r="AE143" s="4106"/>
      <c r="AF143" s="4106"/>
      <c r="AG143" s="4106"/>
      <c r="AH143" s="4106"/>
      <c r="AI143" s="4106"/>
      <c r="AJ143" s="4106"/>
      <c r="AK143" s="4106"/>
      <c r="AL143" s="4106"/>
      <c r="AM143" s="4106"/>
      <c r="AN143" s="4106"/>
      <c r="AO143" s="4106"/>
      <c r="AP143" s="4106"/>
      <c r="AQ143" s="4106"/>
      <c r="AR143" s="4106"/>
      <c r="AS143" s="4106"/>
      <c r="AT143" s="4106"/>
      <c r="AU143" s="4106"/>
      <c r="AV143" s="4106"/>
      <c r="AW143" s="4106"/>
      <c r="AX143" s="4106"/>
      <c r="AY143" s="4106"/>
      <c r="AZ143" s="4106"/>
      <c r="BA143" s="4106"/>
      <c r="BB143" s="4106"/>
      <c r="BC143" s="4106"/>
      <c r="BD143" s="4106"/>
      <c r="BE143" s="4106"/>
      <c r="BF143" s="4106"/>
      <c r="BG143" s="4106"/>
      <c r="BH143" s="4106"/>
      <c r="BI143" s="4106"/>
      <c r="BJ143" s="4100"/>
      <c r="BK143" s="4100"/>
      <c r="BL143" s="4100"/>
      <c r="BM143" s="4103"/>
      <c r="BN143" s="4100"/>
      <c r="BO143" s="4100"/>
      <c r="BP143" s="3075"/>
      <c r="BQ143" s="3019"/>
      <c r="BR143" s="3019"/>
      <c r="BS143" s="3019"/>
      <c r="BT143" s="3019"/>
      <c r="BU143" s="3050"/>
    </row>
    <row r="144" spans="1:73" x14ac:dyDescent="0.25">
      <c r="A144" s="2018"/>
      <c r="B144" s="1997"/>
      <c r="C144" s="1984"/>
      <c r="D144" s="1982"/>
      <c r="G144" s="4084"/>
      <c r="H144" s="4239"/>
      <c r="I144" s="4084"/>
      <c r="J144" s="4239"/>
      <c r="K144" s="4084"/>
      <c r="L144" s="4242"/>
      <c r="M144" s="4084"/>
      <c r="N144" s="4242"/>
      <c r="O144" s="4201"/>
      <c r="P144" s="4128"/>
      <c r="Q144" s="2511"/>
      <c r="R144" s="3214"/>
      <c r="S144" s="4218"/>
      <c r="T144" s="4176"/>
      <c r="U144" s="2771"/>
      <c r="V144" s="2930"/>
      <c r="W144" s="4220"/>
      <c r="X144" s="801">
        <v>78565532469</v>
      </c>
      <c r="Y144" s="801">
        <v>78565532469</v>
      </c>
      <c r="Z144" s="801">
        <v>78565532469</v>
      </c>
      <c r="AA144" s="1989" t="s">
        <v>1047</v>
      </c>
      <c r="AB144" s="4223"/>
      <c r="AC144" s="4119"/>
      <c r="AD144" s="4106"/>
      <c r="AE144" s="4106"/>
      <c r="AF144" s="4106"/>
      <c r="AG144" s="4106"/>
      <c r="AH144" s="4106"/>
      <c r="AI144" s="4106"/>
      <c r="AJ144" s="4106"/>
      <c r="AK144" s="4106"/>
      <c r="AL144" s="4106"/>
      <c r="AM144" s="4106"/>
      <c r="AN144" s="4106"/>
      <c r="AO144" s="4106"/>
      <c r="AP144" s="4106"/>
      <c r="AQ144" s="4106"/>
      <c r="AR144" s="4106"/>
      <c r="AS144" s="4106"/>
      <c r="AT144" s="4106"/>
      <c r="AU144" s="4106"/>
      <c r="AV144" s="4106"/>
      <c r="AW144" s="4106"/>
      <c r="AX144" s="4106"/>
      <c r="AY144" s="4106"/>
      <c r="AZ144" s="4106"/>
      <c r="BA144" s="4106"/>
      <c r="BB144" s="4106"/>
      <c r="BC144" s="4106"/>
      <c r="BD144" s="4106"/>
      <c r="BE144" s="4106"/>
      <c r="BF144" s="4106"/>
      <c r="BG144" s="4106"/>
      <c r="BH144" s="4106"/>
      <c r="BI144" s="4106"/>
      <c r="BJ144" s="4100"/>
      <c r="BK144" s="4100"/>
      <c r="BL144" s="4100"/>
      <c r="BM144" s="4103"/>
      <c r="BN144" s="4100"/>
      <c r="BO144" s="4100"/>
      <c r="BP144" s="3075"/>
      <c r="BQ144" s="3019"/>
      <c r="BR144" s="3019"/>
      <c r="BS144" s="3019"/>
      <c r="BT144" s="3019"/>
      <c r="BU144" s="3050"/>
    </row>
    <row r="145" spans="1:73" x14ac:dyDescent="0.25">
      <c r="A145" s="2018"/>
      <c r="B145" s="1997"/>
      <c r="C145" s="1984"/>
      <c r="D145" s="1982"/>
      <c r="G145" s="4084"/>
      <c r="H145" s="4239"/>
      <c r="I145" s="4084"/>
      <c r="J145" s="4239"/>
      <c r="K145" s="4084"/>
      <c r="L145" s="4242"/>
      <c r="M145" s="4084"/>
      <c r="N145" s="4242"/>
      <c r="O145" s="4201"/>
      <c r="P145" s="4128"/>
      <c r="Q145" s="2511"/>
      <c r="R145" s="3214"/>
      <c r="S145" s="4218"/>
      <c r="T145" s="4176"/>
      <c r="U145" s="2771"/>
      <c r="V145" s="2930"/>
      <c r="W145" s="4220"/>
      <c r="X145" s="801">
        <v>2010158229.8499999</v>
      </c>
      <c r="Y145" s="801">
        <v>1069128229</v>
      </c>
      <c r="Z145" s="801">
        <v>1069128229</v>
      </c>
      <c r="AA145" s="1989" t="s">
        <v>1048</v>
      </c>
      <c r="AB145" s="4223"/>
      <c r="AC145" s="4119"/>
      <c r="AD145" s="4106"/>
      <c r="AE145" s="4106"/>
      <c r="AF145" s="4106"/>
      <c r="AG145" s="4106"/>
      <c r="AH145" s="4106"/>
      <c r="AI145" s="4106"/>
      <c r="AJ145" s="4106"/>
      <c r="AK145" s="4106"/>
      <c r="AL145" s="4106"/>
      <c r="AM145" s="4106"/>
      <c r="AN145" s="4106"/>
      <c r="AO145" s="4106"/>
      <c r="AP145" s="4106"/>
      <c r="AQ145" s="4106"/>
      <c r="AR145" s="4106"/>
      <c r="AS145" s="4106"/>
      <c r="AT145" s="4106"/>
      <c r="AU145" s="4106"/>
      <c r="AV145" s="4106"/>
      <c r="AW145" s="4106"/>
      <c r="AX145" s="4106"/>
      <c r="AY145" s="4106"/>
      <c r="AZ145" s="4106"/>
      <c r="BA145" s="4106"/>
      <c r="BB145" s="4106"/>
      <c r="BC145" s="4106"/>
      <c r="BD145" s="4106"/>
      <c r="BE145" s="4106"/>
      <c r="BF145" s="4106"/>
      <c r="BG145" s="4106"/>
      <c r="BH145" s="4106"/>
      <c r="BI145" s="4106"/>
      <c r="BJ145" s="4100"/>
      <c r="BK145" s="4100"/>
      <c r="BL145" s="4100"/>
      <c r="BM145" s="4103"/>
      <c r="BN145" s="4100"/>
      <c r="BO145" s="4100"/>
      <c r="BP145" s="3075"/>
      <c r="BQ145" s="3019"/>
      <c r="BR145" s="3019"/>
      <c r="BS145" s="3019"/>
      <c r="BT145" s="3019"/>
      <c r="BU145" s="3050"/>
    </row>
    <row r="146" spans="1:73" x14ac:dyDescent="0.25">
      <c r="A146" s="2018"/>
      <c r="B146" s="1997"/>
      <c r="C146" s="1984"/>
      <c r="D146" s="1982"/>
      <c r="G146" s="4084"/>
      <c r="H146" s="4239"/>
      <c r="I146" s="4084"/>
      <c r="J146" s="4239"/>
      <c r="K146" s="4084"/>
      <c r="L146" s="4242"/>
      <c r="M146" s="4084"/>
      <c r="N146" s="4242"/>
      <c r="O146" s="4201"/>
      <c r="P146" s="4128"/>
      <c r="Q146" s="2511"/>
      <c r="R146" s="3214"/>
      <c r="S146" s="4218"/>
      <c r="T146" s="4176"/>
      <c r="U146" s="2771"/>
      <c r="V146" s="2930"/>
      <c r="W146" s="4220"/>
      <c r="X146" s="801">
        <v>24489220</v>
      </c>
      <c r="Y146" s="801">
        <v>24489220</v>
      </c>
      <c r="Z146" s="801">
        <v>24489220</v>
      </c>
      <c r="AA146" s="1989" t="s">
        <v>1049</v>
      </c>
      <c r="AB146" s="4223"/>
      <c r="AC146" s="4119"/>
      <c r="AD146" s="4106"/>
      <c r="AE146" s="4106"/>
      <c r="AF146" s="4106"/>
      <c r="AG146" s="4106"/>
      <c r="AH146" s="4106"/>
      <c r="AI146" s="4106"/>
      <c r="AJ146" s="4106"/>
      <c r="AK146" s="4106"/>
      <c r="AL146" s="4106"/>
      <c r="AM146" s="4106"/>
      <c r="AN146" s="4106"/>
      <c r="AO146" s="4106"/>
      <c r="AP146" s="4106"/>
      <c r="AQ146" s="4106"/>
      <c r="AR146" s="4106"/>
      <c r="AS146" s="4106"/>
      <c r="AT146" s="4106"/>
      <c r="AU146" s="4106"/>
      <c r="AV146" s="4106"/>
      <c r="AW146" s="4106"/>
      <c r="AX146" s="4106"/>
      <c r="AY146" s="4106"/>
      <c r="AZ146" s="4106"/>
      <c r="BA146" s="4106"/>
      <c r="BB146" s="4106"/>
      <c r="BC146" s="4106"/>
      <c r="BD146" s="4106"/>
      <c r="BE146" s="4106"/>
      <c r="BF146" s="4106"/>
      <c r="BG146" s="4106"/>
      <c r="BH146" s="4106"/>
      <c r="BI146" s="4106"/>
      <c r="BJ146" s="4100"/>
      <c r="BK146" s="4100"/>
      <c r="BL146" s="4100"/>
      <c r="BM146" s="4103"/>
      <c r="BN146" s="4100"/>
      <c r="BO146" s="4100"/>
      <c r="BP146" s="3075"/>
      <c r="BQ146" s="3019"/>
      <c r="BR146" s="3019"/>
      <c r="BS146" s="3019"/>
      <c r="BT146" s="3019"/>
      <c r="BU146" s="3050"/>
    </row>
    <row r="147" spans="1:73" x14ac:dyDescent="0.25">
      <c r="A147" s="2018"/>
      <c r="B147" s="1997"/>
      <c r="C147" s="1984"/>
      <c r="D147" s="1982"/>
      <c r="G147" s="4084"/>
      <c r="H147" s="4239"/>
      <c r="I147" s="4084"/>
      <c r="J147" s="4239"/>
      <c r="K147" s="4084"/>
      <c r="L147" s="4242"/>
      <c r="M147" s="4084"/>
      <c r="N147" s="4242"/>
      <c r="O147" s="4201"/>
      <c r="P147" s="4128"/>
      <c r="Q147" s="2511"/>
      <c r="R147" s="3214"/>
      <c r="S147" s="4218"/>
      <c r="T147" s="4176"/>
      <c r="U147" s="2771"/>
      <c r="V147" s="2930"/>
      <c r="W147" s="4220"/>
      <c r="X147" s="801">
        <v>9049147</v>
      </c>
      <c r="Y147" s="801">
        <v>9049147</v>
      </c>
      <c r="Z147" s="801">
        <v>9049147</v>
      </c>
      <c r="AA147" s="1989" t="s">
        <v>1050</v>
      </c>
      <c r="AB147" s="4223"/>
      <c r="AC147" s="4119"/>
      <c r="AD147" s="4106"/>
      <c r="AE147" s="4106"/>
      <c r="AF147" s="4106"/>
      <c r="AG147" s="4106"/>
      <c r="AH147" s="4106"/>
      <c r="AI147" s="4106"/>
      <c r="AJ147" s="4106"/>
      <c r="AK147" s="4106"/>
      <c r="AL147" s="4106"/>
      <c r="AM147" s="4106"/>
      <c r="AN147" s="4106"/>
      <c r="AO147" s="4106"/>
      <c r="AP147" s="4106"/>
      <c r="AQ147" s="4106"/>
      <c r="AR147" s="4106"/>
      <c r="AS147" s="4106"/>
      <c r="AT147" s="4106"/>
      <c r="AU147" s="4106"/>
      <c r="AV147" s="4106"/>
      <c r="AW147" s="4106"/>
      <c r="AX147" s="4106"/>
      <c r="AY147" s="4106"/>
      <c r="AZ147" s="4106"/>
      <c r="BA147" s="4106"/>
      <c r="BB147" s="4106"/>
      <c r="BC147" s="4106"/>
      <c r="BD147" s="4106"/>
      <c r="BE147" s="4106"/>
      <c r="BF147" s="4106"/>
      <c r="BG147" s="4106"/>
      <c r="BH147" s="4106"/>
      <c r="BI147" s="4106"/>
      <c r="BJ147" s="4100"/>
      <c r="BK147" s="4100"/>
      <c r="BL147" s="4100"/>
      <c r="BM147" s="4103"/>
      <c r="BN147" s="4100"/>
      <c r="BO147" s="4100"/>
      <c r="BP147" s="3075"/>
      <c r="BQ147" s="3019"/>
      <c r="BR147" s="3019"/>
      <c r="BS147" s="3019"/>
      <c r="BT147" s="3019"/>
      <c r="BU147" s="3050"/>
    </row>
    <row r="148" spans="1:73" x14ac:dyDescent="0.25">
      <c r="A148" s="2018"/>
      <c r="B148" s="1997"/>
      <c r="C148" s="1984"/>
      <c r="D148" s="1982"/>
      <c r="G148" s="4084"/>
      <c r="H148" s="4239"/>
      <c r="I148" s="4084"/>
      <c r="J148" s="4239"/>
      <c r="K148" s="4084"/>
      <c r="L148" s="4242"/>
      <c r="M148" s="4084"/>
      <c r="N148" s="4242"/>
      <c r="O148" s="4201"/>
      <c r="P148" s="4128"/>
      <c r="Q148" s="2511"/>
      <c r="R148" s="3214"/>
      <c r="S148" s="4218"/>
      <c r="T148" s="4176"/>
      <c r="U148" s="2771"/>
      <c r="V148" s="2930"/>
      <c r="W148" s="4220"/>
      <c r="X148" s="801">
        <v>3495282154</v>
      </c>
      <c r="Y148" s="801">
        <v>3495282154</v>
      </c>
      <c r="Z148" s="801">
        <v>3495282154</v>
      </c>
      <c r="AA148" s="1989" t="s">
        <v>1051</v>
      </c>
      <c r="AB148" s="4223"/>
      <c r="AC148" s="4119"/>
      <c r="AD148" s="4106"/>
      <c r="AE148" s="4106"/>
      <c r="AF148" s="4106"/>
      <c r="AG148" s="4106"/>
      <c r="AH148" s="4106"/>
      <c r="AI148" s="4106"/>
      <c r="AJ148" s="4106"/>
      <c r="AK148" s="4106"/>
      <c r="AL148" s="4106"/>
      <c r="AM148" s="4106"/>
      <c r="AN148" s="4106"/>
      <c r="AO148" s="4106"/>
      <c r="AP148" s="4106"/>
      <c r="AQ148" s="4106"/>
      <c r="AR148" s="4106"/>
      <c r="AS148" s="4106"/>
      <c r="AT148" s="4106"/>
      <c r="AU148" s="4106"/>
      <c r="AV148" s="4106"/>
      <c r="AW148" s="4106"/>
      <c r="AX148" s="4106"/>
      <c r="AY148" s="4106"/>
      <c r="AZ148" s="4106"/>
      <c r="BA148" s="4106"/>
      <c r="BB148" s="4106"/>
      <c r="BC148" s="4106"/>
      <c r="BD148" s="4106"/>
      <c r="BE148" s="4106"/>
      <c r="BF148" s="4106"/>
      <c r="BG148" s="4106"/>
      <c r="BH148" s="4106"/>
      <c r="BI148" s="4106"/>
      <c r="BJ148" s="4100"/>
      <c r="BK148" s="4100"/>
      <c r="BL148" s="4100"/>
      <c r="BM148" s="4103"/>
      <c r="BN148" s="4100"/>
      <c r="BO148" s="4100"/>
      <c r="BP148" s="3075"/>
      <c r="BQ148" s="3019"/>
      <c r="BR148" s="3019"/>
      <c r="BS148" s="3019"/>
      <c r="BT148" s="3019"/>
      <c r="BU148" s="3050"/>
    </row>
    <row r="149" spans="1:73" x14ac:dyDescent="0.25">
      <c r="A149" s="2018"/>
      <c r="B149" s="1997"/>
      <c r="C149" s="1984"/>
      <c r="D149" s="1982"/>
      <c r="G149" s="4084"/>
      <c r="H149" s="4239"/>
      <c r="I149" s="4084"/>
      <c r="J149" s="4239"/>
      <c r="K149" s="4084"/>
      <c r="L149" s="4242"/>
      <c r="M149" s="4084"/>
      <c r="N149" s="4242"/>
      <c r="O149" s="4201"/>
      <c r="P149" s="4128"/>
      <c r="Q149" s="2511"/>
      <c r="R149" s="3214"/>
      <c r="S149" s="4218"/>
      <c r="T149" s="4176"/>
      <c r="U149" s="2771"/>
      <c r="V149" s="2930"/>
      <c r="W149" s="4220"/>
      <c r="X149" s="801">
        <v>7581245008</v>
      </c>
      <c r="Y149" s="801">
        <v>7581245008</v>
      </c>
      <c r="Z149" s="801">
        <v>7581245008</v>
      </c>
      <c r="AA149" s="1989" t="s">
        <v>1052</v>
      </c>
      <c r="AB149" s="4223"/>
      <c r="AC149" s="4119"/>
      <c r="AD149" s="4106"/>
      <c r="AE149" s="4106"/>
      <c r="AF149" s="4106"/>
      <c r="AG149" s="4106"/>
      <c r="AH149" s="4106"/>
      <c r="AI149" s="4106"/>
      <c r="AJ149" s="4106"/>
      <c r="AK149" s="4106"/>
      <c r="AL149" s="4106"/>
      <c r="AM149" s="4106"/>
      <c r="AN149" s="4106"/>
      <c r="AO149" s="4106"/>
      <c r="AP149" s="4106"/>
      <c r="AQ149" s="4106"/>
      <c r="AR149" s="4106"/>
      <c r="AS149" s="4106"/>
      <c r="AT149" s="4106"/>
      <c r="AU149" s="4106"/>
      <c r="AV149" s="4106"/>
      <c r="AW149" s="4106"/>
      <c r="AX149" s="4106"/>
      <c r="AY149" s="4106"/>
      <c r="AZ149" s="4106"/>
      <c r="BA149" s="4106"/>
      <c r="BB149" s="4106"/>
      <c r="BC149" s="4106"/>
      <c r="BD149" s="4106"/>
      <c r="BE149" s="4106"/>
      <c r="BF149" s="4106"/>
      <c r="BG149" s="4106"/>
      <c r="BH149" s="4106"/>
      <c r="BI149" s="4106"/>
      <c r="BJ149" s="4100"/>
      <c r="BK149" s="4100"/>
      <c r="BL149" s="4100"/>
      <c r="BM149" s="4103"/>
      <c r="BN149" s="4100"/>
      <c r="BO149" s="4100"/>
      <c r="BP149" s="3075"/>
      <c r="BQ149" s="3019"/>
      <c r="BR149" s="3019"/>
      <c r="BS149" s="3019"/>
      <c r="BT149" s="3019"/>
      <c r="BU149" s="3050"/>
    </row>
    <row r="150" spans="1:73" x14ac:dyDescent="0.25">
      <c r="A150" s="2018"/>
      <c r="B150" s="1997"/>
      <c r="C150" s="1984"/>
      <c r="D150" s="1982"/>
      <c r="G150" s="4084"/>
      <c r="H150" s="4239"/>
      <c r="I150" s="4084"/>
      <c r="J150" s="4239"/>
      <c r="K150" s="4084"/>
      <c r="L150" s="4242"/>
      <c r="M150" s="4084"/>
      <c r="N150" s="4242"/>
      <c r="O150" s="4201"/>
      <c r="P150" s="4128"/>
      <c r="Q150" s="2511"/>
      <c r="R150" s="3214"/>
      <c r="S150" s="4218"/>
      <c r="T150" s="4176"/>
      <c r="U150" s="2771"/>
      <c r="V150" s="2930"/>
      <c r="W150" s="4220"/>
      <c r="X150" s="801">
        <v>3522639386</v>
      </c>
      <c r="Y150" s="801">
        <v>3522639386</v>
      </c>
      <c r="Z150" s="801">
        <v>3522639386</v>
      </c>
      <c r="AA150" s="1989" t="s">
        <v>1053</v>
      </c>
      <c r="AB150" s="4223"/>
      <c r="AC150" s="4119"/>
      <c r="AD150" s="4106"/>
      <c r="AE150" s="4106"/>
      <c r="AF150" s="4106"/>
      <c r="AG150" s="4106"/>
      <c r="AH150" s="4106"/>
      <c r="AI150" s="4106"/>
      <c r="AJ150" s="4106"/>
      <c r="AK150" s="4106"/>
      <c r="AL150" s="4106"/>
      <c r="AM150" s="4106"/>
      <c r="AN150" s="4106"/>
      <c r="AO150" s="4106"/>
      <c r="AP150" s="4106"/>
      <c r="AQ150" s="4106"/>
      <c r="AR150" s="4106"/>
      <c r="AS150" s="4106"/>
      <c r="AT150" s="4106"/>
      <c r="AU150" s="4106"/>
      <c r="AV150" s="4106"/>
      <c r="AW150" s="4106"/>
      <c r="AX150" s="4106"/>
      <c r="AY150" s="4106"/>
      <c r="AZ150" s="4106"/>
      <c r="BA150" s="4106"/>
      <c r="BB150" s="4106"/>
      <c r="BC150" s="4106"/>
      <c r="BD150" s="4106"/>
      <c r="BE150" s="4106"/>
      <c r="BF150" s="4106"/>
      <c r="BG150" s="4106"/>
      <c r="BH150" s="4106"/>
      <c r="BI150" s="4106"/>
      <c r="BJ150" s="4100"/>
      <c r="BK150" s="4100"/>
      <c r="BL150" s="4100"/>
      <c r="BM150" s="4103"/>
      <c r="BN150" s="4100"/>
      <c r="BO150" s="4100"/>
      <c r="BP150" s="3075"/>
      <c r="BQ150" s="3019"/>
      <c r="BR150" s="3019"/>
      <c r="BS150" s="3019"/>
      <c r="BT150" s="3019"/>
      <c r="BU150" s="3050"/>
    </row>
    <row r="151" spans="1:73" x14ac:dyDescent="0.25">
      <c r="A151" s="2018"/>
      <c r="B151" s="1997"/>
      <c r="C151" s="1984"/>
      <c r="D151" s="1982"/>
      <c r="G151" s="4084"/>
      <c r="H151" s="4239"/>
      <c r="I151" s="4084"/>
      <c r="J151" s="4239"/>
      <c r="K151" s="4084"/>
      <c r="L151" s="4242"/>
      <c r="M151" s="4084"/>
      <c r="N151" s="4242"/>
      <c r="O151" s="4201"/>
      <c r="P151" s="4128"/>
      <c r="Q151" s="2511"/>
      <c r="R151" s="3214"/>
      <c r="S151" s="4218"/>
      <c r="T151" s="4176"/>
      <c r="U151" s="2771"/>
      <c r="V151" s="2930"/>
      <c r="W151" s="4220"/>
      <c r="X151" s="801">
        <v>13008926</v>
      </c>
      <c r="Y151" s="801">
        <v>13008926</v>
      </c>
      <c r="Z151" s="801">
        <v>13008926</v>
      </c>
      <c r="AA151" s="814" t="s">
        <v>1054</v>
      </c>
      <c r="AB151" s="4223"/>
      <c r="AC151" s="4119"/>
      <c r="AD151" s="4106"/>
      <c r="AE151" s="4106"/>
      <c r="AF151" s="4106"/>
      <c r="AG151" s="4106"/>
      <c r="AH151" s="4106"/>
      <c r="AI151" s="4106"/>
      <c r="AJ151" s="4106"/>
      <c r="AK151" s="4106"/>
      <c r="AL151" s="4106"/>
      <c r="AM151" s="4106"/>
      <c r="AN151" s="4106"/>
      <c r="AO151" s="4106"/>
      <c r="AP151" s="4106"/>
      <c r="AQ151" s="4106"/>
      <c r="AR151" s="4106"/>
      <c r="AS151" s="4106"/>
      <c r="AT151" s="4106"/>
      <c r="AU151" s="4106"/>
      <c r="AV151" s="4106"/>
      <c r="AW151" s="4106"/>
      <c r="AX151" s="4106"/>
      <c r="AY151" s="4106"/>
      <c r="AZ151" s="4106"/>
      <c r="BA151" s="4106"/>
      <c r="BB151" s="4106"/>
      <c r="BC151" s="4106"/>
      <c r="BD151" s="4106"/>
      <c r="BE151" s="4106"/>
      <c r="BF151" s="4106"/>
      <c r="BG151" s="4106"/>
      <c r="BH151" s="4106"/>
      <c r="BI151" s="4106"/>
      <c r="BJ151" s="4100"/>
      <c r="BK151" s="4100"/>
      <c r="BL151" s="4100"/>
      <c r="BM151" s="4103"/>
      <c r="BN151" s="4100"/>
      <c r="BO151" s="4100"/>
      <c r="BP151" s="3075"/>
      <c r="BQ151" s="3019"/>
      <c r="BR151" s="3019"/>
      <c r="BS151" s="3019"/>
      <c r="BT151" s="3019"/>
      <c r="BU151" s="3050"/>
    </row>
    <row r="152" spans="1:73" x14ac:dyDescent="0.25">
      <c r="A152" s="2018"/>
      <c r="B152" s="1997"/>
      <c r="C152" s="1984"/>
      <c r="D152" s="1982"/>
      <c r="G152" s="4084"/>
      <c r="H152" s="4239"/>
      <c r="I152" s="4084"/>
      <c r="J152" s="4239"/>
      <c r="K152" s="4084"/>
      <c r="L152" s="4242"/>
      <c r="M152" s="4084"/>
      <c r="N152" s="4242"/>
      <c r="O152" s="4201"/>
      <c r="P152" s="4128"/>
      <c r="Q152" s="2511"/>
      <c r="R152" s="3214"/>
      <c r="S152" s="4218"/>
      <c r="T152" s="4176"/>
      <c r="U152" s="2771"/>
      <c r="V152" s="2930"/>
      <c r="W152" s="4220"/>
      <c r="X152" s="801">
        <v>13258985</v>
      </c>
      <c r="Y152" s="801">
        <v>13258985</v>
      </c>
      <c r="Z152" s="801">
        <v>13258985</v>
      </c>
      <c r="AA152" s="814" t="s">
        <v>1055</v>
      </c>
      <c r="AB152" s="4223"/>
      <c r="AC152" s="4119"/>
      <c r="AD152" s="4106"/>
      <c r="AE152" s="4106"/>
      <c r="AF152" s="4106"/>
      <c r="AG152" s="4106"/>
      <c r="AH152" s="4106"/>
      <c r="AI152" s="4106"/>
      <c r="AJ152" s="4106"/>
      <c r="AK152" s="4106"/>
      <c r="AL152" s="4106"/>
      <c r="AM152" s="4106"/>
      <c r="AN152" s="4106"/>
      <c r="AO152" s="4106"/>
      <c r="AP152" s="4106"/>
      <c r="AQ152" s="4106"/>
      <c r="AR152" s="4106"/>
      <c r="AS152" s="4106"/>
      <c r="AT152" s="4106"/>
      <c r="AU152" s="4106"/>
      <c r="AV152" s="4106"/>
      <c r="AW152" s="4106"/>
      <c r="AX152" s="4106"/>
      <c r="AY152" s="4106"/>
      <c r="AZ152" s="4106"/>
      <c r="BA152" s="4106"/>
      <c r="BB152" s="4106"/>
      <c r="BC152" s="4106"/>
      <c r="BD152" s="4106"/>
      <c r="BE152" s="4106"/>
      <c r="BF152" s="4106"/>
      <c r="BG152" s="4106"/>
      <c r="BH152" s="4106"/>
      <c r="BI152" s="4106"/>
      <c r="BJ152" s="4100"/>
      <c r="BK152" s="4100"/>
      <c r="BL152" s="4100"/>
      <c r="BM152" s="4103"/>
      <c r="BN152" s="4100"/>
      <c r="BO152" s="4100"/>
      <c r="BP152" s="3075"/>
      <c r="BQ152" s="3019"/>
      <c r="BR152" s="3019"/>
      <c r="BS152" s="3019"/>
      <c r="BT152" s="3019"/>
      <c r="BU152" s="3050"/>
    </row>
    <row r="153" spans="1:73" x14ac:dyDescent="0.25">
      <c r="A153" s="2018"/>
      <c r="B153" s="1997"/>
      <c r="C153" s="1984"/>
      <c r="D153" s="1982"/>
      <c r="G153" s="4084"/>
      <c r="H153" s="4239"/>
      <c r="I153" s="4084"/>
      <c r="J153" s="4239"/>
      <c r="K153" s="4084"/>
      <c r="L153" s="4242"/>
      <c r="M153" s="4084"/>
      <c r="N153" s="4242"/>
      <c r="O153" s="4201"/>
      <c r="P153" s="4128"/>
      <c r="Q153" s="2511"/>
      <c r="R153" s="3214"/>
      <c r="S153" s="4218"/>
      <c r="T153" s="4176"/>
      <c r="U153" s="2771"/>
      <c r="V153" s="2930"/>
      <c r="W153" s="4220"/>
      <c r="X153" s="801">
        <v>27656412</v>
      </c>
      <c r="Y153" s="801">
        <v>27656412</v>
      </c>
      <c r="Z153" s="801">
        <v>27656412</v>
      </c>
      <c r="AA153" s="814" t="s">
        <v>1056</v>
      </c>
      <c r="AB153" s="4223"/>
      <c r="AC153" s="4119"/>
      <c r="AD153" s="4106"/>
      <c r="AE153" s="4106"/>
      <c r="AF153" s="4106"/>
      <c r="AG153" s="4106"/>
      <c r="AH153" s="4106"/>
      <c r="AI153" s="4106"/>
      <c r="AJ153" s="4106"/>
      <c r="AK153" s="4106"/>
      <c r="AL153" s="4106"/>
      <c r="AM153" s="4106"/>
      <c r="AN153" s="4106"/>
      <c r="AO153" s="4106"/>
      <c r="AP153" s="4106"/>
      <c r="AQ153" s="4106"/>
      <c r="AR153" s="4106"/>
      <c r="AS153" s="4106"/>
      <c r="AT153" s="4106"/>
      <c r="AU153" s="4106"/>
      <c r="AV153" s="4106"/>
      <c r="AW153" s="4106"/>
      <c r="AX153" s="4106"/>
      <c r="AY153" s="4106"/>
      <c r="AZ153" s="4106"/>
      <c r="BA153" s="4106"/>
      <c r="BB153" s="4106"/>
      <c r="BC153" s="4106"/>
      <c r="BD153" s="4106"/>
      <c r="BE153" s="4106"/>
      <c r="BF153" s="4106"/>
      <c r="BG153" s="4106"/>
      <c r="BH153" s="4106"/>
      <c r="BI153" s="4106"/>
      <c r="BJ153" s="4100"/>
      <c r="BK153" s="4100"/>
      <c r="BL153" s="4100"/>
      <c r="BM153" s="4103"/>
      <c r="BN153" s="4100"/>
      <c r="BO153" s="4100"/>
      <c r="BP153" s="3075"/>
      <c r="BQ153" s="3019"/>
      <c r="BR153" s="3019"/>
      <c r="BS153" s="3019"/>
      <c r="BT153" s="3019"/>
      <c r="BU153" s="3050"/>
    </row>
    <row r="154" spans="1:73" x14ac:dyDescent="0.25">
      <c r="A154" s="2018"/>
      <c r="B154" s="1997"/>
      <c r="C154" s="1984"/>
      <c r="D154" s="1982"/>
      <c r="G154" s="4084"/>
      <c r="H154" s="4239"/>
      <c r="I154" s="4084"/>
      <c r="J154" s="4239"/>
      <c r="K154" s="4084"/>
      <c r="L154" s="4242"/>
      <c r="M154" s="4084"/>
      <c r="N154" s="4242"/>
      <c r="O154" s="4201"/>
      <c r="P154" s="4128"/>
      <c r="Q154" s="2511"/>
      <c r="R154" s="3214"/>
      <c r="S154" s="4218"/>
      <c r="T154" s="4176"/>
      <c r="U154" s="2771"/>
      <c r="V154" s="2930"/>
      <c r="W154" s="4220"/>
      <c r="X154" s="801">
        <v>3673951700</v>
      </c>
      <c r="Y154" s="801">
        <v>3673951700</v>
      </c>
      <c r="Z154" s="801">
        <v>3673951700</v>
      </c>
      <c r="AA154" s="1989" t="s">
        <v>1057</v>
      </c>
      <c r="AB154" s="4223"/>
      <c r="AC154" s="4119"/>
      <c r="AD154" s="4106"/>
      <c r="AE154" s="4106"/>
      <c r="AF154" s="4106"/>
      <c r="AG154" s="4106"/>
      <c r="AH154" s="4106"/>
      <c r="AI154" s="4106"/>
      <c r="AJ154" s="4106"/>
      <c r="AK154" s="4106"/>
      <c r="AL154" s="4106"/>
      <c r="AM154" s="4106"/>
      <c r="AN154" s="4106"/>
      <c r="AO154" s="4106"/>
      <c r="AP154" s="4106"/>
      <c r="AQ154" s="4106"/>
      <c r="AR154" s="4106"/>
      <c r="AS154" s="4106"/>
      <c r="AT154" s="4106"/>
      <c r="AU154" s="4106"/>
      <c r="AV154" s="4106"/>
      <c r="AW154" s="4106"/>
      <c r="AX154" s="4106"/>
      <c r="AY154" s="4106"/>
      <c r="AZ154" s="4106"/>
      <c r="BA154" s="4106"/>
      <c r="BB154" s="4106"/>
      <c r="BC154" s="4106"/>
      <c r="BD154" s="4106"/>
      <c r="BE154" s="4106"/>
      <c r="BF154" s="4106"/>
      <c r="BG154" s="4106"/>
      <c r="BH154" s="4106"/>
      <c r="BI154" s="4106"/>
      <c r="BJ154" s="4100"/>
      <c r="BK154" s="4100"/>
      <c r="BL154" s="4100"/>
      <c r="BM154" s="4103"/>
      <c r="BN154" s="4100"/>
      <c r="BO154" s="4100"/>
      <c r="BP154" s="3075"/>
      <c r="BQ154" s="3019"/>
      <c r="BR154" s="3019"/>
      <c r="BS154" s="3019"/>
      <c r="BT154" s="3019"/>
      <c r="BU154" s="3050"/>
    </row>
    <row r="155" spans="1:73" ht="15" customHeight="1" x14ac:dyDescent="0.25">
      <c r="A155" s="2018"/>
      <c r="B155" s="1997"/>
      <c r="C155" s="1984"/>
      <c r="D155" s="1982"/>
      <c r="G155" s="4084"/>
      <c r="H155" s="4239"/>
      <c r="I155" s="4084"/>
      <c r="J155" s="4239"/>
      <c r="K155" s="4084"/>
      <c r="L155" s="4242"/>
      <c r="M155" s="4084"/>
      <c r="N155" s="4242"/>
      <c r="O155" s="4201"/>
      <c r="P155" s="4128"/>
      <c r="Q155" s="2511"/>
      <c r="R155" s="3214"/>
      <c r="S155" s="4218"/>
      <c r="T155" s="4176"/>
      <c r="U155" s="2771"/>
      <c r="V155" s="2930"/>
      <c r="W155" s="4220"/>
      <c r="X155" s="801">
        <v>2755872600</v>
      </c>
      <c r="Y155" s="801">
        <v>2755872600</v>
      </c>
      <c r="Z155" s="801">
        <v>2755872600</v>
      </c>
      <c r="AA155" s="1977" t="s">
        <v>1058</v>
      </c>
      <c r="AB155" s="4223"/>
      <c r="AC155" s="4119"/>
      <c r="AD155" s="4106"/>
      <c r="AE155" s="4106"/>
      <c r="AF155" s="4106"/>
      <c r="AG155" s="4106"/>
      <c r="AH155" s="4106"/>
      <c r="AI155" s="4106"/>
      <c r="AJ155" s="4106"/>
      <c r="AK155" s="4106"/>
      <c r="AL155" s="4106"/>
      <c r="AM155" s="4106"/>
      <c r="AN155" s="4106"/>
      <c r="AO155" s="4106"/>
      <c r="AP155" s="4106"/>
      <c r="AQ155" s="4106"/>
      <c r="AR155" s="4106"/>
      <c r="AS155" s="4106"/>
      <c r="AT155" s="4106"/>
      <c r="AU155" s="4106"/>
      <c r="AV155" s="4106"/>
      <c r="AW155" s="4106"/>
      <c r="AX155" s="4106"/>
      <c r="AY155" s="4106"/>
      <c r="AZ155" s="4106"/>
      <c r="BA155" s="4106"/>
      <c r="BB155" s="4106"/>
      <c r="BC155" s="4106"/>
      <c r="BD155" s="4106"/>
      <c r="BE155" s="4106"/>
      <c r="BF155" s="4106"/>
      <c r="BG155" s="4106"/>
      <c r="BH155" s="4106"/>
      <c r="BI155" s="4106"/>
      <c r="BJ155" s="4100"/>
      <c r="BK155" s="4100"/>
      <c r="BL155" s="4100"/>
      <c r="BM155" s="4103"/>
      <c r="BN155" s="4100"/>
      <c r="BO155" s="4100"/>
      <c r="BP155" s="3075"/>
      <c r="BQ155" s="3019"/>
      <c r="BR155" s="3019"/>
      <c r="BS155" s="3019"/>
      <c r="BT155" s="3019"/>
      <c r="BU155" s="3050"/>
    </row>
    <row r="156" spans="1:73" x14ac:dyDescent="0.25">
      <c r="A156" s="2018"/>
      <c r="B156" s="1997"/>
      <c r="C156" s="1984"/>
      <c r="D156" s="1982"/>
      <c r="G156" s="4084"/>
      <c r="H156" s="4239"/>
      <c r="I156" s="4084"/>
      <c r="J156" s="4239"/>
      <c r="K156" s="4084"/>
      <c r="L156" s="4242"/>
      <c r="M156" s="4084"/>
      <c r="N156" s="4242"/>
      <c r="O156" s="4201"/>
      <c r="P156" s="4128"/>
      <c r="Q156" s="2511"/>
      <c r="R156" s="3214"/>
      <c r="S156" s="4218"/>
      <c r="T156" s="4176"/>
      <c r="U156" s="2771"/>
      <c r="V156" s="2930"/>
      <c r="W156" s="4220"/>
      <c r="X156" s="801">
        <v>460644800</v>
      </c>
      <c r="Y156" s="801">
        <v>460644800</v>
      </c>
      <c r="Z156" s="801">
        <v>460644800</v>
      </c>
      <c r="AA156" s="1977" t="s">
        <v>1059</v>
      </c>
      <c r="AB156" s="4223"/>
      <c r="AC156" s="4119"/>
      <c r="AD156" s="4106"/>
      <c r="AE156" s="4106"/>
      <c r="AF156" s="4106"/>
      <c r="AG156" s="4106"/>
      <c r="AH156" s="4106"/>
      <c r="AI156" s="4106"/>
      <c r="AJ156" s="4106"/>
      <c r="AK156" s="4106"/>
      <c r="AL156" s="4106"/>
      <c r="AM156" s="4106"/>
      <c r="AN156" s="4106"/>
      <c r="AO156" s="4106"/>
      <c r="AP156" s="4106"/>
      <c r="AQ156" s="4106"/>
      <c r="AR156" s="4106"/>
      <c r="AS156" s="4106"/>
      <c r="AT156" s="4106"/>
      <c r="AU156" s="4106"/>
      <c r="AV156" s="4106"/>
      <c r="AW156" s="4106"/>
      <c r="AX156" s="4106"/>
      <c r="AY156" s="4106"/>
      <c r="AZ156" s="4106"/>
      <c r="BA156" s="4106"/>
      <c r="BB156" s="4106"/>
      <c r="BC156" s="4106"/>
      <c r="BD156" s="4106"/>
      <c r="BE156" s="4106"/>
      <c r="BF156" s="4106"/>
      <c r="BG156" s="4106"/>
      <c r="BH156" s="4106"/>
      <c r="BI156" s="4106"/>
      <c r="BJ156" s="4100"/>
      <c r="BK156" s="4100"/>
      <c r="BL156" s="4100"/>
      <c r="BM156" s="4103"/>
      <c r="BN156" s="4100"/>
      <c r="BO156" s="4100"/>
      <c r="BP156" s="3075"/>
      <c r="BQ156" s="3019"/>
      <c r="BR156" s="3019"/>
      <c r="BS156" s="3019"/>
      <c r="BT156" s="3019"/>
      <c r="BU156" s="3050"/>
    </row>
    <row r="157" spans="1:73" x14ac:dyDescent="0.25">
      <c r="A157" s="2018"/>
      <c r="B157" s="1997"/>
      <c r="C157" s="1984"/>
      <c r="D157" s="1982"/>
      <c r="G157" s="4084"/>
      <c r="H157" s="4239"/>
      <c r="I157" s="4084"/>
      <c r="J157" s="4239"/>
      <c r="K157" s="4084"/>
      <c r="L157" s="4242"/>
      <c r="M157" s="4084"/>
      <c r="N157" s="4242"/>
      <c r="O157" s="4201"/>
      <c r="P157" s="4128"/>
      <c r="Q157" s="2511"/>
      <c r="R157" s="4198"/>
      <c r="S157" s="4218"/>
      <c r="T157" s="4176"/>
      <c r="U157" s="2771"/>
      <c r="V157" s="2930"/>
      <c r="W157" s="4220"/>
      <c r="X157" s="801">
        <v>460644800</v>
      </c>
      <c r="Y157" s="801">
        <v>460644800</v>
      </c>
      <c r="Z157" s="801">
        <v>460644800</v>
      </c>
      <c r="AA157" s="1977" t="s">
        <v>1060</v>
      </c>
      <c r="AB157" s="4223"/>
      <c r="AC157" s="4119"/>
      <c r="AD157" s="4106"/>
      <c r="AE157" s="4106"/>
      <c r="AF157" s="4106"/>
      <c r="AG157" s="4106"/>
      <c r="AH157" s="4106"/>
      <c r="AI157" s="4106"/>
      <c r="AJ157" s="4106"/>
      <c r="AK157" s="4106"/>
      <c r="AL157" s="4106"/>
      <c r="AM157" s="4106"/>
      <c r="AN157" s="4106"/>
      <c r="AO157" s="4106"/>
      <c r="AP157" s="4106"/>
      <c r="AQ157" s="4106"/>
      <c r="AR157" s="4106"/>
      <c r="AS157" s="4106"/>
      <c r="AT157" s="4106"/>
      <c r="AU157" s="4106"/>
      <c r="AV157" s="4106"/>
      <c r="AW157" s="4106"/>
      <c r="AX157" s="4106"/>
      <c r="AY157" s="4106"/>
      <c r="AZ157" s="4106"/>
      <c r="BA157" s="4106"/>
      <c r="BB157" s="4106"/>
      <c r="BC157" s="4106"/>
      <c r="BD157" s="4106"/>
      <c r="BE157" s="4106"/>
      <c r="BF157" s="4106"/>
      <c r="BG157" s="4106"/>
      <c r="BH157" s="4106"/>
      <c r="BI157" s="4106"/>
      <c r="BJ157" s="4100"/>
      <c r="BK157" s="4100"/>
      <c r="BL157" s="4100"/>
      <c r="BM157" s="4103"/>
      <c r="BN157" s="4100"/>
      <c r="BO157" s="4100"/>
      <c r="BP157" s="3075"/>
      <c r="BQ157" s="3019"/>
      <c r="BR157" s="3019"/>
      <c r="BS157" s="3019"/>
      <c r="BT157" s="3019"/>
      <c r="BU157" s="3050"/>
    </row>
    <row r="158" spans="1:73" x14ac:dyDescent="0.25">
      <c r="A158" s="2018"/>
      <c r="B158" s="1997"/>
      <c r="C158" s="1984"/>
      <c r="D158" s="1982"/>
      <c r="G158" s="4084"/>
      <c r="H158" s="4239"/>
      <c r="I158" s="4084"/>
      <c r="J158" s="4239"/>
      <c r="K158" s="4084"/>
      <c r="L158" s="4242"/>
      <c r="M158" s="4084"/>
      <c r="N158" s="4242"/>
      <c r="O158" s="4201"/>
      <c r="P158" s="4128"/>
      <c r="Q158" s="2511"/>
      <c r="R158" s="3214"/>
      <c r="S158" s="4218"/>
      <c r="T158" s="4176"/>
      <c r="U158" s="2771"/>
      <c r="V158" s="2930"/>
      <c r="W158" s="4220"/>
      <c r="X158" s="801">
        <v>919266700</v>
      </c>
      <c r="Y158" s="801">
        <v>919266700</v>
      </c>
      <c r="Z158" s="801">
        <v>919266700</v>
      </c>
      <c r="AA158" s="1977" t="s">
        <v>1061</v>
      </c>
      <c r="AB158" s="4223"/>
      <c r="AC158" s="4119"/>
      <c r="AD158" s="4106"/>
      <c r="AE158" s="4106"/>
      <c r="AF158" s="4106"/>
      <c r="AG158" s="4106"/>
      <c r="AH158" s="4106"/>
      <c r="AI158" s="4106"/>
      <c r="AJ158" s="4106"/>
      <c r="AK158" s="4106"/>
      <c r="AL158" s="4106"/>
      <c r="AM158" s="4106"/>
      <c r="AN158" s="4106"/>
      <c r="AO158" s="4106"/>
      <c r="AP158" s="4106"/>
      <c r="AQ158" s="4106"/>
      <c r="AR158" s="4106"/>
      <c r="AS158" s="4106"/>
      <c r="AT158" s="4106"/>
      <c r="AU158" s="4106"/>
      <c r="AV158" s="4106"/>
      <c r="AW158" s="4106"/>
      <c r="AX158" s="4106"/>
      <c r="AY158" s="4106"/>
      <c r="AZ158" s="4106"/>
      <c r="BA158" s="4106"/>
      <c r="BB158" s="4106"/>
      <c r="BC158" s="4106"/>
      <c r="BD158" s="4106"/>
      <c r="BE158" s="4106"/>
      <c r="BF158" s="4106"/>
      <c r="BG158" s="4106"/>
      <c r="BH158" s="4106"/>
      <c r="BI158" s="4106"/>
      <c r="BJ158" s="4100"/>
      <c r="BK158" s="4100"/>
      <c r="BL158" s="4100"/>
      <c r="BM158" s="4103"/>
      <c r="BN158" s="4100"/>
      <c r="BO158" s="4100"/>
      <c r="BP158" s="3075"/>
      <c r="BQ158" s="3019"/>
      <c r="BR158" s="3019"/>
      <c r="BS158" s="3019"/>
      <c r="BT158" s="3019"/>
      <c r="BU158" s="3050"/>
    </row>
    <row r="159" spans="1:73" x14ac:dyDescent="0.25">
      <c r="A159" s="2018"/>
      <c r="B159" s="1997"/>
      <c r="C159" s="1984"/>
      <c r="D159" s="1982"/>
      <c r="G159" s="4084"/>
      <c r="H159" s="4239"/>
      <c r="I159" s="4084"/>
      <c r="J159" s="4239"/>
      <c r="K159" s="4084"/>
      <c r="L159" s="4242"/>
      <c r="M159" s="4084"/>
      <c r="N159" s="4242"/>
      <c r="O159" s="4201"/>
      <c r="P159" s="4128"/>
      <c r="Q159" s="2511"/>
      <c r="R159" s="3214"/>
      <c r="S159" s="4218"/>
      <c r="T159" s="4176"/>
      <c r="U159" s="2771"/>
      <c r="V159" s="2930"/>
      <c r="W159" s="4220"/>
      <c r="X159" s="801">
        <v>6266800</v>
      </c>
      <c r="Y159" s="801">
        <v>6266800</v>
      </c>
      <c r="Z159" s="801">
        <v>6266800</v>
      </c>
      <c r="AA159" s="1977" t="s">
        <v>1062</v>
      </c>
      <c r="AB159" s="4223"/>
      <c r="AC159" s="4119"/>
      <c r="AD159" s="4106"/>
      <c r="AE159" s="4106"/>
      <c r="AF159" s="4106"/>
      <c r="AG159" s="4106"/>
      <c r="AH159" s="4106"/>
      <c r="AI159" s="4106"/>
      <c r="AJ159" s="4106"/>
      <c r="AK159" s="4106"/>
      <c r="AL159" s="4106"/>
      <c r="AM159" s="4106"/>
      <c r="AN159" s="4106"/>
      <c r="AO159" s="4106"/>
      <c r="AP159" s="4106"/>
      <c r="AQ159" s="4106"/>
      <c r="AR159" s="4106"/>
      <c r="AS159" s="4106"/>
      <c r="AT159" s="4106"/>
      <c r="AU159" s="4106"/>
      <c r="AV159" s="4106"/>
      <c r="AW159" s="4106"/>
      <c r="AX159" s="4106"/>
      <c r="AY159" s="4106"/>
      <c r="AZ159" s="4106"/>
      <c r="BA159" s="4106"/>
      <c r="BB159" s="4106"/>
      <c r="BC159" s="4106"/>
      <c r="BD159" s="4106"/>
      <c r="BE159" s="4106"/>
      <c r="BF159" s="4106"/>
      <c r="BG159" s="4106"/>
      <c r="BH159" s="4106"/>
      <c r="BI159" s="4106"/>
      <c r="BJ159" s="4100"/>
      <c r="BK159" s="4100"/>
      <c r="BL159" s="4100"/>
      <c r="BM159" s="4103"/>
      <c r="BN159" s="4100"/>
      <c r="BO159" s="4100"/>
      <c r="BP159" s="3075"/>
      <c r="BQ159" s="3019"/>
      <c r="BR159" s="3019"/>
      <c r="BS159" s="3019"/>
      <c r="BT159" s="3019"/>
      <c r="BU159" s="3050"/>
    </row>
    <row r="160" spans="1:73" ht="30" customHeight="1" x14ac:dyDescent="0.25">
      <c r="A160" s="2018"/>
      <c r="B160" s="1997"/>
      <c r="C160" s="1984"/>
      <c r="D160" s="1982"/>
      <c r="G160" s="4084"/>
      <c r="H160" s="4239"/>
      <c r="I160" s="4084"/>
      <c r="J160" s="4239"/>
      <c r="K160" s="4084"/>
      <c r="L160" s="4242"/>
      <c r="M160" s="4084"/>
      <c r="N160" s="4242"/>
      <c r="O160" s="4201"/>
      <c r="P160" s="4128"/>
      <c r="Q160" s="2511"/>
      <c r="R160" s="3214"/>
      <c r="S160" s="4218"/>
      <c r="T160" s="4176"/>
      <c r="U160" s="2771"/>
      <c r="V160" s="2930"/>
      <c r="W160" s="4220"/>
      <c r="X160" s="801">
        <v>346425179.14999998</v>
      </c>
      <c r="Y160" s="801">
        <v>346425179.14999998</v>
      </c>
      <c r="Z160" s="801">
        <v>346425179.14999998</v>
      </c>
      <c r="AA160" s="1977" t="s">
        <v>1063</v>
      </c>
      <c r="AB160" s="4223"/>
      <c r="AC160" s="4119"/>
      <c r="AD160" s="4106"/>
      <c r="AE160" s="4106"/>
      <c r="AF160" s="4106"/>
      <c r="AG160" s="4106"/>
      <c r="AH160" s="4106"/>
      <c r="AI160" s="4106"/>
      <c r="AJ160" s="4106"/>
      <c r="AK160" s="4106"/>
      <c r="AL160" s="4106"/>
      <c r="AM160" s="4106"/>
      <c r="AN160" s="4106"/>
      <c r="AO160" s="4106"/>
      <c r="AP160" s="4106"/>
      <c r="AQ160" s="4106"/>
      <c r="AR160" s="4106"/>
      <c r="AS160" s="4106"/>
      <c r="AT160" s="4106"/>
      <c r="AU160" s="4106"/>
      <c r="AV160" s="4106"/>
      <c r="AW160" s="4106"/>
      <c r="AX160" s="4106"/>
      <c r="AY160" s="4106"/>
      <c r="AZ160" s="4106"/>
      <c r="BA160" s="4106"/>
      <c r="BB160" s="4106"/>
      <c r="BC160" s="4106"/>
      <c r="BD160" s="4106"/>
      <c r="BE160" s="4106"/>
      <c r="BF160" s="4106"/>
      <c r="BG160" s="4106"/>
      <c r="BH160" s="4106"/>
      <c r="BI160" s="4106"/>
      <c r="BJ160" s="4100"/>
      <c r="BK160" s="4100"/>
      <c r="BL160" s="4100"/>
      <c r="BM160" s="4103"/>
      <c r="BN160" s="4100"/>
      <c r="BO160" s="4100"/>
      <c r="BP160" s="3075"/>
      <c r="BQ160" s="3019"/>
      <c r="BR160" s="3019"/>
      <c r="BS160" s="3019"/>
      <c r="BT160" s="3019"/>
      <c r="BU160" s="3050"/>
    </row>
    <row r="161" spans="1:73" x14ac:dyDescent="0.25">
      <c r="A161" s="2018"/>
      <c r="B161" s="1997"/>
      <c r="C161" s="1984"/>
      <c r="D161" s="1982"/>
      <c r="G161" s="4084"/>
      <c r="H161" s="4239"/>
      <c r="I161" s="4084"/>
      <c r="J161" s="4239"/>
      <c r="K161" s="4084"/>
      <c r="L161" s="4242"/>
      <c r="M161" s="4084"/>
      <c r="N161" s="4242"/>
      <c r="O161" s="4201"/>
      <c r="P161" s="4128"/>
      <c r="Q161" s="2511"/>
      <c r="R161" s="4198"/>
      <c r="S161" s="4218"/>
      <c r="T161" s="4176"/>
      <c r="U161" s="2771"/>
      <c r="V161" s="2930"/>
      <c r="W161" s="4220"/>
      <c r="X161" s="801">
        <v>407319</v>
      </c>
      <c r="Y161" s="801">
        <v>407319</v>
      </c>
      <c r="Z161" s="801">
        <v>407319</v>
      </c>
      <c r="AA161" s="1977" t="s">
        <v>1064</v>
      </c>
      <c r="AB161" s="4223"/>
      <c r="AC161" s="4119"/>
      <c r="AD161" s="4106"/>
      <c r="AE161" s="4106"/>
      <c r="AF161" s="4106"/>
      <c r="AG161" s="4106"/>
      <c r="AH161" s="4106"/>
      <c r="AI161" s="4106"/>
      <c r="AJ161" s="4106"/>
      <c r="AK161" s="4106"/>
      <c r="AL161" s="4106"/>
      <c r="AM161" s="4106"/>
      <c r="AN161" s="4106"/>
      <c r="AO161" s="4106"/>
      <c r="AP161" s="4106"/>
      <c r="AQ161" s="4106"/>
      <c r="AR161" s="4106"/>
      <c r="AS161" s="4106"/>
      <c r="AT161" s="4106"/>
      <c r="AU161" s="4106"/>
      <c r="AV161" s="4106"/>
      <c r="AW161" s="4106"/>
      <c r="AX161" s="4106"/>
      <c r="AY161" s="4106"/>
      <c r="AZ161" s="4106"/>
      <c r="BA161" s="4106"/>
      <c r="BB161" s="4106"/>
      <c r="BC161" s="4106"/>
      <c r="BD161" s="4106"/>
      <c r="BE161" s="4106"/>
      <c r="BF161" s="4106"/>
      <c r="BG161" s="4106"/>
      <c r="BH161" s="4106"/>
      <c r="BI161" s="4106"/>
      <c r="BJ161" s="4100"/>
      <c r="BK161" s="4100"/>
      <c r="BL161" s="4100"/>
      <c r="BM161" s="4103"/>
      <c r="BN161" s="4100"/>
      <c r="BO161" s="4100"/>
      <c r="BP161" s="3075"/>
      <c r="BQ161" s="3019"/>
      <c r="BR161" s="3019"/>
      <c r="BS161" s="3019"/>
      <c r="BT161" s="3019"/>
      <c r="BU161" s="3050"/>
    </row>
    <row r="162" spans="1:73" x14ac:dyDescent="0.25">
      <c r="A162" s="2018"/>
      <c r="B162" s="1997"/>
      <c r="C162" s="1984"/>
      <c r="D162" s="1982"/>
      <c r="G162" s="4084"/>
      <c r="H162" s="4239"/>
      <c r="I162" s="4084"/>
      <c r="J162" s="4239"/>
      <c r="K162" s="4084"/>
      <c r="L162" s="4242"/>
      <c r="M162" s="4084"/>
      <c r="N162" s="4242"/>
      <c r="O162" s="4201"/>
      <c r="P162" s="4128"/>
      <c r="Q162" s="2511"/>
      <c r="R162" s="3214"/>
      <c r="S162" s="4218"/>
      <c r="T162" s="4176"/>
      <c r="U162" s="2771"/>
      <c r="V162" s="2930"/>
      <c r="W162" s="4220"/>
      <c r="X162" s="801">
        <v>10683758199</v>
      </c>
      <c r="Y162" s="801">
        <v>10683758199</v>
      </c>
      <c r="Z162" s="801">
        <v>10683758199</v>
      </c>
      <c r="AA162" s="1977" t="s">
        <v>1065</v>
      </c>
      <c r="AB162" s="4223"/>
      <c r="AC162" s="4119"/>
      <c r="AD162" s="4106"/>
      <c r="AE162" s="4106"/>
      <c r="AF162" s="4106"/>
      <c r="AG162" s="4106"/>
      <c r="AH162" s="4106"/>
      <c r="AI162" s="4106"/>
      <c r="AJ162" s="4106"/>
      <c r="AK162" s="4106"/>
      <c r="AL162" s="4106"/>
      <c r="AM162" s="4106"/>
      <c r="AN162" s="4106"/>
      <c r="AO162" s="4106"/>
      <c r="AP162" s="4106"/>
      <c r="AQ162" s="4106"/>
      <c r="AR162" s="4106"/>
      <c r="AS162" s="4106"/>
      <c r="AT162" s="4106"/>
      <c r="AU162" s="4106"/>
      <c r="AV162" s="4106"/>
      <c r="AW162" s="4106"/>
      <c r="AX162" s="4106"/>
      <c r="AY162" s="4106"/>
      <c r="AZ162" s="4106"/>
      <c r="BA162" s="4106"/>
      <c r="BB162" s="4106"/>
      <c r="BC162" s="4106"/>
      <c r="BD162" s="4106"/>
      <c r="BE162" s="4106"/>
      <c r="BF162" s="4106"/>
      <c r="BG162" s="4106"/>
      <c r="BH162" s="4106"/>
      <c r="BI162" s="4106"/>
      <c r="BJ162" s="4100"/>
      <c r="BK162" s="4100"/>
      <c r="BL162" s="4100"/>
      <c r="BM162" s="4103"/>
      <c r="BN162" s="4100"/>
      <c r="BO162" s="4100"/>
      <c r="BP162" s="3075"/>
      <c r="BQ162" s="3019"/>
      <c r="BR162" s="3019"/>
      <c r="BS162" s="3019"/>
      <c r="BT162" s="3019"/>
      <c r="BU162" s="3050"/>
    </row>
    <row r="163" spans="1:73" x14ac:dyDescent="0.25">
      <c r="A163" s="2018"/>
      <c r="B163" s="1997"/>
      <c r="C163" s="1984"/>
      <c r="D163" s="1982"/>
      <c r="G163" s="4084"/>
      <c r="H163" s="4239"/>
      <c r="I163" s="4084"/>
      <c r="J163" s="4239"/>
      <c r="K163" s="4084"/>
      <c r="L163" s="4242"/>
      <c r="M163" s="4084"/>
      <c r="N163" s="4242"/>
      <c r="O163" s="4201"/>
      <c r="P163" s="4128"/>
      <c r="Q163" s="2511"/>
      <c r="R163" s="3214"/>
      <c r="S163" s="4218"/>
      <c r="T163" s="4176"/>
      <c r="U163" s="2771"/>
      <c r="V163" s="2930"/>
      <c r="W163" s="4220"/>
      <c r="X163" s="801">
        <v>72566643</v>
      </c>
      <c r="Y163" s="801">
        <v>72566643</v>
      </c>
      <c r="Z163" s="801">
        <v>72566643</v>
      </c>
      <c r="AA163" s="1977" t="s">
        <v>1066</v>
      </c>
      <c r="AB163" s="4223"/>
      <c r="AC163" s="4119"/>
      <c r="AD163" s="4106"/>
      <c r="AE163" s="4106"/>
      <c r="AF163" s="4106"/>
      <c r="AG163" s="4106"/>
      <c r="AH163" s="4106"/>
      <c r="AI163" s="4106"/>
      <c r="AJ163" s="4106"/>
      <c r="AK163" s="4106"/>
      <c r="AL163" s="4106"/>
      <c r="AM163" s="4106"/>
      <c r="AN163" s="4106"/>
      <c r="AO163" s="4106"/>
      <c r="AP163" s="4106"/>
      <c r="AQ163" s="4106"/>
      <c r="AR163" s="4106"/>
      <c r="AS163" s="4106"/>
      <c r="AT163" s="4106"/>
      <c r="AU163" s="4106"/>
      <c r="AV163" s="4106"/>
      <c r="AW163" s="4106"/>
      <c r="AX163" s="4106"/>
      <c r="AY163" s="4106"/>
      <c r="AZ163" s="4106"/>
      <c r="BA163" s="4106"/>
      <c r="BB163" s="4106"/>
      <c r="BC163" s="4106"/>
      <c r="BD163" s="4106"/>
      <c r="BE163" s="4106"/>
      <c r="BF163" s="4106"/>
      <c r="BG163" s="4106"/>
      <c r="BH163" s="4106"/>
      <c r="BI163" s="4106"/>
      <c r="BJ163" s="4100"/>
      <c r="BK163" s="4100"/>
      <c r="BL163" s="4100"/>
      <c r="BM163" s="4103"/>
      <c r="BN163" s="4100"/>
      <c r="BO163" s="4100"/>
      <c r="BP163" s="3075"/>
      <c r="BQ163" s="3019"/>
      <c r="BR163" s="3019"/>
      <c r="BS163" s="3019"/>
      <c r="BT163" s="3019"/>
      <c r="BU163" s="3050"/>
    </row>
    <row r="164" spans="1:73" x14ac:dyDescent="0.25">
      <c r="A164" s="2018"/>
      <c r="B164" s="1997"/>
      <c r="C164" s="1984"/>
      <c r="D164" s="1982"/>
      <c r="G164" s="4084"/>
      <c r="H164" s="4239"/>
      <c r="I164" s="4084"/>
      <c r="J164" s="4239"/>
      <c r="K164" s="4084"/>
      <c r="L164" s="4242"/>
      <c r="M164" s="4084"/>
      <c r="N164" s="4242"/>
      <c r="O164" s="4201"/>
      <c r="P164" s="4128"/>
      <c r="Q164" s="2511"/>
      <c r="R164" s="3214"/>
      <c r="S164" s="4218"/>
      <c r="T164" s="4176"/>
      <c r="U164" s="2771"/>
      <c r="V164" s="2930"/>
      <c r="W164" s="4220"/>
      <c r="X164" s="801">
        <v>69840</v>
      </c>
      <c r="Y164" s="801">
        <v>69840</v>
      </c>
      <c r="Z164" s="801">
        <v>69840</v>
      </c>
      <c r="AA164" s="1977" t="s">
        <v>1067</v>
      </c>
      <c r="AB164" s="4223"/>
      <c r="AC164" s="4119"/>
      <c r="AD164" s="4106"/>
      <c r="AE164" s="4106"/>
      <c r="AF164" s="4106"/>
      <c r="AG164" s="4106"/>
      <c r="AH164" s="4106"/>
      <c r="AI164" s="4106"/>
      <c r="AJ164" s="4106"/>
      <c r="AK164" s="4106"/>
      <c r="AL164" s="4106"/>
      <c r="AM164" s="4106"/>
      <c r="AN164" s="4106"/>
      <c r="AO164" s="4106"/>
      <c r="AP164" s="4106"/>
      <c r="AQ164" s="4106"/>
      <c r="AR164" s="4106"/>
      <c r="AS164" s="4106"/>
      <c r="AT164" s="4106"/>
      <c r="AU164" s="4106"/>
      <c r="AV164" s="4106"/>
      <c r="AW164" s="4106"/>
      <c r="AX164" s="4106"/>
      <c r="AY164" s="4106"/>
      <c r="AZ164" s="4106"/>
      <c r="BA164" s="4106"/>
      <c r="BB164" s="4106"/>
      <c r="BC164" s="4106"/>
      <c r="BD164" s="4106"/>
      <c r="BE164" s="4106"/>
      <c r="BF164" s="4106"/>
      <c r="BG164" s="4106"/>
      <c r="BH164" s="4106"/>
      <c r="BI164" s="4106"/>
      <c r="BJ164" s="4100"/>
      <c r="BK164" s="4100"/>
      <c r="BL164" s="4100"/>
      <c r="BM164" s="4103"/>
      <c r="BN164" s="4100"/>
      <c r="BO164" s="4100"/>
      <c r="BP164" s="3075"/>
      <c r="BQ164" s="3019"/>
      <c r="BR164" s="3019"/>
      <c r="BS164" s="3019"/>
      <c r="BT164" s="3019"/>
      <c r="BU164" s="3050"/>
    </row>
    <row r="165" spans="1:73" x14ac:dyDescent="0.25">
      <c r="A165" s="2018"/>
      <c r="B165" s="1997"/>
      <c r="C165" s="1984"/>
      <c r="D165" s="1982"/>
      <c r="G165" s="4084"/>
      <c r="H165" s="4239"/>
      <c r="I165" s="4084"/>
      <c r="J165" s="4239"/>
      <c r="K165" s="4084"/>
      <c r="L165" s="4242"/>
      <c r="M165" s="4084"/>
      <c r="N165" s="4242"/>
      <c r="O165" s="4201"/>
      <c r="P165" s="4128"/>
      <c r="Q165" s="2511"/>
      <c r="R165" s="3214"/>
      <c r="S165" s="4218"/>
      <c r="T165" s="4176"/>
      <c r="U165" s="2771"/>
      <c r="V165" s="2930"/>
      <c r="W165" s="4220"/>
      <c r="X165" s="801">
        <v>479895784</v>
      </c>
      <c r="Y165" s="801">
        <v>479895784</v>
      </c>
      <c r="Z165" s="801">
        <v>479895784</v>
      </c>
      <c r="AA165" s="1977" t="s">
        <v>1068</v>
      </c>
      <c r="AB165" s="4223"/>
      <c r="AC165" s="4119"/>
      <c r="AD165" s="4106"/>
      <c r="AE165" s="4106"/>
      <c r="AF165" s="4106"/>
      <c r="AG165" s="4106"/>
      <c r="AH165" s="4106"/>
      <c r="AI165" s="4106"/>
      <c r="AJ165" s="4106"/>
      <c r="AK165" s="4106"/>
      <c r="AL165" s="4106"/>
      <c r="AM165" s="4106"/>
      <c r="AN165" s="4106"/>
      <c r="AO165" s="4106"/>
      <c r="AP165" s="4106"/>
      <c r="AQ165" s="4106"/>
      <c r="AR165" s="4106"/>
      <c r="AS165" s="4106"/>
      <c r="AT165" s="4106"/>
      <c r="AU165" s="4106"/>
      <c r="AV165" s="4106"/>
      <c r="AW165" s="4106"/>
      <c r="AX165" s="4106"/>
      <c r="AY165" s="4106"/>
      <c r="AZ165" s="4106"/>
      <c r="BA165" s="4106"/>
      <c r="BB165" s="4106"/>
      <c r="BC165" s="4106"/>
      <c r="BD165" s="4106"/>
      <c r="BE165" s="4106"/>
      <c r="BF165" s="4106"/>
      <c r="BG165" s="4106"/>
      <c r="BH165" s="4106"/>
      <c r="BI165" s="4106"/>
      <c r="BJ165" s="4100"/>
      <c r="BK165" s="4100"/>
      <c r="BL165" s="4100"/>
      <c r="BM165" s="4103"/>
      <c r="BN165" s="4100"/>
      <c r="BO165" s="4100"/>
      <c r="BP165" s="3075"/>
      <c r="BQ165" s="3019"/>
      <c r="BR165" s="3019"/>
      <c r="BS165" s="3019"/>
      <c r="BT165" s="3019"/>
      <c r="BU165" s="3050"/>
    </row>
    <row r="166" spans="1:73" x14ac:dyDescent="0.25">
      <c r="A166" s="2018"/>
      <c r="B166" s="1997"/>
      <c r="C166" s="1984"/>
      <c r="D166" s="1982"/>
      <c r="G166" s="4084"/>
      <c r="H166" s="4239"/>
      <c r="I166" s="4084"/>
      <c r="J166" s="4239"/>
      <c r="K166" s="4084"/>
      <c r="L166" s="4242"/>
      <c r="M166" s="4084"/>
      <c r="N166" s="4242"/>
      <c r="O166" s="4201"/>
      <c r="P166" s="4128"/>
      <c r="Q166" s="2511"/>
      <c r="R166" s="3214"/>
      <c r="S166" s="4218"/>
      <c r="T166" s="4176"/>
      <c r="U166" s="2771"/>
      <c r="V166" s="2930"/>
      <c r="W166" s="4220"/>
      <c r="X166" s="801">
        <v>1021158072</v>
      </c>
      <c r="Y166" s="801">
        <v>1021158072</v>
      </c>
      <c r="Z166" s="801">
        <v>1021158072</v>
      </c>
      <c r="AA166" s="1977" t="s">
        <v>1069</v>
      </c>
      <c r="AB166" s="4223"/>
      <c r="AC166" s="4119"/>
      <c r="AD166" s="4106"/>
      <c r="AE166" s="4106"/>
      <c r="AF166" s="4106"/>
      <c r="AG166" s="4106"/>
      <c r="AH166" s="4106"/>
      <c r="AI166" s="4106"/>
      <c r="AJ166" s="4106"/>
      <c r="AK166" s="4106"/>
      <c r="AL166" s="4106"/>
      <c r="AM166" s="4106"/>
      <c r="AN166" s="4106"/>
      <c r="AO166" s="4106"/>
      <c r="AP166" s="4106"/>
      <c r="AQ166" s="4106"/>
      <c r="AR166" s="4106"/>
      <c r="AS166" s="4106"/>
      <c r="AT166" s="4106"/>
      <c r="AU166" s="4106"/>
      <c r="AV166" s="4106"/>
      <c r="AW166" s="4106"/>
      <c r="AX166" s="4106"/>
      <c r="AY166" s="4106"/>
      <c r="AZ166" s="4106"/>
      <c r="BA166" s="4106"/>
      <c r="BB166" s="4106"/>
      <c r="BC166" s="4106"/>
      <c r="BD166" s="4106"/>
      <c r="BE166" s="4106"/>
      <c r="BF166" s="4106"/>
      <c r="BG166" s="4106"/>
      <c r="BH166" s="4106"/>
      <c r="BI166" s="4106"/>
      <c r="BJ166" s="4100"/>
      <c r="BK166" s="4100"/>
      <c r="BL166" s="4100"/>
      <c r="BM166" s="4103"/>
      <c r="BN166" s="4100"/>
      <c r="BO166" s="4100"/>
      <c r="BP166" s="3075"/>
      <c r="BQ166" s="3019"/>
      <c r="BR166" s="3019"/>
      <c r="BS166" s="3019"/>
      <c r="BT166" s="3019"/>
      <c r="BU166" s="3050"/>
    </row>
    <row r="167" spans="1:73" x14ac:dyDescent="0.25">
      <c r="A167" s="2018"/>
      <c r="B167" s="1997"/>
      <c r="C167" s="1984"/>
      <c r="D167" s="1982"/>
      <c r="G167" s="4084"/>
      <c r="H167" s="4239"/>
      <c r="I167" s="4084"/>
      <c r="J167" s="4239"/>
      <c r="K167" s="4084"/>
      <c r="L167" s="4242"/>
      <c r="M167" s="4084"/>
      <c r="N167" s="4242"/>
      <c r="O167" s="4201"/>
      <c r="P167" s="4128"/>
      <c r="Q167" s="2511"/>
      <c r="R167" s="3214"/>
      <c r="S167" s="4218"/>
      <c r="T167" s="4176"/>
      <c r="U167" s="2771"/>
      <c r="V167" s="2930"/>
      <c r="W167" s="4220"/>
      <c r="X167" s="801">
        <v>480369457</v>
      </c>
      <c r="Y167" s="801">
        <v>480369457</v>
      </c>
      <c r="Z167" s="801">
        <v>480369457</v>
      </c>
      <c r="AA167" s="1977" t="s">
        <v>1070</v>
      </c>
      <c r="AB167" s="4223"/>
      <c r="AC167" s="4119"/>
      <c r="AD167" s="4106"/>
      <c r="AE167" s="4106"/>
      <c r="AF167" s="4106"/>
      <c r="AG167" s="4106"/>
      <c r="AH167" s="4106"/>
      <c r="AI167" s="4106"/>
      <c r="AJ167" s="4106"/>
      <c r="AK167" s="4106"/>
      <c r="AL167" s="4106"/>
      <c r="AM167" s="4106"/>
      <c r="AN167" s="4106"/>
      <c r="AO167" s="4106"/>
      <c r="AP167" s="4106"/>
      <c r="AQ167" s="4106"/>
      <c r="AR167" s="4106"/>
      <c r="AS167" s="4106"/>
      <c r="AT167" s="4106"/>
      <c r="AU167" s="4106"/>
      <c r="AV167" s="4106"/>
      <c r="AW167" s="4106"/>
      <c r="AX167" s="4106"/>
      <c r="AY167" s="4106"/>
      <c r="AZ167" s="4106"/>
      <c r="BA167" s="4106"/>
      <c r="BB167" s="4106"/>
      <c r="BC167" s="4106"/>
      <c r="BD167" s="4106"/>
      <c r="BE167" s="4106"/>
      <c r="BF167" s="4106"/>
      <c r="BG167" s="4106"/>
      <c r="BH167" s="4106"/>
      <c r="BI167" s="4106"/>
      <c r="BJ167" s="4100"/>
      <c r="BK167" s="4100"/>
      <c r="BL167" s="4100"/>
      <c r="BM167" s="4103"/>
      <c r="BN167" s="4100"/>
      <c r="BO167" s="4100"/>
      <c r="BP167" s="3075"/>
      <c r="BQ167" s="3019"/>
      <c r="BR167" s="3019"/>
      <c r="BS167" s="3019"/>
      <c r="BT167" s="3019"/>
      <c r="BU167" s="3050"/>
    </row>
    <row r="168" spans="1:73" x14ac:dyDescent="0.25">
      <c r="A168" s="2018"/>
      <c r="B168" s="1997"/>
      <c r="C168" s="1984"/>
      <c r="D168" s="1982"/>
      <c r="G168" s="4084"/>
      <c r="H168" s="4239"/>
      <c r="I168" s="4084"/>
      <c r="J168" s="4239"/>
      <c r="K168" s="4084"/>
      <c r="L168" s="4242"/>
      <c r="M168" s="4084"/>
      <c r="N168" s="4242"/>
      <c r="O168" s="4201"/>
      <c r="P168" s="4128"/>
      <c r="Q168" s="2511"/>
      <c r="R168" s="3214"/>
      <c r="S168" s="4218"/>
      <c r="T168" s="4176"/>
      <c r="U168" s="2771"/>
      <c r="V168" s="2930"/>
      <c r="W168" s="4220"/>
      <c r="X168" s="801">
        <v>500311200</v>
      </c>
      <c r="Y168" s="801">
        <v>500311200</v>
      </c>
      <c r="Z168" s="801">
        <v>500311200</v>
      </c>
      <c r="AA168" s="1977" t="s">
        <v>1071</v>
      </c>
      <c r="AB168" s="4223"/>
      <c r="AC168" s="4119"/>
      <c r="AD168" s="4106"/>
      <c r="AE168" s="4106"/>
      <c r="AF168" s="4106"/>
      <c r="AG168" s="4106"/>
      <c r="AH168" s="4106"/>
      <c r="AI168" s="4106"/>
      <c r="AJ168" s="4106"/>
      <c r="AK168" s="4106"/>
      <c r="AL168" s="4106"/>
      <c r="AM168" s="4106"/>
      <c r="AN168" s="4106"/>
      <c r="AO168" s="4106"/>
      <c r="AP168" s="4106"/>
      <c r="AQ168" s="4106"/>
      <c r="AR168" s="4106"/>
      <c r="AS168" s="4106"/>
      <c r="AT168" s="4106"/>
      <c r="AU168" s="4106"/>
      <c r="AV168" s="4106"/>
      <c r="AW168" s="4106"/>
      <c r="AX168" s="4106"/>
      <c r="AY168" s="4106"/>
      <c r="AZ168" s="4106"/>
      <c r="BA168" s="4106"/>
      <c r="BB168" s="4106"/>
      <c r="BC168" s="4106"/>
      <c r="BD168" s="4106"/>
      <c r="BE168" s="4106"/>
      <c r="BF168" s="4106"/>
      <c r="BG168" s="4106"/>
      <c r="BH168" s="4106"/>
      <c r="BI168" s="4106"/>
      <c r="BJ168" s="4100"/>
      <c r="BK168" s="4100"/>
      <c r="BL168" s="4100"/>
      <c r="BM168" s="4103"/>
      <c r="BN168" s="4100"/>
      <c r="BO168" s="4100"/>
      <c r="BP168" s="3075"/>
      <c r="BQ168" s="3019"/>
      <c r="BR168" s="3019"/>
      <c r="BS168" s="3019"/>
      <c r="BT168" s="3019"/>
      <c r="BU168" s="3050"/>
    </row>
    <row r="169" spans="1:73" x14ac:dyDescent="0.25">
      <c r="A169" s="2018"/>
      <c r="B169" s="1997"/>
      <c r="C169" s="1984"/>
      <c r="D169" s="1982"/>
      <c r="G169" s="4084"/>
      <c r="H169" s="4239"/>
      <c r="I169" s="4084"/>
      <c r="J169" s="4239"/>
      <c r="K169" s="4084"/>
      <c r="L169" s="4242"/>
      <c r="M169" s="4084"/>
      <c r="N169" s="4242"/>
      <c r="O169" s="4201"/>
      <c r="P169" s="4128"/>
      <c r="Q169" s="2511"/>
      <c r="R169" s="3214"/>
      <c r="S169" s="4218"/>
      <c r="T169" s="4176"/>
      <c r="U169" s="2771"/>
      <c r="V169" s="2930"/>
      <c r="W169" s="4220"/>
      <c r="X169" s="801">
        <v>375292600</v>
      </c>
      <c r="Y169" s="801">
        <v>375292600</v>
      </c>
      <c r="Z169" s="801">
        <v>375292600</v>
      </c>
      <c r="AA169" s="1977" t="s">
        <v>1072</v>
      </c>
      <c r="AB169" s="4223"/>
      <c r="AC169" s="4119"/>
      <c r="AD169" s="4106"/>
      <c r="AE169" s="4106"/>
      <c r="AF169" s="4106"/>
      <c r="AG169" s="4106"/>
      <c r="AH169" s="4106"/>
      <c r="AI169" s="4106"/>
      <c r="AJ169" s="4106"/>
      <c r="AK169" s="4106"/>
      <c r="AL169" s="4106"/>
      <c r="AM169" s="4106"/>
      <c r="AN169" s="4106"/>
      <c r="AO169" s="4106"/>
      <c r="AP169" s="4106"/>
      <c r="AQ169" s="4106"/>
      <c r="AR169" s="4106"/>
      <c r="AS169" s="4106"/>
      <c r="AT169" s="4106"/>
      <c r="AU169" s="4106"/>
      <c r="AV169" s="4106"/>
      <c r="AW169" s="4106"/>
      <c r="AX169" s="4106"/>
      <c r="AY169" s="4106"/>
      <c r="AZ169" s="4106"/>
      <c r="BA169" s="4106"/>
      <c r="BB169" s="4106"/>
      <c r="BC169" s="4106"/>
      <c r="BD169" s="4106"/>
      <c r="BE169" s="4106"/>
      <c r="BF169" s="4106"/>
      <c r="BG169" s="4106"/>
      <c r="BH169" s="4106"/>
      <c r="BI169" s="4106"/>
      <c r="BJ169" s="4100"/>
      <c r="BK169" s="4100"/>
      <c r="BL169" s="4100"/>
      <c r="BM169" s="4103"/>
      <c r="BN169" s="4100"/>
      <c r="BO169" s="4100"/>
      <c r="BP169" s="3075"/>
      <c r="BQ169" s="3019"/>
      <c r="BR169" s="3019"/>
      <c r="BS169" s="3019"/>
      <c r="BT169" s="3019"/>
      <c r="BU169" s="3050"/>
    </row>
    <row r="170" spans="1:73" x14ac:dyDescent="0.25">
      <c r="A170" s="2018"/>
      <c r="B170" s="1997"/>
      <c r="C170" s="1984"/>
      <c r="D170" s="1982"/>
      <c r="G170" s="4084"/>
      <c r="H170" s="4239"/>
      <c r="I170" s="4084"/>
      <c r="J170" s="4239"/>
      <c r="K170" s="4084"/>
      <c r="L170" s="4242"/>
      <c r="M170" s="4084"/>
      <c r="N170" s="4242"/>
      <c r="O170" s="4201"/>
      <c r="P170" s="4128"/>
      <c r="Q170" s="2511"/>
      <c r="R170" s="3214"/>
      <c r="S170" s="4218"/>
      <c r="T170" s="4176"/>
      <c r="U170" s="2771"/>
      <c r="V170" s="2930"/>
      <c r="W170" s="4220"/>
      <c r="X170" s="801">
        <v>62647500</v>
      </c>
      <c r="Y170" s="801">
        <v>62647500</v>
      </c>
      <c r="Z170" s="801">
        <v>62647500</v>
      </c>
      <c r="AA170" s="1977" t="s">
        <v>1073</v>
      </c>
      <c r="AB170" s="4223"/>
      <c r="AC170" s="4119"/>
      <c r="AD170" s="4106"/>
      <c r="AE170" s="4106"/>
      <c r="AF170" s="4106"/>
      <c r="AG170" s="4106"/>
      <c r="AH170" s="4106"/>
      <c r="AI170" s="4106"/>
      <c r="AJ170" s="4106"/>
      <c r="AK170" s="4106"/>
      <c r="AL170" s="4106"/>
      <c r="AM170" s="4106"/>
      <c r="AN170" s="4106"/>
      <c r="AO170" s="4106"/>
      <c r="AP170" s="4106"/>
      <c r="AQ170" s="4106"/>
      <c r="AR170" s="4106"/>
      <c r="AS170" s="4106"/>
      <c r="AT170" s="4106"/>
      <c r="AU170" s="4106"/>
      <c r="AV170" s="4106"/>
      <c r="AW170" s="4106"/>
      <c r="AX170" s="4106"/>
      <c r="AY170" s="4106"/>
      <c r="AZ170" s="4106"/>
      <c r="BA170" s="4106"/>
      <c r="BB170" s="4106"/>
      <c r="BC170" s="4106"/>
      <c r="BD170" s="4106"/>
      <c r="BE170" s="4106"/>
      <c r="BF170" s="4106"/>
      <c r="BG170" s="4106"/>
      <c r="BH170" s="4106"/>
      <c r="BI170" s="4106"/>
      <c r="BJ170" s="4100"/>
      <c r="BK170" s="4100"/>
      <c r="BL170" s="4100"/>
      <c r="BM170" s="4103"/>
      <c r="BN170" s="4100"/>
      <c r="BO170" s="4100"/>
      <c r="BP170" s="3075"/>
      <c r="BQ170" s="3019"/>
      <c r="BR170" s="3019"/>
      <c r="BS170" s="3019"/>
      <c r="BT170" s="3019"/>
      <c r="BU170" s="3050"/>
    </row>
    <row r="171" spans="1:73" x14ac:dyDescent="0.25">
      <c r="A171" s="2018"/>
      <c r="B171" s="1997"/>
      <c r="C171" s="1984"/>
      <c r="D171" s="1982"/>
      <c r="G171" s="4084"/>
      <c r="H171" s="4239"/>
      <c r="I171" s="4084"/>
      <c r="J171" s="4239"/>
      <c r="K171" s="4084"/>
      <c r="L171" s="4242"/>
      <c r="M171" s="4084"/>
      <c r="N171" s="4242"/>
      <c r="O171" s="4201"/>
      <c r="P171" s="4128"/>
      <c r="Q171" s="2511"/>
      <c r="R171" s="3214"/>
      <c r="S171" s="4218"/>
      <c r="T171" s="4176"/>
      <c r="U171" s="2771"/>
      <c r="V171" s="2930"/>
      <c r="W171" s="4220"/>
      <c r="X171" s="801">
        <v>62650500</v>
      </c>
      <c r="Y171" s="801">
        <v>62650500</v>
      </c>
      <c r="Z171" s="801">
        <v>62650500</v>
      </c>
      <c r="AA171" s="1977" t="s">
        <v>1074</v>
      </c>
      <c r="AB171" s="4223"/>
      <c r="AC171" s="4119"/>
      <c r="AD171" s="4106"/>
      <c r="AE171" s="4106"/>
      <c r="AF171" s="4106"/>
      <c r="AG171" s="4106"/>
      <c r="AH171" s="4106"/>
      <c r="AI171" s="4106"/>
      <c r="AJ171" s="4106"/>
      <c r="AK171" s="4106"/>
      <c r="AL171" s="4106"/>
      <c r="AM171" s="4106"/>
      <c r="AN171" s="4106"/>
      <c r="AO171" s="4106"/>
      <c r="AP171" s="4106"/>
      <c r="AQ171" s="4106"/>
      <c r="AR171" s="4106"/>
      <c r="AS171" s="4106"/>
      <c r="AT171" s="4106"/>
      <c r="AU171" s="4106"/>
      <c r="AV171" s="4106"/>
      <c r="AW171" s="4106"/>
      <c r="AX171" s="4106"/>
      <c r="AY171" s="4106"/>
      <c r="AZ171" s="4106"/>
      <c r="BA171" s="4106"/>
      <c r="BB171" s="4106"/>
      <c r="BC171" s="4106"/>
      <c r="BD171" s="4106"/>
      <c r="BE171" s="4106"/>
      <c r="BF171" s="4106"/>
      <c r="BG171" s="4106"/>
      <c r="BH171" s="4106"/>
      <c r="BI171" s="4106"/>
      <c r="BJ171" s="4100"/>
      <c r="BK171" s="4100"/>
      <c r="BL171" s="4100"/>
      <c r="BM171" s="4103"/>
      <c r="BN171" s="4100"/>
      <c r="BO171" s="4100"/>
      <c r="BP171" s="3075"/>
      <c r="BQ171" s="3019"/>
      <c r="BR171" s="3019"/>
      <c r="BS171" s="3019"/>
      <c r="BT171" s="3019"/>
      <c r="BU171" s="3050"/>
    </row>
    <row r="172" spans="1:73" x14ac:dyDescent="0.25">
      <c r="A172" s="2018"/>
      <c r="B172" s="1997"/>
      <c r="C172" s="1984"/>
      <c r="D172" s="1982"/>
      <c r="G172" s="4084"/>
      <c r="H172" s="4239"/>
      <c r="I172" s="4084"/>
      <c r="J172" s="4239"/>
      <c r="K172" s="4084"/>
      <c r="L172" s="4242"/>
      <c r="M172" s="4084"/>
      <c r="N172" s="4242"/>
      <c r="O172" s="4201"/>
      <c r="P172" s="4128"/>
      <c r="Q172" s="2511"/>
      <c r="R172" s="3214"/>
      <c r="S172" s="4218"/>
      <c r="T172" s="4176"/>
      <c r="U172" s="2771"/>
      <c r="V172" s="2930"/>
      <c r="W172" s="4220"/>
      <c r="X172" s="801">
        <v>125148000</v>
      </c>
      <c r="Y172" s="806">
        <v>125148000</v>
      </c>
      <c r="Z172" s="806">
        <v>125148000</v>
      </c>
      <c r="AA172" s="1977" t="s">
        <v>1075</v>
      </c>
      <c r="AB172" s="4223"/>
      <c r="AC172" s="4119"/>
      <c r="AD172" s="4106"/>
      <c r="AE172" s="4106"/>
      <c r="AF172" s="4106"/>
      <c r="AG172" s="4106"/>
      <c r="AH172" s="4106"/>
      <c r="AI172" s="4106"/>
      <c r="AJ172" s="4106"/>
      <c r="AK172" s="4106"/>
      <c r="AL172" s="4106"/>
      <c r="AM172" s="4106"/>
      <c r="AN172" s="4106"/>
      <c r="AO172" s="4106"/>
      <c r="AP172" s="4106"/>
      <c r="AQ172" s="4106"/>
      <c r="AR172" s="4106"/>
      <c r="AS172" s="4106"/>
      <c r="AT172" s="4106"/>
      <c r="AU172" s="4106"/>
      <c r="AV172" s="4106"/>
      <c r="AW172" s="4106"/>
      <c r="AX172" s="4106"/>
      <c r="AY172" s="4106"/>
      <c r="AZ172" s="4106"/>
      <c r="BA172" s="4106"/>
      <c r="BB172" s="4106"/>
      <c r="BC172" s="4106"/>
      <c r="BD172" s="4106"/>
      <c r="BE172" s="4106"/>
      <c r="BF172" s="4106"/>
      <c r="BG172" s="4106"/>
      <c r="BH172" s="4106"/>
      <c r="BI172" s="4106"/>
      <c r="BJ172" s="4100"/>
      <c r="BK172" s="4100"/>
      <c r="BL172" s="4100"/>
      <c r="BM172" s="4103"/>
      <c r="BN172" s="4100"/>
      <c r="BO172" s="4100"/>
      <c r="BP172" s="3075"/>
      <c r="BQ172" s="3019"/>
      <c r="BR172" s="3019"/>
      <c r="BS172" s="3019"/>
      <c r="BT172" s="3019"/>
      <c r="BU172" s="3050"/>
    </row>
    <row r="173" spans="1:73" ht="30" customHeight="1" x14ac:dyDescent="0.25">
      <c r="A173" s="2018"/>
      <c r="B173" s="1997"/>
      <c r="C173" s="1984"/>
      <c r="D173" s="1982"/>
      <c r="G173" s="4084"/>
      <c r="H173" s="4239"/>
      <c r="I173" s="4084"/>
      <c r="J173" s="4239"/>
      <c r="K173" s="4084"/>
      <c r="L173" s="4242"/>
      <c r="M173" s="4084"/>
      <c r="N173" s="4242"/>
      <c r="O173" s="4201"/>
      <c r="P173" s="4128"/>
      <c r="Q173" s="2511"/>
      <c r="R173" s="3214"/>
      <c r="S173" s="4218"/>
      <c r="T173" s="4176"/>
      <c r="U173" s="2771"/>
      <c r="V173" s="2930"/>
      <c r="W173" s="4220"/>
      <c r="X173" s="801">
        <v>0</v>
      </c>
      <c r="Y173" s="806">
        <v>0</v>
      </c>
      <c r="Z173" s="806">
        <v>0</v>
      </c>
      <c r="AA173" s="1977" t="s">
        <v>1076</v>
      </c>
      <c r="AB173" s="4223"/>
      <c r="AC173" s="4119"/>
      <c r="AD173" s="4106"/>
      <c r="AE173" s="4106"/>
      <c r="AF173" s="4106"/>
      <c r="AG173" s="4106"/>
      <c r="AH173" s="4106"/>
      <c r="AI173" s="4106"/>
      <c r="AJ173" s="4106"/>
      <c r="AK173" s="4106"/>
      <c r="AL173" s="4106"/>
      <c r="AM173" s="4106"/>
      <c r="AN173" s="4106"/>
      <c r="AO173" s="4106"/>
      <c r="AP173" s="4106"/>
      <c r="AQ173" s="4106"/>
      <c r="AR173" s="4106"/>
      <c r="AS173" s="4106"/>
      <c r="AT173" s="4106"/>
      <c r="AU173" s="4106"/>
      <c r="AV173" s="4106"/>
      <c r="AW173" s="4106"/>
      <c r="AX173" s="4106"/>
      <c r="AY173" s="4106"/>
      <c r="AZ173" s="4106"/>
      <c r="BA173" s="4106"/>
      <c r="BB173" s="4106"/>
      <c r="BC173" s="4106"/>
      <c r="BD173" s="4106"/>
      <c r="BE173" s="4106"/>
      <c r="BF173" s="4106"/>
      <c r="BG173" s="4106"/>
      <c r="BH173" s="4106"/>
      <c r="BI173" s="4106"/>
      <c r="BJ173" s="4100"/>
      <c r="BK173" s="4100"/>
      <c r="BL173" s="4100"/>
      <c r="BM173" s="4103"/>
      <c r="BN173" s="4100"/>
      <c r="BO173" s="4100"/>
      <c r="BP173" s="3075"/>
      <c r="BQ173" s="3019"/>
      <c r="BR173" s="3019"/>
      <c r="BS173" s="3019"/>
      <c r="BT173" s="3019"/>
      <c r="BU173" s="3050"/>
    </row>
    <row r="174" spans="1:73" ht="33" customHeight="1" x14ac:dyDescent="0.25">
      <c r="A174" s="2018"/>
      <c r="B174" s="1997"/>
      <c r="C174" s="1984"/>
      <c r="D174" s="1982"/>
      <c r="G174" s="4084"/>
      <c r="H174" s="4239"/>
      <c r="I174" s="4084"/>
      <c r="J174" s="4239"/>
      <c r="K174" s="4084"/>
      <c r="L174" s="4242"/>
      <c r="M174" s="4084"/>
      <c r="N174" s="4242"/>
      <c r="O174" s="4201"/>
      <c r="P174" s="4128"/>
      <c r="Q174" s="2511"/>
      <c r="R174" s="3214"/>
      <c r="S174" s="4218"/>
      <c r="T174" s="4176"/>
      <c r="U174" s="2771"/>
      <c r="V174" s="2930"/>
      <c r="W174" s="4220"/>
      <c r="X174" s="801">
        <v>0</v>
      </c>
      <c r="Y174" s="806">
        <v>0</v>
      </c>
      <c r="Z174" s="806">
        <v>0</v>
      </c>
      <c r="AA174" s="1977" t="s">
        <v>1077</v>
      </c>
      <c r="AB174" s="4224"/>
      <c r="AC174" s="4227"/>
      <c r="AD174" s="4106"/>
      <c r="AE174" s="4106"/>
      <c r="AF174" s="4106"/>
      <c r="AG174" s="4106"/>
      <c r="AH174" s="4106"/>
      <c r="AI174" s="4106"/>
      <c r="AJ174" s="4106"/>
      <c r="AK174" s="4106"/>
      <c r="AL174" s="4106"/>
      <c r="AM174" s="4106"/>
      <c r="AN174" s="4106"/>
      <c r="AO174" s="4106"/>
      <c r="AP174" s="4106"/>
      <c r="AQ174" s="4106"/>
      <c r="AR174" s="4106"/>
      <c r="AS174" s="4106"/>
      <c r="AT174" s="4106"/>
      <c r="AU174" s="4106"/>
      <c r="AV174" s="4106"/>
      <c r="AW174" s="4106"/>
      <c r="AX174" s="4106"/>
      <c r="AY174" s="4106"/>
      <c r="AZ174" s="4106"/>
      <c r="BA174" s="4106"/>
      <c r="BB174" s="4106"/>
      <c r="BC174" s="4106"/>
      <c r="BD174" s="4106"/>
      <c r="BE174" s="4106"/>
      <c r="BF174" s="4106"/>
      <c r="BG174" s="4106"/>
      <c r="BH174" s="4106"/>
      <c r="BI174" s="4106"/>
      <c r="BJ174" s="4100"/>
      <c r="BK174" s="4100"/>
      <c r="BL174" s="4100"/>
      <c r="BM174" s="4103"/>
      <c r="BN174" s="4100"/>
      <c r="BO174" s="4100"/>
      <c r="BP174" s="3075"/>
      <c r="BQ174" s="3019"/>
      <c r="BR174" s="3019"/>
      <c r="BS174" s="3019"/>
      <c r="BT174" s="3019"/>
      <c r="BU174" s="3050"/>
    </row>
    <row r="175" spans="1:73" ht="33" customHeight="1" x14ac:dyDescent="0.25">
      <c r="A175" s="2018"/>
      <c r="B175" s="1997"/>
      <c r="C175" s="1984"/>
      <c r="D175" s="1982"/>
      <c r="G175" s="4084"/>
      <c r="H175" s="4239"/>
      <c r="I175" s="4084"/>
      <c r="J175" s="4239"/>
      <c r="K175" s="4084"/>
      <c r="L175" s="4242"/>
      <c r="M175" s="4084"/>
      <c r="N175" s="4242"/>
      <c r="O175" s="4201"/>
      <c r="P175" s="4128"/>
      <c r="Q175" s="2511"/>
      <c r="R175" s="3214"/>
      <c r="S175" s="4218"/>
      <c r="T175" s="4176"/>
      <c r="U175" s="2771"/>
      <c r="V175" s="2930"/>
      <c r="W175" s="4220"/>
      <c r="X175" s="801">
        <v>1404327</v>
      </c>
      <c r="Y175" s="801">
        <v>1404327</v>
      </c>
      <c r="Z175" s="801">
        <v>1404327</v>
      </c>
      <c r="AA175" s="814" t="s">
        <v>1078</v>
      </c>
      <c r="AB175" s="821"/>
      <c r="AC175" s="1990"/>
      <c r="AD175" s="4106"/>
      <c r="AE175" s="4106"/>
      <c r="AF175" s="4106"/>
      <c r="AG175" s="4106"/>
      <c r="AH175" s="4106"/>
      <c r="AI175" s="4106"/>
      <c r="AJ175" s="4106"/>
      <c r="AK175" s="4106"/>
      <c r="AL175" s="4106"/>
      <c r="AM175" s="4106"/>
      <c r="AN175" s="4106"/>
      <c r="AO175" s="4106"/>
      <c r="AP175" s="4106"/>
      <c r="AQ175" s="4106"/>
      <c r="AR175" s="4106"/>
      <c r="AS175" s="4106"/>
      <c r="AT175" s="4106"/>
      <c r="AU175" s="4106"/>
      <c r="AV175" s="4106"/>
      <c r="AW175" s="4106"/>
      <c r="AX175" s="4106"/>
      <c r="AY175" s="4106"/>
      <c r="AZ175" s="4106"/>
      <c r="BA175" s="4106"/>
      <c r="BB175" s="4106"/>
      <c r="BC175" s="4106"/>
      <c r="BD175" s="4106"/>
      <c r="BE175" s="4106"/>
      <c r="BF175" s="4106"/>
      <c r="BG175" s="4106"/>
      <c r="BH175" s="4106"/>
      <c r="BI175" s="4106"/>
      <c r="BJ175" s="4100"/>
      <c r="BK175" s="4100"/>
      <c r="BL175" s="4100"/>
      <c r="BM175" s="4103"/>
      <c r="BN175" s="4100"/>
      <c r="BO175" s="4100"/>
      <c r="BP175" s="3075"/>
      <c r="BQ175" s="3019"/>
      <c r="BR175" s="3019"/>
      <c r="BS175" s="3019"/>
      <c r="BT175" s="3019"/>
      <c r="BU175" s="3050"/>
    </row>
    <row r="176" spans="1:73" ht="33" customHeight="1" x14ac:dyDescent="0.25">
      <c r="A176" s="2018"/>
      <c r="B176" s="1997"/>
      <c r="C176" s="1984"/>
      <c r="D176" s="1982"/>
      <c r="G176" s="4084"/>
      <c r="H176" s="4239"/>
      <c r="I176" s="4084"/>
      <c r="J176" s="4239"/>
      <c r="K176" s="4084"/>
      <c r="L176" s="4242"/>
      <c r="M176" s="4084"/>
      <c r="N176" s="4242"/>
      <c r="O176" s="4201"/>
      <c r="P176" s="4128"/>
      <c r="Q176" s="2511"/>
      <c r="R176" s="3214"/>
      <c r="S176" s="4218"/>
      <c r="T176" s="4176"/>
      <c r="U176" s="2771"/>
      <c r="V176" s="2930"/>
      <c r="W176" s="4220"/>
      <c r="X176" s="801">
        <v>1349256</v>
      </c>
      <c r="Y176" s="801">
        <v>1349256</v>
      </c>
      <c r="Z176" s="801">
        <v>1349256</v>
      </c>
      <c r="AA176" s="814" t="s">
        <v>1079</v>
      </c>
      <c r="AB176" s="821"/>
      <c r="AC176" s="1990"/>
      <c r="AD176" s="4106"/>
      <c r="AE176" s="4106"/>
      <c r="AF176" s="4106"/>
      <c r="AG176" s="4106"/>
      <c r="AH176" s="4106"/>
      <c r="AI176" s="4106"/>
      <c r="AJ176" s="4106"/>
      <c r="AK176" s="4106"/>
      <c r="AL176" s="4106"/>
      <c r="AM176" s="4106"/>
      <c r="AN176" s="4106"/>
      <c r="AO176" s="4106"/>
      <c r="AP176" s="4106"/>
      <c r="AQ176" s="4106"/>
      <c r="AR176" s="4106"/>
      <c r="AS176" s="4106"/>
      <c r="AT176" s="4106"/>
      <c r="AU176" s="4106"/>
      <c r="AV176" s="4106"/>
      <c r="AW176" s="4106"/>
      <c r="AX176" s="4106"/>
      <c r="AY176" s="4106"/>
      <c r="AZ176" s="4106"/>
      <c r="BA176" s="4106"/>
      <c r="BB176" s="4106"/>
      <c r="BC176" s="4106"/>
      <c r="BD176" s="4106"/>
      <c r="BE176" s="4106"/>
      <c r="BF176" s="4106"/>
      <c r="BG176" s="4106"/>
      <c r="BH176" s="4106"/>
      <c r="BI176" s="4106"/>
      <c r="BJ176" s="4100"/>
      <c r="BK176" s="4100"/>
      <c r="BL176" s="4100"/>
      <c r="BM176" s="4103"/>
      <c r="BN176" s="4100"/>
      <c r="BO176" s="4100"/>
      <c r="BP176" s="3075"/>
      <c r="BQ176" s="3019"/>
      <c r="BR176" s="3019"/>
      <c r="BS176" s="3019"/>
      <c r="BT176" s="3019"/>
      <c r="BU176" s="3050"/>
    </row>
    <row r="177" spans="1:73" ht="33" customHeight="1" x14ac:dyDescent="0.25">
      <c r="A177" s="2018"/>
      <c r="B177" s="1997"/>
      <c r="C177" s="1984"/>
      <c r="D177" s="1982"/>
      <c r="G177" s="4084"/>
      <c r="H177" s="4239"/>
      <c r="I177" s="4084"/>
      <c r="J177" s="4239"/>
      <c r="K177" s="4084"/>
      <c r="L177" s="4242"/>
      <c r="M177" s="4084"/>
      <c r="N177" s="4242"/>
      <c r="O177" s="4201"/>
      <c r="P177" s="4128"/>
      <c r="Q177" s="2511"/>
      <c r="R177" s="3214"/>
      <c r="S177" s="4218"/>
      <c r="T177" s="4176"/>
      <c r="U177" s="2771"/>
      <c r="V177" s="2930"/>
      <c r="W177" s="4220"/>
      <c r="X177" s="801">
        <v>2697372</v>
      </c>
      <c r="Y177" s="801">
        <v>2697372</v>
      </c>
      <c r="Z177" s="801">
        <v>2697372</v>
      </c>
      <c r="AA177" s="814" t="s">
        <v>1080</v>
      </c>
      <c r="AB177" s="821"/>
      <c r="AC177" s="1990"/>
      <c r="AD177" s="4106"/>
      <c r="AE177" s="4106"/>
      <c r="AF177" s="4106"/>
      <c r="AG177" s="4106"/>
      <c r="AH177" s="4106"/>
      <c r="AI177" s="4106"/>
      <c r="AJ177" s="4106"/>
      <c r="AK177" s="4106"/>
      <c r="AL177" s="4106"/>
      <c r="AM177" s="4106"/>
      <c r="AN177" s="4106"/>
      <c r="AO177" s="4106"/>
      <c r="AP177" s="4106"/>
      <c r="AQ177" s="4106"/>
      <c r="AR177" s="4106"/>
      <c r="AS177" s="4106"/>
      <c r="AT177" s="4106"/>
      <c r="AU177" s="4106"/>
      <c r="AV177" s="4106"/>
      <c r="AW177" s="4106"/>
      <c r="AX177" s="4106"/>
      <c r="AY177" s="4106"/>
      <c r="AZ177" s="4106"/>
      <c r="BA177" s="4106"/>
      <c r="BB177" s="4106"/>
      <c r="BC177" s="4106"/>
      <c r="BD177" s="4106"/>
      <c r="BE177" s="4106"/>
      <c r="BF177" s="4106"/>
      <c r="BG177" s="4106"/>
      <c r="BH177" s="4106"/>
      <c r="BI177" s="4106"/>
      <c r="BJ177" s="4100"/>
      <c r="BK177" s="4100"/>
      <c r="BL177" s="4100"/>
      <c r="BM177" s="4103"/>
      <c r="BN177" s="4100"/>
      <c r="BO177" s="4100"/>
      <c r="BP177" s="3075"/>
      <c r="BQ177" s="3019"/>
      <c r="BR177" s="3019"/>
      <c r="BS177" s="3019"/>
      <c r="BT177" s="3019"/>
      <c r="BU177" s="3050"/>
    </row>
    <row r="178" spans="1:73" x14ac:dyDescent="0.25">
      <c r="A178" s="2018"/>
      <c r="B178" s="1997"/>
      <c r="C178" s="1984"/>
      <c r="D178" s="1982"/>
      <c r="G178" s="4084"/>
      <c r="H178" s="4239"/>
      <c r="I178" s="4084"/>
      <c r="J178" s="4239"/>
      <c r="K178" s="4084"/>
      <c r="L178" s="4242"/>
      <c r="M178" s="4084"/>
      <c r="N178" s="4242"/>
      <c r="O178" s="4201"/>
      <c r="P178" s="4128"/>
      <c r="Q178" s="2511"/>
      <c r="R178" s="3214"/>
      <c r="S178" s="4218"/>
      <c r="T178" s="4176"/>
      <c r="U178" s="2771"/>
      <c r="V178" s="2930"/>
      <c r="W178" s="4220"/>
      <c r="X178" s="801">
        <v>6815752800</v>
      </c>
      <c r="Y178" s="801">
        <v>6815752800</v>
      </c>
      <c r="Z178" s="801">
        <v>6815752800</v>
      </c>
      <c r="AA178" s="1977" t="s">
        <v>1081</v>
      </c>
      <c r="AB178" s="3965">
        <v>26</v>
      </c>
      <c r="AC178" s="2782" t="s">
        <v>1082</v>
      </c>
      <c r="AD178" s="4106"/>
      <c r="AE178" s="4106"/>
      <c r="AF178" s="4106"/>
      <c r="AG178" s="4106"/>
      <c r="AH178" s="4106"/>
      <c r="AI178" s="4106"/>
      <c r="AJ178" s="4106"/>
      <c r="AK178" s="4106"/>
      <c r="AL178" s="4106"/>
      <c r="AM178" s="4106"/>
      <c r="AN178" s="4106"/>
      <c r="AO178" s="4106"/>
      <c r="AP178" s="4106"/>
      <c r="AQ178" s="4106"/>
      <c r="AR178" s="4106"/>
      <c r="AS178" s="4106"/>
      <c r="AT178" s="4106"/>
      <c r="AU178" s="4106"/>
      <c r="AV178" s="4106"/>
      <c r="AW178" s="4106"/>
      <c r="AX178" s="4106"/>
      <c r="AY178" s="4106"/>
      <c r="AZ178" s="4106"/>
      <c r="BA178" s="4106"/>
      <c r="BB178" s="4106"/>
      <c r="BC178" s="4106"/>
      <c r="BD178" s="4106"/>
      <c r="BE178" s="4106"/>
      <c r="BF178" s="4106"/>
      <c r="BG178" s="4106"/>
      <c r="BH178" s="4106"/>
      <c r="BI178" s="4106"/>
      <c r="BJ178" s="4100"/>
      <c r="BK178" s="4100"/>
      <c r="BL178" s="4100"/>
      <c r="BM178" s="4103"/>
      <c r="BN178" s="4100"/>
      <c r="BO178" s="4100"/>
      <c r="BP178" s="3075"/>
      <c r="BQ178" s="3019"/>
      <c r="BR178" s="3019"/>
      <c r="BS178" s="3019"/>
      <c r="BT178" s="3019"/>
      <c r="BU178" s="3050"/>
    </row>
    <row r="179" spans="1:73" x14ac:dyDescent="0.25">
      <c r="A179" s="2018"/>
      <c r="B179" s="1997"/>
      <c r="C179" s="1984"/>
      <c r="D179" s="1982"/>
      <c r="G179" s="4084"/>
      <c r="H179" s="4239"/>
      <c r="I179" s="4084"/>
      <c r="J179" s="4239"/>
      <c r="K179" s="4084"/>
      <c r="L179" s="4242"/>
      <c r="M179" s="4084"/>
      <c r="N179" s="4242"/>
      <c r="O179" s="4201"/>
      <c r="P179" s="4128"/>
      <c r="Q179" s="2511"/>
      <c r="R179" s="3214"/>
      <c r="S179" s="4218"/>
      <c r="T179" s="4176"/>
      <c r="U179" s="2771"/>
      <c r="V179" s="2930"/>
      <c r="W179" s="4220"/>
      <c r="X179" s="801">
        <v>4130773885</v>
      </c>
      <c r="Y179" s="801">
        <v>4130773885</v>
      </c>
      <c r="Z179" s="801">
        <v>4130773885</v>
      </c>
      <c r="AA179" s="1977" t="s">
        <v>1083</v>
      </c>
      <c r="AB179" s="4225"/>
      <c r="AC179" s="2543"/>
      <c r="AD179" s="4106"/>
      <c r="AE179" s="4106"/>
      <c r="AF179" s="4106"/>
      <c r="AG179" s="4106"/>
      <c r="AH179" s="4106"/>
      <c r="AI179" s="4106"/>
      <c r="AJ179" s="4106"/>
      <c r="AK179" s="4106"/>
      <c r="AL179" s="4106"/>
      <c r="AM179" s="4106"/>
      <c r="AN179" s="4106"/>
      <c r="AO179" s="4106"/>
      <c r="AP179" s="4106"/>
      <c r="AQ179" s="4106"/>
      <c r="AR179" s="4106"/>
      <c r="AS179" s="4106"/>
      <c r="AT179" s="4106"/>
      <c r="AU179" s="4106"/>
      <c r="AV179" s="4106"/>
      <c r="AW179" s="4106"/>
      <c r="AX179" s="4106"/>
      <c r="AY179" s="4106"/>
      <c r="AZ179" s="4106"/>
      <c r="BA179" s="4106"/>
      <c r="BB179" s="4106"/>
      <c r="BC179" s="4106"/>
      <c r="BD179" s="4106"/>
      <c r="BE179" s="4106"/>
      <c r="BF179" s="4106"/>
      <c r="BG179" s="4106"/>
      <c r="BH179" s="4106"/>
      <c r="BI179" s="4106"/>
      <c r="BJ179" s="4100"/>
      <c r="BK179" s="4100"/>
      <c r="BL179" s="4100"/>
      <c r="BM179" s="4103"/>
      <c r="BN179" s="4100"/>
      <c r="BO179" s="4100"/>
      <c r="BP179" s="3075"/>
      <c r="BQ179" s="3019"/>
      <c r="BR179" s="3019"/>
      <c r="BS179" s="3019"/>
      <c r="BT179" s="3019"/>
      <c r="BU179" s="3050"/>
    </row>
    <row r="180" spans="1:73" x14ac:dyDescent="0.25">
      <c r="A180" s="2018"/>
      <c r="B180" s="1997"/>
      <c r="C180" s="1984"/>
      <c r="D180" s="1982"/>
      <c r="G180" s="4084"/>
      <c r="H180" s="4239"/>
      <c r="I180" s="4084"/>
      <c r="J180" s="4239"/>
      <c r="K180" s="4084"/>
      <c r="L180" s="4242"/>
      <c r="M180" s="4084"/>
      <c r="N180" s="4242"/>
      <c r="O180" s="4201"/>
      <c r="P180" s="4128"/>
      <c r="Q180" s="2511"/>
      <c r="R180" s="3214"/>
      <c r="S180" s="4218"/>
      <c r="T180" s="4176"/>
      <c r="U180" s="2771"/>
      <c r="V180" s="2930"/>
      <c r="W180" s="4220"/>
      <c r="X180" s="801">
        <v>3722955134</v>
      </c>
      <c r="Y180" s="801">
        <v>3722955134</v>
      </c>
      <c r="Z180" s="801">
        <v>3722955134</v>
      </c>
      <c r="AA180" s="1977" t="s">
        <v>1084</v>
      </c>
      <c r="AB180" s="4225"/>
      <c r="AC180" s="2543"/>
      <c r="AD180" s="4106"/>
      <c r="AE180" s="4106"/>
      <c r="AF180" s="4106"/>
      <c r="AG180" s="4106"/>
      <c r="AH180" s="4106"/>
      <c r="AI180" s="4106"/>
      <c r="AJ180" s="4106"/>
      <c r="AK180" s="4106"/>
      <c r="AL180" s="4106"/>
      <c r="AM180" s="4106"/>
      <c r="AN180" s="4106"/>
      <c r="AO180" s="4106"/>
      <c r="AP180" s="4106"/>
      <c r="AQ180" s="4106"/>
      <c r="AR180" s="4106"/>
      <c r="AS180" s="4106"/>
      <c r="AT180" s="4106"/>
      <c r="AU180" s="4106"/>
      <c r="AV180" s="4106"/>
      <c r="AW180" s="4106"/>
      <c r="AX180" s="4106"/>
      <c r="AY180" s="4106"/>
      <c r="AZ180" s="4106"/>
      <c r="BA180" s="4106"/>
      <c r="BB180" s="4106"/>
      <c r="BC180" s="4106"/>
      <c r="BD180" s="4106"/>
      <c r="BE180" s="4106"/>
      <c r="BF180" s="4106"/>
      <c r="BG180" s="4106"/>
      <c r="BH180" s="4106"/>
      <c r="BI180" s="4106"/>
      <c r="BJ180" s="4100"/>
      <c r="BK180" s="4100"/>
      <c r="BL180" s="4100"/>
      <c r="BM180" s="4103"/>
      <c r="BN180" s="4100"/>
      <c r="BO180" s="4100"/>
      <c r="BP180" s="3075"/>
      <c r="BQ180" s="3019"/>
      <c r="BR180" s="3019"/>
      <c r="BS180" s="3019"/>
      <c r="BT180" s="3019"/>
      <c r="BU180" s="3050"/>
    </row>
    <row r="181" spans="1:73" x14ac:dyDescent="0.25">
      <c r="A181" s="2018"/>
      <c r="B181" s="1997"/>
      <c r="C181" s="1984"/>
      <c r="D181" s="1982"/>
      <c r="G181" s="4084"/>
      <c r="H181" s="4239"/>
      <c r="I181" s="4084"/>
      <c r="J181" s="4239"/>
      <c r="K181" s="4084"/>
      <c r="L181" s="4242"/>
      <c r="M181" s="4084"/>
      <c r="N181" s="4242"/>
      <c r="O181" s="4201"/>
      <c r="P181" s="4128"/>
      <c r="Q181" s="2511"/>
      <c r="R181" s="3214"/>
      <c r="S181" s="4218"/>
      <c r="T181" s="4176"/>
      <c r="U181" s="2771"/>
      <c r="V181" s="2930"/>
      <c r="W181" s="4220"/>
      <c r="X181" s="801">
        <v>10365183799</v>
      </c>
      <c r="Y181" s="801">
        <v>10365183799</v>
      </c>
      <c r="Z181" s="801">
        <v>10365183799</v>
      </c>
      <c r="AA181" s="1977" t="s">
        <v>1085</v>
      </c>
      <c r="AB181" s="4225"/>
      <c r="AC181" s="2543"/>
      <c r="AD181" s="4106"/>
      <c r="AE181" s="4106"/>
      <c r="AF181" s="4106"/>
      <c r="AG181" s="4106"/>
      <c r="AH181" s="4106"/>
      <c r="AI181" s="4106"/>
      <c r="AJ181" s="4106"/>
      <c r="AK181" s="4106"/>
      <c r="AL181" s="4106"/>
      <c r="AM181" s="4106"/>
      <c r="AN181" s="4106"/>
      <c r="AO181" s="4106"/>
      <c r="AP181" s="4106"/>
      <c r="AQ181" s="4106"/>
      <c r="AR181" s="4106"/>
      <c r="AS181" s="4106"/>
      <c r="AT181" s="4106"/>
      <c r="AU181" s="4106"/>
      <c r="AV181" s="4106"/>
      <c r="AW181" s="4106"/>
      <c r="AX181" s="4106"/>
      <c r="AY181" s="4106"/>
      <c r="AZ181" s="4106"/>
      <c r="BA181" s="4106"/>
      <c r="BB181" s="4106"/>
      <c r="BC181" s="4106"/>
      <c r="BD181" s="4106"/>
      <c r="BE181" s="4106"/>
      <c r="BF181" s="4106"/>
      <c r="BG181" s="4106"/>
      <c r="BH181" s="4106"/>
      <c r="BI181" s="4106"/>
      <c r="BJ181" s="4100"/>
      <c r="BK181" s="4100"/>
      <c r="BL181" s="4100"/>
      <c r="BM181" s="4103"/>
      <c r="BN181" s="4100"/>
      <c r="BO181" s="4100"/>
      <c r="BP181" s="3075"/>
      <c r="BQ181" s="3019"/>
      <c r="BR181" s="3019"/>
      <c r="BS181" s="3019"/>
      <c r="BT181" s="3019"/>
      <c r="BU181" s="3050"/>
    </row>
    <row r="182" spans="1:73" x14ac:dyDescent="0.25">
      <c r="A182" s="2018"/>
      <c r="B182" s="1997"/>
      <c r="C182" s="1984"/>
      <c r="D182" s="1982"/>
      <c r="G182" s="4084"/>
      <c r="H182" s="4239"/>
      <c r="I182" s="4084"/>
      <c r="J182" s="4239"/>
      <c r="K182" s="4084"/>
      <c r="L182" s="4242"/>
      <c r="M182" s="4084"/>
      <c r="N182" s="4242"/>
      <c r="O182" s="4201"/>
      <c r="P182" s="4128"/>
      <c r="Q182" s="2511"/>
      <c r="R182" s="3214"/>
      <c r="S182" s="4218"/>
      <c r="T182" s="4176"/>
      <c r="U182" s="2771"/>
      <c r="V182" s="2930"/>
      <c r="W182" s="4220"/>
      <c r="X182" s="801">
        <v>924639953</v>
      </c>
      <c r="Y182" s="801">
        <v>924639953</v>
      </c>
      <c r="Z182" s="801">
        <v>924639953</v>
      </c>
      <c r="AA182" s="1977" t="s">
        <v>1086</v>
      </c>
      <c r="AB182" s="4225"/>
      <c r="AC182" s="2543"/>
      <c r="AD182" s="4106"/>
      <c r="AE182" s="4106"/>
      <c r="AF182" s="4106"/>
      <c r="AG182" s="4106"/>
      <c r="AH182" s="4106"/>
      <c r="AI182" s="4106"/>
      <c r="AJ182" s="4106"/>
      <c r="AK182" s="4106"/>
      <c r="AL182" s="4106"/>
      <c r="AM182" s="4106"/>
      <c r="AN182" s="4106"/>
      <c r="AO182" s="4106"/>
      <c r="AP182" s="4106"/>
      <c r="AQ182" s="4106"/>
      <c r="AR182" s="4106"/>
      <c r="AS182" s="4106"/>
      <c r="AT182" s="4106"/>
      <c r="AU182" s="4106"/>
      <c r="AV182" s="4106"/>
      <c r="AW182" s="4106"/>
      <c r="AX182" s="4106"/>
      <c r="AY182" s="4106"/>
      <c r="AZ182" s="4106"/>
      <c r="BA182" s="4106"/>
      <c r="BB182" s="4106"/>
      <c r="BC182" s="4106"/>
      <c r="BD182" s="4106"/>
      <c r="BE182" s="4106"/>
      <c r="BF182" s="4106"/>
      <c r="BG182" s="4106"/>
      <c r="BH182" s="4106"/>
      <c r="BI182" s="4106"/>
      <c r="BJ182" s="4100"/>
      <c r="BK182" s="4100"/>
      <c r="BL182" s="4100"/>
      <c r="BM182" s="4103"/>
      <c r="BN182" s="4100"/>
      <c r="BO182" s="4100"/>
      <c r="BP182" s="3075"/>
      <c r="BQ182" s="3019"/>
      <c r="BR182" s="3019"/>
      <c r="BS182" s="3019"/>
      <c r="BT182" s="3019"/>
      <c r="BU182" s="3050"/>
    </row>
    <row r="183" spans="1:73" x14ac:dyDescent="0.25">
      <c r="A183" s="2018"/>
      <c r="B183" s="1997"/>
      <c r="C183" s="1984"/>
      <c r="D183" s="1982"/>
      <c r="G183" s="4084"/>
      <c r="H183" s="4239"/>
      <c r="I183" s="4084"/>
      <c r="J183" s="4239"/>
      <c r="K183" s="4084"/>
      <c r="L183" s="4242"/>
      <c r="M183" s="4084"/>
      <c r="N183" s="4242"/>
      <c r="O183" s="4201"/>
      <c r="P183" s="4128"/>
      <c r="Q183" s="2511"/>
      <c r="R183" s="3214"/>
      <c r="S183" s="4218"/>
      <c r="T183" s="4176"/>
      <c r="U183" s="2771"/>
      <c r="V183" s="2930"/>
      <c r="W183" s="4220"/>
      <c r="X183" s="801">
        <v>559930181</v>
      </c>
      <c r="Y183" s="801">
        <v>559930181</v>
      </c>
      <c r="Z183" s="801">
        <v>559930181</v>
      </c>
      <c r="AA183" s="1977" t="s">
        <v>1087</v>
      </c>
      <c r="AB183" s="4225"/>
      <c r="AC183" s="2543"/>
      <c r="AD183" s="4106"/>
      <c r="AE183" s="4106"/>
      <c r="AF183" s="4106"/>
      <c r="AG183" s="4106"/>
      <c r="AH183" s="4106"/>
      <c r="AI183" s="4106"/>
      <c r="AJ183" s="4106"/>
      <c r="AK183" s="4106"/>
      <c r="AL183" s="4106"/>
      <c r="AM183" s="4106"/>
      <c r="AN183" s="4106"/>
      <c r="AO183" s="4106"/>
      <c r="AP183" s="4106"/>
      <c r="AQ183" s="4106"/>
      <c r="AR183" s="4106"/>
      <c r="AS183" s="4106"/>
      <c r="AT183" s="4106"/>
      <c r="AU183" s="4106"/>
      <c r="AV183" s="4106"/>
      <c r="AW183" s="4106"/>
      <c r="AX183" s="4106"/>
      <c r="AY183" s="4106"/>
      <c r="AZ183" s="4106"/>
      <c r="BA183" s="4106"/>
      <c r="BB183" s="4106"/>
      <c r="BC183" s="4106"/>
      <c r="BD183" s="4106"/>
      <c r="BE183" s="4106"/>
      <c r="BF183" s="4106"/>
      <c r="BG183" s="4106"/>
      <c r="BH183" s="4106"/>
      <c r="BI183" s="4106"/>
      <c r="BJ183" s="4100"/>
      <c r="BK183" s="4100"/>
      <c r="BL183" s="4100"/>
      <c r="BM183" s="4103"/>
      <c r="BN183" s="4100"/>
      <c r="BO183" s="4100"/>
      <c r="BP183" s="3075"/>
      <c r="BQ183" s="3019"/>
      <c r="BR183" s="3019"/>
      <c r="BS183" s="3019"/>
      <c r="BT183" s="3019"/>
      <c r="BU183" s="3050"/>
    </row>
    <row r="184" spans="1:73" x14ac:dyDescent="0.25">
      <c r="A184" s="2018"/>
      <c r="B184" s="1997"/>
      <c r="C184" s="1984"/>
      <c r="D184" s="1982"/>
      <c r="G184" s="4084"/>
      <c r="H184" s="4239"/>
      <c r="I184" s="4084"/>
      <c r="J184" s="4239"/>
      <c r="K184" s="4084"/>
      <c r="L184" s="4242"/>
      <c r="M184" s="4084"/>
      <c r="N184" s="4242"/>
      <c r="O184" s="4201"/>
      <c r="P184" s="4128"/>
      <c r="Q184" s="2511"/>
      <c r="R184" s="3214"/>
      <c r="S184" s="4218"/>
      <c r="T184" s="4176"/>
      <c r="U184" s="2771"/>
      <c r="V184" s="2930"/>
      <c r="W184" s="4220"/>
      <c r="X184" s="801">
        <v>504336248</v>
      </c>
      <c r="Y184" s="801">
        <v>504336248</v>
      </c>
      <c r="Z184" s="801">
        <v>504336248</v>
      </c>
      <c r="AA184" s="1977" t="s">
        <v>1088</v>
      </c>
      <c r="AB184" s="4225"/>
      <c r="AC184" s="2543"/>
      <c r="AD184" s="4106"/>
      <c r="AE184" s="4106"/>
      <c r="AF184" s="4106"/>
      <c r="AG184" s="4106"/>
      <c r="AH184" s="4106"/>
      <c r="AI184" s="4106"/>
      <c r="AJ184" s="4106"/>
      <c r="AK184" s="4106"/>
      <c r="AL184" s="4106"/>
      <c r="AM184" s="4106"/>
      <c r="AN184" s="4106"/>
      <c r="AO184" s="4106"/>
      <c r="AP184" s="4106"/>
      <c r="AQ184" s="4106"/>
      <c r="AR184" s="4106"/>
      <c r="AS184" s="4106"/>
      <c r="AT184" s="4106"/>
      <c r="AU184" s="4106"/>
      <c r="AV184" s="4106"/>
      <c r="AW184" s="4106"/>
      <c r="AX184" s="4106"/>
      <c r="AY184" s="4106"/>
      <c r="AZ184" s="4106"/>
      <c r="BA184" s="4106"/>
      <c r="BB184" s="4106"/>
      <c r="BC184" s="4106"/>
      <c r="BD184" s="4106"/>
      <c r="BE184" s="4106"/>
      <c r="BF184" s="4106"/>
      <c r="BG184" s="4106"/>
      <c r="BH184" s="4106"/>
      <c r="BI184" s="4106"/>
      <c r="BJ184" s="4100"/>
      <c r="BK184" s="4100"/>
      <c r="BL184" s="4100"/>
      <c r="BM184" s="4103"/>
      <c r="BN184" s="4100"/>
      <c r="BO184" s="4100"/>
      <c r="BP184" s="3075"/>
      <c r="BQ184" s="3019"/>
      <c r="BR184" s="3019"/>
      <c r="BS184" s="3019"/>
      <c r="BT184" s="3019"/>
      <c r="BU184" s="3050"/>
    </row>
    <row r="185" spans="1:73" x14ac:dyDescent="0.25">
      <c r="A185" s="2018"/>
      <c r="B185" s="1997"/>
      <c r="C185" s="1984"/>
      <c r="D185" s="1982"/>
      <c r="G185" s="4084"/>
      <c r="H185" s="4239"/>
      <c r="I185" s="4084"/>
      <c r="J185" s="4239"/>
      <c r="K185" s="4084"/>
      <c r="L185" s="4242"/>
      <c r="M185" s="4084"/>
      <c r="N185" s="4242"/>
      <c r="O185" s="4201"/>
      <c r="P185" s="4128"/>
      <c r="Q185" s="2511"/>
      <c r="R185" s="3214"/>
      <c r="S185" s="4218"/>
      <c r="T185" s="4176"/>
      <c r="U185" s="2771"/>
      <c r="V185" s="2930"/>
      <c r="W185" s="4220"/>
      <c r="X185" s="801">
        <v>1291452554</v>
      </c>
      <c r="Y185" s="801">
        <v>1291452554</v>
      </c>
      <c r="Z185" s="801">
        <v>1291452554</v>
      </c>
      <c r="AA185" s="1977" t="s">
        <v>1089</v>
      </c>
      <c r="AB185" s="4225"/>
      <c r="AC185" s="2543"/>
      <c r="AD185" s="4106"/>
      <c r="AE185" s="4106"/>
      <c r="AF185" s="4106"/>
      <c r="AG185" s="4106"/>
      <c r="AH185" s="4106"/>
      <c r="AI185" s="4106"/>
      <c r="AJ185" s="4106"/>
      <c r="AK185" s="4106"/>
      <c r="AL185" s="4106"/>
      <c r="AM185" s="4106"/>
      <c r="AN185" s="4106"/>
      <c r="AO185" s="4106"/>
      <c r="AP185" s="4106"/>
      <c r="AQ185" s="4106"/>
      <c r="AR185" s="4106"/>
      <c r="AS185" s="4106"/>
      <c r="AT185" s="4106"/>
      <c r="AU185" s="4106"/>
      <c r="AV185" s="4106"/>
      <c r="AW185" s="4106"/>
      <c r="AX185" s="4106"/>
      <c r="AY185" s="4106"/>
      <c r="AZ185" s="4106"/>
      <c r="BA185" s="4106"/>
      <c r="BB185" s="4106"/>
      <c r="BC185" s="4106"/>
      <c r="BD185" s="4106"/>
      <c r="BE185" s="4106"/>
      <c r="BF185" s="4106"/>
      <c r="BG185" s="4106"/>
      <c r="BH185" s="4106"/>
      <c r="BI185" s="4106"/>
      <c r="BJ185" s="4100"/>
      <c r="BK185" s="4100"/>
      <c r="BL185" s="4100"/>
      <c r="BM185" s="4103"/>
      <c r="BN185" s="4100"/>
      <c r="BO185" s="4100"/>
      <c r="BP185" s="3075"/>
      <c r="BQ185" s="3019"/>
      <c r="BR185" s="3019"/>
      <c r="BS185" s="3019"/>
      <c r="BT185" s="3019"/>
      <c r="BU185" s="3050"/>
    </row>
    <row r="186" spans="1:73" ht="30" x14ac:dyDescent="0.25">
      <c r="A186" s="2018"/>
      <c r="B186" s="1997"/>
      <c r="C186" s="1984"/>
      <c r="D186" s="1982"/>
      <c r="G186" s="4084"/>
      <c r="H186" s="4239"/>
      <c r="I186" s="4084"/>
      <c r="J186" s="4239"/>
      <c r="K186" s="4084"/>
      <c r="L186" s="4242"/>
      <c r="M186" s="4084"/>
      <c r="N186" s="4242"/>
      <c r="O186" s="4201"/>
      <c r="P186" s="4128"/>
      <c r="Q186" s="2511"/>
      <c r="R186" s="3214"/>
      <c r="S186" s="4218"/>
      <c r="T186" s="4176"/>
      <c r="U186" s="2771"/>
      <c r="V186" s="2930"/>
      <c r="W186" s="4220"/>
      <c r="X186" s="801">
        <v>287017358.94</v>
      </c>
      <c r="Y186" s="806">
        <v>0</v>
      </c>
      <c r="Z186" s="806">
        <v>0</v>
      </c>
      <c r="AA186" s="1977" t="s">
        <v>1090</v>
      </c>
      <c r="AB186" s="2017">
        <v>9</v>
      </c>
      <c r="AC186" s="1976" t="s">
        <v>1091</v>
      </c>
      <c r="AD186" s="4106"/>
      <c r="AE186" s="4106"/>
      <c r="AF186" s="4106"/>
      <c r="AG186" s="4106"/>
      <c r="AH186" s="4106"/>
      <c r="AI186" s="4106"/>
      <c r="AJ186" s="4106"/>
      <c r="AK186" s="4106"/>
      <c r="AL186" s="4106"/>
      <c r="AM186" s="4106"/>
      <c r="AN186" s="4106"/>
      <c r="AO186" s="4106"/>
      <c r="AP186" s="4106"/>
      <c r="AQ186" s="4106"/>
      <c r="AR186" s="4106"/>
      <c r="AS186" s="4106"/>
      <c r="AT186" s="4106"/>
      <c r="AU186" s="4106"/>
      <c r="AV186" s="4106"/>
      <c r="AW186" s="4106"/>
      <c r="AX186" s="4106"/>
      <c r="AY186" s="4106"/>
      <c r="AZ186" s="4106"/>
      <c r="BA186" s="4106"/>
      <c r="BB186" s="4106"/>
      <c r="BC186" s="4106"/>
      <c r="BD186" s="4106"/>
      <c r="BE186" s="4106"/>
      <c r="BF186" s="4106"/>
      <c r="BG186" s="4106"/>
      <c r="BH186" s="4106"/>
      <c r="BI186" s="4106"/>
      <c r="BJ186" s="4100"/>
      <c r="BK186" s="4100"/>
      <c r="BL186" s="4100"/>
      <c r="BM186" s="4103"/>
      <c r="BN186" s="4100"/>
      <c r="BO186" s="4100"/>
      <c r="BP186" s="3075"/>
      <c r="BQ186" s="3019"/>
      <c r="BR186" s="3019"/>
      <c r="BS186" s="3019"/>
      <c r="BT186" s="3019"/>
      <c r="BU186" s="3050"/>
    </row>
    <row r="187" spans="1:73" x14ac:dyDescent="0.25">
      <c r="A187" s="2018"/>
      <c r="B187" s="1997"/>
      <c r="C187" s="1984"/>
      <c r="D187" s="1982"/>
      <c r="G187" s="4084"/>
      <c r="H187" s="4239"/>
      <c r="I187" s="4084"/>
      <c r="J187" s="4239"/>
      <c r="K187" s="4084"/>
      <c r="L187" s="4242"/>
      <c r="M187" s="4084"/>
      <c r="N187" s="4242"/>
      <c r="O187" s="4201"/>
      <c r="P187" s="4128"/>
      <c r="Q187" s="2511"/>
      <c r="R187" s="3214"/>
      <c r="S187" s="4218"/>
      <c r="T187" s="4176"/>
      <c r="U187" s="2771"/>
      <c r="V187" s="2930"/>
      <c r="W187" s="4220"/>
      <c r="X187" s="801">
        <v>173619883</v>
      </c>
      <c r="Y187" s="806"/>
      <c r="Z187" s="806"/>
      <c r="AA187" s="814" t="s">
        <v>1092</v>
      </c>
      <c r="AB187" s="2017">
        <v>204</v>
      </c>
      <c r="AC187" s="1976" t="s">
        <v>1093</v>
      </c>
      <c r="AD187" s="4106"/>
      <c r="AE187" s="4106"/>
      <c r="AF187" s="4106"/>
      <c r="AG187" s="4106"/>
      <c r="AH187" s="4106"/>
      <c r="AI187" s="4106"/>
      <c r="AJ187" s="4106"/>
      <c r="AK187" s="4106"/>
      <c r="AL187" s="4106"/>
      <c r="AM187" s="4106"/>
      <c r="AN187" s="4106"/>
      <c r="AO187" s="4106"/>
      <c r="AP187" s="4106"/>
      <c r="AQ187" s="4106"/>
      <c r="AR187" s="4106"/>
      <c r="AS187" s="4106"/>
      <c r="AT187" s="4106"/>
      <c r="AU187" s="4106"/>
      <c r="AV187" s="4106"/>
      <c r="AW187" s="4106"/>
      <c r="AX187" s="4106"/>
      <c r="AY187" s="4106"/>
      <c r="AZ187" s="4106"/>
      <c r="BA187" s="4106"/>
      <c r="BB187" s="4106"/>
      <c r="BC187" s="4106"/>
      <c r="BD187" s="4106"/>
      <c r="BE187" s="4106"/>
      <c r="BF187" s="4106"/>
      <c r="BG187" s="4106"/>
      <c r="BH187" s="4106"/>
      <c r="BI187" s="4106"/>
      <c r="BJ187" s="4100"/>
      <c r="BK187" s="4100"/>
      <c r="BL187" s="4100"/>
      <c r="BM187" s="4103"/>
      <c r="BN187" s="4100"/>
      <c r="BO187" s="4100"/>
      <c r="BP187" s="3075"/>
      <c r="BQ187" s="3019"/>
      <c r="BR187" s="3019"/>
      <c r="BS187" s="3019"/>
      <c r="BT187" s="3019"/>
      <c r="BU187" s="3050"/>
    </row>
    <row r="188" spans="1:73" x14ac:dyDescent="0.25">
      <c r="A188" s="2018"/>
      <c r="B188" s="1997"/>
      <c r="C188" s="1984"/>
      <c r="D188" s="1982"/>
      <c r="G188" s="4084"/>
      <c r="H188" s="4239"/>
      <c r="I188" s="4084"/>
      <c r="J188" s="4239"/>
      <c r="K188" s="4084"/>
      <c r="L188" s="4242"/>
      <c r="M188" s="4084"/>
      <c r="N188" s="4242"/>
      <c r="O188" s="4201"/>
      <c r="P188" s="4128"/>
      <c r="Q188" s="2511"/>
      <c r="R188" s="3214"/>
      <c r="S188" s="4218"/>
      <c r="T188" s="4176"/>
      <c r="U188" s="2771"/>
      <c r="V188" s="2930"/>
      <c r="W188" s="4220"/>
      <c r="X188" s="801">
        <v>188164805.88</v>
      </c>
      <c r="Y188" s="801">
        <v>112793600</v>
      </c>
      <c r="Z188" s="801">
        <v>112793600</v>
      </c>
      <c r="AA188" s="1977" t="s">
        <v>1094</v>
      </c>
      <c r="AB188" s="2017">
        <v>91</v>
      </c>
      <c r="AC188" s="1976" t="s">
        <v>1095</v>
      </c>
      <c r="AD188" s="4106"/>
      <c r="AE188" s="4106"/>
      <c r="AF188" s="4106"/>
      <c r="AG188" s="4106"/>
      <c r="AH188" s="4106"/>
      <c r="AI188" s="4106"/>
      <c r="AJ188" s="4106"/>
      <c r="AK188" s="4106"/>
      <c r="AL188" s="4106"/>
      <c r="AM188" s="4106"/>
      <c r="AN188" s="4106"/>
      <c r="AO188" s="4106"/>
      <c r="AP188" s="4106"/>
      <c r="AQ188" s="4106"/>
      <c r="AR188" s="4106"/>
      <c r="AS188" s="4106"/>
      <c r="AT188" s="4106"/>
      <c r="AU188" s="4106"/>
      <c r="AV188" s="4106"/>
      <c r="AW188" s="4106"/>
      <c r="AX188" s="4106"/>
      <c r="AY188" s="4106"/>
      <c r="AZ188" s="4106"/>
      <c r="BA188" s="4106"/>
      <c r="BB188" s="4106"/>
      <c r="BC188" s="4106"/>
      <c r="BD188" s="4106"/>
      <c r="BE188" s="4106"/>
      <c r="BF188" s="4106"/>
      <c r="BG188" s="4106"/>
      <c r="BH188" s="4106"/>
      <c r="BI188" s="4106"/>
      <c r="BJ188" s="4100"/>
      <c r="BK188" s="4100"/>
      <c r="BL188" s="4100"/>
      <c r="BM188" s="4103"/>
      <c r="BN188" s="4100"/>
      <c r="BO188" s="4100"/>
      <c r="BP188" s="3075"/>
      <c r="BQ188" s="3019"/>
      <c r="BR188" s="3019"/>
      <c r="BS188" s="3019"/>
      <c r="BT188" s="3019"/>
      <c r="BU188" s="3050"/>
    </row>
    <row r="189" spans="1:73" x14ac:dyDescent="0.25">
      <c r="A189" s="2018"/>
      <c r="B189" s="1997"/>
      <c r="C189" s="1984"/>
      <c r="D189" s="1982"/>
      <c r="G189" s="4084"/>
      <c r="H189" s="4239"/>
      <c r="I189" s="4084"/>
      <c r="J189" s="4239"/>
      <c r="K189" s="4084"/>
      <c r="L189" s="4242"/>
      <c r="M189" s="4084"/>
      <c r="N189" s="4242"/>
      <c r="O189" s="4201"/>
      <c r="P189" s="4128"/>
      <c r="Q189" s="2511"/>
      <c r="R189" s="3214"/>
      <c r="S189" s="4218"/>
      <c r="T189" s="4176"/>
      <c r="U189" s="2771"/>
      <c r="V189" s="2930"/>
      <c r="W189" s="4220"/>
      <c r="X189" s="2081">
        <v>10000000</v>
      </c>
      <c r="Y189" s="801">
        <v>8889988</v>
      </c>
      <c r="Z189" s="801">
        <v>8889988</v>
      </c>
      <c r="AA189" s="1977" t="s">
        <v>1096</v>
      </c>
      <c r="AB189" s="830">
        <v>20</v>
      </c>
      <c r="AC189" s="831" t="s">
        <v>1</v>
      </c>
      <c r="AD189" s="4106"/>
      <c r="AE189" s="4106"/>
      <c r="AF189" s="4106"/>
      <c r="AG189" s="4106"/>
      <c r="AH189" s="4106"/>
      <c r="AI189" s="4106"/>
      <c r="AJ189" s="4106"/>
      <c r="AK189" s="4106"/>
      <c r="AL189" s="4106"/>
      <c r="AM189" s="4106"/>
      <c r="AN189" s="4106"/>
      <c r="AO189" s="4106"/>
      <c r="AP189" s="4106"/>
      <c r="AQ189" s="4106"/>
      <c r="AR189" s="4106"/>
      <c r="AS189" s="4106"/>
      <c r="AT189" s="4106"/>
      <c r="AU189" s="4106"/>
      <c r="AV189" s="4106"/>
      <c r="AW189" s="4106"/>
      <c r="AX189" s="4106"/>
      <c r="AY189" s="4106"/>
      <c r="AZ189" s="4106"/>
      <c r="BA189" s="4106"/>
      <c r="BB189" s="4106"/>
      <c r="BC189" s="4106"/>
      <c r="BD189" s="4106"/>
      <c r="BE189" s="4106"/>
      <c r="BF189" s="4106"/>
      <c r="BG189" s="4106"/>
      <c r="BH189" s="4106"/>
      <c r="BI189" s="4106"/>
      <c r="BJ189" s="4100"/>
      <c r="BK189" s="4100"/>
      <c r="BL189" s="4100"/>
      <c r="BM189" s="4103"/>
      <c r="BN189" s="4100"/>
      <c r="BO189" s="4100"/>
      <c r="BP189" s="3075"/>
      <c r="BQ189" s="3019"/>
      <c r="BR189" s="3019"/>
      <c r="BS189" s="3019"/>
      <c r="BT189" s="3019"/>
      <c r="BU189" s="3050"/>
    </row>
    <row r="190" spans="1:73" ht="32.25" customHeight="1" x14ac:dyDescent="0.25">
      <c r="A190" s="2018"/>
      <c r="B190" s="1997"/>
      <c r="C190" s="1984"/>
      <c r="D190" s="1982"/>
      <c r="G190" s="4084"/>
      <c r="H190" s="4239"/>
      <c r="I190" s="4084"/>
      <c r="J190" s="4239"/>
      <c r="K190" s="4084"/>
      <c r="L190" s="4242"/>
      <c r="M190" s="4084"/>
      <c r="N190" s="4242"/>
      <c r="O190" s="4201"/>
      <c r="P190" s="4128"/>
      <c r="Q190" s="2511"/>
      <c r="R190" s="3214"/>
      <c r="S190" s="4218"/>
      <c r="T190" s="4176"/>
      <c r="U190" s="2771"/>
      <c r="V190" s="2930"/>
      <c r="W190" s="4221"/>
      <c r="X190" s="2081">
        <v>80000000</v>
      </c>
      <c r="Y190" s="801">
        <v>80000000</v>
      </c>
      <c r="Z190" s="801">
        <v>80000000</v>
      </c>
      <c r="AA190" s="1977" t="s">
        <v>1097</v>
      </c>
      <c r="AB190" s="830">
        <v>88</v>
      </c>
      <c r="AC190" s="831" t="s">
        <v>5</v>
      </c>
      <c r="AD190" s="4106"/>
      <c r="AE190" s="4106"/>
      <c r="AF190" s="4106"/>
      <c r="AG190" s="4106"/>
      <c r="AH190" s="4106"/>
      <c r="AI190" s="4106"/>
      <c r="AJ190" s="4106"/>
      <c r="AK190" s="4106"/>
      <c r="AL190" s="4106"/>
      <c r="AM190" s="4106"/>
      <c r="AN190" s="4106"/>
      <c r="AO190" s="4106"/>
      <c r="AP190" s="4106"/>
      <c r="AQ190" s="4106"/>
      <c r="AR190" s="4106"/>
      <c r="AS190" s="4106"/>
      <c r="AT190" s="4106"/>
      <c r="AU190" s="4106"/>
      <c r="AV190" s="4106"/>
      <c r="AW190" s="4106"/>
      <c r="AX190" s="4106"/>
      <c r="AY190" s="4106"/>
      <c r="AZ190" s="4106"/>
      <c r="BA190" s="4106"/>
      <c r="BB190" s="4106"/>
      <c r="BC190" s="4106"/>
      <c r="BD190" s="4106"/>
      <c r="BE190" s="4106"/>
      <c r="BF190" s="4106"/>
      <c r="BG190" s="4106"/>
      <c r="BH190" s="4106"/>
      <c r="BI190" s="4106"/>
      <c r="BJ190" s="4100"/>
      <c r="BK190" s="4100"/>
      <c r="BL190" s="4100"/>
      <c r="BM190" s="4103"/>
      <c r="BN190" s="4100"/>
      <c r="BO190" s="4100"/>
      <c r="BP190" s="3075"/>
      <c r="BQ190" s="3019"/>
      <c r="BR190" s="3019"/>
      <c r="BS190" s="3019"/>
      <c r="BT190" s="3019"/>
      <c r="BU190" s="3050"/>
    </row>
    <row r="191" spans="1:73" ht="18" customHeight="1" x14ac:dyDescent="0.25">
      <c r="A191" s="2018"/>
      <c r="B191" s="1997"/>
      <c r="C191" s="1984"/>
      <c r="D191" s="1982"/>
      <c r="G191" s="4084"/>
      <c r="H191" s="4239"/>
      <c r="I191" s="4084"/>
      <c r="J191" s="4239"/>
      <c r="K191" s="4084"/>
      <c r="L191" s="4242"/>
      <c r="M191" s="4084"/>
      <c r="N191" s="4242"/>
      <c r="O191" s="4201"/>
      <c r="P191" s="4128"/>
      <c r="Q191" s="2511"/>
      <c r="R191" s="3214"/>
      <c r="S191" s="4218"/>
      <c r="T191" s="4176"/>
      <c r="U191" s="2771"/>
      <c r="V191" s="2930"/>
      <c r="W191" s="3089" t="s">
        <v>1098</v>
      </c>
      <c r="X191" s="801">
        <v>1537560884</v>
      </c>
      <c r="Y191" s="801">
        <v>1537560884</v>
      </c>
      <c r="Z191" s="801">
        <v>1537560884</v>
      </c>
      <c r="AA191" s="1977" t="s">
        <v>1099</v>
      </c>
      <c r="AB191" s="4226">
        <v>25</v>
      </c>
      <c r="AC191" s="2514" t="s">
        <v>758</v>
      </c>
      <c r="AD191" s="4106"/>
      <c r="AE191" s="4106"/>
      <c r="AF191" s="4106"/>
      <c r="AG191" s="4106"/>
      <c r="AH191" s="4106"/>
      <c r="AI191" s="4106"/>
      <c r="AJ191" s="4106"/>
      <c r="AK191" s="4106"/>
      <c r="AL191" s="4106"/>
      <c r="AM191" s="4106"/>
      <c r="AN191" s="4106"/>
      <c r="AO191" s="4106"/>
      <c r="AP191" s="4106"/>
      <c r="AQ191" s="4106"/>
      <c r="AR191" s="4106"/>
      <c r="AS191" s="4106"/>
      <c r="AT191" s="4106"/>
      <c r="AU191" s="4106"/>
      <c r="AV191" s="4106"/>
      <c r="AW191" s="4106"/>
      <c r="AX191" s="4106"/>
      <c r="AY191" s="4106"/>
      <c r="AZ191" s="4106"/>
      <c r="BA191" s="4106"/>
      <c r="BB191" s="4106"/>
      <c r="BC191" s="4106"/>
      <c r="BD191" s="4106"/>
      <c r="BE191" s="4106"/>
      <c r="BF191" s="4106"/>
      <c r="BG191" s="4106"/>
      <c r="BH191" s="4106"/>
      <c r="BI191" s="4106"/>
      <c r="BJ191" s="4100"/>
      <c r="BK191" s="4100"/>
      <c r="BL191" s="4100"/>
      <c r="BM191" s="4103"/>
      <c r="BN191" s="4100"/>
      <c r="BO191" s="4100"/>
      <c r="BP191" s="3075"/>
      <c r="BQ191" s="3019"/>
      <c r="BR191" s="3019"/>
      <c r="BS191" s="3019"/>
      <c r="BT191" s="3019"/>
      <c r="BU191" s="3050"/>
    </row>
    <row r="192" spans="1:73" ht="18" customHeight="1" x14ac:dyDescent="0.25">
      <c r="A192" s="2018"/>
      <c r="B192" s="1997"/>
      <c r="C192" s="1984"/>
      <c r="D192" s="1982"/>
      <c r="G192" s="4084"/>
      <c r="H192" s="4239"/>
      <c r="I192" s="4084"/>
      <c r="J192" s="4239"/>
      <c r="K192" s="4084"/>
      <c r="L192" s="4242"/>
      <c r="M192" s="4084"/>
      <c r="N192" s="4242"/>
      <c r="O192" s="4201"/>
      <c r="P192" s="4128"/>
      <c r="Q192" s="2511"/>
      <c r="R192" s="3214"/>
      <c r="S192" s="4218"/>
      <c r="T192" s="4176"/>
      <c r="U192" s="2771"/>
      <c r="V192" s="2930"/>
      <c r="W192" s="3089"/>
      <c r="X192" s="801">
        <v>66364059</v>
      </c>
      <c r="Y192" s="806">
        <v>66364059</v>
      </c>
      <c r="Z192" s="806">
        <v>66364059</v>
      </c>
      <c r="AA192" s="1977" t="s">
        <v>1100</v>
      </c>
      <c r="AB192" s="4226"/>
      <c r="AC192" s="2514"/>
      <c r="AD192" s="4106"/>
      <c r="AE192" s="4106"/>
      <c r="AF192" s="4106"/>
      <c r="AG192" s="4106"/>
      <c r="AH192" s="4106"/>
      <c r="AI192" s="4106"/>
      <c r="AJ192" s="4106"/>
      <c r="AK192" s="4106"/>
      <c r="AL192" s="4106"/>
      <c r="AM192" s="4106"/>
      <c r="AN192" s="4106"/>
      <c r="AO192" s="4106"/>
      <c r="AP192" s="4106"/>
      <c r="AQ192" s="4106"/>
      <c r="AR192" s="4106"/>
      <c r="AS192" s="4106"/>
      <c r="AT192" s="4106"/>
      <c r="AU192" s="4106"/>
      <c r="AV192" s="4106"/>
      <c r="AW192" s="4106"/>
      <c r="AX192" s="4106"/>
      <c r="AY192" s="4106"/>
      <c r="AZ192" s="4106"/>
      <c r="BA192" s="4106"/>
      <c r="BB192" s="4106"/>
      <c r="BC192" s="4106"/>
      <c r="BD192" s="4106"/>
      <c r="BE192" s="4106"/>
      <c r="BF192" s="4106"/>
      <c r="BG192" s="4106"/>
      <c r="BH192" s="4106"/>
      <c r="BI192" s="4106"/>
      <c r="BJ192" s="4100"/>
      <c r="BK192" s="4100"/>
      <c r="BL192" s="4100"/>
      <c r="BM192" s="4103"/>
      <c r="BN192" s="4100"/>
      <c r="BO192" s="4100"/>
      <c r="BP192" s="3075"/>
      <c r="BQ192" s="3019"/>
      <c r="BR192" s="3019"/>
      <c r="BS192" s="3019"/>
      <c r="BT192" s="3019"/>
      <c r="BU192" s="3050"/>
    </row>
    <row r="193" spans="1:73" ht="18" customHeight="1" x14ac:dyDescent="0.25">
      <c r="A193" s="2018"/>
      <c r="B193" s="1997"/>
      <c r="C193" s="1984"/>
      <c r="D193" s="1982"/>
      <c r="G193" s="4084"/>
      <c r="H193" s="4239"/>
      <c r="I193" s="4084"/>
      <c r="J193" s="4239"/>
      <c r="K193" s="4084"/>
      <c r="L193" s="4242"/>
      <c r="M193" s="4084"/>
      <c r="N193" s="4242"/>
      <c r="O193" s="4201"/>
      <c r="P193" s="4128"/>
      <c r="Q193" s="2511"/>
      <c r="R193" s="3214"/>
      <c r="S193" s="4218"/>
      <c r="T193" s="4176"/>
      <c r="U193" s="2771"/>
      <c r="V193" s="2930"/>
      <c r="W193" s="3089"/>
      <c r="X193" s="801">
        <v>45535093</v>
      </c>
      <c r="Y193" s="801">
        <v>45535093</v>
      </c>
      <c r="Z193" s="801">
        <v>45535093</v>
      </c>
      <c r="AA193" s="1977" t="s">
        <v>1101</v>
      </c>
      <c r="AB193" s="4226"/>
      <c r="AC193" s="2514"/>
      <c r="AD193" s="4106"/>
      <c r="AE193" s="4106"/>
      <c r="AF193" s="4106"/>
      <c r="AG193" s="4106"/>
      <c r="AH193" s="4106"/>
      <c r="AI193" s="4106"/>
      <c r="AJ193" s="4106"/>
      <c r="AK193" s="4106"/>
      <c r="AL193" s="4106"/>
      <c r="AM193" s="4106"/>
      <c r="AN193" s="4106"/>
      <c r="AO193" s="4106"/>
      <c r="AP193" s="4106"/>
      <c r="AQ193" s="4106"/>
      <c r="AR193" s="4106"/>
      <c r="AS193" s="4106"/>
      <c r="AT193" s="4106"/>
      <c r="AU193" s="4106"/>
      <c r="AV193" s="4106"/>
      <c r="AW193" s="4106"/>
      <c r="AX193" s="4106"/>
      <c r="AY193" s="4106"/>
      <c r="AZ193" s="4106"/>
      <c r="BA193" s="4106"/>
      <c r="BB193" s="4106"/>
      <c r="BC193" s="4106"/>
      <c r="BD193" s="4106"/>
      <c r="BE193" s="4106"/>
      <c r="BF193" s="4106"/>
      <c r="BG193" s="4106"/>
      <c r="BH193" s="4106"/>
      <c r="BI193" s="4106"/>
      <c r="BJ193" s="4100"/>
      <c r="BK193" s="4100"/>
      <c r="BL193" s="4100"/>
      <c r="BM193" s="4103"/>
      <c r="BN193" s="4100"/>
      <c r="BO193" s="4100"/>
      <c r="BP193" s="3075"/>
      <c r="BQ193" s="3019"/>
      <c r="BR193" s="3019"/>
      <c r="BS193" s="3019"/>
      <c r="BT193" s="3019"/>
      <c r="BU193" s="3050"/>
    </row>
    <row r="194" spans="1:73" ht="18" customHeight="1" x14ac:dyDescent="0.25">
      <c r="A194" s="2018"/>
      <c r="B194" s="1997"/>
      <c r="C194" s="1984"/>
      <c r="D194" s="1982"/>
      <c r="G194" s="4084"/>
      <c r="H194" s="4239"/>
      <c r="I194" s="4084"/>
      <c r="J194" s="4239"/>
      <c r="K194" s="4084"/>
      <c r="L194" s="4242"/>
      <c r="M194" s="4084"/>
      <c r="N194" s="4242"/>
      <c r="O194" s="4201"/>
      <c r="P194" s="4128"/>
      <c r="Q194" s="2511"/>
      <c r="R194" s="3214"/>
      <c r="S194" s="4218"/>
      <c r="T194" s="4176"/>
      <c r="U194" s="2771"/>
      <c r="V194" s="2930"/>
      <c r="W194" s="3089"/>
      <c r="X194" s="801">
        <v>116554035</v>
      </c>
      <c r="Y194" s="801">
        <v>116554035</v>
      </c>
      <c r="Z194" s="801">
        <v>116554035</v>
      </c>
      <c r="AA194" s="1977" t="s">
        <v>1102</v>
      </c>
      <c r="AB194" s="4226"/>
      <c r="AC194" s="2514"/>
      <c r="AD194" s="4106"/>
      <c r="AE194" s="4106"/>
      <c r="AF194" s="4106"/>
      <c r="AG194" s="4106"/>
      <c r="AH194" s="4106"/>
      <c r="AI194" s="4106"/>
      <c r="AJ194" s="4106"/>
      <c r="AK194" s="4106"/>
      <c r="AL194" s="4106"/>
      <c r="AM194" s="4106"/>
      <c r="AN194" s="4106"/>
      <c r="AO194" s="4106"/>
      <c r="AP194" s="4106"/>
      <c r="AQ194" s="4106"/>
      <c r="AR194" s="4106"/>
      <c r="AS194" s="4106"/>
      <c r="AT194" s="4106"/>
      <c r="AU194" s="4106"/>
      <c r="AV194" s="4106"/>
      <c r="AW194" s="4106"/>
      <c r="AX194" s="4106"/>
      <c r="AY194" s="4106"/>
      <c r="AZ194" s="4106"/>
      <c r="BA194" s="4106"/>
      <c r="BB194" s="4106"/>
      <c r="BC194" s="4106"/>
      <c r="BD194" s="4106"/>
      <c r="BE194" s="4106"/>
      <c r="BF194" s="4106"/>
      <c r="BG194" s="4106"/>
      <c r="BH194" s="4106"/>
      <c r="BI194" s="4106"/>
      <c r="BJ194" s="4100"/>
      <c r="BK194" s="4100"/>
      <c r="BL194" s="4100"/>
      <c r="BM194" s="4103"/>
      <c r="BN194" s="4100"/>
      <c r="BO194" s="4100"/>
      <c r="BP194" s="3075"/>
      <c r="BQ194" s="3019"/>
      <c r="BR194" s="3019"/>
      <c r="BS194" s="3019"/>
      <c r="BT194" s="3019"/>
      <c r="BU194" s="3050"/>
    </row>
    <row r="195" spans="1:73" ht="18" customHeight="1" x14ac:dyDescent="0.25">
      <c r="A195" s="2018"/>
      <c r="B195" s="1997"/>
      <c r="C195" s="1984"/>
      <c r="D195" s="1982"/>
      <c r="G195" s="4084"/>
      <c r="H195" s="4239"/>
      <c r="I195" s="4084"/>
      <c r="J195" s="4239"/>
      <c r="K195" s="4084"/>
      <c r="L195" s="4242"/>
      <c r="M195" s="4084"/>
      <c r="N195" s="4242"/>
      <c r="O195" s="4201"/>
      <c r="P195" s="4128"/>
      <c r="Q195" s="2511"/>
      <c r="R195" s="3214"/>
      <c r="S195" s="4218"/>
      <c r="T195" s="4176"/>
      <c r="U195" s="2771"/>
      <c r="V195" s="2930"/>
      <c r="W195" s="3089"/>
      <c r="X195" s="801">
        <v>69420067</v>
      </c>
      <c r="Y195" s="806">
        <v>69420067</v>
      </c>
      <c r="Z195" s="806">
        <v>69420067</v>
      </c>
      <c r="AA195" s="1977" t="s">
        <v>1103</v>
      </c>
      <c r="AB195" s="4226"/>
      <c r="AC195" s="2514"/>
      <c r="AD195" s="4106"/>
      <c r="AE195" s="4106"/>
      <c r="AF195" s="4106"/>
      <c r="AG195" s="4106"/>
      <c r="AH195" s="4106"/>
      <c r="AI195" s="4106"/>
      <c r="AJ195" s="4106"/>
      <c r="AK195" s="4106"/>
      <c r="AL195" s="4106"/>
      <c r="AM195" s="4106"/>
      <c r="AN195" s="4106"/>
      <c r="AO195" s="4106"/>
      <c r="AP195" s="4106"/>
      <c r="AQ195" s="4106"/>
      <c r="AR195" s="4106"/>
      <c r="AS195" s="4106"/>
      <c r="AT195" s="4106"/>
      <c r="AU195" s="4106"/>
      <c r="AV195" s="4106"/>
      <c r="AW195" s="4106"/>
      <c r="AX195" s="4106"/>
      <c r="AY195" s="4106"/>
      <c r="AZ195" s="4106"/>
      <c r="BA195" s="4106"/>
      <c r="BB195" s="4106"/>
      <c r="BC195" s="4106"/>
      <c r="BD195" s="4106"/>
      <c r="BE195" s="4106"/>
      <c r="BF195" s="4106"/>
      <c r="BG195" s="4106"/>
      <c r="BH195" s="4106"/>
      <c r="BI195" s="4106"/>
      <c r="BJ195" s="4100"/>
      <c r="BK195" s="4100"/>
      <c r="BL195" s="4100"/>
      <c r="BM195" s="4103"/>
      <c r="BN195" s="4100"/>
      <c r="BO195" s="4100"/>
      <c r="BP195" s="3075"/>
      <c r="BQ195" s="3019"/>
      <c r="BR195" s="3019"/>
      <c r="BS195" s="3019"/>
      <c r="BT195" s="3019"/>
      <c r="BU195" s="3050"/>
    </row>
    <row r="196" spans="1:73" ht="18" customHeight="1" x14ac:dyDescent="0.25">
      <c r="A196" s="2018"/>
      <c r="B196" s="1997"/>
      <c r="C196" s="1984"/>
      <c r="D196" s="1982"/>
      <c r="G196" s="4084"/>
      <c r="H196" s="4239"/>
      <c r="I196" s="4084"/>
      <c r="J196" s="4239"/>
      <c r="K196" s="4084"/>
      <c r="L196" s="4242"/>
      <c r="M196" s="4084"/>
      <c r="N196" s="4242"/>
      <c r="O196" s="4201"/>
      <c r="P196" s="4128"/>
      <c r="Q196" s="2511"/>
      <c r="R196" s="3214"/>
      <c r="S196" s="4218"/>
      <c r="T196" s="4176"/>
      <c r="U196" s="2771"/>
      <c r="V196" s="2930"/>
      <c r="W196" s="3089"/>
      <c r="X196" s="801">
        <v>17771969</v>
      </c>
      <c r="Y196" s="801">
        <v>17771969</v>
      </c>
      <c r="Z196" s="801">
        <v>17771969</v>
      </c>
      <c r="AA196" s="1977" t="s">
        <v>1104</v>
      </c>
      <c r="AB196" s="4226"/>
      <c r="AC196" s="2514"/>
      <c r="AD196" s="4106"/>
      <c r="AE196" s="4106"/>
      <c r="AF196" s="4106"/>
      <c r="AG196" s="4106"/>
      <c r="AH196" s="4106"/>
      <c r="AI196" s="4106"/>
      <c r="AJ196" s="4106"/>
      <c r="AK196" s="4106"/>
      <c r="AL196" s="4106"/>
      <c r="AM196" s="4106"/>
      <c r="AN196" s="4106"/>
      <c r="AO196" s="4106"/>
      <c r="AP196" s="4106"/>
      <c r="AQ196" s="4106"/>
      <c r="AR196" s="4106"/>
      <c r="AS196" s="4106"/>
      <c r="AT196" s="4106"/>
      <c r="AU196" s="4106"/>
      <c r="AV196" s="4106"/>
      <c r="AW196" s="4106"/>
      <c r="AX196" s="4106"/>
      <c r="AY196" s="4106"/>
      <c r="AZ196" s="4106"/>
      <c r="BA196" s="4106"/>
      <c r="BB196" s="4106"/>
      <c r="BC196" s="4106"/>
      <c r="BD196" s="4106"/>
      <c r="BE196" s="4106"/>
      <c r="BF196" s="4106"/>
      <c r="BG196" s="4106"/>
      <c r="BH196" s="4106"/>
      <c r="BI196" s="4106"/>
      <c r="BJ196" s="4100"/>
      <c r="BK196" s="4100"/>
      <c r="BL196" s="4100"/>
      <c r="BM196" s="4103"/>
      <c r="BN196" s="4100"/>
      <c r="BO196" s="4100"/>
      <c r="BP196" s="3075"/>
      <c r="BQ196" s="3019"/>
      <c r="BR196" s="3019"/>
      <c r="BS196" s="3019"/>
      <c r="BT196" s="3019"/>
      <c r="BU196" s="3050"/>
    </row>
    <row r="197" spans="1:73" ht="18" customHeight="1" x14ac:dyDescent="0.25">
      <c r="A197" s="2018"/>
      <c r="B197" s="1997"/>
      <c r="C197" s="1984"/>
      <c r="D197" s="1982"/>
      <c r="G197" s="4084"/>
      <c r="H197" s="4239"/>
      <c r="I197" s="4084"/>
      <c r="J197" s="4239"/>
      <c r="K197" s="4084"/>
      <c r="L197" s="4242"/>
      <c r="M197" s="4084"/>
      <c r="N197" s="4242"/>
      <c r="O197" s="4201"/>
      <c r="P197" s="4128"/>
      <c r="Q197" s="2511"/>
      <c r="R197" s="3214"/>
      <c r="S197" s="4218"/>
      <c r="T197" s="4176"/>
      <c r="U197" s="2771"/>
      <c r="V197" s="2930"/>
      <c r="W197" s="3089"/>
      <c r="X197" s="801">
        <v>189997400</v>
      </c>
      <c r="Y197" s="801">
        <v>189997400</v>
      </c>
      <c r="Z197" s="801">
        <v>189997400</v>
      </c>
      <c r="AA197" s="1977" t="s">
        <v>1105</v>
      </c>
      <c r="AB197" s="4226"/>
      <c r="AC197" s="2514"/>
      <c r="AD197" s="4106"/>
      <c r="AE197" s="4106"/>
      <c r="AF197" s="4106"/>
      <c r="AG197" s="4106"/>
      <c r="AH197" s="4106"/>
      <c r="AI197" s="4106"/>
      <c r="AJ197" s="4106"/>
      <c r="AK197" s="4106"/>
      <c r="AL197" s="4106"/>
      <c r="AM197" s="4106"/>
      <c r="AN197" s="4106"/>
      <c r="AO197" s="4106"/>
      <c r="AP197" s="4106"/>
      <c r="AQ197" s="4106"/>
      <c r="AR197" s="4106"/>
      <c r="AS197" s="4106"/>
      <c r="AT197" s="4106"/>
      <c r="AU197" s="4106"/>
      <c r="AV197" s="4106"/>
      <c r="AW197" s="4106"/>
      <c r="AX197" s="4106"/>
      <c r="AY197" s="4106"/>
      <c r="AZ197" s="4106"/>
      <c r="BA197" s="4106"/>
      <c r="BB197" s="4106"/>
      <c r="BC197" s="4106"/>
      <c r="BD197" s="4106"/>
      <c r="BE197" s="4106"/>
      <c r="BF197" s="4106"/>
      <c r="BG197" s="4106"/>
      <c r="BH197" s="4106"/>
      <c r="BI197" s="4106"/>
      <c r="BJ197" s="4100"/>
      <c r="BK197" s="4100"/>
      <c r="BL197" s="4100"/>
      <c r="BM197" s="4103"/>
      <c r="BN197" s="4100"/>
      <c r="BO197" s="4100"/>
      <c r="BP197" s="3075"/>
      <c r="BQ197" s="3019"/>
      <c r="BR197" s="3019"/>
      <c r="BS197" s="3019"/>
      <c r="BT197" s="3019"/>
      <c r="BU197" s="3050"/>
    </row>
    <row r="198" spans="1:73" ht="18" customHeight="1" x14ac:dyDescent="0.25">
      <c r="A198" s="2018"/>
      <c r="B198" s="1997"/>
      <c r="C198" s="1984"/>
      <c r="D198" s="1982"/>
      <c r="G198" s="4084"/>
      <c r="H198" s="4239"/>
      <c r="I198" s="4084"/>
      <c r="J198" s="4239"/>
      <c r="K198" s="4084"/>
      <c r="L198" s="4242"/>
      <c r="M198" s="4084"/>
      <c r="N198" s="4242"/>
      <c r="O198" s="4201"/>
      <c r="P198" s="4128"/>
      <c r="Q198" s="2511"/>
      <c r="R198" s="3214"/>
      <c r="S198" s="4218"/>
      <c r="T198" s="4176"/>
      <c r="U198" s="2771"/>
      <c r="V198" s="2930"/>
      <c r="W198" s="3089"/>
      <c r="X198" s="801">
        <v>134574700</v>
      </c>
      <c r="Y198" s="801">
        <v>134574700</v>
      </c>
      <c r="Z198" s="801">
        <v>134574700</v>
      </c>
      <c r="AA198" s="1977" t="s">
        <v>1106</v>
      </c>
      <c r="AB198" s="4226"/>
      <c r="AC198" s="2514"/>
      <c r="AD198" s="4106"/>
      <c r="AE198" s="4106"/>
      <c r="AF198" s="4106"/>
      <c r="AG198" s="4106"/>
      <c r="AH198" s="4106"/>
      <c r="AI198" s="4106"/>
      <c r="AJ198" s="4106"/>
      <c r="AK198" s="4106"/>
      <c r="AL198" s="4106"/>
      <c r="AM198" s="4106"/>
      <c r="AN198" s="4106"/>
      <c r="AO198" s="4106"/>
      <c r="AP198" s="4106"/>
      <c r="AQ198" s="4106"/>
      <c r="AR198" s="4106"/>
      <c r="AS198" s="4106"/>
      <c r="AT198" s="4106"/>
      <c r="AU198" s="4106"/>
      <c r="AV198" s="4106"/>
      <c r="AW198" s="4106"/>
      <c r="AX198" s="4106"/>
      <c r="AY198" s="4106"/>
      <c r="AZ198" s="4106"/>
      <c r="BA198" s="4106"/>
      <c r="BB198" s="4106"/>
      <c r="BC198" s="4106"/>
      <c r="BD198" s="4106"/>
      <c r="BE198" s="4106"/>
      <c r="BF198" s="4106"/>
      <c r="BG198" s="4106"/>
      <c r="BH198" s="4106"/>
      <c r="BI198" s="4106"/>
      <c r="BJ198" s="4100"/>
      <c r="BK198" s="4100"/>
      <c r="BL198" s="4100"/>
      <c r="BM198" s="4103"/>
      <c r="BN198" s="4100"/>
      <c r="BO198" s="4100"/>
      <c r="BP198" s="3075"/>
      <c r="BQ198" s="3019"/>
      <c r="BR198" s="3019"/>
      <c r="BS198" s="3019"/>
      <c r="BT198" s="3019"/>
      <c r="BU198" s="3050"/>
    </row>
    <row r="199" spans="1:73" ht="18" customHeight="1" x14ac:dyDescent="0.25">
      <c r="A199" s="2018"/>
      <c r="B199" s="1997"/>
      <c r="C199" s="1984"/>
      <c r="D199" s="1982"/>
      <c r="G199" s="4084"/>
      <c r="H199" s="4239"/>
      <c r="I199" s="4084"/>
      <c r="J199" s="4239"/>
      <c r="K199" s="4084"/>
      <c r="L199" s="4242"/>
      <c r="M199" s="4084"/>
      <c r="N199" s="4242"/>
      <c r="O199" s="4201"/>
      <c r="P199" s="4128"/>
      <c r="Q199" s="2511"/>
      <c r="R199" s="3214"/>
      <c r="S199" s="4218"/>
      <c r="T199" s="4176"/>
      <c r="U199" s="2771"/>
      <c r="V199" s="2930"/>
      <c r="W199" s="3089"/>
      <c r="X199" s="801">
        <v>316940843</v>
      </c>
      <c r="Y199" s="801">
        <v>316940843</v>
      </c>
      <c r="Z199" s="801">
        <v>316940843</v>
      </c>
      <c r="AA199" s="1977" t="s">
        <v>1107</v>
      </c>
      <c r="AB199" s="4226"/>
      <c r="AC199" s="2514"/>
      <c r="AD199" s="4106"/>
      <c r="AE199" s="4106"/>
      <c r="AF199" s="4106"/>
      <c r="AG199" s="4106"/>
      <c r="AH199" s="4106"/>
      <c r="AI199" s="4106"/>
      <c r="AJ199" s="4106"/>
      <c r="AK199" s="4106"/>
      <c r="AL199" s="4106"/>
      <c r="AM199" s="4106"/>
      <c r="AN199" s="4106"/>
      <c r="AO199" s="4106"/>
      <c r="AP199" s="4106"/>
      <c r="AQ199" s="4106"/>
      <c r="AR199" s="4106"/>
      <c r="AS199" s="4106"/>
      <c r="AT199" s="4106"/>
      <c r="AU199" s="4106"/>
      <c r="AV199" s="4106"/>
      <c r="AW199" s="4106"/>
      <c r="AX199" s="4106"/>
      <c r="AY199" s="4106"/>
      <c r="AZ199" s="4106"/>
      <c r="BA199" s="4106"/>
      <c r="BB199" s="4106"/>
      <c r="BC199" s="4106"/>
      <c r="BD199" s="4106"/>
      <c r="BE199" s="4106"/>
      <c r="BF199" s="4106"/>
      <c r="BG199" s="4106"/>
      <c r="BH199" s="4106"/>
      <c r="BI199" s="4106"/>
      <c r="BJ199" s="4100"/>
      <c r="BK199" s="4100"/>
      <c r="BL199" s="4100"/>
      <c r="BM199" s="4103"/>
      <c r="BN199" s="4100"/>
      <c r="BO199" s="4100"/>
      <c r="BP199" s="3075"/>
      <c r="BQ199" s="3019"/>
      <c r="BR199" s="3019"/>
      <c r="BS199" s="3019"/>
      <c r="BT199" s="3019"/>
      <c r="BU199" s="3050"/>
    </row>
    <row r="200" spans="1:73" ht="18" customHeight="1" x14ac:dyDescent="0.25">
      <c r="A200" s="2018"/>
      <c r="B200" s="1997"/>
      <c r="C200" s="1984"/>
      <c r="D200" s="1982"/>
      <c r="G200" s="4084"/>
      <c r="H200" s="4239"/>
      <c r="I200" s="4084"/>
      <c r="J200" s="4239"/>
      <c r="K200" s="4084"/>
      <c r="L200" s="4242"/>
      <c r="M200" s="4084"/>
      <c r="N200" s="4242"/>
      <c r="O200" s="4201"/>
      <c r="P200" s="4128"/>
      <c r="Q200" s="2511"/>
      <c r="R200" s="3214"/>
      <c r="S200" s="4218"/>
      <c r="T200" s="4176"/>
      <c r="U200" s="2771"/>
      <c r="V200" s="2930"/>
      <c r="W200" s="3089"/>
      <c r="X200" s="801">
        <v>70080400</v>
      </c>
      <c r="Y200" s="801">
        <v>70080400</v>
      </c>
      <c r="Z200" s="801">
        <v>70080400</v>
      </c>
      <c r="AA200" s="1977" t="s">
        <v>1108</v>
      </c>
      <c r="AB200" s="4226"/>
      <c r="AC200" s="2514"/>
      <c r="AD200" s="4106"/>
      <c r="AE200" s="4106"/>
      <c r="AF200" s="4106"/>
      <c r="AG200" s="4106"/>
      <c r="AH200" s="4106"/>
      <c r="AI200" s="4106"/>
      <c r="AJ200" s="4106"/>
      <c r="AK200" s="4106"/>
      <c r="AL200" s="4106"/>
      <c r="AM200" s="4106"/>
      <c r="AN200" s="4106"/>
      <c r="AO200" s="4106"/>
      <c r="AP200" s="4106"/>
      <c r="AQ200" s="4106"/>
      <c r="AR200" s="4106"/>
      <c r="AS200" s="4106"/>
      <c r="AT200" s="4106"/>
      <c r="AU200" s="4106"/>
      <c r="AV200" s="4106"/>
      <c r="AW200" s="4106"/>
      <c r="AX200" s="4106"/>
      <c r="AY200" s="4106"/>
      <c r="AZ200" s="4106"/>
      <c r="BA200" s="4106"/>
      <c r="BB200" s="4106"/>
      <c r="BC200" s="4106"/>
      <c r="BD200" s="4106"/>
      <c r="BE200" s="4106"/>
      <c r="BF200" s="4106"/>
      <c r="BG200" s="4106"/>
      <c r="BH200" s="4106"/>
      <c r="BI200" s="4106"/>
      <c r="BJ200" s="4100"/>
      <c r="BK200" s="4100"/>
      <c r="BL200" s="4100"/>
      <c r="BM200" s="4103"/>
      <c r="BN200" s="4100"/>
      <c r="BO200" s="4100"/>
      <c r="BP200" s="3075"/>
      <c r="BQ200" s="3019"/>
      <c r="BR200" s="3019"/>
      <c r="BS200" s="3019"/>
      <c r="BT200" s="3019"/>
      <c r="BU200" s="3050"/>
    </row>
    <row r="201" spans="1:73" ht="18" customHeight="1" x14ac:dyDescent="0.25">
      <c r="A201" s="2018"/>
      <c r="B201" s="1997"/>
      <c r="C201" s="1984"/>
      <c r="D201" s="1982"/>
      <c r="G201" s="4084"/>
      <c r="H201" s="4239"/>
      <c r="I201" s="4084"/>
      <c r="J201" s="4239"/>
      <c r="K201" s="4084"/>
      <c r="L201" s="4242"/>
      <c r="M201" s="4084"/>
      <c r="N201" s="4242"/>
      <c r="O201" s="4201"/>
      <c r="P201" s="4128"/>
      <c r="Q201" s="2511"/>
      <c r="R201" s="3214"/>
      <c r="S201" s="4218"/>
      <c r="T201" s="4176"/>
      <c r="U201" s="2771"/>
      <c r="V201" s="2930"/>
      <c r="W201" s="3089"/>
      <c r="X201" s="801">
        <v>7802300</v>
      </c>
      <c r="Y201" s="801">
        <v>7802300</v>
      </c>
      <c r="Z201" s="801">
        <v>7802300</v>
      </c>
      <c r="AA201" s="1977" t="s">
        <v>1109</v>
      </c>
      <c r="AB201" s="4226"/>
      <c r="AC201" s="2514"/>
      <c r="AD201" s="4106"/>
      <c r="AE201" s="4106"/>
      <c r="AF201" s="4106"/>
      <c r="AG201" s="4106"/>
      <c r="AH201" s="4106"/>
      <c r="AI201" s="4106"/>
      <c r="AJ201" s="4106"/>
      <c r="AK201" s="4106"/>
      <c r="AL201" s="4106"/>
      <c r="AM201" s="4106"/>
      <c r="AN201" s="4106"/>
      <c r="AO201" s="4106"/>
      <c r="AP201" s="4106"/>
      <c r="AQ201" s="4106"/>
      <c r="AR201" s="4106"/>
      <c r="AS201" s="4106"/>
      <c r="AT201" s="4106"/>
      <c r="AU201" s="4106"/>
      <c r="AV201" s="4106"/>
      <c r="AW201" s="4106"/>
      <c r="AX201" s="4106"/>
      <c r="AY201" s="4106"/>
      <c r="AZ201" s="4106"/>
      <c r="BA201" s="4106"/>
      <c r="BB201" s="4106"/>
      <c r="BC201" s="4106"/>
      <c r="BD201" s="4106"/>
      <c r="BE201" s="4106"/>
      <c r="BF201" s="4106"/>
      <c r="BG201" s="4106"/>
      <c r="BH201" s="4106"/>
      <c r="BI201" s="4106"/>
      <c r="BJ201" s="4100"/>
      <c r="BK201" s="4100"/>
      <c r="BL201" s="4100"/>
      <c r="BM201" s="4103"/>
      <c r="BN201" s="4100"/>
      <c r="BO201" s="4100"/>
      <c r="BP201" s="3075"/>
      <c r="BQ201" s="3019"/>
      <c r="BR201" s="3019"/>
      <c r="BS201" s="3019"/>
      <c r="BT201" s="3019"/>
      <c r="BU201" s="3050"/>
    </row>
    <row r="202" spans="1:73" ht="18" customHeight="1" x14ac:dyDescent="0.25">
      <c r="A202" s="2018"/>
      <c r="B202" s="1997"/>
      <c r="C202" s="1984"/>
      <c r="D202" s="1982"/>
      <c r="G202" s="4084"/>
      <c r="H202" s="4239"/>
      <c r="I202" s="4084"/>
      <c r="J202" s="4239"/>
      <c r="K202" s="4084"/>
      <c r="L202" s="4242"/>
      <c r="M202" s="4084"/>
      <c r="N202" s="4242"/>
      <c r="O202" s="4201"/>
      <c r="P202" s="4128"/>
      <c r="Q202" s="2511"/>
      <c r="R202" s="3214"/>
      <c r="S202" s="4218"/>
      <c r="T202" s="4176"/>
      <c r="U202" s="2771"/>
      <c r="V202" s="2930"/>
      <c r="W202" s="3089"/>
      <c r="X202" s="801">
        <v>52576300</v>
      </c>
      <c r="Y202" s="801">
        <v>52576300</v>
      </c>
      <c r="Z202" s="801">
        <v>52576300</v>
      </c>
      <c r="AA202" s="1977" t="s">
        <v>1110</v>
      </c>
      <c r="AB202" s="4226"/>
      <c r="AC202" s="2514"/>
      <c r="AD202" s="4106"/>
      <c r="AE202" s="4106"/>
      <c r="AF202" s="4106"/>
      <c r="AG202" s="4106"/>
      <c r="AH202" s="4106"/>
      <c r="AI202" s="4106"/>
      <c r="AJ202" s="4106"/>
      <c r="AK202" s="4106"/>
      <c r="AL202" s="4106"/>
      <c r="AM202" s="4106"/>
      <c r="AN202" s="4106"/>
      <c r="AO202" s="4106"/>
      <c r="AP202" s="4106"/>
      <c r="AQ202" s="4106"/>
      <c r="AR202" s="4106"/>
      <c r="AS202" s="4106"/>
      <c r="AT202" s="4106"/>
      <c r="AU202" s="4106"/>
      <c r="AV202" s="4106"/>
      <c r="AW202" s="4106"/>
      <c r="AX202" s="4106"/>
      <c r="AY202" s="4106"/>
      <c r="AZ202" s="4106"/>
      <c r="BA202" s="4106"/>
      <c r="BB202" s="4106"/>
      <c r="BC202" s="4106"/>
      <c r="BD202" s="4106"/>
      <c r="BE202" s="4106"/>
      <c r="BF202" s="4106"/>
      <c r="BG202" s="4106"/>
      <c r="BH202" s="4106"/>
      <c r="BI202" s="4106"/>
      <c r="BJ202" s="4100"/>
      <c r="BK202" s="4100"/>
      <c r="BL202" s="4100"/>
      <c r="BM202" s="4103"/>
      <c r="BN202" s="4100"/>
      <c r="BO202" s="4100"/>
      <c r="BP202" s="3075"/>
      <c r="BQ202" s="3019"/>
      <c r="BR202" s="3019"/>
      <c r="BS202" s="3019"/>
      <c r="BT202" s="3019"/>
      <c r="BU202" s="3050"/>
    </row>
    <row r="203" spans="1:73" ht="18" customHeight="1" x14ac:dyDescent="0.25">
      <c r="A203" s="2018"/>
      <c r="B203" s="1997"/>
      <c r="C203" s="1984"/>
      <c r="D203" s="1982"/>
      <c r="G203" s="4084"/>
      <c r="H203" s="4239"/>
      <c r="I203" s="4084"/>
      <c r="J203" s="4239"/>
      <c r="K203" s="4084"/>
      <c r="L203" s="4242"/>
      <c r="M203" s="4084"/>
      <c r="N203" s="4242"/>
      <c r="O203" s="4201"/>
      <c r="P203" s="4128"/>
      <c r="Q203" s="2511"/>
      <c r="R203" s="3214"/>
      <c r="S203" s="4218"/>
      <c r="T203" s="4176"/>
      <c r="U203" s="2771"/>
      <c r="V203" s="2930"/>
      <c r="W203" s="3089"/>
      <c r="X203" s="801">
        <v>8773200</v>
      </c>
      <c r="Y203" s="801">
        <v>8773200</v>
      </c>
      <c r="Z203" s="801">
        <v>8773200</v>
      </c>
      <c r="AA203" s="1977" t="s">
        <v>1111</v>
      </c>
      <c r="AB203" s="4226"/>
      <c r="AC203" s="2514"/>
      <c r="AD203" s="4106"/>
      <c r="AE203" s="4106"/>
      <c r="AF203" s="4106"/>
      <c r="AG203" s="4106"/>
      <c r="AH203" s="4106"/>
      <c r="AI203" s="4106"/>
      <c r="AJ203" s="4106"/>
      <c r="AK203" s="4106"/>
      <c r="AL203" s="4106"/>
      <c r="AM203" s="4106"/>
      <c r="AN203" s="4106"/>
      <c r="AO203" s="4106"/>
      <c r="AP203" s="4106"/>
      <c r="AQ203" s="4106"/>
      <c r="AR203" s="4106"/>
      <c r="AS203" s="4106"/>
      <c r="AT203" s="4106"/>
      <c r="AU203" s="4106"/>
      <c r="AV203" s="4106"/>
      <c r="AW203" s="4106"/>
      <c r="AX203" s="4106"/>
      <c r="AY203" s="4106"/>
      <c r="AZ203" s="4106"/>
      <c r="BA203" s="4106"/>
      <c r="BB203" s="4106"/>
      <c r="BC203" s="4106"/>
      <c r="BD203" s="4106"/>
      <c r="BE203" s="4106"/>
      <c r="BF203" s="4106"/>
      <c r="BG203" s="4106"/>
      <c r="BH203" s="4106"/>
      <c r="BI203" s="4106"/>
      <c r="BJ203" s="4100"/>
      <c r="BK203" s="4100"/>
      <c r="BL203" s="4100"/>
      <c r="BM203" s="4103"/>
      <c r="BN203" s="4100"/>
      <c r="BO203" s="4100"/>
      <c r="BP203" s="3075"/>
      <c r="BQ203" s="3019"/>
      <c r="BR203" s="3019"/>
      <c r="BS203" s="3019"/>
      <c r="BT203" s="3019"/>
      <c r="BU203" s="3050"/>
    </row>
    <row r="204" spans="1:73" ht="18" customHeight="1" x14ac:dyDescent="0.25">
      <c r="A204" s="2018"/>
      <c r="B204" s="1997"/>
      <c r="C204" s="1984"/>
      <c r="D204" s="1982"/>
      <c r="G204" s="4084"/>
      <c r="H204" s="4239"/>
      <c r="I204" s="4084"/>
      <c r="J204" s="4239"/>
      <c r="K204" s="4084"/>
      <c r="L204" s="4242"/>
      <c r="M204" s="4084"/>
      <c r="N204" s="4242"/>
      <c r="O204" s="4201"/>
      <c r="P204" s="4128"/>
      <c r="Q204" s="2511"/>
      <c r="R204" s="3214"/>
      <c r="S204" s="4218"/>
      <c r="T204" s="4176"/>
      <c r="U204" s="2771"/>
      <c r="V204" s="2930"/>
      <c r="W204" s="3089"/>
      <c r="X204" s="801">
        <v>8771700</v>
      </c>
      <c r="Y204" s="801">
        <v>8771700</v>
      </c>
      <c r="Z204" s="801">
        <v>8771700</v>
      </c>
      <c r="AA204" s="1977" t="s">
        <v>1112</v>
      </c>
      <c r="AB204" s="4226"/>
      <c r="AC204" s="2514"/>
      <c r="AD204" s="4106"/>
      <c r="AE204" s="4106"/>
      <c r="AF204" s="4106"/>
      <c r="AG204" s="4106"/>
      <c r="AH204" s="4106"/>
      <c r="AI204" s="4106"/>
      <c r="AJ204" s="4106"/>
      <c r="AK204" s="4106"/>
      <c r="AL204" s="4106"/>
      <c r="AM204" s="4106"/>
      <c r="AN204" s="4106"/>
      <c r="AO204" s="4106"/>
      <c r="AP204" s="4106"/>
      <c r="AQ204" s="4106"/>
      <c r="AR204" s="4106"/>
      <c r="AS204" s="4106"/>
      <c r="AT204" s="4106"/>
      <c r="AU204" s="4106"/>
      <c r="AV204" s="4106"/>
      <c r="AW204" s="4106"/>
      <c r="AX204" s="4106"/>
      <c r="AY204" s="4106"/>
      <c r="AZ204" s="4106"/>
      <c r="BA204" s="4106"/>
      <c r="BB204" s="4106"/>
      <c r="BC204" s="4106"/>
      <c r="BD204" s="4106"/>
      <c r="BE204" s="4106"/>
      <c r="BF204" s="4106"/>
      <c r="BG204" s="4106"/>
      <c r="BH204" s="4106"/>
      <c r="BI204" s="4106"/>
      <c r="BJ204" s="4100"/>
      <c r="BK204" s="4100"/>
      <c r="BL204" s="4100"/>
      <c r="BM204" s="4103"/>
      <c r="BN204" s="4100"/>
      <c r="BO204" s="4100"/>
      <c r="BP204" s="3075"/>
      <c r="BQ204" s="3019"/>
      <c r="BR204" s="3019"/>
      <c r="BS204" s="3019"/>
      <c r="BT204" s="3019"/>
      <c r="BU204" s="3050"/>
    </row>
    <row r="205" spans="1:73" ht="18" customHeight="1" x14ac:dyDescent="0.25">
      <c r="A205" s="2018"/>
      <c r="B205" s="1997"/>
      <c r="C205" s="1984"/>
      <c r="D205" s="1982"/>
      <c r="G205" s="4084"/>
      <c r="H205" s="4239"/>
      <c r="I205" s="4084"/>
      <c r="J205" s="4239"/>
      <c r="K205" s="4084"/>
      <c r="L205" s="4242"/>
      <c r="M205" s="4084"/>
      <c r="N205" s="4242"/>
      <c r="O205" s="4201"/>
      <c r="P205" s="4128"/>
      <c r="Q205" s="2511"/>
      <c r="R205" s="3214"/>
      <c r="S205" s="4218"/>
      <c r="T205" s="4176"/>
      <c r="U205" s="2771"/>
      <c r="V205" s="2930"/>
      <c r="W205" s="3089"/>
      <c r="X205" s="801">
        <v>17530900</v>
      </c>
      <c r="Y205" s="801">
        <v>17530900</v>
      </c>
      <c r="Z205" s="801">
        <v>17530900</v>
      </c>
      <c r="AA205" s="1977" t="s">
        <v>1113</v>
      </c>
      <c r="AB205" s="4226"/>
      <c r="AC205" s="2514"/>
      <c r="AD205" s="4106"/>
      <c r="AE205" s="4106"/>
      <c r="AF205" s="4106"/>
      <c r="AG205" s="4106"/>
      <c r="AH205" s="4106"/>
      <c r="AI205" s="4106"/>
      <c r="AJ205" s="4106"/>
      <c r="AK205" s="4106"/>
      <c r="AL205" s="4106"/>
      <c r="AM205" s="4106"/>
      <c r="AN205" s="4106"/>
      <c r="AO205" s="4106"/>
      <c r="AP205" s="4106"/>
      <c r="AQ205" s="4106"/>
      <c r="AR205" s="4106"/>
      <c r="AS205" s="4106"/>
      <c r="AT205" s="4106"/>
      <c r="AU205" s="4106"/>
      <c r="AV205" s="4106"/>
      <c r="AW205" s="4106"/>
      <c r="AX205" s="4106"/>
      <c r="AY205" s="4106"/>
      <c r="AZ205" s="4106"/>
      <c r="BA205" s="4106"/>
      <c r="BB205" s="4106"/>
      <c r="BC205" s="4106"/>
      <c r="BD205" s="4106"/>
      <c r="BE205" s="4106"/>
      <c r="BF205" s="4106"/>
      <c r="BG205" s="4106"/>
      <c r="BH205" s="4106"/>
      <c r="BI205" s="4106"/>
      <c r="BJ205" s="4100"/>
      <c r="BK205" s="4100"/>
      <c r="BL205" s="4100"/>
      <c r="BM205" s="4103"/>
      <c r="BN205" s="4100"/>
      <c r="BO205" s="4100"/>
      <c r="BP205" s="3075"/>
      <c r="BQ205" s="3019"/>
      <c r="BR205" s="3019"/>
      <c r="BS205" s="3019"/>
      <c r="BT205" s="3019"/>
      <c r="BU205" s="3050"/>
    </row>
    <row r="206" spans="1:73" ht="18" customHeight="1" x14ac:dyDescent="0.25">
      <c r="A206" s="2018"/>
      <c r="B206" s="1997"/>
      <c r="C206" s="1984"/>
      <c r="D206" s="1982"/>
      <c r="G206" s="4084"/>
      <c r="H206" s="4239"/>
      <c r="I206" s="4084"/>
      <c r="J206" s="4239"/>
      <c r="K206" s="4084"/>
      <c r="L206" s="4242"/>
      <c r="M206" s="4084"/>
      <c r="N206" s="4242"/>
      <c r="O206" s="4201"/>
      <c r="P206" s="4128"/>
      <c r="Q206" s="2511"/>
      <c r="R206" s="3214"/>
      <c r="S206" s="4218"/>
      <c r="T206" s="4176"/>
      <c r="U206" s="2771"/>
      <c r="V206" s="2930"/>
      <c r="W206" s="3089"/>
      <c r="X206" s="801">
        <v>4369831</v>
      </c>
      <c r="Y206" s="801">
        <v>4369831</v>
      </c>
      <c r="Z206" s="801">
        <v>4369831</v>
      </c>
      <c r="AA206" s="1977" t="s">
        <v>1114</v>
      </c>
      <c r="AB206" s="4226"/>
      <c r="AC206" s="2514"/>
      <c r="AD206" s="4106"/>
      <c r="AE206" s="4106"/>
      <c r="AF206" s="4106"/>
      <c r="AG206" s="4106"/>
      <c r="AH206" s="4106"/>
      <c r="AI206" s="4106"/>
      <c r="AJ206" s="4106"/>
      <c r="AK206" s="4106"/>
      <c r="AL206" s="4106"/>
      <c r="AM206" s="4106"/>
      <c r="AN206" s="4106"/>
      <c r="AO206" s="4106"/>
      <c r="AP206" s="4106"/>
      <c r="AQ206" s="4106"/>
      <c r="AR206" s="4106"/>
      <c r="AS206" s="4106"/>
      <c r="AT206" s="4106"/>
      <c r="AU206" s="4106"/>
      <c r="AV206" s="4106"/>
      <c r="AW206" s="4106"/>
      <c r="AX206" s="4106"/>
      <c r="AY206" s="4106"/>
      <c r="AZ206" s="4106"/>
      <c r="BA206" s="4106"/>
      <c r="BB206" s="4106"/>
      <c r="BC206" s="4106"/>
      <c r="BD206" s="4106"/>
      <c r="BE206" s="4106"/>
      <c r="BF206" s="4106"/>
      <c r="BG206" s="4106"/>
      <c r="BH206" s="4106"/>
      <c r="BI206" s="4106"/>
      <c r="BJ206" s="4100"/>
      <c r="BK206" s="4100"/>
      <c r="BL206" s="4100"/>
      <c r="BM206" s="4103"/>
      <c r="BN206" s="4100"/>
      <c r="BO206" s="4100"/>
      <c r="BP206" s="3075"/>
      <c r="BQ206" s="3019"/>
      <c r="BR206" s="3019"/>
      <c r="BS206" s="3019"/>
      <c r="BT206" s="3019"/>
      <c r="BU206" s="3050"/>
    </row>
    <row r="207" spans="1:73" ht="18" customHeight="1" x14ac:dyDescent="0.25">
      <c r="A207" s="2018"/>
      <c r="B207" s="1997"/>
      <c r="C207" s="1984"/>
      <c r="D207" s="1982"/>
      <c r="G207" s="4084"/>
      <c r="H207" s="4239"/>
      <c r="I207" s="4084"/>
      <c r="J207" s="4239"/>
      <c r="K207" s="4084"/>
      <c r="L207" s="4242"/>
      <c r="M207" s="4084"/>
      <c r="N207" s="4242"/>
      <c r="O207" s="4201"/>
      <c r="P207" s="4128"/>
      <c r="Q207" s="2511"/>
      <c r="R207" s="3214"/>
      <c r="S207" s="4218"/>
      <c r="T207" s="4176"/>
      <c r="U207" s="2771"/>
      <c r="V207" s="2930"/>
      <c r="W207" s="3089"/>
      <c r="X207" s="801">
        <v>8682756</v>
      </c>
      <c r="Y207" s="801">
        <v>8682756</v>
      </c>
      <c r="Z207" s="801">
        <v>8682756</v>
      </c>
      <c r="AA207" s="1977" t="s">
        <v>1115</v>
      </c>
      <c r="AB207" s="4226"/>
      <c r="AC207" s="2514"/>
      <c r="AD207" s="4106"/>
      <c r="AE207" s="4106"/>
      <c r="AF207" s="4106"/>
      <c r="AG207" s="4106"/>
      <c r="AH207" s="4106"/>
      <c r="AI207" s="4106"/>
      <c r="AJ207" s="4106"/>
      <c r="AK207" s="4106"/>
      <c r="AL207" s="4106"/>
      <c r="AM207" s="4106"/>
      <c r="AN207" s="4106"/>
      <c r="AO207" s="4106"/>
      <c r="AP207" s="4106"/>
      <c r="AQ207" s="4106"/>
      <c r="AR207" s="4106"/>
      <c r="AS207" s="4106"/>
      <c r="AT207" s="4106"/>
      <c r="AU207" s="4106"/>
      <c r="AV207" s="4106"/>
      <c r="AW207" s="4106"/>
      <c r="AX207" s="4106"/>
      <c r="AY207" s="4106"/>
      <c r="AZ207" s="4106"/>
      <c r="BA207" s="4106"/>
      <c r="BB207" s="4106"/>
      <c r="BC207" s="4106"/>
      <c r="BD207" s="4106"/>
      <c r="BE207" s="4106"/>
      <c r="BF207" s="4106"/>
      <c r="BG207" s="4106"/>
      <c r="BH207" s="4106"/>
      <c r="BI207" s="4106"/>
      <c r="BJ207" s="4100"/>
      <c r="BK207" s="4100"/>
      <c r="BL207" s="4100"/>
      <c r="BM207" s="4103"/>
      <c r="BN207" s="4100"/>
      <c r="BO207" s="4100"/>
      <c r="BP207" s="3075"/>
      <c r="BQ207" s="3019"/>
      <c r="BR207" s="3019"/>
      <c r="BS207" s="3019"/>
      <c r="BT207" s="3019"/>
      <c r="BU207" s="3050"/>
    </row>
    <row r="208" spans="1:73" ht="18" customHeight="1" x14ac:dyDescent="0.25">
      <c r="A208" s="2018"/>
      <c r="B208" s="1997"/>
      <c r="C208" s="1984"/>
      <c r="D208" s="1982"/>
      <c r="G208" s="4084"/>
      <c r="H208" s="4239"/>
      <c r="I208" s="4084"/>
      <c r="J208" s="4239"/>
      <c r="K208" s="4084"/>
      <c r="L208" s="4242"/>
      <c r="M208" s="4084"/>
      <c r="N208" s="4242"/>
      <c r="O208" s="4201"/>
      <c r="P208" s="4128"/>
      <c r="Q208" s="2511"/>
      <c r="R208" s="3214"/>
      <c r="S208" s="4218"/>
      <c r="T208" s="4176"/>
      <c r="U208" s="2771"/>
      <c r="V208" s="2930"/>
      <c r="W208" s="3089"/>
      <c r="X208" s="801">
        <v>0</v>
      </c>
      <c r="Y208" s="832">
        <v>0</v>
      </c>
      <c r="Z208" s="832"/>
      <c r="AA208" s="1977" t="s">
        <v>1116</v>
      </c>
      <c r="AB208" s="4226"/>
      <c r="AC208" s="2514"/>
      <c r="AD208" s="4106"/>
      <c r="AE208" s="4106"/>
      <c r="AF208" s="4106"/>
      <c r="AG208" s="4106"/>
      <c r="AH208" s="4106"/>
      <c r="AI208" s="4106"/>
      <c r="AJ208" s="4106"/>
      <c r="AK208" s="4106"/>
      <c r="AL208" s="4106"/>
      <c r="AM208" s="4106"/>
      <c r="AN208" s="4106"/>
      <c r="AO208" s="4106"/>
      <c r="AP208" s="4106"/>
      <c r="AQ208" s="4106"/>
      <c r="AR208" s="4106"/>
      <c r="AS208" s="4106"/>
      <c r="AT208" s="4106"/>
      <c r="AU208" s="4106"/>
      <c r="AV208" s="4106"/>
      <c r="AW208" s="4106"/>
      <c r="AX208" s="4106"/>
      <c r="AY208" s="4106"/>
      <c r="AZ208" s="4106"/>
      <c r="BA208" s="4106"/>
      <c r="BB208" s="4106"/>
      <c r="BC208" s="4106"/>
      <c r="BD208" s="4106"/>
      <c r="BE208" s="4106"/>
      <c r="BF208" s="4106"/>
      <c r="BG208" s="4106"/>
      <c r="BH208" s="4106"/>
      <c r="BI208" s="4106"/>
      <c r="BJ208" s="4100"/>
      <c r="BK208" s="4100"/>
      <c r="BL208" s="4100"/>
      <c r="BM208" s="4103"/>
      <c r="BN208" s="4100"/>
      <c r="BO208" s="4100"/>
      <c r="BP208" s="3075"/>
      <c r="BQ208" s="3019"/>
      <c r="BR208" s="3019"/>
      <c r="BS208" s="3019"/>
      <c r="BT208" s="3019"/>
      <c r="BU208" s="3050"/>
    </row>
    <row r="209" spans="1:73" ht="18" customHeight="1" x14ac:dyDescent="0.25">
      <c r="A209" s="2018"/>
      <c r="B209" s="1997"/>
      <c r="C209" s="1984"/>
      <c r="D209" s="1982"/>
      <c r="G209" s="4084"/>
      <c r="H209" s="4239"/>
      <c r="I209" s="4084"/>
      <c r="J209" s="4239"/>
      <c r="K209" s="4084"/>
      <c r="L209" s="4242"/>
      <c r="M209" s="4084"/>
      <c r="N209" s="4242"/>
      <c r="O209" s="4201"/>
      <c r="P209" s="4128"/>
      <c r="Q209" s="2511"/>
      <c r="R209" s="3214"/>
      <c r="S209" s="4218"/>
      <c r="T209" s="4176"/>
      <c r="U209" s="2771"/>
      <c r="V209" s="2930"/>
      <c r="W209" s="3089"/>
      <c r="X209" s="801">
        <v>2999991</v>
      </c>
      <c r="Y209" s="801">
        <v>2999991</v>
      </c>
      <c r="Z209" s="801">
        <v>2999991</v>
      </c>
      <c r="AA209" s="1977" t="s">
        <v>1117</v>
      </c>
      <c r="AB209" s="4226"/>
      <c r="AC209" s="2514"/>
      <c r="AD209" s="4106"/>
      <c r="AE209" s="4106"/>
      <c r="AF209" s="4106"/>
      <c r="AG209" s="4106"/>
      <c r="AH209" s="4106"/>
      <c r="AI209" s="4106"/>
      <c r="AJ209" s="4106"/>
      <c r="AK209" s="4106"/>
      <c r="AL209" s="4106"/>
      <c r="AM209" s="4106"/>
      <c r="AN209" s="4106"/>
      <c r="AO209" s="4106"/>
      <c r="AP209" s="4106"/>
      <c r="AQ209" s="4106"/>
      <c r="AR209" s="4106"/>
      <c r="AS209" s="4106"/>
      <c r="AT209" s="4106"/>
      <c r="AU209" s="4106"/>
      <c r="AV209" s="4106"/>
      <c r="AW209" s="4106"/>
      <c r="AX209" s="4106"/>
      <c r="AY209" s="4106"/>
      <c r="AZ209" s="4106"/>
      <c r="BA209" s="4106"/>
      <c r="BB209" s="4106"/>
      <c r="BC209" s="4106"/>
      <c r="BD209" s="4106"/>
      <c r="BE209" s="4106"/>
      <c r="BF209" s="4106"/>
      <c r="BG209" s="4106"/>
      <c r="BH209" s="4106"/>
      <c r="BI209" s="4106"/>
      <c r="BJ209" s="4100"/>
      <c r="BK209" s="4100"/>
      <c r="BL209" s="4100"/>
      <c r="BM209" s="4103"/>
      <c r="BN209" s="4100"/>
      <c r="BO209" s="4100"/>
      <c r="BP209" s="3075"/>
      <c r="BQ209" s="3019"/>
      <c r="BR209" s="3019"/>
      <c r="BS209" s="3019"/>
      <c r="BT209" s="3019"/>
      <c r="BU209" s="3050"/>
    </row>
    <row r="210" spans="1:73" ht="18" customHeight="1" x14ac:dyDescent="0.25">
      <c r="A210" s="2018"/>
      <c r="B210" s="1997"/>
      <c r="C210" s="1984"/>
      <c r="D210" s="1982"/>
      <c r="G210" s="4084"/>
      <c r="H210" s="4239"/>
      <c r="I210" s="4084"/>
      <c r="J210" s="4239"/>
      <c r="K210" s="4084"/>
      <c r="L210" s="4242"/>
      <c r="M210" s="4084"/>
      <c r="N210" s="4242"/>
      <c r="O210" s="4201"/>
      <c r="P210" s="4128"/>
      <c r="Q210" s="2511"/>
      <c r="R210" s="3214"/>
      <c r="S210" s="4218"/>
      <c r="T210" s="4176"/>
      <c r="U210" s="2771"/>
      <c r="V210" s="2930"/>
      <c r="W210" s="3089"/>
      <c r="X210" s="801">
        <v>5218000</v>
      </c>
      <c r="Y210" s="801">
        <v>5218000</v>
      </c>
      <c r="Z210" s="801">
        <v>5218000</v>
      </c>
      <c r="AA210" s="1977" t="s">
        <v>1118</v>
      </c>
      <c r="AB210" s="4226"/>
      <c r="AC210" s="2514"/>
      <c r="AD210" s="4106"/>
      <c r="AE210" s="4106"/>
      <c r="AF210" s="4106"/>
      <c r="AG210" s="4106"/>
      <c r="AH210" s="4106"/>
      <c r="AI210" s="4106"/>
      <c r="AJ210" s="4106"/>
      <c r="AK210" s="4106"/>
      <c r="AL210" s="4106"/>
      <c r="AM210" s="4106"/>
      <c r="AN210" s="4106"/>
      <c r="AO210" s="4106"/>
      <c r="AP210" s="4106"/>
      <c r="AQ210" s="4106"/>
      <c r="AR210" s="4106"/>
      <c r="AS210" s="4106"/>
      <c r="AT210" s="4106"/>
      <c r="AU210" s="4106"/>
      <c r="AV210" s="4106"/>
      <c r="AW210" s="4106"/>
      <c r="AX210" s="4106"/>
      <c r="AY210" s="4106"/>
      <c r="AZ210" s="4106"/>
      <c r="BA210" s="4106"/>
      <c r="BB210" s="4106"/>
      <c r="BC210" s="4106"/>
      <c r="BD210" s="4106"/>
      <c r="BE210" s="4106"/>
      <c r="BF210" s="4106"/>
      <c r="BG210" s="4106"/>
      <c r="BH210" s="4106"/>
      <c r="BI210" s="4106"/>
      <c r="BJ210" s="4100"/>
      <c r="BK210" s="4100"/>
      <c r="BL210" s="4100"/>
      <c r="BM210" s="4103"/>
      <c r="BN210" s="4100"/>
      <c r="BO210" s="4100"/>
      <c r="BP210" s="3075"/>
      <c r="BQ210" s="3019"/>
      <c r="BR210" s="3019"/>
      <c r="BS210" s="3019"/>
      <c r="BT210" s="3019"/>
      <c r="BU210" s="3050"/>
    </row>
    <row r="211" spans="1:73" ht="18" customHeight="1" x14ac:dyDescent="0.25">
      <c r="A211" s="2018"/>
      <c r="B211" s="1997"/>
      <c r="C211" s="1984"/>
      <c r="D211" s="1982"/>
      <c r="G211" s="4084"/>
      <c r="H211" s="4239"/>
      <c r="I211" s="4084"/>
      <c r="J211" s="4239"/>
      <c r="K211" s="4084"/>
      <c r="L211" s="4242"/>
      <c r="M211" s="4084"/>
      <c r="N211" s="4242"/>
      <c r="O211" s="4201"/>
      <c r="P211" s="4128"/>
      <c r="Q211" s="2511"/>
      <c r="R211" s="3214"/>
      <c r="S211" s="4218"/>
      <c r="T211" s="4176"/>
      <c r="U211" s="2771"/>
      <c r="V211" s="2930"/>
      <c r="W211" s="3089"/>
      <c r="X211" s="801">
        <v>376302</v>
      </c>
      <c r="Y211" s="801">
        <v>376302</v>
      </c>
      <c r="Z211" s="801">
        <v>376302</v>
      </c>
      <c r="AA211" s="1977" t="s">
        <v>1119</v>
      </c>
      <c r="AB211" s="4226"/>
      <c r="AC211" s="2514"/>
      <c r="AD211" s="4106"/>
      <c r="AE211" s="4106"/>
      <c r="AF211" s="4106"/>
      <c r="AG211" s="4106"/>
      <c r="AH211" s="4106"/>
      <c r="AI211" s="4106"/>
      <c r="AJ211" s="4106"/>
      <c r="AK211" s="4106"/>
      <c r="AL211" s="4106"/>
      <c r="AM211" s="4106"/>
      <c r="AN211" s="4106"/>
      <c r="AO211" s="4106"/>
      <c r="AP211" s="4106"/>
      <c r="AQ211" s="4106"/>
      <c r="AR211" s="4106"/>
      <c r="AS211" s="4106"/>
      <c r="AT211" s="4106"/>
      <c r="AU211" s="4106"/>
      <c r="AV211" s="4106"/>
      <c r="AW211" s="4106"/>
      <c r="AX211" s="4106"/>
      <c r="AY211" s="4106"/>
      <c r="AZ211" s="4106"/>
      <c r="BA211" s="4106"/>
      <c r="BB211" s="4106"/>
      <c r="BC211" s="4106"/>
      <c r="BD211" s="4106"/>
      <c r="BE211" s="4106"/>
      <c r="BF211" s="4106"/>
      <c r="BG211" s="4106"/>
      <c r="BH211" s="4106"/>
      <c r="BI211" s="4106"/>
      <c r="BJ211" s="4100"/>
      <c r="BK211" s="4100"/>
      <c r="BL211" s="4100"/>
      <c r="BM211" s="4103"/>
      <c r="BN211" s="4100"/>
      <c r="BO211" s="4100"/>
      <c r="BP211" s="3075"/>
      <c r="BQ211" s="3019"/>
      <c r="BR211" s="3019"/>
      <c r="BS211" s="3019"/>
      <c r="BT211" s="3019"/>
      <c r="BU211" s="3050"/>
    </row>
    <row r="212" spans="1:73" ht="18" customHeight="1" x14ac:dyDescent="0.25">
      <c r="A212" s="2018"/>
      <c r="B212" s="1997"/>
      <c r="C212" s="1984"/>
      <c r="D212" s="1982"/>
      <c r="G212" s="4084"/>
      <c r="H212" s="4239"/>
      <c r="I212" s="4084"/>
      <c r="J212" s="4239"/>
      <c r="K212" s="4084"/>
      <c r="L212" s="4242"/>
      <c r="M212" s="4084"/>
      <c r="N212" s="4242"/>
      <c r="O212" s="4201"/>
      <c r="P212" s="4128"/>
      <c r="Q212" s="2511"/>
      <c r="R212" s="3214"/>
      <c r="S212" s="4218"/>
      <c r="T212" s="4176"/>
      <c r="U212" s="2771"/>
      <c r="V212" s="2930"/>
      <c r="W212" s="3089"/>
      <c r="X212" s="2081">
        <v>3120000</v>
      </c>
      <c r="Y212" s="801">
        <v>3119997</v>
      </c>
      <c r="Z212" s="801">
        <v>3119997</v>
      </c>
      <c r="AA212" s="1977" t="s">
        <v>1120</v>
      </c>
      <c r="AB212" s="2017">
        <v>188</v>
      </c>
      <c r="AC212" s="1986" t="s">
        <v>1121</v>
      </c>
      <c r="AD212" s="4106"/>
      <c r="AE212" s="4106"/>
      <c r="AF212" s="4106"/>
      <c r="AG212" s="4106"/>
      <c r="AH212" s="4106"/>
      <c r="AI212" s="4106"/>
      <c r="AJ212" s="4106"/>
      <c r="AK212" s="4106"/>
      <c r="AL212" s="4106"/>
      <c r="AM212" s="4106"/>
      <c r="AN212" s="4106"/>
      <c r="AO212" s="4106"/>
      <c r="AP212" s="4106"/>
      <c r="AQ212" s="4106"/>
      <c r="AR212" s="4106"/>
      <c r="AS212" s="4106"/>
      <c r="AT212" s="4106"/>
      <c r="AU212" s="4106"/>
      <c r="AV212" s="4106"/>
      <c r="AW212" s="4106"/>
      <c r="AX212" s="4106"/>
      <c r="AY212" s="4106"/>
      <c r="AZ212" s="4106"/>
      <c r="BA212" s="4106"/>
      <c r="BB212" s="4106"/>
      <c r="BC212" s="4106"/>
      <c r="BD212" s="4106"/>
      <c r="BE212" s="4106"/>
      <c r="BF212" s="4106"/>
      <c r="BG212" s="4106"/>
      <c r="BH212" s="4106"/>
      <c r="BI212" s="4106"/>
      <c r="BJ212" s="4100"/>
      <c r="BK212" s="4100"/>
      <c r="BL212" s="4100"/>
      <c r="BM212" s="4103"/>
      <c r="BN212" s="4100"/>
      <c r="BO212" s="4100"/>
      <c r="BP212" s="3075"/>
      <c r="BQ212" s="3019"/>
      <c r="BR212" s="3019"/>
      <c r="BS212" s="3019"/>
      <c r="BT212" s="3019"/>
      <c r="BU212" s="3050"/>
    </row>
    <row r="213" spans="1:73" ht="18" customHeight="1" x14ac:dyDescent="0.25">
      <c r="A213" s="2018"/>
      <c r="B213" s="1997"/>
      <c r="C213" s="1984"/>
      <c r="D213" s="1982"/>
      <c r="G213" s="4084"/>
      <c r="H213" s="4239"/>
      <c r="I213" s="4084"/>
      <c r="J213" s="4239"/>
      <c r="K213" s="4084"/>
      <c r="L213" s="4242"/>
      <c r="M213" s="4084"/>
      <c r="N213" s="4242"/>
      <c r="O213" s="4201"/>
      <c r="P213" s="4128"/>
      <c r="Q213" s="2511"/>
      <c r="R213" s="3214"/>
      <c r="S213" s="4218"/>
      <c r="T213" s="4176"/>
      <c r="U213" s="2771"/>
      <c r="V213" s="2930"/>
      <c r="W213" s="3089"/>
      <c r="X213" s="2081">
        <v>180000000</v>
      </c>
      <c r="Y213" s="801">
        <v>162000232</v>
      </c>
      <c r="Z213" s="801">
        <v>162000232</v>
      </c>
      <c r="AA213" s="1977" t="s">
        <v>3342</v>
      </c>
      <c r="AB213" s="2021">
        <v>20</v>
      </c>
      <c r="AC213" s="831" t="s">
        <v>284</v>
      </c>
      <c r="AD213" s="4106"/>
      <c r="AE213" s="4106"/>
      <c r="AF213" s="4106"/>
      <c r="AG213" s="4106"/>
      <c r="AH213" s="4106"/>
      <c r="AI213" s="4106"/>
      <c r="AJ213" s="4106"/>
      <c r="AK213" s="4106"/>
      <c r="AL213" s="4106"/>
      <c r="AM213" s="4106"/>
      <c r="AN213" s="4106"/>
      <c r="AO213" s="4106"/>
      <c r="AP213" s="4106"/>
      <c r="AQ213" s="4106"/>
      <c r="AR213" s="4106"/>
      <c r="AS213" s="4106"/>
      <c r="AT213" s="4106"/>
      <c r="AU213" s="4106"/>
      <c r="AV213" s="4106"/>
      <c r="AW213" s="4106"/>
      <c r="AX213" s="4106"/>
      <c r="AY213" s="4106"/>
      <c r="AZ213" s="4106"/>
      <c r="BA213" s="4106"/>
      <c r="BB213" s="4106"/>
      <c r="BC213" s="4106"/>
      <c r="BD213" s="4106"/>
      <c r="BE213" s="4106"/>
      <c r="BF213" s="4106"/>
      <c r="BG213" s="4106"/>
      <c r="BH213" s="4106"/>
      <c r="BI213" s="4106"/>
      <c r="BJ213" s="4100"/>
      <c r="BK213" s="4100"/>
      <c r="BL213" s="4100"/>
      <c r="BM213" s="4103"/>
      <c r="BN213" s="4100"/>
      <c r="BO213" s="4100"/>
      <c r="BP213" s="3075"/>
      <c r="BQ213" s="3019"/>
      <c r="BR213" s="3019"/>
      <c r="BS213" s="3019"/>
      <c r="BT213" s="3019"/>
      <c r="BU213" s="3050"/>
    </row>
    <row r="214" spans="1:73" ht="18" customHeight="1" x14ac:dyDescent="0.25">
      <c r="A214" s="2018"/>
      <c r="B214" s="1997"/>
      <c r="C214" s="1984"/>
      <c r="D214" s="1982"/>
      <c r="G214" s="4084"/>
      <c r="H214" s="4239"/>
      <c r="I214" s="4084"/>
      <c r="J214" s="4239"/>
      <c r="K214" s="4084"/>
      <c r="L214" s="4242"/>
      <c r="M214" s="4084"/>
      <c r="N214" s="4242"/>
      <c r="O214" s="4201"/>
      <c r="P214" s="4128"/>
      <c r="Q214" s="2511"/>
      <c r="R214" s="3214"/>
      <c r="S214" s="4218"/>
      <c r="T214" s="4176"/>
      <c r="U214" s="2771"/>
      <c r="V214" s="2930"/>
      <c r="W214" s="3089" t="s">
        <v>1122</v>
      </c>
      <c r="X214" s="801">
        <v>86709124.420000002</v>
      </c>
      <c r="Y214" s="801">
        <v>86709124.420000002</v>
      </c>
      <c r="Z214" s="801">
        <v>86709124.420000002</v>
      </c>
      <c r="AA214" s="1977" t="s">
        <v>1123</v>
      </c>
      <c r="AB214" s="3947">
        <v>35</v>
      </c>
      <c r="AC214" s="2514" t="s">
        <v>1124</v>
      </c>
      <c r="AD214" s="4106"/>
      <c r="AE214" s="4106"/>
      <c r="AF214" s="4106"/>
      <c r="AG214" s="4106"/>
      <c r="AH214" s="4106"/>
      <c r="AI214" s="4106"/>
      <c r="AJ214" s="4106"/>
      <c r="AK214" s="4106"/>
      <c r="AL214" s="4106"/>
      <c r="AM214" s="4106"/>
      <c r="AN214" s="4106"/>
      <c r="AO214" s="4106"/>
      <c r="AP214" s="4106"/>
      <c r="AQ214" s="4106"/>
      <c r="AR214" s="4106"/>
      <c r="AS214" s="4106"/>
      <c r="AT214" s="4106"/>
      <c r="AU214" s="4106"/>
      <c r="AV214" s="4106"/>
      <c r="AW214" s="4106"/>
      <c r="AX214" s="4106"/>
      <c r="AY214" s="4106"/>
      <c r="AZ214" s="4106"/>
      <c r="BA214" s="4106"/>
      <c r="BB214" s="4106"/>
      <c r="BC214" s="4106"/>
      <c r="BD214" s="4106"/>
      <c r="BE214" s="4106"/>
      <c r="BF214" s="4106"/>
      <c r="BG214" s="4106"/>
      <c r="BH214" s="4106"/>
      <c r="BI214" s="4106"/>
      <c r="BJ214" s="4100"/>
      <c r="BK214" s="4100"/>
      <c r="BL214" s="4100"/>
      <c r="BM214" s="4103"/>
      <c r="BN214" s="4100"/>
      <c r="BO214" s="4100"/>
      <c r="BP214" s="3075"/>
      <c r="BQ214" s="3019"/>
      <c r="BR214" s="3019"/>
      <c r="BS214" s="3019"/>
      <c r="BT214" s="3019"/>
      <c r="BU214" s="3050"/>
    </row>
    <row r="215" spans="1:73" ht="18" customHeight="1" x14ac:dyDescent="0.25">
      <c r="A215" s="2018"/>
      <c r="B215" s="1997"/>
      <c r="C215" s="1984"/>
      <c r="D215" s="1982"/>
      <c r="G215" s="4084"/>
      <c r="H215" s="4239"/>
      <c r="I215" s="4084"/>
      <c r="J215" s="4239"/>
      <c r="K215" s="4084"/>
      <c r="L215" s="4242"/>
      <c r="M215" s="4084"/>
      <c r="N215" s="4242"/>
      <c r="O215" s="4201"/>
      <c r="P215" s="4128"/>
      <c r="Q215" s="2511"/>
      <c r="R215" s="3214"/>
      <c r="S215" s="4218"/>
      <c r="T215" s="4176"/>
      <c r="U215" s="2771"/>
      <c r="V215" s="2930"/>
      <c r="W215" s="3089"/>
      <c r="X215" s="801">
        <v>538444026.51999998</v>
      </c>
      <c r="Y215" s="801">
        <v>538444026.51999998</v>
      </c>
      <c r="Z215" s="801">
        <v>538444026.51999998</v>
      </c>
      <c r="AA215" s="1977" t="s">
        <v>1125</v>
      </c>
      <c r="AB215" s="3947"/>
      <c r="AC215" s="2514"/>
      <c r="AD215" s="4106"/>
      <c r="AE215" s="4106"/>
      <c r="AF215" s="4106"/>
      <c r="AG215" s="4106"/>
      <c r="AH215" s="4106"/>
      <c r="AI215" s="4106"/>
      <c r="AJ215" s="4106"/>
      <c r="AK215" s="4106"/>
      <c r="AL215" s="4106"/>
      <c r="AM215" s="4106"/>
      <c r="AN215" s="4106"/>
      <c r="AO215" s="4106"/>
      <c r="AP215" s="4106"/>
      <c r="AQ215" s="4106"/>
      <c r="AR215" s="4106"/>
      <c r="AS215" s="4106"/>
      <c r="AT215" s="4106"/>
      <c r="AU215" s="4106"/>
      <c r="AV215" s="4106"/>
      <c r="AW215" s="4106"/>
      <c r="AX215" s="4106"/>
      <c r="AY215" s="4106"/>
      <c r="AZ215" s="4106"/>
      <c r="BA215" s="4106"/>
      <c r="BB215" s="4106"/>
      <c r="BC215" s="4106"/>
      <c r="BD215" s="4106"/>
      <c r="BE215" s="4106"/>
      <c r="BF215" s="4106"/>
      <c r="BG215" s="4106"/>
      <c r="BH215" s="4106"/>
      <c r="BI215" s="4106"/>
      <c r="BJ215" s="4100"/>
      <c r="BK215" s="4100"/>
      <c r="BL215" s="4100"/>
      <c r="BM215" s="4103"/>
      <c r="BN215" s="4100"/>
      <c r="BO215" s="4100"/>
      <c r="BP215" s="3075"/>
      <c r="BQ215" s="3019"/>
      <c r="BR215" s="3019"/>
      <c r="BS215" s="3019"/>
      <c r="BT215" s="3019"/>
      <c r="BU215" s="3050"/>
    </row>
    <row r="216" spans="1:73" ht="18" customHeight="1" x14ac:dyDescent="0.25">
      <c r="A216" s="2018"/>
      <c r="B216" s="1997"/>
      <c r="C216" s="1984"/>
      <c r="D216" s="1982"/>
      <c r="G216" s="4084"/>
      <c r="H216" s="4239"/>
      <c r="I216" s="4084"/>
      <c r="J216" s="4239"/>
      <c r="K216" s="4084"/>
      <c r="L216" s="4242"/>
      <c r="M216" s="4084"/>
      <c r="N216" s="4242"/>
      <c r="O216" s="4201"/>
      <c r="P216" s="4128"/>
      <c r="Q216" s="2511"/>
      <c r="R216" s="3214"/>
      <c r="S216" s="4218"/>
      <c r="T216" s="4176"/>
      <c r="U216" s="2771"/>
      <c r="V216" s="2930"/>
      <c r="W216" s="3089"/>
      <c r="X216" s="801">
        <v>489456988.42000002</v>
      </c>
      <c r="Y216" s="801">
        <v>489456988.42000002</v>
      </c>
      <c r="Z216" s="801">
        <v>489456988.42000002</v>
      </c>
      <c r="AA216" s="1977" t="s">
        <v>1126</v>
      </c>
      <c r="AB216" s="3947"/>
      <c r="AC216" s="2514"/>
      <c r="AD216" s="4106"/>
      <c r="AE216" s="4106"/>
      <c r="AF216" s="4106"/>
      <c r="AG216" s="4106"/>
      <c r="AH216" s="4106"/>
      <c r="AI216" s="4106"/>
      <c r="AJ216" s="4106"/>
      <c r="AK216" s="4106"/>
      <c r="AL216" s="4106"/>
      <c r="AM216" s="4106"/>
      <c r="AN216" s="4106"/>
      <c r="AO216" s="4106"/>
      <c r="AP216" s="4106"/>
      <c r="AQ216" s="4106"/>
      <c r="AR216" s="4106"/>
      <c r="AS216" s="4106"/>
      <c r="AT216" s="4106"/>
      <c r="AU216" s="4106"/>
      <c r="AV216" s="4106"/>
      <c r="AW216" s="4106"/>
      <c r="AX216" s="4106"/>
      <c r="AY216" s="4106"/>
      <c r="AZ216" s="4106"/>
      <c r="BA216" s="4106"/>
      <c r="BB216" s="4106"/>
      <c r="BC216" s="4106"/>
      <c r="BD216" s="4106"/>
      <c r="BE216" s="4106"/>
      <c r="BF216" s="4106"/>
      <c r="BG216" s="4106"/>
      <c r="BH216" s="4106"/>
      <c r="BI216" s="4106"/>
      <c r="BJ216" s="4100"/>
      <c r="BK216" s="4100"/>
      <c r="BL216" s="4100"/>
      <c r="BM216" s="4103"/>
      <c r="BN216" s="4100"/>
      <c r="BO216" s="4100"/>
      <c r="BP216" s="3075"/>
      <c r="BQ216" s="3019"/>
      <c r="BR216" s="3019"/>
      <c r="BS216" s="3019"/>
      <c r="BT216" s="3019"/>
      <c r="BU216" s="3050"/>
    </row>
    <row r="217" spans="1:73" ht="18" customHeight="1" x14ac:dyDescent="0.25">
      <c r="A217" s="2018"/>
      <c r="B217" s="1997"/>
      <c r="C217" s="1984"/>
      <c r="D217" s="1982"/>
      <c r="G217" s="4084"/>
      <c r="H217" s="4239"/>
      <c r="I217" s="4084"/>
      <c r="J217" s="4239"/>
      <c r="K217" s="4084"/>
      <c r="L217" s="4242"/>
      <c r="M217" s="4084"/>
      <c r="N217" s="4242"/>
      <c r="O217" s="4201"/>
      <c r="P217" s="4128"/>
      <c r="Q217" s="2511"/>
      <c r="R217" s="3214"/>
      <c r="S217" s="4218"/>
      <c r="T217" s="4176"/>
      <c r="U217" s="2771"/>
      <c r="V217" s="2930"/>
      <c r="W217" s="3089"/>
      <c r="X217" s="801">
        <v>190367350.63999999</v>
      </c>
      <c r="Y217" s="801">
        <v>190367350.63999999</v>
      </c>
      <c r="Z217" s="801">
        <v>190367350.63999999</v>
      </c>
      <c r="AA217" s="1977" t="s">
        <v>1127</v>
      </c>
      <c r="AB217" s="3947"/>
      <c r="AC217" s="2514"/>
      <c r="AD217" s="4106"/>
      <c r="AE217" s="4106"/>
      <c r="AF217" s="4106"/>
      <c r="AG217" s="4106"/>
      <c r="AH217" s="4106"/>
      <c r="AI217" s="4106"/>
      <c r="AJ217" s="4106"/>
      <c r="AK217" s="4106"/>
      <c r="AL217" s="4106"/>
      <c r="AM217" s="4106"/>
      <c r="AN217" s="4106"/>
      <c r="AO217" s="4106"/>
      <c r="AP217" s="4106"/>
      <c r="AQ217" s="4106"/>
      <c r="AR217" s="4106"/>
      <c r="AS217" s="4106"/>
      <c r="AT217" s="4106"/>
      <c r="AU217" s="4106"/>
      <c r="AV217" s="4106"/>
      <c r="AW217" s="4106"/>
      <c r="AX217" s="4106"/>
      <c r="AY217" s="4106"/>
      <c r="AZ217" s="4106"/>
      <c r="BA217" s="4106"/>
      <c r="BB217" s="4106"/>
      <c r="BC217" s="4106"/>
      <c r="BD217" s="4106"/>
      <c r="BE217" s="4106"/>
      <c r="BF217" s="4106"/>
      <c r="BG217" s="4106"/>
      <c r="BH217" s="4106"/>
      <c r="BI217" s="4106"/>
      <c r="BJ217" s="4100"/>
      <c r="BK217" s="4100"/>
      <c r="BL217" s="4100"/>
      <c r="BM217" s="4103"/>
      <c r="BN217" s="4100"/>
      <c r="BO217" s="4100"/>
      <c r="BP217" s="3075"/>
      <c r="BQ217" s="3019"/>
      <c r="BR217" s="3019"/>
      <c r="BS217" s="3019"/>
      <c r="BT217" s="3019"/>
      <c r="BU217" s="3050"/>
    </row>
    <row r="218" spans="1:73" ht="18" customHeight="1" x14ac:dyDescent="0.25">
      <c r="A218" s="2018"/>
      <c r="B218" s="1997"/>
      <c r="C218" s="1984"/>
      <c r="D218" s="1982"/>
      <c r="G218" s="4084"/>
      <c r="H218" s="4239"/>
      <c r="I218" s="4084"/>
      <c r="J218" s="4239"/>
      <c r="K218" s="4084"/>
      <c r="L218" s="4242"/>
      <c r="M218" s="4084"/>
      <c r="N218" s="4242"/>
      <c r="O218" s="4201"/>
      <c r="P218" s="4128"/>
      <c r="Q218" s="2511"/>
      <c r="R218" s="3214"/>
      <c r="S218" s="4218"/>
      <c r="T218" s="4176"/>
      <c r="U218" s="2771"/>
      <c r="V218" s="2930"/>
      <c r="W218" s="3089"/>
      <c r="X218" s="801">
        <v>80777982.780000001</v>
      </c>
      <c r="Y218" s="801">
        <v>80777982.780000001</v>
      </c>
      <c r="Z218" s="801">
        <v>80777982.780000001</v>
      </c>
      <c r="AA218" s="1977" t="s">
        <v>1128</v>
      </c>
      <c r="AB218" s="833">
        <v>91</v>
      </c>
      <c r="AC218" s="1979" t="s">
        <v>1129</v>
      </c>
      <c r="AD218" s="4106"/>
      <c r="AE218" s="4106"/>
      <c r="AF218" s="4106"/>
      <c r="AG218" s="4106"/>
      <c r="AH218" s="4106"/>
      <c r="AI218" s="4106"/>
      <c r="AJ218" s="4106"/>
      <c r="AK218" s="4106"/>
      <c r="AL218" s="4106"/>
      <c r="AM218" s="4106"/>
      <c r="AN218" s="4106"/>
      <c r="AO218" s="4106"/>
      <c r="AP218" s="4106"/>
      <c r="AQ218" s="4106"/>
      <c r="AR218" s="4106"/>
      <c r="AS218" s="4106"/>
      <c r="AT218" s="4106"/>
      <c r="AU218" s="4106"/>
      <c r="AV218" s="4106"/>
      <c r="AW218" s="4106"/>
      <c r="AX218" s="4106"/>
      <c r="AY218" s="4106"/>
      <c r="AZ218" s="4106"/>
      <c r="BA218" s="4106"/>
      <c r="BB218" s="4106"/>
      <c r="BC218" s="4106"/>
      <c r="BD218" s="4106"/>
      <c r="BE218" s="4106"/>
      <c r="BF218" s="4106"/>
      <c r="BG218" s="4106"/>
      <c r="BH218" s="4106"/>
      <c r="BI218" s="4106"/>
      <c r="BJ218" s="4100"/>
      <c r="BK218" s="4100"/>
      <c r="BL218" s="4100"/>
      <c r="BM218" s="4103"/>
      <c r="BN218" s="4100"/>
      <c r="BO218" s="4100"/>
      <c r="BP218" s="3075"/>
      <c r="BQ218" s="3019"/>
      <c r="BR218" s="3019"/>
      <c r="BS218" s="3019"/>
      <c r="BT218" s="3019"/>
      <c r="BU218" s="3050"/>
    </row>
    <row r="219" spans="1:73" ht="18" customHeight="1" x14ac:dyDescent="0.25">
      <c r="A219" s="2018"/>
      <c r="B219" s="1997"/>
      <c r="C219" s="1984"/>
      <c r="D219" s="1982"/>
      <c r="G219" s="4084"/>
      <c r="H219" s="4239"/>
      <c r="I219" s="4084"/>
      <c r="J219" s="4239"/>
      <c r="K219" s="4084"/>
      <c r="L219" s="4242"/>
      <c r="M219" s="4084"/>
      <c r="N219" s="4242"/>
      <c r="O219" s="4201"/>
      <c r="P219" s="4128"/>
      <c r="Q219" s="2511"/>
      <c r="R219" s="3214"/>
      <c r="S219" s="4218"/>
      <c r="T219" s="4176"/>
      <c r="U219" s="2771"/>
      <c r="V219" s="2930"/>
      <c r="W219" s="3089"/>
      <c r="X219" s="801">
        <v>209225970</v>
      </c>
      <c r="Y219" s="801">
        <v>209225970</v>
      </c>
      <c r="Z219" s="801">
        <v>209225970</v>
      </c>
      <c r="AA219" s="1977" t="s">
        <v>1130</v>
      </c>
      <c r="AB219" s="3947">
        <v>20</v>
      </c>
      <c r="AC219" s="2514" t="s">
        <v>284</v>
      </c>
      <c r="AD219" s="4106"/>
      <c r="AE219" s="4106"/>
      <c r="AF219" s="4106"/>
      <c r="AG219" s="4106"/>
      <c r="AH219" s="4106"/>
      <c r="AI219" s="4106"/>
      <c r="AJ219" s="4106"/>
      <c r="AK219" s="4106"/>
      <c r="AL219" s="4106"/>
      <c r="AM219" s="4106"/>
      <c r="AN219" s="4106"/>
      <c r="AO219" s="4106"/>
      <c r="AP219" s="4106"/>
      <c r="AQ219" s="4106"/>
      <c r="AR219" s="4106"/>
      <c r="AS219" s="4106"/>
      <c r="AT219" s="4106"/>
      <c r="AU219" s="4106"/>
      <c r="AV219" s="4106"/>
      <c r="AW219" s="4106"/>
      <c r="AX219" s="4106"/>
      <c r="AY219" s="4106"/>
      <c r="AZ219" s="4106"/>
      <c r="BA219" s="4106"/>
      <c r="BB219" s="4106"/>
      <c r="BC219" s="4106"/>
      <c r="BD219" s="4106"/>
      <c r="BE219" s="4106"/>
      <c r="BF219" s="4106"/>
      <c r="BG219" s="4106"/>
      <c r="BH219" s="4106"/>
      <c r="BI219" s="4106"/>
      <c r="BJ219" s="4100"/>
      <c r="BK219" s="4100"/>
      <c r="BL219" s="4100"/>
      <c r="BM219" s="4103"/>
      <c r="BN219" s="4100"/>
      <c r="BO219" s="4100"/>
      <c r="BP219" s="3075"/>
      <c r="BQ219" s="3019"/>
      <c r="BR219" s="3019"/>
      <c r="BS219" s="3019"/>
      <c r="BT219" s="3019"/>
      <c r="BU219" s="3050"/>
    </row>
    <row r="220" spans="1:73" ht="18" customHeight="1" x14ac:dyDescent="0.25">
      <c r="A220" s="2018"/>
      <c r="B220" s="1997"/>
      <c r="C220" s="1984"/>
      <c r="D220" s="1982"/>
      <c r="G220" s="4084"/>
      <c r="H220" s="4239"/>
      <c r="I220" s="4084"/>
      <c r="J220" s="4239"/>
      <c r="K220" s="4084"/>
      <c r="L220" s="4242"/>
      <c r="M220" s="4084"/>
      <c r="N220" s="4242"/>
      <c r="O220" s="4201"/>
      <c r="P220" s="4128"/>
      <c r="Q220" s="2511"/>
      <c r="R220" s="3214"/>
      <c r="S220" s="4218"/>
      <c r="T220" s="4176"/>
      <c r="U220" s="2771"/>
      <c r="V220" s="2930"/>
      <c r="W220" s="3089"/>
      <c r="X220" s="801">
        <v>1518786153</v>
      </c>
      <c r="Y220" s="806">
        <v>1471746509</v>
      </c>
      <c r="Z220" s="806">
        <v>1471746509</v>
      </c>
      <c r="AA220" s="1977" t="s">
        <v>1131</v>
      </c>
      <c r="AB220" s="3947"/>
      <c r="AC220" s="2514"/>
      <c r="AD220" s="4106"/>
      <c r="AE220" s="4106"/>
      <c r="AF220" s="4106"/>
      <c r="AG220" s="4106"/>
      <c r="AH220" s="4106"/>
      <c r="AI220" s="4106"/>
      <c r="AJ220" s="4106"/>
      <c r="AK220" s="4106"/>
      <c r="AL220" s="4106"/>
      <c r="AM220" s="4106"/>
      <c r="AN220" s="4106"/>
      <c r="AO220" s="4106"/>
      <c r="AP220" s="4106"/>
      <c r="AQ220" s="4106"/>
      <c r="AR220" s="4106"/>
      <c r="AS220" s="4106"/>
      <c r="AT220" s="4106"/>
      <c r="AU220" s="4106"/>
      <c r="AV220" s="4106"/>
      <c r="AW220" s="4106"/>
      <c r="AX220" s="4106"/>
      <c r="AY220" s="4106"/>
      <c r="AZ220" s="4106"/>
      <c r="BA220" s="4106"/>
      <c r="BB220" s="4106"/>
      <c r="BC220" s="4106"/>
      <c r="BD220" s="4106"/>
      <c r="BE220" s="4106"/>
      <c r="BF220" s="4106"/>
      <c r="BG220" s="4106"/>
      <c r="BH220" s="4106"/>
      <c r="BI220" s="4106"/>
      <c r="BJ220" s="4100"/>
      <c r="BK220" s="4100"/>
      <c r="BL220" s="4100"/>
      <c r="BM220" s="4103"/>
      <c r="BN220" s="4100"/>
      <c r="BO220" s="4100"/>
      <c r="BP220" s="3075"/>
      <c r="BQ220" s="3019"/>
      <c r="BR220" s="3019"/>
      <c r="BS220" s="3019"/>
      <c r="BT220" s="3019"/>
      <c r="BU220" s="3050"/>
    </row>
    <row r="221" spans="1:73" ht="18" customHeight="1" x14ac:dyDescent="0.25">
      <c r="A221" s="2018"/>
      <c r="B221" s="1997"/>
      <c r="C221" s="1984"/>
      <c r="D221" s="1982"/>
      <c r="G221" s="4084"/>
      <c r="H221" s="4239"/>
      <c r="I221" s="4084"/>
      <c r="J221" s="4239"/>
      <c r="K221" s="4084"/>
      <c r="L221" s="4242"/>
      <c r="M221" s="4084"/>
      <c r="N221" s="4242"/>
      <c r="O221" s="4201"/>
      <c r="P221" s="4128"/>
      <c r="Q221" s="2511"/>
      <c r="R221" s="3214"/>
      <c r="S221" s="4218"/>
      <c r="T221" s="4176"/>
      <c r="U221" s="2771"/>
      <c r="V221" s="2930"/>
      <c r="W221" s="3089"/>
      <c r="X221" s="801">
        <v>1415075744.6600001</v>
      </c>
      <c r="Y221" s="801">
        <v>1413477475.6600001</v>
      </c>
      <c r="Z221" s="801">
        <v>1413477475.6600001</v>
      </c>
      <c r="AA221" s="1977" t="s">
        <v>1132</v>
      </c>
      <c r="AB221" s="3947"/>
      <c r="AC221" s="2514"/>
      <c r="AD221" s="4106"/>
      <c r="AE221" s="4106"/>
      <c r="AF221" s="4106"/>
      <c r="AG221" s="4106"/>
      <c r="AH221" s="4106"/>
      <c r="AI221" s="4106"/>
      <c r="AJ221" s="4106"/>
      <c r="AK221" s="4106"/>
      <c r="AL221" s="4106"/>
      <c r="AM221" s="4106"/>
      <c r="AN221" s="4106"/>
      <c r="AO221" s="4106"/>
      <c r="AP221" s="4106"/>
      <c r="AQ221" s="4106"/>
      <c r="AR221" s="4106"/>
      <c r="AS221" s="4106"/>
      <c r="AT221" s="4106"/>
      <c r="AU221" s="4106"/>
      <c r="AV221" s="4106"/>
      <c r="AW221" s="4106"/>
      <c r="AX221" s="4106"/>
      <c r="AY221" s="4106"/>
      <c r="AZ221" s="4106"/>
      <c r="BA221" s="4106"/>
      <c r="BB221" s="4106"/>
      <c r="BC221" s="4106"/>
      <c r="BD221" s="4106"/>
      <c r="BE221" s="4106"/>
      <c r="BF221" s="4106"/>
      <c r="BG221" s="4106"/>
      <c r="BH221" s="4106"/>
      <c r="BI221" s="4106"/>
      <c r="BJ221" s="4100"/>
      <c r="BK221" s="4100"/>
      <c r="BL221" s="4100"/>
      <c r="BM221" s="4103"/>
      <c r="BN221" s="4100"/>
      <c r="BO221" s="4100"/>
      <c r="BP221" s="3075"/>
      <c r="BQ221" s="3019"/>
      <c r="BR221" s="3019"/>
      <c r="BS221" s="3019"/>
      <c r="BT221" s="3019"/>
      <c r="BU221" s="3050"/>
    </row>
    <row r="222" spans="1:73" ht="18" customHeight="1" x14ac:dyDescent="0.25">
      <c r="A222" s="2018"/>
      <c r="B222" s="1997"/>
      <c r="C222" s="1984"/>
      <c r="D222" s="1982"/>
      <c r="G222" s="4084"/>
      <c r="H222" s="4239"/>
      <c r="I222" s="4084"/>
      <c r="J222" s="4239"/>
      <c r="K222" s="4084"/>
      <c r="L222" s="4242"/>
      <c r="M222" s="4084"/>
      <c r="N222" s="4242"/>
      <c r="O222" s="4201"/>
      <c r="P222" s="4128"/>
      <c r="Q222" s="2511"/>
      <c r="R222" s="3214"/>
      <c r="S222" s="4218"/>
      <c r="T222" s="4176"/>
      <c r="U222" s="2771"/>
      <c r="V222" s="2930"/>
      <c r="W222" s="3089"/>
      <c r="X222" s="801">
        <v>567559374.34000003</v>
      </c>
      <c r="Y222" s="801">
        <v>567559374.34000003</v>
      </c>
      <c r="Z222" s="801">
        <v>567559374.34000003</v>
      </c>
      <c r="AA222" s="1977" t="s">
        <v>1133</v>
      </c>
      <c r="AB222" s="4222"/>
      <c r="AC222" s="2515"/>
      <c r="AD222" s="4106"/>
      <c r="AE222" s="4106"/>
      <c r="AF222" s="4106"/>
      <c r="AG222" s="4106"/>
      <c r="AH222" s="4106"/>
      <c r="AI222" s="4106"/>
      <c r="AJ222" s="4106"/>
      <c r="AK222" s="4106"/>
      <c r="AL222" s="4106"/>
      <c r="AM222" s="4106"/>
      <c r="AN222" s="4106"/>
      <c r="AO222" s="4106"/>
      <c r="AP222" s="4106"/>
      <c r="AQ222" s="4106"/>
      <c r="AR222" s="4106"/>
      <c r="AS222" s="4106"/>
      <c r="AT222" s="4106"/>
      <c r="AU222" s="4106"/>
      <c r="AV222" s="4106"/>
      <c r="AW222" s="4106"/>
      <c r="AX222" s="4106"/>
      <c r="AY222" s="4106"/>
      <c r="AZ222" s="4106"/>
      <c r="BA222" s="4106"/>
      <c r="BB222" s="4106"/>
      <c r="BC222" s="4106"/>
      <c r="BD222" s="4106"/>
      <c r="BE222" s="4106"/>
      <c r="BF222" s="4106"/>
      <c r="BG222" s="4106"/>
      <c r="BH222" s="4106"/>
      <c r="BI222" s="4106"/>
      <c r="BJ222" s="4100"/>
      <c r="BK222" s="4100"/>
      <c r="BL222" s="4100"/>
      <c r="BM222" s="4103"/>
      <c r="BN222" s="4100"/>
      <c r="BO222" s="4100"/>
      <c r="BP222" s="3075"/>
      <c r="BQ222" s="3019"/>
      <c r="BR222" s="3019"/>
      <c r="BS222" s="3019"/>
      <c r="BT222" s="3019"/>
      <c r="BU222" s="3050"/>
    </row>
    <row r="223" spans="1:73" ht="18" customHeight="1" x14ac:dyDescent="0.25">
      <c r="A223" s="2018"/>
      <c r="B223" s="1997"/>
      <c r="C223" s="1984"/>
      <c r="D223" s="1982"/>
      <c r="G223" s="4084"/>
      <c r="H223" s="4239"/>
      <c r="I223" s="4084"/>
      <c r="J223" s="4239"/>
      <c r="K223" s="4084"/>
      <c r="L223" s="4242"/>
      <c r="M223" s="4084"/>
      <c r="N223" s="4242"/>
      <c r="O223" s="4201"/>
      <c r="P223" s="4128"/>
      <c r="Q223" s="2511"/>
      <c r="R223" s="3214"/>
      <c r="S223" s="4218"/>
      <c r="T223" s="4176"/>
      <c r="U223" s="2771"/>
      <c r="V223" s="2930"/>
      <c r="W223" s="3089"/>
      <c r="X223" s="801">
        <v>671912238.22000003</v>
      </c>
      <c r="Y223" s="801">
        <v>602574084.57000005</v>
      </c>
      <c r="Z223" s="801">
        <v>602574084.57000005</v>
      </c>
      <c r="AA223" s="1977" t="s">
        <v>1134</v>
      </c>
      <c r="AB223" s="3947">
        <v>88</v>
      </c>
      <c r="AC223" s="2514" t="s">
        <v>5</v>
      </c>
      <c r="AD223" s="4106"/>
      <c r="AE223" s="4106"/>
      <c r="AF223" s="4106"/>
      <c r="AG223" s="4106"/>
      <c r="AH223" s="4106"/>
      <c r="AI223" s="4106"/>
      <c r="AJ223" s="4106"/>
      <c r="AK223" s="4106"/>
      <c r="AL223" s="4106"/>
      <c r="AM223" s="4106"/>
      <c r="AN223" s="4106"/>
      <c r="AO223" s="4106"/>
      <c r="AP223" s="4106"/>
      <c r="AQ223" s="4106"/>
      <c r="AR223" s="4106"/>
      <c r="AS223" s="4106"/>
      <c r="AT223" s="4106"/>
      <c r="AU223" s="4106"/>
      <c r="AV223" s="4106"/>
      <c r="AW223" s="4106"/>
      <c r="AX223" s="4106"/>
      <c r="AY223" s="4106"/>
      <c r="AZ223" s="4106"/>
      <c r="BA223" s="4106"/>
      <c r="BB223" s="4106"/>
      <c r="BC223" s="4106"/>
      <c r="BD223" s="4106"/>
      <c r="BE223" s="4106"/>
      <c r="BF223" s="4106"/>
      <c r="BG223" s="4106"/>
      <c r="BH223" s="4106"/>
      <c r="BI223" s="4106"/>
      <c r="BJ223" s="4100"/>
      <c r="BK223" s="4100"/>
      <c r="BL223" s="4100"/>
      <c r="BM223" s="4103"/>
      <c r="BN223" s="4100"/>
      <c r="BO223" s="4100"/>
      <c r="BP223" s="3075"/>
      <c r="BQ223" s="3019"/>
      <c r="BR223" s="3019"/>
      <c r="BS223" s="3019"/>
      <c r="BT223" s="3019"/>
      <c r="BU223" s="3050"/>
    </row>
    <row r="224" spans="1:73" x14ac:dyDescent="0.25">
      <c r="A224" s="2018"/>
      <c r="B224" s="1997"/>
      <c r="C224" s="1984"/>
      <c r="D224" s="1982"/>
      <c r="G224" s="4084"/>
      <c r="H224" s="4239"/>
      <c r="I224" s="4084"/>
      <c r="J224" s="4239"/>
      <c r="K224" s="4084"/>
      <c r="L224" s="4242"/>
      <c r="M224" s="4084"/>
      <c r="N224" s="4242"/>
      <c r="O224" s="4201"/>
      <c r="P224" s="4128"/>
      <c r="Q224" s="2511"/>
      <c r="R224" s="3214"/>
      <c r="S224" s="4218"/>
      <c r="T224" s="4176"/>
      <c r="U224" s="2771"/>
      <c r="V224" s="2930"/>
      <c r="W224" s="3089"/>
      <c r="X224" s="801">
        <v>461986240</v>
      </c>
      <c r="Y224" s="806">
        <v>460914409.64999998</v>
      </c>
      <c r="Z224" s="806">
        <v>460914409.64999998</v>
      </c>
      <c r="AA224" s="1977" t="s">
        <v>1135</v>
      </c>
      <c r="AB224" s="3947"/>
      <c r="AC224" s="2514"/>
      <c r="AD224" s="4106"/>
      <c r="AE224" s="4106"/>
      <c r="AF224" s="4106"/>
      <c r="AG224" s="4106"/>
      <c r="AH224" s="4106"/>
      <c r="AI224" s="4106"/>
      <c r="AJ224" s="4106"/>
      <c r="AK224" s="4106"/>
      <c r="AL224" s="4106"/>
      <c r="AM224" s="4106"/>
      <c r="AN224" s="4106"/>
      <c r="AO224" s="4106"/>
      <c r="AP224" s="4106"/>
      <c r="AQ224" s="4106"/>
      <c r="AR224" s="4106"/>
      <c r="AS224" s="4106"/>
      <c r="AT224" s="4106"/>
      <c r="AU224" s="4106"/>
      <c r="AV224" s="4106"/>
      <c r="AW224" s="4106"/>
      <c r="AX224" s="4106"/>
      <c r="AY224" s="4106"/>
      <c r="AZ224" s="4106"/>
      <c r="BA224" s="4106"/>
      <c r="BB224" s="4106"/>
      <c r="BC224" s="4106"/>
      <c r="BD224" s="4106"/>
      <c r="BE224" s="4106"/>
      <c r="BF224" s="4106"/>
      <c r="BG224" s="4106"/>
      <c r="BH224" s="4106"/>
      <c r="BI224" s="4106"/>
      <c r="BJ224" s="4100"/>
      <c r="BK224" s="4100"/>
      <c r="BL224" s="4100"/>
      <c r="BM224" s="4103"/>
      <c r="BN224" s="4100"/>
      <c r="BO224" s="4100"/>
      <c r="BP224" s="3075"/>
      <c r="BQ224" s="3019"/>
      <c r="BR224" s="3019"/>
      <c r="BS224" s="3019"/>
      <c r="BT224" s="3019"/>
      <c r="BU224" s="3050"/>
    </row>
    <row r="225" spans="1:73" x14ac:dyDescent="0.25">
      <c r="A225" s="2018"/>
      <c r="B225" s="1997"/>
      <c r="C225" s="1984"/>
      <c r="D225" s="1982"/>
      <c r="G225" s="4084"/>
      <c r="H225" s="4239"/>
      <c r="I225" s="4084"/>
      <c r="J225" s="4239"/>
      <c r="K225" s="4084"/>
      <c r="L225" s="4242"/>
      <c r="M225" s="4084"/>
      <c r="N225" s="4242"/>
      <c r="O225" s="4201"/>
      <c r="P225" s="4128"/>
      <c r="Q225" s="2511"/>
      <c r="R225" s="3214"/>
      <c r="S225" s="4218"/>
      <c r="T225" s="4176"/>
      <c r="U225" s="2771"/>
      <c r="V225" s="2930"/>
      <c r="W225" s="3089"/>
      <c r="X225" s="801">
        <v>461986239</v>
      </c>
      <c r="Y225" s="806">
        <v>331702785</v>
      </c>
      <c r="Z225" s="806">
        <v>331702785</v>
      </c>
      <c r="AA225" s="1977" t="s">
        <v>1136</v>
      </c>
      <c r="AB225" s="3947"/>
      <c r="AC225" s="2514"/>
      <c r="AD225" s="4106"/>
      <c r="AE225" s="4106"/>
      <c r="AF225" s="4106"/>
      <c r="AG225" s="4106"/>
      <c r="AH225" s="4106"/>
      <c r="AI225" s="4106"/>
      <c r="AJ225" s="4106"/>
      <c r="AK225" s="4106"/>
      <c r="AL225" s="4106"/>
      <c r="AM225" s="4106"/>
      <c r="AN225" s="4106"/>
      <c r="AO225" s="4106"/>
      <c r="AP225" s="4106"/>
      <c r="AQ225" s="4106"/>
      <c r="AR225" s="4106"/>
      <c r="AS225" s="4106"/>
      <c r="AT225" s="4106"/>
      <c r="AU225" s="4106"/>
      <c r="AV225" s="4106"/>
      <c r="AW225" s="4106"/>
      <c r="AX225" s="4106"/>
      <c r="AY225" s="4106"/>
      <c r="AZ225" s="4106"/>
      <c r="BA225" s="4106"/>
      <c r="BB225" s="4106"/>
      <c r="BC225" s="4106"/>
      <c r="BD225" s="4106"/>
      <c r="BE225" s="4106"/>
      <c r="BF225" s="4106"/>
      <c r="BG225" s="4106"/>
      <c r="BH225" s="4106"/>
      <c r="BI225" s="4106"/>
      <c r="BJ225" s="4100"/>
      <c r="BK225" s="4100"/>
      <c r="BL225" s="4100"/>
      <c r="BM225" s="4103"/>
      <c r="BN225" s="4100"/>
      <c r="BO225" s="4100"/>
      <c r="BP225" s="3075"/>
      <c r="BQ225" s="3019"/>
      <c r="BR225" s="3019"/>
      <c r="BS225" s="3019"/>
      <c r="BT225" s="3019"/>
      <c r="BU225" s="3050"/>
    </row>
    <row r="226" spans="1:73" x14ac:dyDescent="0.25">
      <c r="A226" s="2018"/>
      <c r="B226" s="1997"/>
      <c r="C226" s="1984"/>
      <c r="D226" s="1982"/>
      <c r="G226" s="4084"/>
      <c r="H226" s="4239"/>
      <c r="I226" s="4084"/>
      <c r="J226" s="4239"/>
      <c r="K226" s="4084"/>
      <c r="L226" s="4242"/>
      <c r="M226" s="4084"/>
      <c r="N226" s="4242"/>
      <c r="O226" s="4201"/>
      <c r="P226" s="4128"/>
      <c r="Q226" s="2511"/>
      <c r="R226" s="3214"/>
      <c r="S226" s="4218"/>
      <c r="T226" s="4176"/>
      <c r="U226" s="2771"/>
      <c r="V226" s="2930"/>
      <c r="W226" s="3089"/>
      <c r="X226" s="801">
        <v>461986239</v>
      </c>
      <c r="Y226" s="806">
        <v>331702785</v>
      </c>
      <c r="Z226" s="806">
        <v>331702785</v>
      </c>
      <c r="AA226" s="1977" t="s">
        <v>1137</v>
      </c>
      <c r="AB226" s="3947"/>
      <c r="AC226" s="2514"/>
      <c r="AD226" s="4106"/>
      <c r="AE226" s="4106"/>
      <c r="AF226" s="4106"/>
      <c r="AG226" s="4106"/>
      <c r="AH226" s="4106"/>
      <c r="AI226" s="4106"/>
      <c r="AJ226" s="4106"/>
      <c r="AK226" s="4106"/>
      <c r="AL226" s="4106"/>
      <c r="AM226" s="4106"/>
      <c r="AN226" s="4106"/>
      <c r="AO226" s="4106"/>
      <c r="AP226" s="4106"/>
      <c r="AQ226" s="4106"/>
      <c r="AR226" s="4106"/>
      <c r="AS226" s="4106"/>
      <c r="AT226" s="4106"/>
      <c r="AU226" s="4106"/>
      <c r="AV226" s="4106"/>
      <c r="AW226" s="4106"/>
      <c r="AX226" s="4106"/>
      <c r="AY226" s="4106"/>
      <c r="AZ226" s="4106"/>
      <c r="BA226" s="4106"/>
      <c r="BB226" s="4106"/>
      <c r="BC226" s="4106"/>
      <c r="BD226" s="4106"/>
      <c r="BE226" s="4106"/>
      <c r="BF226" s="4106"/>
      <c r="BG226" s="4106"/>
      <c r="BH226" s="4106"/>
      <c r="BI226" s="4106"/>
      <c r="BJ226" s="4100"/>
      <c r="BK226" s="4100"/>
      <c r="BL226" s="4100"/>
      <c r="BM226" s="4103"/>
      <c r="BN226" s="4100"/>
      <c r="BO226" s="4100"/>
      <c r="BP226" s="3075"/>
      <c r="BQ226" s="3019"/>
      <c r="BR226" s="3019"/>
      <c r="BS226" s="3019"/>
      <c r="BT226" s="3019"/>
      <c r="BU226" s="3050"/>
    </row>
    <row r="227" spans="1:73" ht="45" x14ac:dyDescent="0.25">
      <c r="A227" s="2018"/>
      <c r="B227" s="1997"/>
      <c r="C227" s="1984"/>
      <c r="D227" s="1982"/>
      <c r="G227" s="4084"/>
      <c r="H227" s="4239"/>
      <c r="I227" s="4084"/>
      <c r="J227" s="4239"/>
      <c r="K227" s="4084"/>
      <c r="L227" s="4242"/>
      <c r="M227" s="4084"/>
      <c r="N227" s="4242"/>
      <c r="O227" s="4201"/>
      <c r="P227" s="4128"/>
      <c r="Q227" s="2511"/>
      <c r="R227" s="3214"/>
      <c r="S227" s="4218"/>
      <c r="T227" s="4176"/>
      <c r="U227" s="2771"/>
      <c r="V227" s="2930"/>
      <c r="W227" s="3089" t="s">
        <v>1138</v>
      </c>
      <c r="X227" s="2081">
        <v>119071453.84999999</v>
      </c>
      <c r="Y227" s="801">
        <v>117297948.22</v>
      </c>
      <c r="Z227" s="801">
        <v>117297948.22</v>
      </c>
      <c r="AA227" s="1977" t="s">
        <v>1139</v>
      </c>
      <c r="AB227" s="834">
        <v>187</v>
      </c>
      <c r="AC227" s="1979" t="s">
        <v>1140</v>
      </c>
      <c r="AD227" s="4106"/>
      <c r="AE227" s="4106"/>
      <c r="AF227" s="4106"/>
      <c r="AG227" s="4106"/>
      <c r="AH227" s="4106"/>
      <c r="AI227" s="4106"/>
      <c r="AJ227" s="4106"/>
      <c r="AK227" s="4106"/>
      <c r="AL227" s="4106"/>
      <c r="AM227" s="4106"/>
      <c r="AN227" s="4106"/>
      <c r="AO227" s="4106"/>
      <c r="AP227" s="4106"/>
      <c r="AQ227" s="4106"/>
      <c r="AR227" s="4106"/>
      <c r="AS227" s="4106"/>
      <c r="AT227" s="4106"/>
      <c r="AU227" s="4106"/>
      <c r="AV227" s="4106"/>
      <c r="AW227" s="4106"/>
      <c r="AX227" s="4106"/>
      <c r="AY227" s="4106"/>
      <c r="AZ227" s="4106"/>
      <c r="BA227" s="4106"/>
      <c r="BB227" s="4106"/>
      <c r="BC227" s="4106"/>
      <c r="BD227" s="4106"/>
      <c r="BE227" s="4106"/>
      <c r="BF227" s="4106"/>
      <c r="BG227" s="4106"/>
      <c r="BH227" s="4106"/>
      <c r="BI227" s="4106"/>
      <c r="BJ227" s="4100"/>
      <c r="BK227" s="4100"/>
      <c r="BL227" s="4100"/>
      <c r="BM227" s="4103"/>
      <c r="BN227" s="4100"/>
      <c r="BO227" s="4100"/>
      <c r="BP227" s="3075"/>
      <c r="BQ227" s="3019"/>
      <c r="BR227" s="3019"/>
      <c r="BS227" s="3019"/>
      <c r="BT227" s="3019"/>
      <c r="BU227" s="3050"/>
    </row>
    <row r="228" spans="1:73" ht="45" x14ac:dyDescent="0.25">
      <c r="A228" s="2018"/>
      <c r="B228" s="1997"/>
      <c r="C228" s="1984"/>
      <c r="D228" s="1982"/>
      <c r="G228" s="4084"/>
      <c r="H228" s="4239"/>
      <c r="I228" s="4084"/>
      <c r="J228" s="4239"/>
      <c r="K228" s="4084"/>
      <c r="L228" s="4242"/>
      <c r="M228" s="4084"/>
      <c r="N228" s="4242"/>
      <c r="O228" s="4201"/>
      <c r="P228" s="4128"/>
      <c r="Q228" s="2511"/>
      <c r="R228" s="3214"/>
      <c r="S228" s="4218"/>
      <c r="T228" s="4176"/>
      <c r="U228" s="2771"/>
      <c r="V228" s="2930"/>
      <c r="W228" s="3089"/>
      <c r="X228" s="801">
        <v>739406762</v>
      </c>
      <c r="Y228" s="801">
        <v>739406762</v>
      </c>
      <c r="Z228" s="801">
        <v>739406762</v>
      </c>
      <c r="AA228" s="1977" t="s">
        <v>1141</v>
      </c>
      <c r="AB228" s="2021">
        <v>187</v>
      </c>
      <c r="AC228" s="1980" t="s">
        <v>1140</v>
      </c>
      <c r="AD228" s="4106"/>
      <c r="AE228" s="4106"/>
      <c r="AF228" s="4106"/>
      <c r="AG228" s="4106"/>
      <c r="AH228" s="4106"/>
      <c r="AI228" s="4106"/>
      <c r="AJ228" s="4106"/>
      <c r="AK228" s="4106"/>
      <c r="AL228" s="4106"/>
      <c r="AM228" s="4106"/>
      <c r="AN228" s="4106"/>
      <c r="AO228" s="4106"/>
      <c r="AP228" s="4106"/>
      <c r="AQ228" s="4106"/>
      <c r="AR228" s="4106"/>
      <c r="AS228" s="4106"/>
      <c r="AT228" s="4106"/>
      <c r="AU228" s="4106"/>
      <c r="AV228" s="4106"/>
      <c r="AW228" s="4106"/>
      <c r="AX228" s="4106"/>
      <c r="AY228" s="4106"/>
      <c r="AZ228" s="4106"/>
      <c r="BA228" s="4106"/>
      <c r="BB228" s="4106"/>
      <c r="BC228" s="4106"/>
      <c r="BD228" s="4106"/>
      <c r="BE228" s="4106"/>
      <c r="BF228" s="4106"/>
      <c r="BG228" s="4106"/>
      <c r="BH228" s="4106"/>
      <c r="BI228" s="4106"/>
      <c r="BJ228" s="4100"/>
      <c r="BK228" s="4100"/>
      <c r="BL228" s="4100"/>
      <c r="BM228" s="4103"/>
      <c r="BN228" s="4100"/>
      <c r="BO228" s="4100"/>
      <c r="BP228" s="3075"/>
      <c r="BQ228" s="3019"/>
      <c r="BR228" s="3019"/>
      <c r="BS228" s="3019"/>
      <c r="BT228" s="3019"/>
      <c r="BU228" s="3050"/>
    </row>
    <row r="229" spans="1:73" ht="45" x14ac:dyDescent="0.25">
      <c r="A229" s="2018"/>
      <c r="B229" s="1997"/>
      <c r="C229" s="1984"/>
      <c r="D229" s="1982"/>
      <c r="G229" s="4084"/>
      <c r="H229" s="4239"/>
      <c r="I229" s="4084"/>
      <c r="J229" s="4239"/>
      <c r="K229" s="4084"/>
      <c r="L229" s="4242"/>
      <c r="M229" s="4084"/>
      <c r="N229" s="4242"/>
      <c r="O229" s="4201"/>
      <c r="P229" s="4128"/>
      <c r="Q229" s="2511"/>
      <c r="R229" s="3214"/>
      <c r="S229" s="4218"/>
      <c r="T229" s="4176"/>
      <c r="U229" s="2771"/>
      <c r="V229" s="2930"/>
      <c r="W229" s="3089"/>
      <c r="X229" s="801">
        <v>672136357</v>
      </c>
      <c r="Y229" s="801">
        <v>672136357</v>
      </c>
      <c r="Z229" s="801">
        <v>672136357</v>
      </c>
      <c r="AA229" s="1977" t="s">
        <v>1142</v>
      </c>
      <c r="AB229" s="2021">
        <v>187</v>
      </c>
      <c r="AC229" s="1980" t="s">
        <v>1140</v>
      </c>
      <c r="AD229" s="4106"/>
      <c r="AE229" s="4106"/>
      <c r="AF229" s="4106"/>
      <c r="AG229" s="4106"/>
      <c r="AH229" s="4106"/>
      <c r="AI229" s="4106"/>
      <c r="AJ229" s="4106"/>
      <c r="AK229" s="4106"/>
      <c r="AL229" s="4106"/>
      <c r="AM229" s="4106"/>
      <c r="AN229" s="4106"/>
      <c r="AO229" s="4106"/>
      <c r="AP229" s="4106"/>
      <c r="AQ229" s="4106"/>
      <c r="AR229" s="4106"/>
      <c r="AS229" s="4106"/>
      <c r="AT229" s="4106"/>
      <c r="AU229" s="4106"/>
      <c r="AV229" s="4106"/>
      <c r="AW229" s="4106"/>
      <c r="AX229" s="4106"/>
      <c r="AY229" s="4106"/>
      <c r="AZ229" s="4106"/>
      <c r="BA229" s="4106"/>
      <c r="BB229" s="4106"/>
      <c r="BC229" s="4106"/>
      <c r="BD229" s="4106"/>
      <c r="BE229" s="4106"/>
      <c r="BF229" s="4106"/>
      <c r="BG229" s="4106"/>
      <c r="BH229" s="4106"/>
      <c r="BI229" s="4106"/>
      <c r="BJ229" s="4100"/>
      <c r="BK229" s="4100"/>
      <c r="BL229" s="4100"/>
      <c r="BM229" s="4103"/>
      <c r="BN229" s="4100"/>
      <c r="BO229" s="4100"/>
      <c r="BP229" s="3075"/>
      <c r="BQ229" s="3019"/>
      <c r="BR229" s="3019"/>
      <c r="BS229" s="3019"/>
      <c r="BT229" s="3019"/>
      <c r="BU229" s="3050"/>
    </row>
    <row r="230" spans="1:73" ht="45" x14ac:dyDescent="0.25">
      <c r="A230" s="2018"/>
      <c r="B230" s="1997"/>
      <c r="C230" s="1984"/>
      <c r="D230" s="1982"/>
      <c r="G230" s="4084"/>
      <c r="H230" s="4239"/>
      <c r="I230" s="4084"/>
      <c r="J230" s="4239"/>
      <c r="K230" s="4084"/>
      <c r="L230" s="4242"/>
      <c r="M230" s="4084"/>
      <c r="N230" s="4242"/>
      <c r="O230" s="4201"/>
      <c r="P230" s="4128"/>
      <c r="Q230" s="2511"/>
      <c r="R230" s="3214"/>
      <c r="S230" s="4218"/>
      <c r="T230" s="4176"/>
      <c r="U230" s="2771"/>
      <c r="V230" s="2930"/>
      <c r="W230" s="3089"/>
      <c r="X230" s="801">
        <v>261417900</v>
      </c>
      <c r="Y230" s="801">
        <v>261417900</v>
      </c>
      <c r="Z230" s="801">
        <v>261417900</v>
      </c>
      <c r="AA230" s="1977" t="s">
        <v>1143</v>
      </c>
      <c r="AB230" s="2051">
        <v>187</v>
      </c>
      <c r="AC230" s="1981" t="s">
        <v>1140</v>
      </c>
      <c r="AD230" s="4106"/>
      <c r="AE230" s="4106"/>
      <c r="AF230" s="4106"/>
      <c r="AG230" s="4106"/>
      <c r="AH230" s="4106"/>
      <c r="AI230" s="4106"/>
      <c r="AJ230" s="4106"/>
      <c r="AK230" s="4106"/>
      <c r="AL230" s="4106"/>
      <c r="AM230" s="4106"/>
      <c r="AN230" s="4106"/>
      <c r="AO230" s="4106"/>
      <c r="AP230" s="4106"/>
      <c r="AQ230" s="4106"/>
      <c r="AR230" s="4106"/>
      <c r="AS230" s="4106"/>
      <c r="AT230" s="4106"/>
      <c r="AU230" s="4106"/>
      <c r="AV230" s="4106"/>
      <c r="AW230" s="4106"/>
      <c r="AX230" s="4106"/>
      <c r="AY230" s="4106"/>
      <c r="AZ230" s="4106"/>
      <c r="BA230" s="4106"/>
      <c r="BB230" s="4106"/>
      <c r="BC230" s="4106"/>
      <c r="BD230" s="4106"/>
      <c r="BE230" s="4106"/>
      <c r="BF230" s="4106"/>
      <c r="BG230" s="4106"/>
      <c r="BH230" s="4106"/>
      <c r="BI230" s="4106"/>
      <c r="BJ230" s="4100"/>
      <c r="BK230" s="4100"/>
      <c r="BL230" s="4100"/>
      <c r="BM230" s="4103"/>
      <c r="BN230" s="4100"/>
      <c r="BO230" s="4100"/>
      <c r="BP230" s="3075"/>
      <c r="BQ230" s="3019"/>
      <c r="BR230" s="3019"/>
      <c r="BS230" s="3019"/>
      <c r="BT230" s="3019"/>
      <c r="BU230" s="3050"/>
    </row>
    <row r="231" spans="1:73" ht="30" x14ac:dyDescent="0.25">
      <c r="A231" s="2018"/>
      <c r="B231" s="1997"/>
      <c r="C231" s="1984"/>
      <c r="D231" s="1982"/>
      <c r="G231" s="4084"/>
      <c r="H231" s="4239"/>
      <c r="I231" s="4084"/>
      <c r="J231" s="4239"/>
      <c r="K231" s="4084"/>
      <c r="L231" s="4242"/>
      <c r="M231" s="4084"/>
      <c r="N231" s="4242"/>
      <c r="O231" s="4201"/>
      <c r="P231" s="4128"/>
      <c r="Q231" s="2511"/>
      <c r="R231" s="3214"/>
      <c r="S231" s="4218"/>
      <c r="T231" s="4176"/>
      <c r="U231" s="2771"/>
      <c r="V231" s="2930"/>
      <c r="W231" s="3089"/>
      <c r="X231" s="801">
        <v>101181032</v>
      </c>
      <c r="Y231" s="806">
        <v>74582208.579999998</v>
      </c>
      <c r="Z231" s="806">
        <v>74582208.579999998</v>
      </c>
      <c r="AA231" s="1977" t="s">
        <v>1144</v>
      </c>
      <c r="AB231" s="2051">
        <v>173</v>
      </c>
      <c r="AC231" s="1981" t="s">
        <v>1145</v>
      </c>
      <c r="AD231" s="4106"/>
      <c r="AE231" s="4106"/>
      <c r="AF231" s="4106"/>
      <c r="AG231" s="4106"/>
      <c r="AH231" s="4106"/>
      <c r="AI231" s="4106"/>
      <c r="AJ231" s="4106"/>
      <c r="AK231" s="4106"/>
      <c r="AL231" s="4106"/>
      <c r="AM231" s="4106"/>
      <c r="AN231" s="4106"/>
      <c r="AO231" s="4106"/>
      <c r="AP231" s="4106"/>
      <c r="AQ231" s="4106"/>
      <c r="AR231" s="4106"/>
      <c r="AS231" s="4106"/>
      <c r="AT231" s="4106"/>
      <c r="AU231" s="4106"/>
      <c r="AV231" s="4106"/>
      <c r="AW231" s="4106"/>
      <c r="AX231" s="4106"/>
      <c r="AY231" s="4106"/>
      <c r="AZ231" s="4106"/>
      <c r="BA231" s="4106"/>
      <c r="BB231" s="4106"/>
      <c r="BC231" s="4106"/>
      <c r="BD231" s="4106"/>
      <c r="BE231" s="4106"/>
      <c r="BF231" s="4106"/>
      <c r="BG231" s="4106"/>
      <c r="BH231" s="4106"/>
      <c r="BI231" s="4106"/>
      <c r="BJ231" s="4100"/>
      <c r="BK231" s="4100"/>
      <c r="BL231" s="4100"/>
      <c r="BM231" s="4103"/>
      <c r="BN231" s="4100"/>
      <c r="BO231" s="4100"/>
      <c r="BP231" s="3075"/>
      <c r="BQ231" s="3019"/>
      <c r="BR231" s="3019"/>
      <c r="BS231" s="3019"/>
      <c r="BT231" s="3019"/>
      <c r="BU231" s="3050"/>
    </row>
    <row r="232" spans="1:73" ht="30" x14ac:dyDescent="0.25">
      <c r="A232" s="2018"/>
      <c r="B232" s="1997"/>
      <c r="C232" s="1984"/>
      <c r="D232" s="1982"/>
      <c r="G232" s="4084"/>
      <c r="H232" s="4239"/>
      <c r="I232" s="4084"/>
      <c r="J232" s="4239"/>
      <c r="K232" s="4084"/>
      <c r="L232" s="4242"/>
      <c r="M232" s="4084"/>
      <c r="N232" s="4242"/>
      <c r="O232" s="4201"/>
      <c r="P232" s="4128"/>
      <c r="Q232" s="2511"/>
      <c r="R232" s="3214"/>
      <c r="S232" s="4218"/>
      <c r="T232" s="4176"/>
      <c r="U232" s="2771"/>
      <c r="V232" s="2930"/>
      <c r="W232" s="3089"/>
      <c r="X232" s="801">
        <v>630140558.34000003</v>
      </c>
      <c r="Y232" s="806">
        <v>471939688</v>
      </c>
      <c r="Z232" s="806">
        <v>471939688</v>
      </c>
      <c r="AA232" s="1977" t="s">
        <v>1146</v>
      </c>
      <c r="AB232" s="2051">
        <v>173</v>
      </c>
      <c r="AC232" s="1981" t="s">
        <v>1145</v>
      </c>
      <c r="AD232" s="4106"/>
      <c r="AE232" s="4106"/>
      <c r="AF232" s="4106"/>
      <c r="AG232" s="4106"/>
      <c r="AH232" s="4106"/>
      <c r="AI232" s="4106"/>
      <c r="AJ232" s="4106"/>
      <c r="AK232" s="4106"/>
      <c r="AL232" s="4106"/>
      <c r="AM232" s="4106"/>
      <c r="AN232" s="4106"/>
      <c r="AO232" s="4106"/>
      <c r="AP232" s="4106"/>
      <c r="AQ232" s="4106"/>
      <c r="AR232" s="4106"/>
      <c r="AS232" s="4106"/>
      <c r="AT232" s="4106"/>
      <c r="AU232" s="4106"/>
      <c r="AV232" s="4106"/>
      <c r="AW232" s="4106"/>
      <c r="AX232" s="4106"/>
      <c r="AY232" s="4106"/>
      <c r="AZ232" s="4106"/>
      <c r="BA232" s="4106"/>
      <c r="BB232" s="4106"/>
      <c r="BC232" s="4106"/>
      <c r="BD232" s="4106"/>
      <c r="BE232" s="4106"/>
      <c r="BF232" s="4106"/>
      <c r="BG232" s="4106"/>
      <c r="BH232" s="4106"/>
      <c r="BI232" s="4106"/>
      <c r="BJ232" s="4100"/>
      <c r="BK232" s="4100"/>
      <c r="BL232" s="4100"/>
      <c r="BM232" s="4103"/>
      <c r="BN232" s="4100"/>
      <c r="BO232" s="4100"/>
      <c r="BP232" s="3075"/>
      <c r="BQ232" s="3019"/>
      <c r="BR232" s="3019"/>
      <c r="BS232" s="3019"/>
      <c r="BT232" s="3019"/>
      <c r="BU232" s="3050"/>
    </row>
    <row r="233" spans="1:73" ht="30" x14ac:dyDescent="0.25">
      <c r="A233" s="2018"/>
      <c r="B233" s="1997"/>
      <c r="C233" s="1984"/>
      <c r="D233" s="1982"/>
      <c r="G233" s="4084"/>
      <c r="H233" s="4239"/>
      <c r="I233" s="4084"/>
      <c r="J233" s="4239"/>
      <c r="K233" s="4084"/>
      <c r="L233" s="4242"/>
      <c r="M233" s="4084"/>
      <c r="N233" s="4242"/>
      <c r="O233" s="4201"/>
      <c r="P233" s="4128"/>
      <c r="Q233" s="2511"/>
      <c r="R233" s="3214"/>
      <c r="S233" s="4218"/>
      <c r="T233" s="4176"/>
      <c r="U233" s="2771"/>
      <c r="V233" s="2930"/>
      <c r="W233" s="3089"/>
      <c r="X233" s="801">
        <v>571148228</v>
      </c>
      <c r="Y233" s="801">
        <v>443573969</v>
      </c>
      <c r="Z233" s="801">
        <v>443573969</v>
      </c>
      <c r="AA233" s="1977" t="s">
        <v>1147</v>
      </c>
      <c r="AB233" s="2051">
        <v>173</v>
      </c>
      <c r="AC233" s="1981" t="s">
        <v>1145</v>
      </c>
      <c r="AD233" s="4106"/>
      <c r="AE233" s="4106"/>
      <c r="AF233" s="4106"/>
      <c r="AG233" s="4106"/>
      <c r="AH233" s="4106"/>
      <c r="AI233" s="4106"/>
      <c r="AJ233" s="4106"/>
      <c r="AK233" s="4106"/>
      <c r="AL233" s="4106"/>
      <c r="AM233" s="4106"/>
      <c r="AN233" s="4106"/>
      <c r="AO233" s="4106"/>
      <c r="AP233" s="4106"/>
      <c r="AQ233" s="4106"/>
      <c r="AR233" s="4106"/>
      <c r="AS233" s="4106"/>
      <c r="AT233" s="4106"/>
      <c r="AU233" s="4106"/>
      <c r="AV233" s="4106"/>
      <c r="AW233" s="4106"/>
      <c r="AX233" s="4106"/>
      <c r="AY233" s="4106"/>
      <c r="AZ233" s="4106"/>
      <c r="BA233" s="4106"/>
      <c r="BB233" s="4106"/>
      <c r="BC233" s="4106"/>
      <c r="BD233" s="4106"/>
      <c r="BE233" s="4106"/>
      <c r="BF233" s="4106"/>
      <c r="BG233" s="4106"/>
      <c r="BH233" s="4106"/>
      <c r="BI233" s="4106"/>
      <c r="BJ233" s="4100"/>
      <c r="BK233" s="4100"/>
      <c r="BL233" s="4100"/>
      <c r="BM233" s="4103"/>
      <c r="BN233" s="4100"/>
      <c r="BO233" s="4100"/>
      <c r="BP233" s="3075"/>
      <c r="BQ233" s="3019"/>
      <c r="BR233" s="3019"/>
      <c r="BS233" s="3019"/>
      <c r="BT233" s="3019"/>
      <c r="BU233" s="3050"/>
    </row>
    <row r="234" spans="1:73" ht="30" x14ac:dyDescent="0.25">
      <c r="A234" s="2018"/>
      <c r="B234" s="1997"/>
      <c r="C234" s="1984"/>
      <c r="D234" s="1982"/>
      <c r="G234" s="4237"/>
      <c r="H234" s="4240"/>
      <c r="I234" s="4237"/>
      <c r="J234" s="4240"/>
      <c r="K234" s="4237"/>
      <c r="L234" s="4243"/>
      <c r="M234" s="4237"/>
      <c r="N234" s="4243"/>
      <c r="O234" s="4201"/>
      <c r="P234" s="4161"/>
      <c r="Q234" s="2511"/>
      <c r="R234" s="3359"/>
      <c r="S234" s="4218"/>
      <c r="T234" s="4176"/>
      <c r="U234" s="2771"/>
      <c r="V234" s="2930"/>
      <c r="W234" s="3089"/>
      <c r="X234" s="801">
        <v>222140000</v>
      </c>
      <c r="Y234" s="806">
        <v>217483347</v>
      </c>
      <c r="Z234" s="806">
        <v>217483347</v>
      </c>
      <c r="AA234" s="1977" t="s">
        <v>1148</v>
      </c>
      <c r="AB234" s="2051">
        <v>173</v>
      </c>
      <c r="AC234" s="1981" t="s">
        <v>1145</v>
      </c>
      <c r="AD234" s="4106"/>
      <c r="AE234" s="4106"/>
      <c r="AF234" s="4106"/>
      <c r="AG234" s="4106"/>
      <c r="AH234" s="4106"/>
      <c r="AI234" s="4106"/>
      <c r="AJ234" s="4106"/>
      <c r="AK234" s="4106"/>
      <c r="AL234" s="4106"/>
      <c r="AM234" s="4106"/>
      <c r="AN234" s="4106"/>
      <c r="AO234" s="4106"/>
      <c r="AP234" s="4106"/>
      <c r="AQ234" s="4106"/>
      <c r="AR234" s="4106"/>
      <c r="AS234" s="4106"/>
      <c r="AT234" s="4106"/>
      <c r="AU234" s="4106"/>
      <c r="AV234" s="4106"/>
      <c r="AW234" s="4106"/>
      <c r="AX234" s="4106"/>
      <c r="AY234" s="4106"/>
      <c r="AZ234" s="4106"/>
      <c r="BA234" s="4106"/>
      <c r="BB234" s="4106"/>
      <c r="BC234" s="4106"/>
      <c r="BD234" s="4106"/>
      <c r="BE234" s="4106"/>
      <c r="BF234" s="4106"/>
      <c r="BG234" s="4106"/>
      <c r="BH234" s="4106"/>
      <c r="BI234" s="4106"/>
      <c r="BJ234" s="4231"/>
      <c r="BK234" s="4231"/>
      <c r="BL234" s="4231"/>
      <c r="BM234" s="4230"/>
      <c r="BN234" s="4231"/>
      <c r="BO234" s="4231"/>
      <c r="BP234" s="4232"/>
      <c r="BQ234" s="3945"/>
      <c r="BR234" s="3945"/>
      <c r="BS234" s="3945"/>
      <c r="BT234" s="3945"/>
      <c r="BU234" s="4228"/>
    </row>
    <row r="235" spans="1:73" ht="21.75" customHeight="1" x14ac:dyDescent="0.25">
      <c r="A235" s="2018"/>
      <c r="B235" s="1997"/>
      <c r="C235" s="1984"/>
      <c r="D235" s="1982"/>
      <c r="E235" s="794">
        <v>2202</v>
      </c>
      <c r="F235" s="4235" t="s">
        <v>1149</v>
      </c>
      <c r="G235" s="4236"/>
      <c r="H235" s="4236"/>
      <c r="I235" s="4236"/>
      <c r="J235" s="4236"/>
      <c r="K235" s="4236"/>
      <c r="L235" s="4236"/>
      <c r="M235" s="4236"/>
      <c r="N235" s="4236"/>
      <c r="O235" s="4236"/>
      <c r="P235" s="4236"/>
      <c r="Q235" s="4236"/>
      <c r="R235" s="835"/>
      <c r="S235" s="836"/>
      <c r="T235" s="90"/>
      <c r="U235" s="795"/>
      <c r="V235" s="837"/>
      <c r="W235" s="837"/>
      <c r="X235" s="838"/>
      <c r="Y235" s="838"/>
      <c r="Z235" s="838"/>
      <c r="AA235" s="191"/>
      <c r="AB235" s="90"/>
      <c r="AC235" s="795"/>
      <c r="AD235" s="839"/>
      <c r="AE235" s="839"/>
      <c r="AF235" s="839"/>
      <c r="AG235" s="839"/>
      <c r="AH235" s="839"/>
      <c r="AI235" s="839"/>
      <c r="AJ235" s="839"/>
      <c r="AK235" s="839"/>
      <c r="AL235" s="839"/>
      <c r="AM235" s="839"/>
      <c r="AN235" s="839"/>
      <c r="AO235" s="839"/>
      <c r="AP235" s="839"/>
      <c r="AQ235" s="839"/>
      <c r="AR235" s="839"/>
      <c r="AS235" s="839"/>
      <c r="AT235" s="839"/>
      <c r="AU235" s="839"/>
      <c r="AV235" s="839"/>
      <c r="AW235" s="839"/>
      <c r="AX235" s="839"/>
      <c r="AY235" s="839"/>
      <c r="AZ235" s="839"/>
      <c r="BA235" s="839"/>
      <c r="BB235" s="839"/>
      <c r="BC235" s="839"/>
      <c r="BD235" s="839"/>
      <c r="BE235" s="839"/>
      <c r="BF235" s="839"/>
      <c r="BG235" s="839"/>
      <c r="BH235" s="839"/>
      <c r="BI235" s="839"/>
      <c r="BJ235" s="839"/>
      <c r="BK235" s="839"/>
      <c r="BL235" s="839"/>
      <c r="BM235" s="839"/>
      <c r="BN235" s="839"/>
      <c r="BO235" s="839"/>
      <c r="BP235" s="839"/>
      <c r="BQ235" s="90"/>
      <c r="BR235" s="90"/>
      <c r="BS235" s="90"/>
      <c r="BT235" s="90"/>
      <c r="BU235" s="88"/>
    </row>
    <row r="236" spans="1:73" ht="36.75" customHeight="1" x14ac:dyDescent="0.25">
      <c r="A236" s="2018"/>
      <c r="B236" s="1997"/>
      <c r="C236" s="1984"/>
      <c r="D236" s="1982"/>
      <c r="G236" s="4201" t="s">
        <v>20</v>
      </c>
      <c r="H236" s="3204" t="s">
        <v>1150</v>
      </c>
      <c r="I236" s="4201" t="s">
        <v>1151</v>
      </c>
      <c r="J236" s="3204" t="s">
        <v>1150</v>
      </c>
      <c r="K236" s="2511" t="s">
        <v>20</v>
      </c>
      <c r="L236" s="3204" t="s">
        <v>1152</v>
      </c>
      <c r="M236" s="2511">
        <v>220200604</v>
      </c>
      <c r="N236" s="3204" t="s">
        <v>1150</v>
      </c>
      <c r="O236" s="4194">
        <v>2</v>
      </c>
      <c r="P236" s="4200">
        <v>2</v>
      </c>
      <c r="Q236" s="2511" t="s">
        <v>1153</v>
      </c>
      <c r="R236" s="3204" t="s">
        <v>1154</v>
      </c>
      <c r="S236" s="4233">
        <f>SUM(X236:X238)/T236</f>
        <v>1</v>
      </c>
      <c r="T236" s="4234">
        <f>SUM(X236:X238)</f>
        <v>439058252</v>
      </c>
      <c r="U236" s="3204" t="s">
        <v>1155</v>
      </c>
      <c r="V236" s="4119" t="s">
        <v>1156</v>
      </c>
      <c r="W236" s="4118" t="s">
        <v>1157</v>
      </c>
      <c r="X236" s="801">
        <v>100000000</v>
      </c>
      <c r="Y236" s="801">
        <v>93522510</v>
      </c>
      <c r="Z236" s="801">
        <v>93522510</v>
      </c>
      <c r="AA236" s="1977" t="s">
        <v>1158</v>
      </c>
      <c r="AB236" s="2046">
        <v>20</v>
      </c>
      <c r="AC236" s="2032" t="s">
        <v>1</v>
      </c>
      <c r="AD236" s="4244">
        <v>3994</v>
      </c>
      <c r="AE236" s="4244">
        <v>3994</v>
      </c>
      <c r="AF236" s="4244">
        <v>3934</v>
      </c>
      <c r="AG236" s="4244">
        <v>3934</v>
      </c>
      <c r="AH236" s="4244">
        <v>1474</v>
      </c>
      <c r="AI236" s="4244">
        <v>1474</v>
      </c>
      <c r="AJ236" s="4244">
        <v>6425</v>
      </c>
      <c r="AK236" s="4244">
        <v>6425</v>
      </c>
      <c r="AL236" s="4244">
        <v>29</v>
      </c>
      <c r="AM236" s="4244">
        <v>29</v>
      </c>
      <c r="AN236" s="4244">
        <v>0</v>
      </c>
      <c r="AO236" s="4244">
        <v>0</v>
      </c>
      <c r="AP236" s="4244">
        <v>23</v>
      </c>
      <c r="AQ236" s="4244">
        <v>23</v>
      </c>
      <c r="AR236" s="4244">
        <v>101</v>
      </c>
      <c r="AS236" s="4244">
        <v>101</v>
      </c>
      <c r="AT236" s="4244">
        <v>0</v>
      </c>
      <c r="AU236" s="4244">
        <v>0</v>
      </c>
      <c r="AV236" s="4244">
        <v>0</v>
      </c>
      <c r="AW236" s="4244">
        <v>0</v>
      </c>
      <c r="AX236" s="4244">
        <v>0</v>
      </c>
      <c r="AY236" s="4244">
        <v>0</v>
      </c>
      <c r="AZ236" s="4244">
        <v>0</v>
      </c>
      <c r="BA236" s="4244">
        <v>0</v>
      </c>
      <c r="BB236" s="4244">
        <v>664</v>
      </c>
      <c r="BC236" s="4244">
        <v>664</v>
      </c>
      <c r="BD236" s="4244">
        <v>425</v>
      </c>
      <c r="BE236" s="4244">
        <v>425</v>
      </c>
      <c r="BF236" s="4244">
        <v>13</v>
      </c>
      <c r="BG236" s="4244">
        <v>13</v>
      </c>
      <c r="BH236" s="4244">
        <f>+AD236+AF236</f>
        <v>7928</v>
      </c>
      <c r="BI236" s="4244">
        <f>+AE236+AG236</f>
        <v>7928</v>
      </c>
      <c r="BJ236" s="2692">
        <v>3</v>
      </c>
      <c r="BK236" s="2692">
        <f>SUM(Y236:Y238)</f>
        <v>432580762</v>
      </c>
      <c r="BL236" s="2692">
        <f>SUM(Z236:Z238)</f>
        <v>432580762</v>
      </c>
      <c r="BM236" s="4254">
        <f>+BL236/BK236</f>
        <v>1</v>
      </c>
      <c r="BN236" s="2692" t="s">
        <v>1159</v>
      </c>
      <c r="BO236" s="2692" t="s">
        <v>1160</v>
      </c>
      <c r="BP236" s="4257" t="s">
        <v>838</v>
      </c>
      <c r="BQ236" s="4246">
        <v>44198</v>
      </c>
      <c r="BR236" s="4246">
        <v>44198</v>
      </c>
      <c r="BS236" s="4246">
        <v>44560</v>
      </c>
      <c r="BT236" s="4246">
        <v>44560</v>
      </c>
      <c r="BU236" s="4247" t="s">
        <v>762</v>
      </c>
    </row>
    <row r="237" spans="1:73" ht="45" customHeight="1" x14ac:dyDescent="0.25">
      <c r="A237" s="2018"/>
      <c r="B237" s="1997"/>
      <c r="C237" s="1984"/>
      <c r="D237" s="1982"/>
      <c r="G237" s="4201"/>
      <c r="H237" s="3204"/>
      <c r="I237" s="4201"/>
      <c r="J237" s="3204"/>
      <c r="K237" s="2511"/>
      <c r="L237" s="3204"/>
      <c r="M237" s="2511"/>
      <c r="N237" s="3204"/>
      <c r="O237" s="4194"/>
      <c r="P237" s="4196"/>
      <c r="Q237" s="2511"/>
      <c r="R237" s="3204"/>
      <c r="S237" s="4233"/>
      <c r="T237" s="4234"/>
      <c r="U237" s="3204"/>
      <c r="V237" s="4119"/>
      <c r="W237" s="4118"/>
      <c r="X237" s="801">
        <v>1818304</v>
      </c>
      <c r="Y237" s="801">
        <v>1818304</v>
      </c>
      <c r="Z237" s="801">
        <v>1818304</v>
      </c>
      <c r="AA237" s="1977" t="s">
        <v>1161</v>
      </c>
      <c r="AB237" s="2021">
        <v>91</v>
      </c>
      <c r="AC237" s="1980" t="s">
        <v>1095</v>
      </c>
      <c r="AD237" s="4244"/>
      <c r="AE237" s="4244"/>
      <c r="AF237" s="4244"/>
      <c r="AG237" s="4244"/>
      <c r="AH237" s="4244"/>
      <c r="AI237" s="4244"/>
      <c r="AJ237" s="4244"/>
      <c r="AK237" s="4244"/>
      <c r="AL237" s="4244"/>
      <c r="AM237" s="4244"/>
      <c r="AN237" s="4244"/>
      <c r="AO237" s="4244"/>
      <c r="AP237" s="4244"/>
      <c r="AQ237" s="4244"/>
      <c r="AR237" s="4244"/>
      <c r="AS237" s="4244"/>
      <c r="AT237" s="4244"/>
      <c r="AU237" s="4244"/>
      <c r="AV237" s="4244"/>
      <c r="AW237" s="4244"/>
      <c r="AX237" s="4244"/>
      <c r="AY237" s="4244"/>
      <c r="AZ237" s="4244"/>
      <c r="BA237" s="4244"/>
      <c r="BB237" s="4244"/>
      <c r="BC237" s="4244"/>
      <c r="BD237" s="4244"/>
      <c r="BE237" s="4244"/>
      <c r="BF237" s="4244"/>
      <c r="BG237" s="4244"/>
      <c r="BH237" s="4244"/>
      <c r="BI237" s="4244"/>
      <c r="BJ237" s="4252"/>
      <c r="BK237" s="4252"/>
      <c r="BL237" s="4252"/>
      <c r="BM237" s="4255"/>
      <c r="BN237" s="4252"/>
      <c r="BO237" s="4252"/>
      <c r="BP237" s="4258"/>
      <c r="BQ237" s="4246"/>
      <c r="BR237" s="4246"/>
      <c r="BS237" s="4246"/>
      <c r="BT237" s="4246"/>
      <c r="BU237" s="4247"/>
    </row>
    <row r="238" spans="1:73" ht="49.5" customHeight="1" x14ac:dyDescent="0.25">
      <c r="A238" s="2019"/>
      <c r="B238" s="1998"/>
      <c r="C238" s="1985"/>
      <c r="D238" s="1996"/>
      <c r="G238" s="4201"/>
      <c r="H238" s="3204"/>
      <c r="I238" s="4201"/>
      <c r="J238" s="3204"/>
      <c r="K238" s="2511"/>
      <c r="L238" s="3204"/>
      <c r="M238" s="2511"/>
      <c r="N238" s="3204"/>
      <c r="O238" s="4194"/>
      <c r="P238" s="4197"/>
      <c r="Q238" s="2511"/>
      <c r="R238" s="3204"/>
      <c r="S238" s="4233"/>
      <c r="T238" s="4234"/>
      <c r="U238" s="3204"/>
      <c r="V238" s="4119"/>
      <c r="W238" s="4245"/>
      <c r="X238" s="801">
        <v>337239948</v>
      </c>
      <c r="Y238" s="801">
        <v>337239948</v>
      </c>
      <c r="Z238" s="801">
        <v>337239948</v>
      </c>
      <c r="AA238" s="1977" t="s">
        <v>1162</v>
      </c>
      <c r="AB238" s="2021">
        <v>88</v>
      </c>
      <c r="AC238" s="1980" t="s">
        <v>5</v>
      </c>
      <c r="AD238" s="4244"/>
      <c r="AE238" s="4244"/>
      <c r="AF238" s="4244"/>
      <c r="AG238" s="4244"/>
      <c r="AH238" s="4244"/>
      <c r="AI238" s="4244"/>
      <c r="AJ238" s="4244"/>
      <c r="AK238" s="4244"/>
      <c r="AL238" s="4244"/>
      <c r="AM238" s="4244"/>
      <c r="AN238" s="4244"/>
      <c r="AO238" s="4244"/>
      <c r="AP238" s="4244"/>
      <c r="AQ238" s="4244"/>
      <c r="AR238" s="4244"/>
      <c r="AS238" s="4244"/>
      <c r="AT238" s="4244"/>
      <c r="AU238" s="4244"/>
      <c r="AV238" s="4244"/>
      <c r="AW238" s="4244"/>
      <c r="AX238" s="4244"/>
      <c r="AY238" s="4244"/>
      <c r="AZ238" s="4244"/>
      <c r="BA238" s="4244"/>
      <c r="BB238" s="4244"/>
      <c r="BC238" s="4244"/>
      <c r="BD238" s="4244"/>
      <c r="BE238" s="4244"/>
      <c r="BF238" s="4244"/>
      <c r="BG238" s="4244"/>
      <c r="BH238" s="4244"/>
      <c r="BI238" s="4244"/>
      <c r="BJ238" s="4253"/>
      <c r="BK238" s="4253"/>
      <c r="BL238" s="4253"/>
      <c r="BM238" s="4256"/>
      <c r="BN238" s="4253"/>
      <c r="BO238" s="4253"/>
      <c r="BP238" s="3686"/>
      <c r="BQ238" s="4246"/>
      <c r="BR238" s="4246"/>
      <c r="BS238" s="4246"/>
      <c r="BT238" s="4246"/>
      <c r="BU238" s="4247"/>
    </row>
    <row r="239" spans="1:73" ht="24.75" customHeight="1" x14ac:dyDescent="0.25">
      <c r="A239" s="840">
        <v>2</v>
      </c>
      <c r="B239" s="4248" t="s">
        <v>1163</v>
      </c>
      <c r="C239" s="4249"/>
      <c r="D239" s="4249"/>
      <c r="E239" s="4250"/>
      <c r="F239" s="4250"/>
      <c r="G239" s="4251"/>
      <c r="H239" s="4251"/>
      <c r="I239" s="841"/>
      <c r="J239" s="842"/>
      <c r="K239" s="841"/>
      <c r="L239" s="842"/>
      <c r="M239" s="841"/>
      <c r="N239" s="842"/>
      <c r="O239" s="841"/>
      <c r="P239" s="841"/>
      <c r="Q239" s="841"/>
      <c r="R239" s="842"/>
      <c r="S239" s="843"/>
      <c r="T239" s="841"/>
      <c r="U239" s="842"/>
      <c r="V239" s="842"/>
      <c r="W239" s="844"/>
      <c r="X239" s="845"/>
      <c r="Y239" s="846"/>
      <c r="Z239" s="846"/>
      <c r="AA239" s="847"/>
      <c r="AB239" s="842"/>
      <c r="AC239" s="842"/>
      <c r="AD239" s="841"/>
      <c r="AE239" s="841"/>
      <c r="AF239" s="841"/>
      <c r="AG239" s="841"/>
      <c r="AH239" s="841"/>
      <c r="AI239" s="841"/>
      <c r="AJ239" s="841"/>
      <c r="AK239" s="841"/>
      <c r="AL239" s="841"/>
      <c r="AM239" s="841"/>
      <c r="AN239" s="841"/>
      <c r="AO239" s="841"/>
      <c r="AP239" s="841"/>
      <c r="AQ239" s="841"/>
      <c r="AR239" s="841"/>
      <c r="AS239" s="841"/>
      <c r="AT239" s="841"/>
      <c r="AU239" s="841"/>
      <c r="AV239" s="841"/>
      <c r="AW239" s="841"/>
      <c r="AX239" s="841"/>
      <c r="AY239" s="841"/>
      <c r="AZ239" s="841"/>
      <c r="BA239" s="841"/>
      <c r="BB239" s="841"/>
      <c r="BC239" s="841"/>
      <c r="BD239" s="841"/>
      <c r="BE239" s="841"/>
      <c r="BF239" s="841"/>
      <c r="BG239" s="841"/>
      <c r="BH239" s="841"/>
      <c r="BI239" s="841"/>
      <c r="BJ239" s="841"/>
      <c r="BK239" s="841"/>
      <c r="BL239" s="841"/>
      <c r="BM239" s="841"/>
      <c r="BN239" s="841"/>
      <c r="BO239" s="841"/>
      <c r="BP239" s="841"/>
      <c r="BQ239" s="841"/>
      <c r="BR239" s="841"/>
      <c r="BS239" s="841"/>
      <c r="BT239" s="841"/>
      <c r="BU239" s="848"/>
    </row>
    <row r="240" spans="1:73" ht="27.75" customHeight="1" x14ac:dyDescent="0.25">
      <c r="A240" s="2022"/>
      <c r="B240" s="850"/>
      <c r="C240" s="851">
        <v>39</v>
      </c>
      <c r="D240" s="4263" t="s">
        <v>1164</v>
      </c>
      <c r="E240" s="4264"/>
      <c r="F240" s="4264"/>
      <c r="G240" s="4264"/>
      <c r="H240" s="852"/>
      <c r="I240" s="853"/>
      <c r="J240" s="852"/>
      <c r="K240" s="853"/>
      <c r="L240" s="852"/>
      <c r="M240" s="853"/>
      <c r="N240" s="852"/>
      <c r="O240" s="853"/>
      <c r="P240" s="853"/>
      <c r="Q240" s="853"/>
      <c r="R240" s="852"/>
      <c r="S240" s="854"/>
      <c r="T240" s="853"/>
      <c r="U240" s="852"/>
      <c r="V240" s="852"/>
      <c r="W240" s="855"/>
      <c r="X240" s="856"/>
      <c r="Y240" s="857"/>
      <c r="Z240" s="857"/>
      <c r="AA240" s="858"/>
      <c r="AB240" s="853"/>
      <c r="AC240" s="852"/>
      <c r="AD240" s="853"/>
      <c r="AE240" s="853"/>
      <c r="AF240" s="853"/>
      <c r="AG240" s="853"/>
      <c r="AH240" s="853"/>
      <c r="AI240" s="853"/>
      <c r="AJ240" s="853"/>
      <c r="AK240" s="853"/>
      <c r="AL240" s="853"/>
      <c r="AM240" s="853"/>
      <c r="AN240" s="853"/>
      <c r="AO240" s="853"/>
      <c r="AP240" s="853"/>
      <c r="AQ240" s="853"/>
      <c r="AR240" s="853"/>
      <c r="AS240" s="853"/>
      <c r="AT240" s="853"/>
      <c r="AU240" s="853"/>
      <c r="AV240" s="853"/>
      <c r="AW240" s="853"/>
      <c r="AX240" s="853"/>
      <c r="AY240" s="853"/>
      <c r="AZ240" s="853"/>
      <c r="BA240" s="853"/>
      <c r="BB240" s="853"/>
      <c r="BC240" s="853"/>
      <c r="BD240" s="853"/>
      <c r="BE240" s="853"/>
      <c r="BF240" s="853"/>
      <c r="BG240" s="853"/>
      <c r="BH240" s="853"/>
      <c r="BI240" s="853"/>
      <c r="BJ240" s="853"/>
      <c r="BK240" s="853"/>
      <c r="BL240" s="853"/>
      <c r="BM240" s="853"/>
      <c r="BN240" s="853"/>
      <c r="BO240" s="853"/>
      <c r="BP240" s="853"/>
      <c r="BQ240" s="853"/>
      <c r="BR240" s="853"/>
      <c r="BS240" s="853"/>
      <c r="BT240" s="853"/>
      <c r="BU240" s="859"/>
    </row>
    <row r="241" spans="1:93" ht="29.25" customHeight="1" x14ac:dyDescent="0.25">
      <c r="A241" s="2018"/>
      <c r="B241" s="1982"/>
      <c r="C241" s="1994"/>
      <c r="D241" s="1995"/>
      <c r="E241" s="88">
        <v>3904</v>
      </c>
      <c r="F241" s="2913" t="s">
        <v>1165</v>
      </c>
      <c r="G241" s="2914"/>
      <c r="H241" s="2914"/>
      <c r="I241" s="2914"/>
      <c r="J241" s="2914"/>
      <c r="K241" s="2914"/>
      <c r="L241" s="2914"/>
      <c r="M241" s="2914"/>
      <c r="N241" s="2914"/>
      <c r="O241" s="2914"/>
      <c r="P241" s="2914"/>
      <c r="Q241" s="2914"/>
      <c r="R241" s="95"/>
      <c r="S241" s="860"/>
      <c r="T241" s="794"/>
      <c r="U241" s="95"/>
      <c r="V241" s="95"/>
      <c r="W241" s="95"/>
      <c r="X241" s="861"/>
      <c r="Y241" s="838"/>
      <c r="Z241" s="838"/>
      <c r="AA241" s="191"/>
      <c r="AB241" s="95"/>
      <c r="AC241" s="95"/>
      <c r="AD241" s="862"/>
      <c r="AE241" s="862"/>
      <c r="AF241" s="862"/>
      <c r="AG241" s="862"/>
      <c r="AH241" s="862"/>
      <c r="AI241" s="862"/>
      <c r="AJ241" s="862"/>
      <c r="AK241" s="862"/>
      <c r="AL241" s="862"/>
      <c r="AM241" s="862"/>
      <c r="AN241" s="862"/>
      <c r="AO241" s="862"/>
      <c r="AP241" s="862"/>
      <c r="AQ241" s="862"/>
      <c r="AR241" s="862"/>
      <c r="AS241" s="862"/>
      <c r="AT241" s="862"/>
      <c r="AU241" s="862"/>
      <c r="AV241" s="862"/>
      <c r="AW241" s="862"/>
      <c r="AX241" s="862"/>
      <c r="AY241" s="862"/>
      <c r="AZ241" s="862"/>
      <c r="BA241" s="862"/>
      <c r="BB241" s="862"/>
      <c r="BC241" s="862"/>
      <c r="BD241" s="862"/>
      <c r="BE241" s="862"/>
      <c r="BF241" s="862"/>
      <c r="BG241" s="862"/>
      <c r="BH241" s="862"/>
      <c r="BI241" s="862"/>
      <c r="BJ241" s="862"/>
      <c r="BK241" s="862"/>
      <c r="BL241" s="862"/>
      <c r="BM241" s="862"/>
      <c r="BN241" s="862"/>
      <c r="BO241" s="862"/>
      <c r="BP241" s="862"/>
      <c r="BQ241" s="794"/>
      <c r="BR241" s="794"/>
      <c r="BS241" s="794"/>
      <c r="BT241" s="794"/>
      <c r="BU241" s="863"/>
    </row>
    <row r="242" spans="1:93" ht="55.5" customHeight="1" x14ac:dyDescent="0.25">
      <c r="A242" s="2018"/>
      <c r="B242" s="1982"/>
      <c r="C242" s="1984"/>
      <c r="D242" s="1982"/>
      <c r="E242" s="1994"/>
      <c r="F242" s="1995"/>
      <c r="G242" s="4085">
        <v>3904006</v>
      </c>
      <c r="H242" s="2772" t="s">
        <v>1166</v>
      </c>
      <c r="I242" s="4085">
        <v>3904006</v>
      </c>
      <c r="J242" s="2772" t="s">
        <v>1166</v>
      </c>
      <c r="K242" s="3153">
        <v>390400604</v>
      </c>
      <c r="L242" s="3312" t="s">
        <v>1167</v>
      </c>
      <c r="M242" s="3153">
        <v>390400604</v>
      </c>
      <c r="N242" s="3312" t="s">
        <v>1167</v>
      </c>
      <c r="O242" s="4135">
        <v>18</v>
      </c>
      <c r="P242" s="4134">
        <v>24</v>
      </c>
      <c r="Q242" s="4259" t="s">
        <v>1168</v>
      </c>
      <c r="R242" s="2771" t="s">
        <v>1169</v>
      </c>
      <c r="S242" s="4261">
        <f>SUM(X242:X243)/T242</f>
        <v>1</v>
      </c>
      <c r="T242" s="4262">
        <f>SUM(X242:X243)</f>
        <v>7500000</v>
      </c>
      <c r="U242" s="2771" t="s">
        <v>1170</v>
      </c>
      <c r="V242" s="2993" t="s">
        <v>1171</v>
      </c>
      <c r="W242" s="3013" t="s">
        <v>1172</v>
      </c>
      <c r="X242" s="801">
        <v>5400000</v>
      </c>
      <c r="Y242" s="801">
        <v>5400000</v>
      </c>
      <c r="Z242" s="801">
        <v>5400000</v>
      </c>
      <c r="AA242" s="1977" t="s">
        <v>1173</v>
      </c>
      <c r="AB242" s="4156">
        <v>20</v>
      </c>
      <c r="AC242" s="2994" t="s">
        <v>284</v>
      </c>
      <c r="AD242" s="4101">
        <v>3994</v>
      </c>
      <c r="AE242" s="4101">
        <v>3994</v>
      </c>
      <c r="AF242" s="4101">
        <v>3934</v>
      </c>
      <c r="AG242" s="4101">
        <v>3934</v>
      </c>
      <c r="AH242" s="4101">
        <v>1474</v>
      </c>
      <c r="AI242" s="4101">
        <v>1474</v>
      </c>
      <c r="AJ242" s="4101">
        <v>6425</v>
      </c>
      <c r="AK242" s="4101">
        <v>6425</v>
      </c>
      <c r="AL242" s="4101">
        <v>29</v>
      </c>
      <c r="AM242" s="4101">
        <v>29</v>
      </c>
      <c r="AN242" s="4101">
        <v>0</v>
      </c>
      <c r="AO242" s="4101">
        <v>0</v>
      </c>
      <c r="AP242" s="4101">
        <v>23</v>
      </c>
      <c r="AQ242" s="4101">
        <v>23</v>
      </c>
      <c r="AR242" s="4101">
        <v>101</v>
      </c>
      <c r="AS242" s="4101">
        <v>101</v>
      </c>
      <c r="AT242" s="4101">
        <v>0</v>
      </c>
      <c r="AU242" s="4101">
        <v>0</v>
      </c>
      <c r="AV242" s="4101">
        <v>0</v>
      </c>
      <c r="AW242" s="4101">
        <v>0</v>
      </c>
      <c r="AX242" s="4101">
        <v>0</v>
      </c>
      <c r="AY242" s="4101">
        <v>0</v>
      </c>
      <c r="AZ242" s="4101">
        <v>0</v>
      </c>
      <c r="BA242" s="4101">
        <v>0</v>
      </c>
      <c r="BB242" s="4101">
        <v>664</v>
      </c>
      <c r="BC242" s="4101">
        <v>664</v>
      </c>
      <c r="BD242" s="4101">
        <v>425</v>
      </c>
      <c r="BE242" s="4101">
        <v>425</v>
      </c>
      <c r="BF242" s="4101">
        <v>13</v>
      </c>
      <c r="BG242" s="4101">
        <v>13</v>
      </c>
      <c r="BH242" s="4101">
        <f>+AD242+AF242</f>
        <v>7928</v>
      </c>
      <c r="BI242" s="4099">
        <f>+AE242+AG242</f>
        <v>7928</v>
      </c>
      <c r="BJ242" s="4099">
        <v>1</v>
      </c>
      <c r="BK242" s="4099">
        <f>SUM(Y242:Y243)</f>
        <v>7500000</v>
      </c>
      <c r="BL242" s="4099">
        <f>SUM(Z242:Z243)</f>
        <v>7500000</v>
      </c>
      <c r="BM242" s="4266">
        <f>+BL242/BK242</f>
        <v>1</v>
      </c>
      <c r="BN242" s="4099">
        <v>20</v>
      </c>
      <c r="BO242" s="4099" t="s">
        <v>1</v>
      </c>
      <c r="BP242" s="4265" t="s">
        <v>838</v>
      </c>
      <c r="BQ242" s="3020">
        <v>44198</v>
      </c>
      <c r="BR242" s="3020">
        <v>44198</v>
      </c>
      <c r="BS242" s="3020">
        <v>44560</v>
      </c>
      <c r="BT242" s="3020">
        <v>44560</v>
      </c>
      <c r="BU242" s="3051" t="s">
        <v>762</v>
      </c>
    </row>
    <row r="243" spans="1:93" ht="57.75" customHeight="1" x14ac:dyDescent="0.25">
      <c r="A243" s="2018"/>
      <c r="B243" s="1982"/>
      <c r="C243" s="1984"/>
      <c r="D243" s="1982"/>
      <c r="E243" s="1984"/>
      <c r="F243" s="1982"/>
      <c r="G243" s="4083"/>
      <c r="H243" s="2681"/>
      <c r="I243" s="4083"/>
      <c r="J243" s="2681"/>
      <c r="K243" s="3151"/>
      <c r="L243" s="3314"/>
      <c r="M243" s="3151"/>
      <c r="N243" s="3314"/>
      <c r="O243" s="4133"/>
      <c r="P243" s="4135"/>
      <c r="Q243" s="4260"/>
      <c r="R243" s="2771"/>
      <c r="S243" s="4261"/>
      <c r="T243" s="4262"/>
      <c r="U243" s="2771"/>
      <c r="V243" s="2993"/>
      <c r="W243" s="3013"/>
      <c r="X243" s="801">
        <v>2100000</v>
      </c>
      <c r="Y243" s="801">
        <v>2100000</v>
      </c>
      <c r="Z243" s="801">
        <v>2100000</v>
      </c>
      <c r="AA243" s="1977" t="s">
        <v>1174</v>
      </c>
      <c r="AB243" s="4154"/>
      <c r="AC243" s="2992"/>
      <c r="AD243" s="4123"/>
      <c r="AE243" s="4123"/>
      <c r="AF243" s="4123"/>
      <c r="AG243" s="4123"/>
      <c r="AH243" s="4123"/>
      <c r="AI243" s="4123"/>
      <c r="AJ243" s="4123"/>
      <c r="AK243" s="4123"/>
      <c r="AL243" s="4123"/>
      <c r="AM243" s="4123"/>
      <c r="AN243" s="4123"/>
      <c r="AO243" s="4123"/>
      <c r="AP243" s="4123"/>
      <c r="AQ243" s="4123"/>
      <c r="AR243" s="4123"/>
      <c r="AS243" s="4123"/>
      <c r="AT243" s="4123"/>
      <c r="AU243" s="4123"/>
      <c r="AV243" s="4123"/>
      <c r="AW243" s="4123"/>
      <c r="AX243" s="4123"/>
      <c r="AY243" s="4123"/>
      <c r="AZ243" s="4123"/>
      <c r="BA243" s="4123"/>
      <c r="BB243" s="4123"/>
      <c r="BC243" s="4123"/>
      <c r="BD243" s="4123"/>
      <c r="BE243" s="4123"/>
      <c r="BF243" s="4123"/>
      <c r="BG243" s="4123"/>
      <c r="BH243" s="4123"/>
      <c r="BI243" s="4101"/>
      <c r="BJ243" s="4101"/>
      <c r="BK243" s="4101"/>
      <c r="BL243" s="4101"/>
      <c r="BM243" s="4267"/>
      <c r="BN243" s="4101"/>
      <c r="BO243" s="4101"/>
      <c r="BP243" s="3076"/>
      <c r="BQ243" s="3018"/>
      <c r="BR243" s="3018"/>
      <c r="BS243" s="3018"/>
      <c r="BT243" s="3018"/>
      <c r="BU243" s="3049"/>
    </row>
    <row r="244" spans="1:93" ht="27.75" customHeight="1" x14ac:dyDescent="0.25">
      <c r="A244" s="864"/>
      <c r="B244" s="865"/>
      <c r="C244" s="865"/>
      <c r="D244" s="865"/>
      <c r="E244" s="865"/>
      <c r="F244" s="865"/>
      <c r="G244" s="865"/>
      <c r="H244" s="866"/>
      <c r="I244" s="865"/>
      <c r="J244" s="866"/>
      <c r="K244" s="865"/>
      <c r="L244" s="866"/>
      <c r="M244" s="865"/>
      <c r="N244" s="866"/>
      <c r="O244" s="865"/>
      <c r="P244" s="865"/>
      <c r="Q244" s="865"/>
      <c r="R244" s="866"/>
      <c r="S244" s="867"/>
      <c r="T244" s="868">
        <f>SUM(T13:T243)</f>
        <v>193197400269.78003</v>
      </c>
      <c r="U244" s="866"/>
      <c r="V244" s="866"/>
      <c r="W244" s="869" t="s">
        <v>0</v>
      </c>
      <c r="X244" s="870">
        <f>SUM(X10:X243)</f>
        <v>193197400269.78006</v>
      </c>
      <c r="Y244" s="870">
        <f>SUM(Y10:Y243)</f>
        <v>188842332007.95001</v>
      </c>
      <c r="Z244" s="871">
        <f>SUM(Z10:Z243)</f>
        <v>188842332007.95001</v>
      </c>
      <c r="AA244" s="872"/>
      <c r="AB244" s="869"/>
      <c r="AC244" s="869"/>
      <c r="AD244" s="869"/>
      <c r="AE244" s="869"/>
      <c r="AF244" s="869"/>
      <c r="AG244" s="869"/>
      <c r="AH244" s="869"/>
      <c r="AI244" s="869"/>
      <c r="AJ244" s="869"/>
      <c r="AK244" s="869"/>
      <c r="AL244" s="869"/>
      <c r="AM244" s="869"/>
      <c r="AN244" s="869"/>
      <c r="AO244" s="869"/>
      <c r="AP244" s="869"/>
      <c r="AQ244" s="869"/>
      <c r="AR244" s="869"/>
      <c r="AS244" s="869"/>
      <c r="AT244" s="869"/>
      <c r="AU244" s="869"/>
      <c r="AV244" s="869"/>
      <c r="AW244" s="869"/>
      <c r="AX244" s="869"/>
      <c r="AY244" s="869"/>
      <c r="AZ244" s="869"/>
      <c r="BA244" s="869"/>
      <c r="BB244" s="869"/>
      <c r="BC244" s="869"/>
      <c r="BD244" s="869"/>
      <c r="BE244" s="869"/>
      <c r="BF244" s="869"/>
      <c r="BG244" s="869"/>
      <c r="BH244" s="869"/>
      <c r="BI244" s="869"/>
      <c r="BJ244" s="869"/>
      <c r="BK244" s="873">
        <f>SUM(BK13:BK243)</f>
        <v>188842332007.95001</v>
      </c>
      <c r="BL244" s="873">
        <f>SUM(BL13:BL243)</f>
        <v>188842332007.95001</v>
      </c>
      <c r="BM244" s="869"/>
      <c r="BN244" s="869"/>
      <c r="BO244" s="869"/>
      <c r="BP244" s="869"/>
      <c r="BQ244" s="869"/>
      <c r="BR244" s="869"/>
      <c r="BS244" s="869"/>
      <c r="BT244" s="869"/>
      <c r="BU244" s="869"/>
    </row>
    <row r="245" spans="1:93" ht="15.75" x14ac:dyDescent="0.25">
      <c r="BK245" s="879"/>
      <c r="BL245" s="879"/>
    </row>
    <row r="246" spans="1:93" ht="15.75" x14ac:dyDescent="0.25">
      <c r="BK246" s="879"/>
      <c r="BL246" s="879"/>
    </row>
    <row r="247" spans="1:93" ht="15.75" x14ac:dyDescent="0.25">
      <c r="X247" s="881"/>
      <c r="Y247" s="882"/>
      <c r="BK247" s="883"/>
      <c r="BL247" s="883"/>
    </row>
    <row r="248" spans="1:93" x14ac:dyDescent="0.25">
      <c r="X248" s="884"/>
      <c r="Y248" s="882"/>
      <c r="BK248" s="885"/>
      <c r="BL248" s="885"/>
    </row>
    <row r="249" spans="1:93" x14ac:dyDescent="0.25">
      <c r="X249" s="884"/>
      <c r="Y249" s="884"/>
      <c r="Z249" s="876"/>
      <c r="BK249" s="885"/>
      <c r="BL249" s="885"/>
    </row>
    <row r="250" spans="1:93" x14ac:dyDescent="0.25">
      <c r="X250" s="884"/>
      <c r="Y250" s="882"/>
      <c r="BK250" s="883"/>
      <c r="BL250" s="883"/>
    </row>
    <row r="251" spans="1:93" x14ac:dyDescent="0.25">
      <c r="X251" s="884"/>
      <c r="Y251" s="882"/>
    </row>
    <row r="252" spans="1:93" x14ac:dyDescent="0.25">
      <c r="X252" s="884"/>
      <c r="Y252" s="882"/>
    </row>
    <row r="253" spans="1:93" x14ac:dyDescent="0.25">
      <c r="X253" s="884"/>
      <c r="Y253" s="882"/>
    </row>
    <row r="254" spans="1:93" s="4" customFormat="1" ht="15.75" x14ac:dyDescent="0.25">
      <c r="A254" s="12"/>
      <c r="B254" s="2055"/>
      <c r="C254" s="2055"/>
      <c r="D254" s="2055"/>
      <c r="E254" s="2055"/>
      <c r="F254" s="886"/>
      <c r="G254" s="2055"/>
      <c r="H254" s="7"/>
      <c r="I254" s="2055"/>
      <c r="J254" s="874"/>
      <c r="L254" s="2023"/>
      <c r="N254" s="2023"/>
      <c r="O254" s="2055"/>
      <c r="P254" s="2055"/>
      <c r="Q254" s="2055"/>
      <c r="S254" s="875"/>
      <c r="T254" s="6"/>
      <c r="W254" s="874"/>
      <c r="X254" s="884"/>
      <c r="Y254" s="882"/>
      <c r="Z254" s="877"/>
      <c r="AA254" s="878"/>
      <c r="AB254" s="5"/>
      <c r="AC254" s="874"/>
      <c r="AD254" s="760"/>
      <c r="AE254" s="760"/>
      <c r="AF254" s="760"/>
      <c r="AG254" s="760"/>
      <c r="AH254" s="760"/>
      <c r="AI254" s="760"/>
      <c r="AJ254" s="760"/>
      <c r="AK254" s="760"/>
      <c r="AL254" s="760"/>
      <c r="AM254" s="760"/>
      <c r="AN254" s="760"/>
      <c r="AO254" s="760"/>
      <c r="AP254" s="760"/>
      <c r="AQ254" s="760"/>
      <c r="AR254" s="760"/>
      <c r="AS254" s="760"/>
      <c r="AT254" s="760"/>
      <c r="AU254" s="760"/>
      <c r="AV254" s="760"/>
      <c r="AW254" s="760"/>
      <c r="AX254" s="760"/>
      <c r="AY254" s="760"/>
      <c r="AZ254" s="760"/>
      <c r="BA254" s="760"/>
      <c r="BB254" s="760"/>
      <c r="BC254" s="760"/>
      <c r="BD254" s="760"/>
      <c r="BE254" s="760"/>
      <c r="BF254" s="760"/>
      <c r="BG254" s="760"/>
      <c r="BH254" s="760"/>
      <c r="BI254" s="760"/>
      <c r="BJ254" s="760"/>
      <c r="BK254" s="760"/>
      <c r="BL254" s="760"/>
      <c r="BM254" s="760"/>
      <c r="BN254" s="760"/>
      <c r="BO254" s="760"/>
      <c r="BP254" s="760"/>
      <c r="BQ254" s="880"/>
      <c r="BR254" s="880"/>
      <c r="BS254" s="880"/>
      <c r="BT254" s="880"/>
      <c r="BU254" s="760"/>
      <c r="BV254" s="2055"/>
      <c r="BW254" s="2055"/>
      <c r="BX254" s="2055"/>
      <c r="BY254" s="2055"/>
      <c r="BZ254" s="2055"/>
      <c r="CA254" s="2055"/>
      <c r="CB254" s="2055"/>
      <c r="CC254" s="2055"/>
      <c r="CD254" s="2055"/>
      <c r="CE254" s="2055"/>
      <c r="CF254" s="2055"/>
      <c r="CG254" s="2055"/>
      <c r="CH254" s="2055"/>
      <c r="CI254" s="2055"/>
      <c r="CJ254" s="2055"/>
      <c r="CK254" s="2055"/>
      <c r="CL254" s="2055"/>
      <c r="CM254" s="2055"/>
      <c r="CN254" s="2055"/>
      <c r="CO254" s="2055"/>
    </row>
    <row r="255" spans="1:93" s="4" customFormat="1" ht="15.75" x14ac:dyDescent="0.25">
      <c r="A255" s="12"/>
      <c r="B255" s="2055"/>
      <c r="C255" s="2055"/>
      <c r="D255" s="2055"/>
      <c r="E255" s="2055"/>
      <c r="F255" s="1972"/>
      <c r="G255" s="2055"/>
      <c r="H255" s="7"/>
      <c r="I255" s="2055"/>
      <c r="J255" s="874"/>
      <c r="L255" s="2023"/>
      <c r="N255" s="2023"/>
      <c r="O255" s="2055"/>
      <c r="P255" s="2055"/>
      <c r="Q255" s="2055"/>
      <c r="S255" s="875"/>
      <c r="T255" s="6"/>
      <c r="W255" s="874"/>
      <c r="X255" s="884"/>
      <c r="Y255" s="882"/>
      <c r="Z255" s="877"/>
      <c r="AA255" s="878"/>
      <c r="AB255" s="5"/>
      <c r="AC255" s="874"/>
      <c r="AD255" s="760"/>
      <c r="AE255" s="760"/>
      <c r="AF255" s="760"/>
      <c r="AG255" s="760"/>
      <c r="AH255" s="760"/>
      <c r="AI255" s="760"/>
      <c r="AJ255" s="760"/>
      <c r="AK255" s="760"/>
      <c r="AL255" s="760"/>
      <c r="AM255" s="760"/>
      <c r="AN255" s="760"/>
      <c r="AO255" s="760"/>
      <c r="AP255" s="760"/>
      <c r="AQ255" s="760"/>
      <c r="AR255" s="760"/>
      <c r="AS255" s="760"/>
      <c r="AT255" s="760"/>
      <c r="AU255" s="760"/>
      <c r="AV255" s="760"/>
      <c r="AW255" s="760"/>
      <c r="AX255" s="760"/>
      <c r="AY255" s="760"/>
      <c r="AZ255" s="760"/>
      <c r="BA255" s="760"/>
      <c r="BB255" s="760"/>
      <c r="BC255" s="760"/>
      <c r="BD255" s="760"/>
      <c r="BE255" s="760"/>
      <c r="BF255" s="760"/>
      <c r="BG255" s="760"/>
      <c r="BH255" s="760"/>
      <c r="BI255" s="760"/>
      <c r="BJ255" s="760"/>
      <c r="BK255" s="760"/>
      <c r="BL255" s="760"/>
      <c r="BM255" s="760"/>
      <c r="BN255" s="760"/>
      <c r="BO255" s="760"/>
      <c r="BP255" s="760"/>
      <c r="BQ255" s="880"/>
      <c r="BR255" s="880"/>
      <c r="BS255" s="880"/>
      <c r="BT255" s="880"/>
      <c r="BU255" s="760"/>
      <c r="BV255" s="2055"/>
      <c r="BW255" s="2055"/>
      <c r="BX255" s="2055"/>
      <c r="BY255" s="2055"/>
      <c r="BZ255" s="2055"/>
      <c r="CA255" s="2055"/>
      <c r="CB255" s="2055"/>
      <c r="CC255" s="2055"/>
      <c r="CD255" s="2055"/>
      <c r="CE255" s="2055"/>
      <c r="CF255" s="2055"/>
      <c r="CG255" s="2055"/>
      <c r="CH255" s="2055"/>
      <c r="CI255" s="2055"/>
      <c r="CJ255" s="2055"/>
      <c r="CK255" s="2055"/>
      <c r="CL255" s="2055"/>
      <c r="CM255" s="2055"/>
      <c r="CN255" s="2055"/>
      <c r="CO255" s="2055"/>
    </row>
    <row r="256" spans="1:93" s="4" customFormat="1" x14ac:dyDescent="0.25">
      <c r="A256" s="12"/>
      <c r="B256" s="2055"/>
      <c r="C256" s="2055"/>
      <c r="D256" s="2055"/>
      <c r="E256" s="2055"/>
      <c r="F256" s="2055"/>
      <c r="G256" s="2055"/>
      <c r="H256" s="7"/>
      <c r="I256" s="2055"/>
      <c r="J256" s="874"/>
      <c r="L256" s="2023"/>
      <c r="N256" s="2023"/>
      <c r="O256" s="2055"/>
      <c r="P256" s="2055"/>
      <c r="Q256" s="2055"/>
      <c r="S256" s="875"/>
      <c r="T256" s="6"/>
      <c r="W256" s="874"/>
      <c r="X256" s="876"/>
      <c r="Y256" s="877"/>
      <c r="Z256" s="877"/>
      <c r="AA256" s="878"/>
      <c r="AB256" s="5"/>
      <c r="AC256" s="874"/>
      <c r="AD256" s="760"/>
      <c r="AE256" s="760"/>
      <c r="AF256" s="760"/>
      <c r="AG256" s="760"/>
      <c r="AH256" s="760"/>
      <c r="AI256" s="760"/>
      <c r="AJ256" s="760"/>
      <c r="AK256" s="760"/>
      <c r="AL256" s="760"/>
      <c r="AM256" s="760"/>
      <c r="AN256" s="760"/>
      <c r="AO256" s="760"/>
      <c r="AP256" s="760"/>
      <c r="AQ256" s="760"/>
      <c r="AR256" s="760"/>
      <c r="AS256" s="760"/>
      <c r="AT256" s="760"/>
      <c r="AU256" s="760"/>
      <c r="AV256" s="760"/>
      <c r="AW256" s="760"/>
      <c r="AX256" s="760"/>
      <c r="AY256" s="760"/>
      <c r="AZ256" s="760"/>
      <c r="BA256" s="760"/>
      <c r="BB256" s="760"/>
      <c r="BC256" s="760"/>
      <c r="BD256" s="760"/>
      <c r="BE256" s="760"/>
      <c r="BF256" s="760"/>
      <c r="BG256" s="760"/>
      <c r="BH256" s="760"/>
      <c r="BI256" s="760"/>
      <c r="BJ256" s="760"/>
      <c r="BK256" s="760"/>
      <c r="BL256" s="760"/>
      <c r="BM256" s="760"/>
      <c r="BN256" s="760"/>
      <c r="BO256" s="760"/>
      <c r="BP256" s="760"/>
      <c r="BQ256" s="880"/>
      <c r="BR256" s="880"/>
      <c r="BS256" s="880"/>
      <c r="BT256" s="880"/>
      <c r="BU256" s="760"/>
      <c r="BV256" s="2055"/>
      <c r="BW256" s="2055"/>
      <c r="BX256" s="2055"/>
      <c r="BY256" s="2055"/>
      <c r="BZ256" s="2055"/>
      <c r="CA256" s="2055"/>
      <c r="CB256" s="2055"/>
      <c r="CC256" s="2055"/>
      <c r="CD256" s="2055"/>
      <c r="CE256" s="2055"/>
      <c r="CF256" s="2055"/>
      <c r="CG256" s="2055"/>
      <c r="CH256" s="2055"/>
      <c r="CI256" s="2055"/>
      <c r="CJ256" s="2055"/>
      <c r="CK256" s="2055"/>
      <c r="CL256" s="2055"/>
      <c r="CM256" s="2055"/>
      <c r="CN256" s="2055"/>
      <c r="CO256" s="2055"/>
    </row>
    <row r="257" spans="1:93" s="4" customFormat="1" x14ac:dyDescent="0.25">
      <c r="A257" s="12"/>
      <c r="B257" s="2055"/>
      <c r="C257" s="2055"/>
      <c r="D257" s="2055"/>
      <c r="E257" s="2055"/>
      <c r="F257" s="2055"/>
      <c r="G257" s="2055"/>
      <c r="H257" s="7"/>
      <c r="I257" s="2055"/>
      <c r="J257" s="874"/>
      <c r="L257" s="2023"/>
      <c r="N257" s="2023"/>
      <c r="O257" s="2055"/>
      <c r="P257" s="2055"/>
      <c r="Q257" s="2055"/>
      <c r="S257" s="875"/>
      <c r="T257" s="6"/>
      <c r="W257" s="874"/>
      <c r="X257" s="876"/>
      <c r="Y257" s="877"/>
      <c r="Z257" s="877"/>
      <c r="AA257" s="878"/>
      <c r="AB257" s="5"/>
      <c r="AC257" s="874"/>
      <c r="AD257" s="760"/>
      <c r="AE257" s="760"/>
      <c r="AF257" s="760"/>
      <c r="AG257" s="760"/>
      <c r="AH257" s="760"/>
      <c r="AI257" s="760"/>
      <c r="AJ257" s="760"/>
      <c r="AK257" s="760"/>
      <c r="AL257" s="760"/>
      <c r="AM257" s="760"/>
      <c r="AN257" s="760"/>
      <c r="AO257" s="760"/>
      <c r="AP257" s="760"/>
      <c r="AQ257" s="760"/>
      <c r="AR257" s="760"/>
      <c r="AS257" s="760"/>
      <c r="AT257" s="760"/>
      <c r="AU257" s="760"/>
      <c r="AV257" s="760"/>
      <c r="AW257" s="760"/>
      <c r="AX257" s="760"/>
      <c r="AY257" s="760"/>
      <c r="AZ257" s="760"/>
      <c r="BA257" s="760"/>
      <c r="BB257" s="760"/>
      <c r="BC257" s="760"/>
      <c r="BD257" s="760"/>
      <c r="BE257" s="760"/>
      <c r="BF257" s="760"/>
      <c r="BG257" s="760"/>
      <c r="BH257" s="760"/>
      <c r="BI257" s="760"/>
      <c r="BJ257" s="760"/>
      <c r="BK257" s="760"/>
      <c r="BL257" s="760"/>
      <c r="BM257" s="760"/>
      <c r="BN257" s="760"/>
      <c r="BO257" s="760"/>
      <c r="BP257" s="760"/>
      <c r="BQ257" s="880"/>
      <c r="BR257" s="880"/>
      <c r="BS257" s="880"/>
      <c r="BT257" s="880"/>
      <c r="BU257" s="760"/>
      <c r="BV257" s="2055"/>
      <c r="BW257" s="2055"/>
      <c r="BX257" s="2055"/>
      <c r="BY257" s="2055"/>
      <c r="BZ257" s="2055"/>
      <c r="CA257" s="2055"/>
      <c r="CB257" s="2055"/>
      <c r="CC257" s="2055"/>
      <c r="CD257" s="2055"/>
      <c r="CE257" s="2055"/>
      <c r="CF257" s="2055"/>
      <c r="CG257" s="2055"/>
      <c r="CH257" s="2055"/>
      <c r="CI257" s="2055"/>
      <c r="CJ257" s="2055"/>
      <c r="CK257" s="2055"/>
      <c r="CL257" s="2055"/>
      <c r="CM257" s="2055"/>
      <c r="CN257" s="2055"/>
      <c r="CO257" s="2055"/>
    </row>
    <row r="258" spans="1:93" s="4" customFormat="1" x14ac:dyDescent="0.25">
      <c r="A258" s="12"/>
      <c r="B258" s="2055"/>
      <c r="C258" s="2055"/>
      <c r="D258" s="2055"/>
      <c r="E258" s="2055"/>
      <c r="F258" s="2055"/>
      <c r="G258" s="2055"/>
      <c r="H258" s="7"/>
      <c r="I258" s="2055"/>
      <c r="J258" s="874"/>
      <c r="L258" s="2023"/>
      <c r="N258" s="2023"/>
      <c r="O258" s="2055"/>
      <c r="P258" s="2055"/>
      <c r="Q258" s="2055"/>
      <c r="S258" s="875"/>
      <c r="T258" s="6"/>
      <c r="W258" s="874"/>
      <c r="X258" s="876"/>
      <c r="Y258" s="877"/>
      <c r="Z258" s="877"/>
      <c r="AA258" s="878"/>
      <c r="AB258" s="5"/>
      <c r="AC258" s="874"/>
      <c r="AD258" s="760"/>
      <c r="AE258" s="760"/>
      <c r="AF258" s="760"/>
      <c r="AG258" s="760"/>
      <c r="AH258" s="760"/>
      <c r="AI258" s="760"/>
      <c r="AJ258" s="760"/>
      <c r="AK258" s="760"/>
      <c r="AL258" s="760"/>
      <c r="AM258" s="760"/>
      <c r="AN258" s="760"/>
      <c r="AO258" s="760"/>
      <c r="AP258" s="760"/>
      <c r="AQ258" s="760"/>
      <c r="AR258" s="760"/>
      <c r="AS258" s="760"/>
      <c r="AT258" s="760"/>
      <c r="AU258" s="760"/>
      <c r="AV258" s="760"/>
      <c r="AW258" s="760"/>
      <c r="AX258" s="760"/>
      <c r="AY258" s="760"/>
      <c r="AZ258" s="760"/>
      <c r="BA258" s="760"/>
      <c r="BB258" s="760"/>
      <c r="BC258" s="760"/>
      <c r="BD258" s="760"/>
      <c r="BE258" s="760"/>
      <c r="BF258" s="760"/>
      <c r="BG258" s="760"/>
      <c r="BH258" s="760"/>
      <c r="BI258" s="760"/>
      <c r="BJ258" s="760"/>
      <c r="BK258" s="760"/>
      <c r="BL258" s="760"/>
      <c r="BM258" s="760"/>
      <c r="BN258" s="760"/>
      <c r="BO258" s="760"/>
      <c r="BP258" s="760"/>
      <c r="BQ258" s="880"/>
      <c r="BR258" s="880"/>
      <c r="BS258" s="880"/>
      <c r="BT258" s="880"/>
      <c r="BU258" s="760"/>
      <c r="BV258" s="2055"/>
      <c r="BW258" s="2055"/>
      <c r="BX258" s="2055"/>
      <c r="BY258" s="2055"/>
      <c r="BZ258" s="2055"/>
      <c r="CA258" s="2055"/>
      <c r="CB258" s="2055"/>
      <c r="CC258" s="2055"/>
      <c r="CD258" s="2055"/>
      <c r="CE258" s="2055"/>
      <c r="CF258" s="2055"/>
      <c r="CG258" s="2055"/>
      <c r="CH258" s="2055"/>
      <c r="CI258" s="2055"/>
      <c r="CJ258" s="2055"/>
      <c r="CK258" s="2055"/>
      <c r="CL258" s="2055"/>
      <c r="CM258" s="2055"/>
      <c r="CN258" s="2055"/>
      <c r="CO258" s="2055"/>
    </row>
  </sheetData>
  <mergeCells count="922">
    <mergeCell ref="BU242:BU243"/>
    <mergeCell ref="BO242:BO243"/>
    <mergeCell ref="BP242:BP243"/>
    <mergeCell ref="BQ242:BQ243"/>
    <mergeCell ref="BR242:BR243"/>
    <mergeCell ref="BS242:BS243"/>
    <mergeCell ref="BT242:BT243"/>
    <mergeCell ref="BI242:BI243"/>
    <mergeCell ref="BJ242:BJ243"/>
    <mergeCell ref="BK242:BK243"/>
    <mergeCell ref="BL242:BL243"/>
    <mergeCell ref="BM242:BM243"/>
    <mergeCell ref="BN242:BN243"/>
    <mergeCell ref="BC242:BC243"/>
    <mergeCell ref="BD242:BD243"/>
    <mergeCell ref="BE242:BE243"/>
    <mergeCell ref="BF242:BF243"/>
    <mergeCell ref="BG242:BG243"/>
    <mergeCell ref="BH242:BH243"/>
    <mergeCell ref="AW242:AW243"/>
    <mergeCell ref="AX242:AX243"/>
    <mergeCell ref="AY242:AY243"/>
    <mergeCell ref="AZ242:AZ243"/>
    <mergeCell ref="BA242:BA243"/>
    <mergeCell ref="BB242:BB243"/>
    <mergeCell ref="AQ242:AQ243"/>
    <mergeCell ref="AR242:AR243"/>
    <mergeCell ref="AS242:AS243"/>
    <mergeCell ref="AT242:AT243"/>
    <mergeCell ref="AU242:AU243"/>
    <mergeCell ref="AV242:AV243"/>
    <mergeCell ref="AK242:AK243"/>
    <mergeCell ref="AL242:AL243"/>
    <mergeCell ref="AM242:AM243"/>
    <mergeCell ref="AN242:AN243"/>
    <mergeCell ref="AO242:AO243"/>
    <mergeCell ref="AP242:AP243"/>
    <mergeCell ref="AE242:AE243"/>
    <mergeCell ref="AF242:AF243"/>
    <mergeCell ref="AG242:AG243"/>
    <mergeCell ref="AH242:AH243"/>
    <mergeCell ref="AI242:AI243"/>
    <mergeCell ref="AJ242:AJ243"/>
    <mergeCell ref="U242:U243"/>
    <mergeCell ref="V242:V243"/>
    <mergeCell ref="W242:W243"/>
    <mergeCell ref="AB242:AB243"/>
    <mergeCell ref="AC242:AC243"/>
    <mergeCell ref="AD242:AD243"/>
    <mergeCell ref="O242:O243"/>
    <mergeCell ref="P242:P243"/>
    <mergeCell ref="Q242:Q243"/>
    <mergeCell ref="R242:R243"/>
    <mergeCell ref="S242:S243"/>
    <mergeCell ref="T242:T243"/>
    <mergeCell ref="D240:G240"/>
    <mergeCell ref="F241:Q241"/>
    <mergeCell ref="G242:G243"/>
    <mergeCell ref="H242:H243"/>
    <mergeCell ref="I242:I243"/>
    <mergeCell ref="J242:J243"/>
    <mergeCell ref="K242:K243"/>
    <mergeCell ref="L242:L243"/>
    <mergeCell ref="M242:M243"/>
    <mergeCell ref="N242:N243"/>
    <mergeCell ref="BQ236:BQ238"/>
    <mergeCell ref="BR236:BR238"/>
    <mergeCell ref="BS236:BS238"/>
    <mergeCell ref="BT236:BT238"/>
    <mergeCell ref="BU236:BU238"/>
    <mergeCell ref="B239:H239"/>
    <mergeCell ref="BK236:BK238"/>
    <mergeCell ref="BL236:BL238"/>
    <mergeCell ref="BM236:BM238"/>
    <mergeCell ref="BN236:BN238"/>
    <mergeCell ref="BO236:BO238"/>
    <mergeCell ref="BP236:BP238"/>
    <mergeCell ref="BE236:BE238"/>
    <mergeCell ref="BF236:BF238"/>
    <mergeCell ref="BG236:BG238"/>
    <mergeCell ref="BH236:BH238"/>
    <mergeCell ref="BI236:BI238"/>
    <mergeCell ref="BJ236:BJ238"/>
    <mergeCell ref="AY236:AY238"/>
    <mergeCell ref="AZ236:AZ238"/>
    <mergeCell ref="BA236:BA238"/>
    <mergeCell ref="BB236:BB238"/>
    <mergeCell ref="BC236:BC238"/>
    <mergeCell ref="BD236:BD238"/>
    <mergeCell ref="AS236:AS238"/>
    <mergeCell ref="AT236:AT238"/>
    <mergeCell ref="AU236:AU238"/>
    <mergeCell ref="AV236:AV238"/>
    <mergeCell ref="AW236:AW238"/>
    <mergeCell ref="AX236:AX238"/>
    <mergeCell ref="AM236:AM238"/>
    <mergeCell ref="AN236:AN238"/>
    <mergeCell ref="AO236:AO238"/>
    <mergeCell ref="AP236:AP238"/>
    <mergeCell ref="AQ236:AQ238"/>
    <mergeCell ref="AR236:AR238"/>
    <mergeCell ref="AG236:AG238"/>
    <mergeCell ref="AH236:AH238"/>
    <mergeCell ref="AI236:AI238"/>
    <mergeCell ref="AJ236:AJ238"/>
    <mergeCell ref="AK236:AK238"/>
    <mergeCell ref="AL236:AL238"/>
    <mergeCell ref="U236:U238"/>
    <mergeCell ref="V236:V238"/>
    <mergeCell ref="W236:W238"/>
    <mergeCell ref="AD236:AD238"/>
    <mergeCell ref="AE236:AE238"/>
    <mergeCell ref="AF236:AF238"/>
    <mergeCell ref="O236:O238"/>
    <mergeCell ref="P236:P238"/>
    <mergeCell ref="Q236:Q238"/>
    <mergeCell ref="R236:R238"/>
    <mergeCell ref="S236:S238"/>
    <mergeCell ref="T236:T238"/>
    <mergeCell ref="W227:W234"/>
    <mergeCell ref="F235:Q235"/>
    <mergeCell ref="G236:G238"/>
    <mergeCell ref="H236:H238"/>
    <mergeCell ref="I236:I238"/>
    <mergeCell ref="J236:J238"/>
    <mergeCell ref="K236:K238"/>
    <mergeCell ref="L236:L238"/>
    <mergeCell ref="M236:M238"/>
    <mergeCell ref="N236:N238"/>
    <mergeCell ref="G124:G234"/>
    <mergeCell ref="H124:H234"/>
    <mergeCell ref="I124:I234"/>
    <mergeCell ref="J124:J234"/>
    <mergeCell ref="K124:K234"/>
    <mergeCell ref="L124:L234"/>
    <mergeCell ref="M124:M234"/>
    <mergeCell ref="N124:N234"/>
    <mergeCell ref="G120:G123"/>
    <mergeCell ref="H120:H123"/>
    <mergeCell ref="I120:I123"/>
    <mergeCell ref="J120:J123"/>
    <mergeCell ref="K120:K123"/>
    <mergeCell ref="L120:L123"/>
    <mergeCell ref="BS112:BS234"/>
    <mergeCell ref="BT112:BT234"/>
    <mergeCell ref="BE112:BE234"/>
    <mergeCell ref="BF112:BF234"/>
    <mergeCell ref="AU112:AU234"/>
    <mergeCell ref="AV112:AV234"/>
    <mergeCell ref="AW112:AW234"/>
    <mergeCell ref="AX112:AX234"/>
    <mergeCell ref="AY112:AY234"/>
    <mergeCell ref="AZ112:AZ234"/>
    <mergeCell ref="AO112:AO234"/>
    <mergeCell ref="AP112:AP234"/>
    <mergeCell ref="AQ112:AQ234"/>
    <mergeCell ref="AR112:AR234"/>
    <mergeCell ref="AS112:AS234"/>
    <mergeCell ref="AT112:AT234"/>
    <mergeCell ref="AI112:AI234"/>
    <mergeCell ref="W214:W226"/>
    <mergeCell ref="BU112:BU234"/>
    <mergeCell ref="G116:G119"/>
    <mergeCell ref="H116:H119"/>
    <mergeCell ref="I116:I119"/>
    <mergeCell ref="J116:J119"/>
    <mergeCell ref="K116:K119"/>
    <mergeCell ref="L116:L119"/>
    <mergeCell ref="M116:M119"/>
    <mergeCell ref="BM112:BM234"/>
    <mergeCell ref="BN112:BN234"/>
    <mergeCell ref="BO112:BO234"/>
    <mergeCell ref="BP112:BP234"/>
    <mergeCell ref="BQ112:BQ234"/>
    <mergeCell ref="BR112:BR234"/>
    <mergeCell ref="BG112:BG234"/>
    <mergeCell ref="BH112:BH234"/>
    <mergeCell ref="BI112:BI234"/>
    <mergeCell ref="BJ112:BJ234"/>
    <mergeCell ref="BK112:BK234"/>
    <mergeCell ref="BL112:BL234"/>
    <mergeCell ref="BA112:BA234"/>
    <mergeCell ref="BB112:BB234"/>
    <mergeCell ref="BC112:BC234"/>
    <mergeCell ref="BD112:BD234"/>
    <mergeCell ref="AJ112:AJ234"/>
    <mergeCell ref="AK112:AK234"/>
    <mergeCell ref="AL112:AL234"/>
    <mergeCell ref="AM112:AM234"/>
    <mergeCell ref="AN112:AN234"/>
    <mergeCell ref="AC112:AC115"/>
    <mergeCell ref="AD112:AD234"/>
    <mergeCell ref="AE112:AE234"/>
    <mergeCell ref="AF112:AF234"/>
    <mergeCell ref="AG112:AG234"/>
    <mergeCell ref="AH112:AH234"/>
    <mergeCell ref="AC116:AC119"/>
    <mergeCell ref="AC120:AC123"/>
    <mergeCell ref="AC214:AC217"/>
    <mergeCell ref="AC219:AC222"/>
    <mergeCell ref="AC223:AC226"/>
    <mergeCell ref="AC124:AC174"/>
    <mergeCell ref="AC178:AC185"/>
    <mergeCell ref="AC191:AC211"/>
    <mergeCell ref="S112:S115"/>
    <mergeCell ref="T112:T234"/>
    <mergeCell ref="U112:U234"/>
    <mergeCell ref="V112:V115"/>
    <mergeCell ref="W112:W115"/>
    <mergeCell ref="AB112:AB115"/>
    <mergeCell ref="S116:S119"/>
    <mergeCell ref="V116:V119"/>
    <mergeCell ref="W116:W119"/>
    <mergeCell ref="AB116:AB119"/>
    <mergeCell ref="AB120:AB123"/>
    <mergeCell ref="S120:S123"/>
    <mergeCell ref="V120:V234"/>
    <mergeCell ref="W120:W123"/>
    <mergeCell ref="S124:S234"/>
    <mergeCell ref="W124:W190"/>
    <mergeCell ref="AB214:AB217"/>
    <mergeCell ref="AB219:AB222"/>
    <mergeCell ref="AB223:AB226"/>
    <mergeCell ref="AB124:AB174"/>
    <mergeCell ref="AB178:AB185"/>
    <mergeCell ref="W191:W213"/>
    <mergeCell ref="AB191:AB211"/>
    <mergeCell ref="M112:M115"/>
    <mergeCell ref="N112:N115"/>
    <mergeCell ref="O112:O115"/>
    <mergeCell ref="P112:P115"/>
    <mergeCell ref="Q112:Q234"/>
    <mergeCell ref="R112:R234"/>
    <mergeCell ref="N116:N119"/>
    <mergeCell ref="O116:O119"/>
    <mergeCell ref="P116:P119"/>
    <mergeCell ref="M120:M123"/>
    <mergeCell ref="O120:O123"/>
    <mergeCell ref="P120:P123"/>
    <mergeCell ref="O124:O234"/>
    <mergeCell ref="P124:P234"/>
    <mergeCell ref="N120:N123"/>
    <mergeCell ref="G108:G111"/>
    <mergeCell ref="H108:H111"/>
    <mergeCell ref="I108:I111"/>
    <mergeCell ref="J108:J111"/>
    <mergeCell ref="K108:K111"/>
    <mergeCell ref="L108:L111"/>
    <mergeCell ref="G112:G115"/>
    <mergeCell ref="H112:H115"/>
    <mergeCell ref="I112:I115"/>
    <mergeCell ref="J112:J115"/>
    <mergeCell ref="K112:K115"/>
    <mergeCell ref="L112:L115"/>
    <mergeCell ref="BS100:BS111"/>
    <mergeCell ref="BT100:BT111"/>
    <mergeCell ref="BU100:BU111"/>
    <mergeCell ref="G104:G107"/>
    <mergeCell ref="H104:H107"/>
    <mergeCell ref="I104:I107"/>
    <mergeCell ref="J104:J107"/>
    <mergeCell ref="K104:K107"/>
    <mergeCell ref="L104:L107"/>
    <mergeCell ref="M104:M107"/>
    <mergeCell ref="BM100:BM111"/>
    <mergeCell ref="BN100:BN111"/>
    <mergeCell ref="BO100:BO111"/>
    <mergeCell ref="BP100:BP111"/>
    <mergeCell ref="BQ100:BQ111"/>
    <mergeCell ref="BR100:BR111"/>
    <mergeCell ref="BG100:BG111"/>
    <mergeCell ref="BH100:BH111"/>
    <mergeCell ref="BI100:BI111"/>
    <mergeCell ref="BJ100:BJ111"/>
    <mergeCell ref="BK100:BK111"/>
    <mergeCell ref="BL100:BL111"/>
    <mergeCell ref="BA100:BA111"/>
    <mergeCell ref="BB100:BB111"/>
    <mergeCell ref="BC100:BC111"/>
    <mergeCell ref="BD100:BD111"/>
    <mergeCell ref="BE100:BE111"/>
    <mergeCell ref="BF100:BF111"/>
    <mergeCell ref="AU100:AU111"/>
    <mergeCell ref="AV100:AV111"/>
    <mergeCell ref="AW100:AW111"/>
    <mergeCell ref="AX100:AX111"/>
    <mergeCell ref="AY100:AY111"/>
    <mergeCell ref="AZ100:AZ111"/>
    <mergeCell ref="AO100:AO111"/>
    <mergeCell ref="AP100:AP111"/>
    <mergeCell ref="AQ100:AQ111"/>
    <mergeCell ref="AR100:AR111"/>
    <mergeCell ref="AS100:AS111"/>
    <mergeCell ref="AT100:AT111"/>
    <mergeCell ref="AI100:AI111"/>
    <mergeCell ref="AJ100:AJ111"/>
    <mergeCell ref="AK100:AK111"/>
    <mergeCell ref="AL100:AL111"/>
    <mergeCell ref="AM100:AM111"/>
    <mergeCell ref="AN100:AN111"/>
    <mergeCell ref="AC100:AC103"/>
    <mergeCell ref="AD100:AD111"/>
    <mergeCell ref="AE100:AE111"/>
    <mergeCell ref="AF100:AF111"/>
    <mergeCell ref="AG100:AG111"/>
    <mergeCell ref="AH100:AH111"/>
    <mergeCell ref="AC104:AC107"/>
    <mergeCell ref="AC108:AC111"/>
    <mergeCell ref="S100:S103"/>
    <mergeCell ref="T100:T111"/>
    <mergeCell ref="U100:U111"/>
    <mergeCell ref="V100:V111"/>
    <mergeCell ref="W100:W103"/>
    <mergeCell ref="AB100:AB103"/>
    <mergeCell ref="S104:S107"/>
    <mergeCell ref="W104:W107"/>
    <mergeCell ref="AB104:AB107"/>
    <mergeCell ref="S108:S111"/>
    <mergeCell ref="W108:W111"/>
    <mergeCell ref="AB108:AB111"/>
    <mergeCell ref="M100:M103"/>
    <mergeCell ref="N100:N103"/>
    <mergeCell ref="O100:O103"/>
    <mergeCell ref="P100:P103"/>
    <mergeCell ref="Q100:Q111"/>
    <mergeCell ref="R100:R111"/>
    <mergeCell ref="N104:N107"/>
    <mergeCell ref="O104:O107"/>
    <mergeCell ref="P104:P107"/>
    <mergeCell ref="M108:M111"/>
    <mergeCell ref="N108:N111"/>
    <mergeCell ref="O108:O111"/>
    <mergeCell ref="P108:P111"/>
    <mergeCell ref="G100:G103"/>
    <mergeCell ref="H100:H103"/>
    <mergeCell ref="I100:I103"/>
    <mergeCell ref="J100:J103"/>
    <mergeCell ref="K100:K103"/>
    <mergeCell ref="L100:L103"/>
    <mergeCell ref="BS92:BS99"/>
    <mergeCell ref="BT92:BT99"/>
    <mergeCell ref="BU92:BU99"/>
    <mergeCell ref="G96:G99"/>
    <mergeCell ref="H96:H99"/>
    <mergeCell ref="I96:I99"/>
    <mergeCell ref="J96:J99"/>
    <mergeCell ref="K96:K99"/>
    <mergeCell ref="L96:L99"/>
    <mergeCell ref="M96:M99"/>
    <mergeCell ref="BM92:BM99"/>
    <mergeCell ref="BN92:BN99"/>
    <mergeCell ref="BO92:BO99"/>
    <mergeCell ref="BP92:BP99"/>
    <mergeCell ref="BQ92:BQ99"/>
    <mergeCell ref="BR92:BR99"/>
    <mergeCell ref="BG92:BG99"/>
    <mergeCell ref="BH92:BH99"/>
    <mergeCell ref="BI92:BI99"/>
    <mergeCell ref="BJ92:BJ99"/>
    <mergeCell ref="BK92:BK99"/>
    <mergeCell ref="BL92:BL99"/>
    <mergeCell ref="BA92:BA99"/>
    <mergeCell ref="BB92:BB99"/>
    <mergeCell ref="BC92:BC99"/>
    <mergeCell ref="BD92:BD99"/>
    <mergeCell ref="BE92:BE99"/>
    <mergeCell ref="BF92:BF99"/>
    <mergeCell ref="AU92:AU99"/>
    <mergeCell ref="AV92:AV99"/>
    <mergeCell ref="AW92:AW99"/>
    <mergeCell ref="AX92:AX99"/>
    <mergeCell ref="AY92:AY99"/>
    <mergeCell ref="AZ92:AZ99"/>
    <mergeCell ref="AO92:AO99"/>
    <mergeCell ref="AP92:AP99"/>
    <mergeCell ref="AQ92:AQ99"/>
    <mergeCell ref="AR92:AR99"/>
    <mergeCell ref="AS92:AS99"/>
    <mergeCell ref="AT92:AT99"/>
    <mergeCell ref="AK92:AK99"/>
    <mergeCell ref="AL92:AL99"/>
    <mergeCell ref="AM92:AM99"/>
    <mergeCell ref="AN92:AN99"/>
    <mergeCell ref="AC92:AC95"/>
    <mergeCell ref="AD92:AD99"/>
    <mergeCell ref="AE92:AE99"/>
    <mergeCell ref="AF92:AF99"/>
    <mergeCell ref="AG92:AG99"/>
    <mergeCell ref="AH92:AH99"/>
    <mergeCell ref="AC96:AC99"/>
    <mergeCell ref="V92:V95"/>
    <mergeCell ref="W92:W95"/>
    <mergeCell ref="AB92:AB95"/>
    <mergeCell ref="S96:S99"/>
    <mergeCell ref="V96:V99"/>
    <mergeCell ref="W96:W99"/>
    <mergeCell ref="AB96:AB99"/>
    <mergeCell ref="AI92:AI99"/>
    <mergeCell ref="AJ92:AJ99"/>
    <mergeCell ref="P92:P95"/>
    <mergeCell ref="Q92:Q99"/>
    <mergeCell ref="R92:R99"/>
    <mergeCell ref="N96:N99"/>
    <mergeCell ref="O96:O99"/>
    <mergeCell ref="P96:P99"/>
    <mergeCell ref="S92:S95"/>
    <mergeCell ref="T92:T99"/>
    <mergeCell ref="U92:U99"/>
    <mergeCell ref="G92:G95"/>
    <mergeCell ref="H92:H95"/>
    <mergeCell ref="I92:I95"/>
    <mergeCell ref="J92:J95"/>
    <mergeCell ref="K92:K95"/>
    <mergeCell ref="L92:L95"/>
    <mergeCell ref="M88:M91"/>
    <mergeCell ref="N88:N91"/>
    <mergeCell ref="O88:O91"/>
    <mergeCell ref="M92:M95"/>
    <mergeCell ref="N92:N95"/>
    <mergeCell ref="O92:O95"/>
    <mergeCell ref="G88:G91"/>
    <mergeCell ref="H88:H91"/>
    <mergeCell ref="I88:I91"/>
    <mergeCell ref="J88:J91"/>
    <mergeCell ref="K88:K91"/>
    <mergeCell ref="L88:L91"/>
    <mergeCell ref="BR80:BR91"/>
    <mergeCell ref="BS80:BS91"/>
    <mergeCell ref="BT80:BT91"/>
    <mergeCell ref="BU80:BU91"/>
    <mergeCell ref="G84:G87"/>
    <mergeCell ref="H84:H87"/>
    <mergeCell ref="I84:I87"/>
    <mergeCell ref="J84:J87"/>
    <mergeCell ref="K84:K87"/>
    <mergeCell ref="L84:L87"/>
    <mergeCell ref="BL80:BL91"/>
    <mergeCell ref="BM80:BM91"/>
    <mergeCell ref="BN80:BN91"/>
    <mergeCell ref="BO80:BO91"/>
    <mergeCell ref="BP80:BP91"/>
    <mergeCell ref="BQ80:BQ91"/>
    <mergeCell ref="BF80:BF91"/>
    <mergeCell ref="BG80:BG91"/>
    <mergeCell ref="BH80:BH91"/>
    <mergeCell ref="BI80:BI91"/>
    <mergeCell ref="BJ80:BJ91"/>
    <mergeCell ref="BK80:BK91"/>
    <mergeCell ref="AZ80:AZ91"/>
    <mergeCell ref="BA80:BA91"/>
    <mergeCell ref="BB80:BB91"/>
    <mergeCell ref="BC80:BC91"/>
    <mergeCell ref="BD80:BD91"/>
    <mergeCell ref="BE80:BE91"/>
    <mergeCell ref="AT80:AT91"/>
    <mergeCell ref="AU80:AU91"/>
    <mergeCell ref="AV80:AV91"/>
    <mergeCell ref="AW80:AW91"/>
    <mergeCell ref="AX80:AX91"/>
    <mergeCell ref="AY80:AY91"/>
    <mergeCell ref="AO80:AO91"/>
    <mergeCell ref="AP80:AP91"/>
    <mergeCell ref="AQ80:AQ91"/>
    <mergeCell ref="AR80:AR91"/>
    <mergeCell ref="AS80:AS91"/>
    <mergeCell ref="AH80:AH91"/>
    <mergeCell ref="AI80:AI91"/>
    <mergeCell ref="AJ80:AJ91"/>
    <mergeCell ref="AK80:AK91"/>
    <mergeCell ref="AL80:AL91"/>
    <mergeCell ref="AM80:AM91"/>
    <mergeCell ref="AD80:AD91"/>
    <mergeCell ref="AE80:AE91"/>
    <mergeCell ref="AF80:AF91"/>
    <mergeCell ref="AG80:AG91"/>
    <mergeCell ref="AB84:AB87"/>
    <mergeCell ref="AC84:AC87"/>
    <mergeCell ref="AB88:AB91"/>
    <mergeCell ref="AC88:AC91"/>
    <mergeCell ref="AN80:AN91"/>
    <mergeCell ref="W88:W91"/>
    <mergeCell ref="L80:L83"/>
    <mergeCell ref="M80:M83"/>
    <mergeCell ref="N80:N83"/>
    <mergeCell ref="O80:O83"/>
    <mergeCell ref="P80:P83"/>
    <mergeCell ref="Q80:Q91"/>
    <mergeCell ref="M84:M87"/>
    <mergeCell ref="N84:N87"/>
    <mergeCell ref="O84:O87"/>
    <mergeCell ref="P84:P87"/>
    <mergeCell ref="P88:P91"/>
    <mergeCell ref="S88:S91"/>
    <mergeCell ref="V88:V91"/>
    <mergeCell ref="U80:U91"/>
    <mergeCell ref="V80:V87"/>
    <mergeCell ref="R80:R91"/>
    <mergeCell ref="S80:S83"/>
    <mergeCell ref="T80:T91"/>
    <mergeCell ref="AB74:AB77"/>
    <mergeCell ref="AC74:AC77"/>
    <mergeCell ref="G80:G83"/>
    <mergeCell ref="H80:H83"/>
    <mergeCell ref="I80:I83"/>
    <mergeCell ref="J80:J83"/>
    <mergeCell ref="K80:K83"/>
    <mergeCell ref="W80:W83"/>
    <mergeCell ref="S84:S87"/>
    <mergeCell ref="W84:W87"/>
    <mergeCell ref="AB80:AB83"/>
    <mergeCell ref="AC80:AC83"/>
    <mergeCell ref="W70:W73"/>
    <mergeCell ref="G70:G73"/>
    <mergeCell ref="H70:H73"/>
    <mergeCell ref="I70:I73"/>
    <mergeCell ref="J70:J73"/>
    <mergeCell ref="K70:K73"/>
    <mergeCell ref="L70:L73"/>
    <mergeCell ref="S74:S77"/>
    <mergeCell ref="V74:V77"/>
    <mergeCell ref="W74:W77"/>
    <mergeCell ref="G74:G77"/>
    <mergeCell ref="H74:H77"/>
    <mergeCell ref="I74:I77"/>
    <mergeCell ref="J74:J77"/>
    <mergeCell ref="K74:K77"/>
    <mergeCell ref="L74:L77"/>
    <mergeCell ref="M74:M77"/>
    <mergeCell ref="N74:N77"/>
    <mergeCell ref="M70:M73"/>
    <mergeCell ref="N70:N73"/>
    <mergeCell ref="G64:G67"/>
    <mergeCell ref="H64:H67"/>
    <mergeCell ref="I64:I67"/>
    <mergeCell ref="J64:J67"/>
    <mergeCell ref="K64:K67"/>
    <mergeCell ref="L64:L67"/>
    <mergeCell ref="M64:M67"/>
    <mergeCell ref="M55:M63"/>
    <mergeCell ref="N55:N63"/>
    <mergeCell ref="G55:G63"/>
    <mergeCell ref="H55:H63"/>
    <mergeCell ref="I55:I63"/>
    <mergeCell ref="J55:J63"/>
    <mergeCell ref="K55:K63"/>
    <mergeCell ref="L55:L63"/>
    <mergeCell ref="N64:N67"/>
    <mergeCell ref="BU46:BU79"/>
    <mergeCell ref="G51:G54"/>
    <mergeCell ref="H51:H54"/>
    <mergeCell ref="I51:I54"/>
    <mergeCell ref="J51:J54"/>
    <mergeCell ref="K51:K54"/>
    <mergeCell ref="L51:L54"/>
    <mergeCell ref="M51:M54"/>
    <mergeCell ref="N51:N54"/>
    <mergeCell ref="O51:O54"/>
    <mergeCell ref="BO46:BO79"/>
    <mergeCell ref="BP46:BP79"/>
    <mergeCell ref="BQ46:BQ79"/>
    <mergeCell ref="BR46:BR79"/>
    <mergeCell ref="BS46:BS79"/>
    <mergeCell ref="BT46:BT79"/>
    <mergeCell ref="BI46:BI79"/>
    <mergeCell ref="BJ46:BJ79"/>
    <mergeCell ref="BK46:BK79"/>
    <mergeCell ref="BL46:BL79"/>
    <mergeCell ref="BM46:BM79"/>
    <mergeCell ref="BN46:BN79"/>
    <mergeCell ref="BC46:BC79"/>
    <mergeCell ref="BD46:BD79"/>
    <mergeCell ref="BE46:BE79"/>
    <mergeCell ref="BF46:BF79"/>
    <mergeCell ref="BG46:BG79"/>
    <mergeCell ref="BH46:BH79"/>
    <mergeCell ref="AW46:AW79"/>
    <mergeCell ref="AX46:AX79"/>
    <mergeCell ref="AY46:AY79"/>
    <mergeCell ref="AZ46:AZ79"/>
    <mergeCell ref="BA46:BA79"/>
    <mergeCell ref="BB46:BB79"/>
    <mergeCell ref="AQ46:AQ79"/>
    <mergeCell ref="AR46:AR79"/>
    <mergeCell ref="AS46:AS79"/>
    <mergeCell ref="AT46:AT79"/>
    <mergeCell ref="AU46:AU79"/>
    <mergeCell ref="AV46:AV79"/>
    <mergeCell ref="AK46:AK79"/>
    <mergeCell ref="AL46:AL79"/>
    <mergeCell ref="AM46:AM79"/>
    <mergeCell ref="AN46:AN79"/>
    <mergeCell ref="AO46:AO79"/>
    <mergeCell ref="AP46:AP79"/>
    <mergeCell ref="AE46:AE79"/>
    <mergeCell ref="AF46:AF79"/>
    <mergeCell ref="AG46:AG79"/>
    <mergeCell ref="AH46:AH79"/>
    <mergeCell ref="AI46:AI79"/>
    <mergeCell ref="AJ46:AJ79"/>
    <mergeCell ref="U46:U79"/>
    <mergeCell ref="V46:V68"/>
    <mergeCell ref="W46:W50"/>
    <mergeCell ref="AB46:AB49"/>
    <mergeCell ref="AC46:AC49"/>
    <mergeCell ref="AD46:AD79"/>
    <mergeCell ref="W51:W54"/>
    <mergeCell ref="AB51:AB54"/>
    <mergeCell ref="AC51:AC54"/>
    <mergeCell ref="AB55:AB59"/>
    <mergeCell ref="W64:W67"/>
    <mergeCell ref="V69:V73"/>
    <mergeCell ref="AC55:AC59"/>
    <mergeCell ref="AB60:AB63"/>
    <mergeCell ref="AC60:AC63"/>
    <mergeCell ref="W55:W63"/>
    <mergeCell ref="AB70:AB73"/>
    <mergeCell ref="AC70:AC73"/>
    <mergeCell ref="O46:O50"/>
    <mergeCell ref="P46:P50"/>
    <mergeCell ref="Q46:Q79"/>
    <mergeCell ref="R46:R79"/>
    <mergeCell ref="S46:S50"/>
    <mergeCell ref="T46:T79"/>
    <mergeCell ref="P51:P54"/>
    <mergeCell ref="S51:S54"/>
    <mergeCell ref="O74:O77"/>
    <mergeCell ref="P74:P77"/>
    <mergeCell ref="O64:O67"/>
    <mergeCell ref="P64:P67"/>
    <mergeCell ref="S64:S67"/>
    <mergeCell ref="O55:O63"/>
    <mergeCell ref="P55:P63"/>
    <mergeCell ref="S55:S63"/>
    <mergeCell ref="O70:O73"/>
    <mergeCell ref="P70:P73"/>
    <mergeCell ref="S70:S73"/>
    <mergeCell ref="BT44:BT45"/>
    <mergeCell ref="BU44:BU45"/>
    <mergeCell ref="G46:G50"/>
    <mergeCell ref="H46:H50"/>
    <mergeCell ref="I46:I50"/>
    <mergeCell ref="J46:J50"/>
    <mergeCell ref="K46:K50"/>
    <mergeCell ref="L46:L50"/>
    <mergeCell ref="M46:M50"/>
    <mergeCell ref="N46:N50"/>
    <mergeCell ref="BN44:BN45"/>
    <mergeCell ref="BO44:BO45"/>
    <mergeCell ref="BP44:BP45"/>
    <mergeCell ref="BQ44:BQ45"/>
    <mergeCell ref="BR44:BR45"/>
    <mergeCell ref="BS44:BS45"/>
    <mergeCell ref="BH44:BH45"/>
    <mergeCell ref="BI44:BI45"/>
    <mergeCell ref="BJ44:BJ45"/>
    <mergeCell ref="BK44:BK45"/>
    <mergeCell ref="BL44:BL45"/>
    <mergeCell ref="BM44:BM45"/>
    <mergeCell ref="BB44:BB45"/>
    <mergeCell ref="BC44:BC45"/>
    <mergeCell ref="BD44:BD45"/>
    <mergeCell ref="BE44:BE45"/>
    <mergeCell ref="BF44:BF45"/>
    <mergeCell ref="BG44:BG45"/>
    <mergeCell ref="AV44:AV45"/>
    <mergeCell ref="AW44:AW45"/>
    <mergeCell ref="AX44:AX45"/>
    <mergeCell ref="AY44:AY45"/>
    <mergeCell ref="AZ44:AZ45"/>
    <mergeCell ref="BA44:BA45"/>
    <mergeCell ref="AP44:AP45"/>
    <mergeCell ref="AQ44:AQ45"/>
    <mergeCell ref="AR44:AR45"/>
    <mergeCell ref="AS44:AS45"/>
    <mergeCell ref="AT44:AT45"/>
    <mergeCell ref="AU44:AU45"/>
    <mergeCell ref="AJ44:AJ45"/>
    <mergeCell ref="AK44:AK45"/>
    <mergeCell ref="AL44:AL45"/>
    <mergeCell ref="AM44:AM45"/>
    <mergeCell ref="AN44:AN45"/>
    <mergeCell ref="AO44:AO45"/>
    <mergeCell ref="AD44:AD45"/>
    <mergeCell ref="AE44:AE45"/>
    <mergeCell ref="AF44:AF45"/>
    <mergeCell ref="AG44:AG45"/>
    <mergeCell ref="AH44:AH45"/>
    <mergeCell ref="AI44:AI45"/>
    <mergeCell ref="O42:O43"/>
    <mergeCell ref="P42:P43"/>
    <mergeCell ref="S42:S43"/>
    <mergeCell ref="W42:W43"/>
    <mergeCell ref="Q44:Q45"/>
    <mergeCell ref="R44:R45"/>
    <mergeCell ref="T44:T45"/>
    <mergeCell ref="U44:U45"/>
    <mergeCell ref="AE13:AE43"/>
    <mergeCell ref="AF13:AF43"/>
    <mergeCell ref="AG13:AG43"/>
    <mergeCell ref="AB17:AB20"/>
    <mergeCell ref="AC17:AC20"/>
    <mergeCell ref="AB21:AB24"/>
    <mergeCell ref="AC21:AC24"/>
    <mergeCell ref="AC25:AC27"/>
    <mergeCell ref="AC28:AC31"/>
    <mergeCell ref="O28:O31"/>
    <mergeCell ref="G38:G39"/>
    <mergeCell ref="H38:H39"/>
    <mergeCell ref="I38:I39"/>
    <mergeCell ref="J38:J39"/>
    <mergeCell ref="K38:K39"/>
    <mergeCell ref="W38:W39"/>
    <mergeCell ref="V40:V43"/>
    <mergeCell ref="G42:G43"/>
    <mergeCell ref="H42:H43"/>
    <mergeCell ref="I42:I43"/>
    <mergeCell ref="J42:J43"/>
    <mergeCell ref="K42:K43"/>
    <mergeCell ref="L42:L43"/>
    <mergeCell ref="M42:M43"/>
    <mergeCell ref="N42:N43"/>
    <mergeCell ref="L38:L39"/>
    <mergeCell ref="M38:M39"/>
    <mergeCell ref="N38:N39"/>
    <mergeCell ref="O38:O39"/>
    <mergeCell ref="P38:P39"/>
    <mergeCell ref="S38:S39"/>
    <mergeCell ref="P28:P31"/>
    <mergeCell ref="S28:S31"/>
    <mergeCell ref="W28:W31"/>
    <mergeCell ref="O32:O37"/>
    <mergeCell ref="P32:P37"/>
    <mergeCell ref="S32:S37"/>
    <mergeCell ref="V32:V39"/>
    <mergeCell ref="W32:W37"/>
    <mergeCell ref="T13:T43"/>
    <mergeCell ref="U13:U43"/>
    <mergeCell ref="V13:V16"/>
    <mergeCell ref="W25:W27"/>
    <mergeCell ref="W13:W16"/>
    <mergeCell ref="V17:V20"/>
    <mergeCell ref="W17:W20"/>
    <mergeCell ref="W21:W24"/>
    <mergeCell ref="P21:P24"/>
    <mergeCell ref="S21:S24"/>
    <mergeCell ref="V21:V31"/>
    <mergeCell ref="G32:G37"/>
    <mergeCell ref="H32:H37"/>
    <mergeCell ref="I32:I37"/>
    <mergeCell ref="J32:J37"/>
    <mergeCell ref="K32:K37"/>
    <mergeCell ref="L32:L37"/>
    <mergeCell ref="M32:M37"/>
    <mergeCell ref="N32:N37"/>
    <mergeCell ref="M28:M31"/>
    <mergeCell ref="N28:N31"/>
    <mergeCell ref="G28:G31"/>
    <mergeCell ref="H28:H31"/>
    <mergeCell ref="I28:I31"/>
    <mergeCell ref="J28:J31"/>
    <mergeCell ref="K28:K31"/>
    <mergeCell ref="L28:L31"/>
    <mergeCell ref="G25:G27"/>
    <mergeCell ref="H25:H27"/>
    <mergeCell ref="I25:I27"/>
    <mergeCell ref="J25:J27"/>
    <mergeCell ref="K25:K27"/>
    <mergeCell ref="L25:L27"/>
    <mergeCell ref="P25:P27"/>
    <mergeCell ref="R13:R43"/>
    <mergeCell ref="S13:S16"/>
    <mergeCell ref="S25:S27"/>
    <mergeCell ref="S17:S20"/>
    <mergeCell ref="L13:L16"/>
    <mergeCell ref="M13:M16"/>
    <mergeCell ref="N13:N16"/>
    <mergeCell ref="O13:O16"/>
    <mergeCell ref="P13:P16"/>
    <mergeCell ref="Q13:Q43"/>
    <mergeCell ref="M17:M20"/>
    <mergeCell ref="N17:N20"/>
    <mergeCell ref="O17:O20"/>
    <mergeCell ref="P17:P20"/>
    <mergeCell ref="M21:M24"/>
    <mergeCell ref="N21:N24"/>
    <mergeCell ref="O21:O24"/>
    <mergeCell ref="AB25:AB27"/>
    <mergeCell ref="AB28:AB31"/>
    <mergeCell ref="G21:G24"/>
    <mergeCell ref="H21:H24"/>
    <mergeCell ref="I21:I24"/>
    <mergeCell ref="J21:J24"/>
    <mergeCell ref="K21:K24"/>
    <mergeCell ref="L21:L24"/>
    <mergeCell ref="BR13:BR43"/>
    <mergeCell ref="AN13:AN43"/>
    <mergeCell ref="AO13:AO43"/>
    <mergeCell ref="AP13:AP43"/>
    <mergeCell ref="AQ13:AQ43"/>
    <mergeCell ref="AR13:AR43"/>
    <mergeCell ref="AS13:AS43"/>
    <mergeCell ref="AH13:AH43"/>
    <mergeCell ref="AI13:AI43"/>
    <mergeCell ref="AJ13:AJ43"/>
    <mergeCell ref="AK13:AK43"/>
    <mergeCell ref="AL13:AL43"/>
    <mergeCell ref="AM13:AM43"/>
    <mergeCell ref="AB13:AB16"/>
    <mergeCell ref="AC13:AC16"/>
    <mergeCell ref="AD13:AD43"/>
    <mergeCell ref="BS13:BS43"/>
    <mergeCell ref="BT13:BT43"/>
    <mergeCell ref="BE13:BE43"/>
    <mergeCell ref="AT13:AT43"/>
    <mergeCell ref="AU13:AU43"/>
    <mergeCell ref="AV13:AV43"/>
    <mergeCell ref="AW13:AW43"/>
    <mergeCell ref="AX13:AX43"/>
    <mergeCell ref="AY13:AY43"/>
    <mergeCell ref="BU13:BU43"/>
    <mergeCell ref="G17:G20"/>
    <mergeCell ref="H17:H20"/>
    <mergeCell ref="I17:I20"/>
    <mergeCell ref="J17:J20"/>
    <mergeCell ref="K17:K20"/>
    <mergeCell ref="L17:L20"/>
    <mergeCell ref="BL13:BL43"/>
    <mergeCell ref="BM13:BM43"/>
    <mergeCell ref="BN13:BN43"/>
    <mergeCell ref="BO13:BO43"/>
    <mergeCell ref="BP13:BP43"/>
    <mergeCell ref="BQ13:BQ43"/>
    <mergeCell ref="BF13:BF43"/>
    <mergeCell ref="BG13:BG43"/>
    <mergeCell ref="BH13:BH43"/>
    <mergeCell ref="BI13:BI43"/>
    <mergeCell ref="BJ13:BJ43"/>
    <mergeCell ref="BK13:BK43"/>
    <mergeCell ref="AZ13:AZ43"/>
    <mergeCell ref="BA13:BA43"/>
    <mergeCell ref="BB13:BB43"/>
    <mergeCell ref="BC13:BC43"/>
    <mergeCell ref="BD13:BD43"/>
    <mergeCell ref="M25:M27"/>
    <mergeCell ref="N25:N27"/>
    <mergeCell ref="O25:O27"/>
    <mergeCell ref="BP8:BP9"/>
    <mergeCell ref="B10:G10"/>
    <mergeCell ref="AD10:BH10"/>
    <mergeCell ref="A12:B43"/>
    <mergeCell ref="F12:S12"/>
    <mergeCell ref="G13:G16"/>
    <mergeCell ref="H13:H16"/>
    <mergeCell ref="I13:I16"/>
    <mergeCell ref="J13:J16"/>
    <mergeCell ref="K13:K16"/>
    <mergeCell ref="BF8:BG8"/>
    <mergeCell ref="BJ8:BJ9"/>
    <mergeCell ref="BK8:BK9"/>
    <mergeCell ref="BL8:BL9"/>
    <mergeCell ref="BM8:BM9"/>
    <mergeCell ref="BN8:BO8"/>
    <mergeCell ref="AT8:AU8"/>
    <mergeCell ref="AV8:AW8"/>
    <mergeCell ref="AX8:AY8"/>
    <mergeCell ref="AZ8:BA8"/>
    <mergeCell ref="BB8:BC8"/>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B7:BG7"/>
    <mergeCell ref="BH7:BI8"/>
    <mergeCell ref="AB8:AB9"/>
    <mergeCell ref="AC8:AC9"/>
    <mergeCell ref="AD8:AE8"/>
    <mergeCell ref="AF8:AG8"/>
    <mergeCell ref="M8:M9"/>
    <mergeCell ref="N8:N9"/>
    <mergeCell ref="O8:P8"/>
    <mergeCell ref="Q8:Q9"/>
    <mergeCell ref="R8:R9"/>
    <mergeCell ref="S8:S9"/>
    <mergeCell ref="AR8:AS8"/>
    <mergeCell ref="BD8:BE8"/>
    <mergeCell ref="AH8:AI8"/>
    <mergeCell ref="AJ8:AK8"/>
    <mergeCell ref="A1:BI4"/>
    <mergeCell ref="A5:O6"/>
    <mergeCell ref="Q5:BU5"/>
    <mergeCell ref="AD6:BF6"/>
    <mergeCell ref="A7:B7"/>
    <mergeCell ref="C7:D7"/>
    <mergeCell ref="E7:F7"/>
    <mergeCell ref="G7:J7"/>
    <mergeCell ref="K7:N7"/>
    <mergeCell ref="O7:Z7"/>
    <mergeCell ref="BJ7:BP7"/>
    <mergeCell ref="BQ7:BR8"/>
    <mergeCell ref="BS7:BT8"/>
    <mergeCell ref="BU7:BU8"/>
    <mergeCell ref="A8:A9"/>
    <mergeCell ref="B8:B9"/>
    <mergeCell ref="C8:C9"/>
    <mergeCell ref="D8:D9"/>
    <mergeCell ref="E8:E9"/>
    <mergeCell ref="F8:F9"/>
    <mergeCell ref="AA7:AC7"/>
    <mergeCell ref="AD7:AG7"/>
    <mergeCell ref="AH7:AO7"/>
    <mergeCell ref="AP7:BA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tabColor rgb="FF002060"/>
  </sheetPr>
  <dimension ref="A1:CO212"/>
  <sheetViews>
    <sheetView showGridLines="0" topLeftCell="K86" zoomScale="70" zoomScaleNormal="70" workbookViewId="0">
      <selection activeCell="O88" sqref="O88:O94"/>
    </sheetView>
  </sheetViews>
  <sheetFormatPr baseColWidth="10" defaultColWidth="9.140625" defaultRowHeight="27" customHeight="1" x14ac:dyDescent="0.25"/>
  <cols>
    <col min="1" max="1" width="13.5703125" style="12" customWidth="1"/>
    <col min="2" max="2" width="13.5703125" style="1" customWidth="1"/>
    <col min="3" max="4" width="14" style="1" customWidth="1"/>
    <col min="5" max="6" width="15.140625" style="1" customWidth="1"/>
    <col min="7" max="7" width="16.140625" style="1" customWidth="1"/>
    <col min="8" max="8" width="21.85546875" style="4" customWidth="1"/>
    <col min="9" max="9" width="20.42578125" style="4" customWidth="1"/>
    <col min="10" max="10" width="23.85546875" style="4" customWidth="1"/>
    <col min="11" max="11" width="17.28515625" style="4" customWidth="1"/>
    <col min="12" max="12" width="26.28515625" style="4" customWidth="1"/>
    <col min="13" max="13" width="23.85546875" style="4" customWidth="1"/>
    <col min="14" max="14" width="23.42578125" style="4" customWidth="1"/>
    <col min="15" max="15" width="23.85546875" style="4" customWidth="1"/>
    <col min="16" max="16" width="21.140625" style="4" customWidth="1"/>
    <col min="17" max="17" width="28.42578125" style="4" customWidth="1"/>
    <col min="18" max="18" width="30.85546875" style="4" customWidth="1"/>
    <col min="19" max="19" width="21.5703125" style="9" customWidth="1"/>
    <col min="20" max="20" width="29.28515625" style="6" customWidth="1"/>
    <col min="21" max="21" width="41" style="4" customWidth="1"/>
    <col min="22" max="22" width="37.28515625" style="4" customWidth="1"/>
    <col min="23" max="23" width="48.85546875" style="4" customWidth="1"/>
    <col min="24" max="24" width="31.7109375" style="6" customWidth="1"/>
    <col min="25" max="25" width="29.140625" style="6" customWidth="1"/>
    <col min="26" max="26" width="28.28515625" style="6" customWidth="1"/>
    <col min="27" max="27" width="58.7109375" style="6" customWidth="1"/>
    <col min="28" max="28" width="16" style="5" customWidth="1"/>
    <col min="29" max="29" width="28.5703125" style="4" customWidth="1"/>
    <col min="30" max="59" width="11.28515625" style="1" customWidth="1"/>
    <col min="60" max="60" width="10.28515625" style="1" customWidth="1"/>
    <col min="61" max="61" width="12.42578125" style="1" customWidth="1"/>
    <col min="62" max="62" width="17.28515625" style="1" bestFit="1" customWidth="1"/>
    <col min="63" max="63" width="31.42578125" style="1" customWidth="1"/>
    <col min="64" max="64" width="31.85546875" style="1" customWidth="1"/>
    <col min="65" max="67" width="19.28515625" style="1" customWidth="1"/>
    <col min="68" max="68" width="24" style="1" customWidth="1"/>
    <col min="69" max="72" width="17.28515625" style="2" customWidth="1"/>
    <col min="73" max="73" width="26.85546875" style="1" customWidth="1"/>
    <col min="74" max="16384" width="9.140625" style="1"/>
  </cols>
  <sheetData>
    <row r="1" spans="1:93" ht="22.5" customHeight="1" x14ac:dyDescent="0.25">
      <c r="A1" s="2632" t="s">
        <v>1175</v>
      </c>
      <c r="B1" s="2632"/>
      <c r="C1" s="2632"/>
      <c r="D1" s="2632"/>
      <c r="E1" s="2632"/>
      <c r="F1" s="2632"/>
      <c r="G1" s="2632"/>
      <c r="H1" s="2632"/>
      <c r="I1" s="2632"/>
      <c r="J1" s="2632"/>
      <c r="K1" s="2632"/>
      <c r="L1" s="2632"/>
      <c r="M1" s="2632"/>
      <c r="N1" s="2632"/>
      <c r="O1" s="2632"/>
      <c r="P1" s="2632"/>
      <c r="Q1" s="2632"/>
      <c r="R1" s="2632"/>
      <c r="S1" s="2632"/>
      <c r="T1" s="2632"/>
      <c r="U1" s="2632"/>
      <c r="V1" s="2632"/>
      <c r="W1" s="2632"/>
      <c r="X1" s="2632"/>
      <c r="Y1" s="2632"/>
      <c r="Z1" s="2632"/>
      <c r="AA1" s="2632"/>
      <c r="AB1" s="2632"/>
      <c r="AC1" s="2632"/>
      <c r="AD1" s="2632"/>
      <c r="AE1" s="2632"/>
      <c r="AF1" s="2632"/>
      <c r="AG1" s="2632"/>
      <c r="AH1" s="2632"/>
      <c r="AI1" s="2632"/>
      <c r="AJ1" s="2632"/>
      <c r="AK1" s="2632"/>
      <c r="AL1" s="2632"/>
      <c r="AM1" s="2632"/>
      <c r="AN1" s="2632"/>
      <c r="AO1" s="2632"/>
      <c r="AP1" s="2632"/>
      <c r="AQ1" s="2632"/>
      <c r="AR1" s="2632"/>
      <c r="AS1" s="2632"/>
      <c r="AT1" s="2632"/>
      <c r="AU1" s="2632"/>
      <c r="AV1" s="2632"/>
      <c r="AW1" s="2632"/>
      <c r="AX1" s="2632"/>
      <c r="AY1" s="2632"/>
      <c r="AZ1" s="2632"/>
      <c r="BA1" s="2632"/>
      <c r="BB1" s="2632"/>
      <c r="BC1" s="2632"/>
      <c r="BD1" s="2632"/>
      <c r="BE1" s="2632"/>
      <c r="BF1" s="2632"/>
      <c r="BG1" s="2632"/>
      <c r="BH1" s="2632"/>
      <c r="BI1" s="2632"/>
      <c r="BJ1" s="2632"/>
      <c r="BK1" s="2632"/>
      <c r="BL1" s="2632"/>
      <c r="BM1" s="2632"/>
      <c r="BN1" s="2632"/>
      <c r="BO1" s="2632"/>
      <c r="BP1" s="2632"/>
      <c r="BQ1" s="2632"/>
      <c r="BR1" s="2632"/>
      <c r="BS1" s="3087"/>
      <c r="BT1" s="675" t="s">
        <v>138</v>
      </c>
      <c r="BU1" s="675" t="s">
        <v>137</v>
      </c>
      <c r="BV1" s="4"/>
      <c r="BW1" s="4"/>
      <c r="BX1" s="4"/>
      <c r="BY1" s="4"/>
      <c r="BZ1" s="4"/>
      <c r="CA1" s="4"/>
      <c r="CB1" s="4"/>
      <c r="CC1" s="4"/>
      <c r="CD1" s="4"/>
      <c r="CE1" s="4"/>
      <c r="CF1" s="4"/>
      <c r="CG1" s="4"/>
      <c r="CH1" s="4"/>
      <c r="CI1" s="4"/>
      <c r="CJ1" s="4"/>
      <c r="CK1" s="4"/>
      <c r="CL1" s="4"/>
      <c r="CM1" s="4"/>
      <c r="CN1" s="4"/>
      <c r="CO1" s="4"/>
    </row>
    <row r="2" spans="1:93" ht="27" customHeight="1" x14ac:dyDescent="0.25">
      <c r="A2" s="2632"/>
      <c r="B2" s="2632"/>
      <c r="C2" s="2632"/>
      <c r="D2" s="2632"/>
      <c r="E2" s="2632"/>
      <c r="F2" s="2632"/>
      <c r="G2" s="2632"/>
      <c r="H2" s="2632"/>
      <c r="I2" s="2632"/>
      <c r="J2" s="2632"/>
      <c r="K2" s="2632"/>
      <c r="L2" s="2632"/>
      <c r="M2" s="2632"/>
      <c r="N2" s="2632"/>
      <c r="O2" s="2632"/>
      <c r="P2" s="2632"/>
      <c r="Q2" s="2632"/>
      <c r="R2" s="2632"/>
      <c r="S2" s="2632"/>
      <c r="T2" s="2632"/>
      <c r="U2" s="2632"/>
      <c r="V2" s="2632"/>
      <c r="W2" s="2632"/>
      <c r="X2" s="2632"/>
      <c r="Y2" s="2632"/>
      <c r="Z2" s="2632"/>
      <c r="AA2" s="2632"/>
      <c r="AB2" s="2632"/>
      <c r="AC2" s="2632"/>
      <c r="AD2" s="2632"/>
      <c r="AE2" s="2632"/>
      <c r="AF2" s="2632"/>
      <c r="AG2" s="2632"/>
      <c r="AH2" s="2632"/>
      <c r="AI2" s="2632"/>
      <c r="AJ2" s="2632"/>
      <c r="AK2" s="2632"/>
      <c r="AL2" s="2632"/>
      <c r="AM2" s="2632"/>
      <c r="AN2" s="2632"/>
      <c r="AO2" s="2632"/>
      <c r="AP2" s="2632"/>
      <c r="AQ2" s="2632"/>
      <c r="AR2" s="2632"/>
      <c r="AS2" s="2632"/>
      <c r="AT2" s="2632"/>
      <c r="AU2" s="2632"/>
      <c r="AV2" s="2632"/>
      <c r="AW2" s="2632"/>
      <c r="AX2" s="2632"/>
      <c r="AY2" s="2632"/>
      <c r="AZ2" s="2632"/>
      <c r="BA2" s="2632"/>
      <c r="BB2" s="2632"/>
      <c r="BC2" s="2632"/>
      <c r="BD2" s="2632"/>
      <c r="BE2" s="2632"/>
      <c r="BF2" s="2632"/>
      <c r="BG2" s="2632"/>
      <c r="BH2" s="2632"/>
      <c r="BI2" s="2632"/>
      <c r="BJ2" s="2632"/>
      <c r="BK2" s="2632"/>
      <c r="BL2" s="2632"/>
      <c r="BM2" s="2632"/>
      <c r="BN2" s="2632"/>
      <c r="BO2" s="2632"/>
      <c r="BP2" s="2632"/>
      <c r="BQ2" s="2632"/>
      <c r="BR2" s="2632"/>
      <c r="BS2" s="3087"/>
      <c r="BT2" s="675" t="s">
        <v>136</v>
      </c>
      <c r="BU2" s="911" t="s">
        <v>1176</v>
      </c>
      <c r="BV2" s="4"/>
      <c r="BW2" s="4"/>
      <c r="BX2" s="4"/>
      <c r="BY2" s="4"/>
      <c r="BZ2" s="4"/>
      <c r="CA2" s="4"/>
      <c r="CB2" s="4"/>
      <c r="CC2" s="4"/>
      <c r="CD2" s="4"/>
      <c r="CE2" s="4"/>
      <c r="CF2" s="4"/>
      <c r="CG2" s="4"/>
      <c r="CH2" s="4"/>
      <c r="CI2" s="4"/>
      <c r="CJ2" s="4"/>
      <c r="CK2" s="4"/>
      <c r="CL2" s="4"/>
      <c r="CM2" s="4"/>
      <c r="CN2" s="4"/>
      <c r="CO2" s="4"/>
    </row>
    <row r="3" spans="1:93" ht="22.5" customHeight="1" x14ac:dyDescent="0.25">
      <c r="A3" s="2632"/>
      <c r="B3" s="2632"/>
      <c r="C3" s="2632"/>
      <c r="D3" s="2632"/>
      <c r="E3" s="2632"/>
      <c r="F3" s="2632"/>
      <c r="G3" s="2632"/>
      <c r="H3" s="2632"/>
      <c r="I3" s="2632"/>
      <c r="J3" s="2632"/>
      <c r="K3" s="2632"/>
      <c r="L3" s="2632"/>
      <c r="M3" s="2632"/>
      <c r="N3" s="2632"/>
      <c r="O3" s="2632"/>
      <c r="P3" s="2632"/>
      <c r="Q3" s="2632"/>
      <c r="R3" s="2632"/>
      <c r="S3" s="2632"/>
      <c r="T3" s="2632"/>
      <c r="U3" s="2632"/>
      <c r="V3" s="2632"/>
      <c r="W3" s="2632"/>
      <c r="X3" s="2632"/>
      <c r="Y3" s="2632"/>
      <c r="Z3" s="2632"/>
      <c r="AA3" s="2632"/>
      <c r="AB3" s="2632"/>
      <c r="AC3" s="2632"/>
      <c r="AD3" s="2632"/>
      <c r="AE3" s="2632"/>
      <c r="AF3" s="2632"/>
      <c r="AG3" s="2632"/>
      <c r="AH3" s="2632"/>
      <c r="AI3" s="2632"/>
      <c r="AJ3" s="2632"/>
      <c r="AK3" s="2632"/>
      <c r="AL3" s="2632"/>
      <c r="AM3" s="2632"/>
      <c r="AN3" s="2632"/>
      <c r="AO3" s="2632"/>
      <c r="AP3" s="2632"/>
      <c r="AQ3" s="2632"/>
      <c r="AR3" s="2632"/>
      <c r="AS3" s="2632"/>
      <c r="AT3" s="2632"/>
      <c r="AU3" s="2632"/>
      <c r="AV3" s="2632"/>
      <c r="AW3" s="2632"/>
      <c r="AX3" s="2632"/>
      <c r="AY3" s="2632"/>
      <c r="AZ3" s="2632"/>
      <c r="BA3" s="2632"/>
      <c r="BB3" s="2632"/>
      <c r="BC3" s="2632"/>
      <c r="BD3" s="2632"/>
      <c r="BE3" s="2632"/>
      <c r="BF3" s="2632"/>
      <c r="BG3" s="2632"/>
      <c r="BH3" s="2632"/>
      <c r="BI3" s="2632"/>
      <c r="BJ3" s="2632"/>
      <c r="BK3" s="2632"/>
      <c r="BL3" s="2632"/>
      <c r="BM3" s="2632"/>
      <c r="BN3" s="2632"/>
      <c r="BO3" s="2632"/>
      <c r="BP3" s="2632"/>
      <c r="BQ3" s="2632"/>
      <c r="BR3" s="2632"/>
      <c r="BS3" s="3087"/>
      <c r="BT3" s="675" t="s">
        <v>134</v>
      </c>
      <c r="BU3" s="912">
        <v>44266</v>
      </c>
      <c r="BV3" s="4"/>
      <c r="BW3" s="4"/>
      <c r="BX3" s="4"/>
      <c r="BY3" s="4"/>
      <c r="BZ3" s="4"/>
      <c r="CA3" s="4"/>
      <c r="CB3" s="4"/>
      <c r="CC3" s="4"/>
      <c r="CD3" s="4"/>
      <c r="CE3" s="4"/>
      <c r="CF3" s="4"/>
      <c r="CG3" s="4"/>
      <c r="CH3" s="4"/>
      <c r="CI3" s="4"/>
      <c r="CJ3" s="4"/>
      <c r="CK3" s="4"/>
      <c r="CL3" s="4"/>
      <c r="CM3" s="4"/>
      <c r="CN3" s="4"/>
      <c r="CO3" s="4"/>
    </row>
    <row r="4" spans="1:93" ht="24.75" customHeight="1" x14ac:dyDescent="0.25">
      <c r="A4" s="4062"/>
      <c r="B4" s="4062"/>
      <c r="C4" s="4062"/>
      <c r="D4" s="4062"/>
      <c r="E4" s="4062"/>
      <c r="F4" s="4062"/>
      <c r="G4" s="4062"/>
      <c r="H4" s="4062"/>
      <c r="I4" s="4062"/>
      <c r="J4" s="4062"/>
      <c r="K4" s="4062"/>
      <c r="L4" s="4062"/>
      <c r="M4" s="4062"/>
      <c r="N4" s="4062"/>
      <c r="O4" s="4062"/>
      <c r="P4" s="4062"/>
      <c r="Q4" s="4062"/>
      <c r="R4" s="4062"/>
      <c r="S4" s="4062"/>
      <c r="T4" s="4062"/>
      <c r="U4" s="4062"/>
      <c r="V4" s="4062"/>
      <c r="W4" s="4062"/>
      <c r="X4" s="4062"/>
      <c r="Y4" s="4062"/>
      <c r="Z4" s="4062"/>
      <c r="AA4" s="4062"/>
      <c r="AB4" s="4062"/>
      <c r="AC4" s="4062"/>
      <c r="AD4" s="4062"/>
      <c r="AE4" s="4062"/>
      <c r="AF4" s="4062"/>
      <c r="AG4" s="4062"/>
      <c r="AH4" s="4062"/>
      <c r="AI4" s="4062"/>
      <c r="AJ4" s="4062"/>
      <c r="AK4" s="4062"/>
      <c r="AL4" s="4062"/>
      <c r="AM4" s="4062"/>
      <c r="AN4" s="4062"/>
      <c r="AO4" s="4062"/>
      <c r="AP4" s="4062"/>
      <c r="AQ4" s="4062"/>
      <c r="AR4" s="4062"/>
      <c r="AS4" s="4062"/>
      <c r="AT4" s="4062"/>
      <c r="AU4" s="4062"/>
      <c r="AV4" s="4062"/>
      <c r="AW4" s="4062"/>
      <c r="AX4" s="4062"/>
      <c r="AY4" s="4062"/>
      <c r="AZ4" s="4062"/>
      <c r="BA4" s="4062"/>
      <c r="BB4" s="4062"/>
      <c r="BC4" s="4062"/>
      <c r="BD4" s="4062"/>
      <c r="BE4" s="4062"/>
      <c r="BF4" s="4062"/>
      <c r="BG4" s="4062"/>
      <c r="BH4" s="4062"/>
      <c r="BI4" s="4062"/>
      <c r="BJ4" s="4062"/>
      <c r="BK4" s="4062"/>
      <c r="BL4" s="4062"/>
      <c r="BM4" s="4062"/>
      <c r="BN4" s="4062"/>
      <c r="BO4" s="4062"/>
      <c r="BP4" s="4062"/>
      <c r="BQ4" s="4062"/>
      <c r="BR4" s="4062"/>
      <c r="BS4" s="3088"/>
      <c r="BT4" s="675" t="s">
        <v>133</v>
      </c>
      <c r="BU4" s="913" t="s">
        <v>132</v>
      </c>
      <c r="BV4" s="4"/>
      <c r="BW4" s="4"/>
      <c r="BX4" s="4"/>
      <c r="BY4" s="4"/>
      <c r="BZ4" s="4"/>
      <c r="CA4" s="4"/>
      <c r="CB4" s="4"/>
      <c r="CC4" s="4"/>
      <c r="CD4" s="4"/>
      <c r="CE4" s="4"/>
      <c r="CF4" s="4"/>
      <c r="CG4" s="4"/>
      <c r="CH4" s="4"/>
      <c r="CI4" s="4"/>
      <c r="CJ4" s="4"/>
      <c r="CK4" s="4"/>
      <c r="CL4" s="4"/>
      <c r="CM4" s="4"/>
      <c r="CN4" s="4"/>
      <c r="CO4" s="4"/>
    </row>
    <row r="5" spans="1:93" ht="22.5" customHeight="1" x14ac:dyDescent="0.25">
      <c r="A5" s="2633" t="s">
        <v>141</v>
      </c>
      <c r="B5" s="2606"/>
      <c r="C5" s="2606"/>
      <c r="D5" s="2606"/>
      <c r="E5" s="2606"/>
      <c r="F5" s="2606"/>
      <c r="G5" s="2606"/>
      <c r="H5" s="2606"/>
      <c r="I5" s="2606"/>
      <c r="J5" s="2606"/>
      <c r="K5" s="2606"/>
      <c r="L5" s="2606"/>
      <c r="M5" s="2606"/>
      <c r="N5" s="2606"/>
      <c r="O5" s="2606"/>
      <c r="P5" s="2606"/>
      <c r="Q5" s="2606"/>
      <c r="R5" s="2606"/>
      <c r="S5" s="2606"/>
      <c r="T5" s="2606"/>
      <c r="U5" s="2606"/>
      <c r="V5" s="2606"/>
      <c r="W5" s="2606"/>
      <c r="X5" s="2606"/>
      <c r="Y5" s="2606"/>
      <c r="Z5" s="2606"/>
      <c r="AA5" s="2606"/>
      <c r="AB5" s="2606"/>
      <c r="AC5" s="2606"/>
      <c r="AD5" s="2606"/>
      <c r="AE5" s="2606"/>
      <c r="AF5" s="2606"/>
      <c r="AG5" s="2606"/>
      <c r="AH5" s="2606"/>
      <c r="AI5" s="2606"/>
      <c r="AJ5" s="2606"/>
      <c r="AK5" s="2606"/>
      <c r="AL5" s="2606"/>
      <c r="AM5" s="2606"/>
      <c r="AN5" s="2606"/>
      <c r="AO5" s="2606"/>
      <c r="AP5" s="2606"/>
      <c r="AQ5" s="2606"/>
      <c r="AR5" s="2606"/>
      <c r="AS5" s="2606"/>
      <c r="AT5" s="2606"/>
      <c r="AU5" s="2606"/>
      <c r="AV5" s="2606"/>
      <c r="AW5" s="2606"/>
      <c r="AX5" s="2606"/>
      <c r="AY5" s="2606"/>
      <c r="AZ5" s="2606"/>
      <c r="BA5" s="2606"/>
      <c r="BB5" s="2606"/>
      <c r="BC5" s="2606"/>
      <c r="BD5" s="2606"/>
      <c r="BE5" s="2606"/>
      <c r="BF5" s="2606"/>
      <c r="BG5" s="2606"/>
      <c r="BH5" s="2606"/>
      <c r="BI5" s="2606"/>
      <c r="BJ5" s="2606"/>
      <c r="BK5" s="2606"/>
      <c r="BL5" s="2606"/>
      <c r="BM5" s="2606"/>
      <c r="BN5" s="2606"/>
      <c r="BO5" s="2606"/>
      <c r="BP5" s="2606"/>
      <c r="BQ5" s="2606"/>
      <c r="BR5" s="2606"/>
      <c r="BS5" s="2606"/>
      <c r="BT5" s="2606"/>
      <c r="BU5" s="2634"/>
      <c r="BV5" s="4"/>
      <c r="BW5" s="4"/>
      <c r="BX5" s="4"/>
      <c r="BY5" s="4"/>
      <c r="BZ5" s="4"/>
      <c r="CA5" s="4"/>
      <c r="CB5" s="4"/>
      <c r="CC5" s="4"/>
      <c r="CD5" s="4"/>
      <c r="CE5" s="4"/>
      <c r="CF5" s="4"/>
      <c r="CG5" s="4"/>
      <c r="CH5" s="4"/>
      <c r="CI5" s="4"/>
      <c r="CJ5" s="4"/>
      <c r="CK5" s="4"/>
      <c r="CL5" s="4"/>
      <c r="CM5" s="4"/>
      <c r="CN5" s="4"/>
      <c r="CO5" s="4"/>
    </row>
    <row r="6" spans="1:93" ht="18.75" customHeight="1" x14ac:dyDescent="0.25">
      <c r="A6" s="2609"/>
      <c r="B6" s="2607"/>
      <c r="C6" s="2607"/>
      <c r="D6" s="2607"/>
      <c r="E6" s="2607"/>
      <c r="F6" s="2607"/>
      <c r="G6" s="2607"/>
      <c r="H6" s="2607"/>
      <c r="I6" s="2607"/>
      <c r="J6" s="2607"/>
      <c r="K6" s="2607"/>
      <c r="L6" s="2607"/>
      <c r="M6" s="2607"/>
      <c r="N6" s="2607"/>
      <c r="O6" s="2607"/>
      <c r="P6" s="2607"/>
      <c r="Q6" s="2607"/>
      <c r="R6" s="2607"/>
      <c r="S6" s="2607"/>
      <c r="T6" s="2607"/>
      <c r="U6" s="2607"/>
      <c r="V6" s="2607"/>
      <c r="W6" s="2607"/>
      <c r="X6" s="2607"/>
      <c r="Y6" s="2607"/>
      <c r="Z6" s="2607"/>
      <c r="AA6" s="2607"/>
      <c r="AB6" s="2607"/>
      <c r="AC6" s="2607"/>
      <c r="AD6" s="2607"/>
      <c r="AE6" s="2607"/>
      <c r="AF6" s="2607"/>
      <c r="AG6" s="2607"/>
      <c r="AH6" s="2607"/>
      <c r="AI6" s="2607"/>
      <c r="AJ6" s="2607"/>
      <c r="AK6" s="2607"/>
      <c r="AL6" s="2607"/>
      <c r="AM6" s="2607"/>
      <c r="AN6" s="2607"/>
      <c r="AO6" s="2607"/>
      <c r="AP6" s="2607"/>
      <c r="AQ6" s="2607"/>
      <c r="AR6" s="2607"/>
      <c r="AS6" s="2607"/>
      <c r="AT6" s="2607"/>
      <c r="AU6" s="2607"/>
      <c r="AV6" s="2607"/>
      <c r="AW6" s="2607"/>
      <c r="AX6" s="2607"/>
      <c r="AY6" s="2607"/>
      <c r="AZ6" s="2607"/>
      <c r="BA6" s="2607"/>
      <c r="BB6" s="2607"/>
      <c r="BC6" s="2607"/>
      <c r="BD6" s="2607"/>
      <c r="BE6" s="2607"/>
      <c r="BF6" s="2607"/>
      <c r="BG6" s="2607"/>
      <c r="BH6" s="2607"/>
      <c r="BI6" s="2607"/>
      <c r="BJ6" s="2607"/>
      <c r="BK6" s="2607"/>
      <c r="BL6" s="2607"/>
      <c r="BM6" s="2607"/>
      <c r="BN6" s="2607"/>
      <c r="BO6" s="2607"/>
      <c r="BP6" s="2607"/>
      <c r="BQ6" s="2607"/>
      <c r="BR6" s="2607"/>
      <c r="BS6" s="2607"/>
      <c r="BT6" s="2607"/>
      <c r="BU6" s="2603"/>
      <c r="BV6" s="4"/>
      <c r="BW6" s="4"/>
      <c r="BX6" s="4"/>
      <c r="BY6" s="4"/>
      <c r="BZ6" s="4"/>
      <c r="CA6" s="4"/>
      <c r="CB6" s="4"/>
      <c r="CC6" s="4"/>
      <c r="CD6" s="4"/>
      <c r="CE6" s="4"/>
      <c r="CF6" s="4"/>
      <c r="CG6" s="4"/>
      <c r="CH6" s="4"/>
      <c r="CI6" s="4"/>
      <c r="CJ6" s="4"/>
      <c r="CK6" s="4"/>
      <c r="CL6" s="4"/>
      <c r="CM6" s="4"/>
      <c r="CN6" s="4"/>
      <c r="CO6" s="4"/>
    </row>
    <row r="7" spans="1:93" ht="28.5" customHeight="1" x14ac:dyDescent="0.25">
      <c r="A7" s="4268" t="s">
        <v>129</v>
      </c>
      <c r="B7" s="2643"/>
      <c r="C7" s="2642" t="s">
        <v>128</v>
      </c>
      <c r="D7" s="4268"/>
      <c r="E7" s="4268" t="s">
        <v>127</v>
      </c>
      <c r="F7" s="2643"/>
      <c r="G7" s="4269" t="s">
        <v>126</v>
      </c>
      <c r="H7" s="4268"/>
      <c r="I7" s="4268"/>
      <c r="J7" s="4268"/>
      <c r="K7" s="2642" t="s">
        <v>125</v>
      </c>
      <c r="L7" s="4268"/>
      <c r="M7" s="4268"/>
      <c r="N7" s="4268"/>
      <c r="O7" s="4270" t="s">
        <v>1177</v>
      </c>
      <c r="P7" s="4270"/>
      <c r="Q7" s="3859"/>
      <c r="R7" s="3859"/>
      <c r="S7" s="3859"/>
      <c r="T7" s="3859"/>
      <c r="U7" s="3859"/>
      <c r="V7" s="3859"/>
      <c r="W7" s="3859"/>
      <c r="X7" s="3859"/>
      <c r="Y7" s="3859"/>
      <c r="Z7" s="3859"/>
      <c r="AA7" s="3598" t="s">
        <v>123</v>
      </c>
      <c r="AB7" s="3598"/>
      <c r="AC7" s="2641"/>
      <c r="AD7" s="2611" t="s">
        <v>122</v>
      </c>
      <c r="AE7" s="2612"/>
      <c r="AF7" s="2612"/>
      <c r="AG7" s="2613"/>
      <c r="AH7" s="2614" t="s">
        <v>121</v>
      </c>
      <c r="AI7" s="2615"/>
      <c r="AJ7" s="2615"/>
      <c r="AK7" s="2615"/>
      <c r="AL7" s="2615"/>
      <c r="AM7" s="2615"/>
      <c r="AN7" s="2615"/>
      <c r="AO7" s="2616"/>
      <c r="AP7" s="2660" t="s">
        <v>120</v>
      </c>
      <c r="AQ7" s="2661"/>
      <c r="AR7" s="2661"/>
      <c r="AS7" s="2661"/>
      <c r="AT7" s="2661"/>
      <c r="AU7" s="2661"/>
      <c r="AV7" s="2661"/>
      <c r="AW7" s="2661"/>
      <c r="AX7" s="2661"/>
      <c r="AY7" s="2661"/>
      <c r="AZ7" s="2661"/>
      <c r="BA7" s="2662"/>
      <c r="BB7" s="2663" t="s">
        <v>119</v>
      </c>
      <c r="BC7" s="2664"/>
      <c r="BD7" s="2664"/>
      <c r="BE7" s="2664"/>
      <c r="BF7" s="2664"/>
      <c r="BG7" s="2665"/>
      <c r="BH7" s="2644" t="s">
        <v>118</v>
      </c>
      <c r="BI7" s="2645"/>
      <c r="BJ7" s="3599" t="s">
        <v>117</v>
      </c>
      <c r="BK7" s="3600"/>
      <c r="BL7" s="3600"/>
      <c r="BM7" s="3600"/>
      <c r="BN7" s="3600"/>
      <c r="BO7" s="3600"/>
      <c r="BP7" s="3601"/>
      <c r="BQ7" s="4281" t="s">
        <v>1178</v>
      </c>
      <c r="BR7" s="4274"/>
      <c r="BS7" s="4273" t="s">
        <v>263</v>
      </c>
      <c r="BT7" s="4274"/>
      <c r="BU7" s="2629" t="s">
        <v>114</v>
      </c>
      <c r="BV7" s="4"/>
      <c r="BW7" s="4"/>
      <c r="BX7" s="4"/>
      <c r="BY7" s="4"/>
      <c r="BZ7" s="4"/>
      <c r="CA7" s="4"/>
      <c r="CB7" s="4"/>
      <c r="CC7" s="4"/>
      <c r="CD7" s="4"/>
      <c r="CE7" s="4"/>
      <c r="CF7" s="4"/>
      <c r="CG7" s="4"/>
      <c r="CH7" s="4"/>
      <c r="CI7" s="4"/>
      <c r="CJ7" s="4"/>
      <c r="CK7" s="4"/>
      <c r="CL7" s="4"/>
      <c r="CM7" s="4"/>
      <c r="CN7" s="4"/>
      <c r="CO7" s="4"/>
    </row>
    <row r="8" spans="1:93" ht="78.75" customHeight="1" x14ac:dyDescent="0.25">
      <c r="A8" s="4277" t="s">
        <v>71</v>
      </c>
      <c r="B8" s="4271" t="s">
        <v>747</v>
      </c>
      <c r="C8" s="4271" t="s">
        <v>71</v>
      </c>
      <c r="D8" s="4271" t="s">
        <v>70</v>
      </c>
      <c r="E8" s="4271" t="s">
        <v>71</v>
      </c>
      <c r="F8" s="4271" t="s">
        <v>747</v>
      </c>
      <c r="G8" s="4271" t="s">
        <v>110</v>
      </c>
      <c r="H8" s="4271" t="s">
        <v>113</v>
      </c>
      <c r="I8" s="4271" t="s">
        <v>112</v>
      </c>
      <c r="J8" s="4271" t="s">
        <v>142</v>
      </c>
      <c r="K8" s="4271" t="s">
        <v>110</v>
      </c>
      <c r="L8" s="4271" t="s">
        <v>109</v>
      </c>
      <c r="M8" s="4271" t="s">
        <v>108</v>
      </c>
      <c r="N8" s="4271" t="s">
        <v>107</v>
      </c>
      <c r="O8" s="4285" t="s">
        <v>1179</v>
      </c>
      <c r="P8" s="4287"/>
      <c r="Q8" s="4284" t="s">
        <v>105</v>
      </c>
      <c r="R8" s="4284" t="s">
        <v>104</v>
      </c>
      <c r="S8" s="4284" t="s">
        <v>1180</v>
      </c>
      <c r="T8" s="4284" t="s">
        <v>1181</v>
      </c>
      <c r="U8" s="4284" t="s">
        <v>101</v>
      </c>
      <c r="V8" s="4284" t="s">
        <v>100</v>
      </c>
      <c r="W8" s="4271" t="s">
        <v>99</v>
      </c>
      <c r="X8" s="4285" t="s">
        <v>1182</v>
      </c>
      <c r="Y8" s="4286"/>
      <c r="Z8" s="4287"/>
      <c r="AA8" s="4271" t="s">
        <v>266</v>
      </c>
      <c r="AB8" s="4271" t="s">
        <v>71</v>
      </c>
      <c r="AC8" s="4271" t="s">
        <v>70</v>
      </c>
      <c r="AD8" s="2620" t="s">
        <v>95</v>
      </c>
      <c r="AE8" s="2621"/>
      <c r="AF8" s="2597" t="s">
        <v>94</v>
      </c>
      <c r="AG8" s="2598"/>
      <c r="AH8" s="2620" t="s">
        <v>93</v>
      </c>
      <c r="AI8" s="2621"/>
      <c r="AJ8" s="2620" t="s">
        <v>1183</v>
      </c>
      <c r="AK8" s="2621"/>
      <c r="AL8" s="2620" t="s">
        <v>91</v>
      </c>
      <c r="AM8" s="2621"/>
      <c r="AN8" s="2620" t="s">
        <v>90</v>
      </c>
      <c r="AO8" s="2621"/>
      <c r="AP8" s="2620" t="s">
        <v>89</v>
      </c>
      <c r="AQ8" s="2621"/>
      <c r="AR8" s="2620" t="s">
        <v>88</v>
      </c>
      <c r="AS8" s="2621"/>
      <c r="AT8" s="2620" t="s">
        <v>87</v>
      </c>
      <c r="AU8" s="2621"/>
      <c r="AV8" s="2620" t="s">
        <v>86</v>
      </c>
      <c r="AW8" s="2621"/>
      <c r="AX8" s="2620" t="s">
        <v>85</v>
      </c>
      <c r="AY8" s="2621"/>
      <c r="AZ8" s="2620" t="s">
        <v>84</v>
      </c>
      <c r="BA8" s="2621"/>
      <c r="BB8" s="2620" t="s">
        <v>83</v>
      </c>
      <c r="BC8" s="2621"/>
      <c r="BD8" s="2620" t="s">
        <v>82</v>
      </c>
      <c r="BE8" s="2621"/>
      <c r="BF8" s="2885" t="s">
        <v>81</v>
      </c>
      <c r="BG8" s="2885"/>
      <c r="BH8" s="4279"/>
      <c r="BI8" s="4280"/>
      <c r="BJ8" s="2673" t="s">
        <v>80</v>
      </c>
      <c r="BK8" s="2673" t="s">
        <v>268</v>
      </c>
      <c r="BL8" s="2588" t="s">
        <v>269</v>
      </c>
      <c r="BM8" s="2675" t="s">
        <v>77</v>
      </c>
      <c r="BN8" s="2586" t="s">
        <v>76</v>
      </c>
      <c r="BO8" s="2587"/>
      <c r="BP8" s="2588" t="s">
        <v>75</v>
      </c>
      <c r="BQ8" s="4282"/>
      <c r="BR8" s="4276"/>
      <c r="BS8" s="4275"/>
      <c r="BT8" s="4276"/>
      <c r="BU8" s="2630"/>
      <c r="BV8" s="4"/>
      <c r="BW8" s="4"/>
      <c r="BX8" s="4"/>
      <c r="BY8" s="4"/>
      <c r="BZ8" s="4"/>
      <c r="CA8" s="4"/>
      <c r="CB8" s="4"/>
      <c r="CC8" s="4"/>
      <c r="CD8" s="4"/>
      <c r="CE8" s="4"/>
      <c r="CF8" s="4"/>
      <c r="CG8" s="4"/>
      <c r="CH8" s="4"/>
      <c r="CI8" s="4"/>
      <c r="CJ8" s="4"/>
      <c r="CK8" s="4"/>
      <c r="CL8" s="4"/>
      <c r="CM8" s="4"/>
      <c r="CN8" s="4"/>
      <c r="CO8" s="4"/>
    </row>
    <row r="9" spans="1:93" ht="39" customHeight="1" x14ac:dyDescent="0.25">
      <c r="A9" s="4278"/>
      <c r="B9" s="4272"/>
      <c r="C9" s="4272"/>
      <c r="D9" s="4272"/>
      <c r="E9" s="4272"/>
      <c r="F9" s="4272"/>
      <c r="G9" s="4272"/>
      <c r="H9" s="4272"/>
      <c r="I9" s="4272"/>
      <c r="J9" s="4272"/>
      <c r="K9" s="4272"/>
      <c r="L9" s="4272"/>
      <c r="M9" s="4272"/>
      <c r="N9" s="4272"/>
      <c r="O9" s="319" t="s">
        <v>270</v>
      </c>
      <c r="P9" s="914" t="s">
        <v>271</v>
      </c>
      <c r="Q9" s="4272"/>
      <c r="R9" s="4272"/>
      <c r="S9" s="4272"/>
      <c r="T9" s="4272"/>
      <c r="U9" s="4272"/>
      <c r="V9" s="4272"/>
      <c r="W9" s="4272"/>
      <c r="X9" s="319" t="s">
        <v>74</v>
      </c>
      <c r="Y9" s="914" t="s">
        <v>73</v>
      </c>
      <c r="Z9" s="914" t="s">
        <v>72</v>
      </c>
      <c r="AA9" s="4272"/>
      <c r="AB9" s="4272"/>
      <c r="AC9" s="4272"/>
      <c r="AD9" s="319" t="s">
        <v>69</v>
      </c>
      <c r="AE9" s="320" t="s">
        <v>68</v>
      </c>
      <c r="AF9" s="320" t="s">
        <v>69</v>
      </c>
      <c r="AG9" s="320" t="s">
        <v>68</v>
      </c>
      <c r="AH9" s="320" t="s">
        <v>69</v>
      </c>
      <c r="AI9" s="320" t="s">
        <v>68</v>
      </c>
      <c r="AJ9" s="320" t="s">
        <v>69</v>
      </c>
      <c r="AK9" s="320" t="s">
        <v>68</v>
      </c>
      <c r="AL9" s="320" t="s">
        <v>69</v>
      </c>
      <c r="AM9" s="320" t="s">
        <v>68</v>
      </c>
      <c r="AN9" s="320" t="s">
        <v>69</v>
      </c>
      <c r="AO9" s="320" t="s">
        <v>68</v>
      </c>
      <c r="AP9" s="320" t="s">
        <v>69</v>
      </c>
      <c r="AQ9" s="320" t="s">
        <v>68</v>
      </c>
      <c r="AR9" s="320" t="s">
        <v>69</v>
      </c>
      <c r="AS9" s="320" t="s">
        <v>68</v>
      </c>
      <c r="AT9" s="320" t="s">
        <v>69</v>
      </c>
      <c r="AU9" s="320" t="s">
        <v>68</v>
      </c>
      <c r="AV9" s="320" t="s">
        <v>69</v>
      </c>
      <c r="AW9" s="320" t="s">
        <v>68</v>
      </c>
      <c r="AX9" s="320" t="s">
        <v>69</v>
      </c>
      <c r="AY9" s="320" t="s">
        <v>68</v>
      </c>
      <c r="AZ9" s="320" t="s">
        <v>69</v>
      </c>
      <c r="BA9" s="320" t="s">
        <v>68</v>
      </c>
      <c r="BB9" s="320" t="s">
        <v>69</v>
      </c>
      <c r="BC9" s="320" t="s">
        <v>68</v>
      </c>
      <c r="BD9" s="320" t="s">
        <v>69</v>
      </c>
      <c r="BE9" s="320" t="s">
        <v>68</v>
      </c>
      <c r="BF9" s="320" t="s">
        <v>69</v>
      </c>
      <c r="BG9" s="320" t="s">
        <v>68</v>
      </c>
      <c r="BH9" s="320" t="s">
        <v>69</v>
      </c>
      <c r="BI9" s="320" t="s">
        <v>68</v>
      </c>
      <c r="BJ9" s="2674"/>
      <c r="BK9" s="2674"/>
      <c r="BL9" s="2589"/>
      <c r="BM9" s="2676"/>
      <c r="BN9" s="130" t="s">
        <v>71</v>
      </c>
      <c r="BO9" s="677" t="s">
        <v>70</v>
      </c>
      <c r="BP9" s="2589"/>
      <c r="BQ9" s="321" t="s">
        <v>69</v>
      </c>
      <c r="BR9" s="322" t="s">
        <v>68</v>
      </c>
      <c r="BS9" s="322" t="s">
        <v>69</v>
      </c>
      <c r="BT9" s="322" t="s">
        <v>68</v>
      </c>
      <c r="BU9" s="2631"/>
      <c r="BV9" s="4"/>
      <c r="BW9" s="4"/>
      <c r="BX9" s="4"/>
      <c r="BY9" s="4"/>
      <c r="BZ9" s="4"/>
      <c r="CA9" s="4"/>
      <c r="CB9" s="4"/>
      <c r="CC9" s="4"/>
      <c r="CD9" s="4"/>
      <c r="CE9" s="4"/>
      <c r="CF9" s="4"/>
      <c r="CG9" s="4"/>
      <c r="CH9" s="4"/>
      <c r="CI9" s="4"/>
      <c r="CJ9" s="4"/>
      <c r="CK9" s="4"/>
      <c r="CL9" s="4"/>
      <c r="CM9" s="4"/>
      <c r="CN9" s="4"/>
      <c r="CO9" s="4"/>
    </row>
    <row r="10" spans="1:93" ht="27" customHeight="1" x14ac:dyDescent="0.25">
      <c r="A10" s="467">
        <v>1</v>
      </c>
      <c r="B10" s="4283" t="s">
        <v>1184</v>
      </c>
      <c r="C10" s="3863"/>
      <c r="D10" s="3863"/>
      <c r="E10" s="3863"/>
      <c r="F10" s="3863"/>
      <c r="G10" s="3863"/>
      <c r="H10" s="785"/>
      <c r="I10" s="785"/>
      <c r="J10" s="785"/>
      <c r="K10" s="785"/>
      <c r="L10" s="785"/>
      <c r="M10" s="785"/>
      <c r="N10" s="785"/>
      <c r="O10" s="785"/>
      <c r="P10" s="785"/>
      <c r="Q10" s="785"/>
      <c r="R10" s="785"/>
      <c r="S10" s="915"/>
      <c r="T10" s="916"/>
      <c r="U10" s="785"/>
      <c r="V10" s="785"/>
      <c r="W10" s="785"/>
      <c r="X10" s="916"/>
      <c r="Y10" s="916"/>
      <c r="Z10" s="916"/>
      <c r="AA10" s="785"/>
      <c r="AB10" s="784"/>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5"/>
      <c r="AY10" s="785"/>
      <c r="AZ10" s="785"/>
      <c r="BA10" s="785"/>
      <c r="BB10" s="785"/>
      <c r="BC10" s="785"/>
      <c r="BD10" s="785"/>
      <c r="BE10" s="785"/>
      <c r="BF10" s="785"/>
      <c r="BG10" s="785"/>
      <c r="BH10" s="785"/>
      <c r="BI10" s="785"/>
      <c r="BJ10" s="785"/>
      <c r="BK10" s="785"/>
      <c r="BL10" s="785"/>
      <c r="BM10" s="785"/>
      <c r="BN10" s="785"/>
      <c r="BO10" s="785"/>
      <c r="BP10" s="785"/>
      <c r="BQ10" s="786"/>
      <c r="BR10" s="786"/>
      <c r="BS10" s="786"/>
      <c r="BT10" s="786"/>
      <c r="BU10" s="787"/>
      <c r="BV10" s="4"/>
      <c r="BW10" s="4"/>
      <c r="BX10" s="4"/>
      <c r="BY10" s="4"/>
      <c r="BZ10" s="4"/>
      <c r="CA10" s="4"/>
      <c r="CB10" s="4"/>
      <c r="CC10" s="4"/>
      <c r="CD10" s="4"/>
      <c r="CE10" s="4"/>
      <c r="CF10" s="4"/>
      <c r="CG10" s="4"/>
      <c r="CH10" s="4"/>
      <c r="CI10" s="4"/>
      <c r="CJ10" s="4"/>
      <c r="CK10" s="4"/>
      <c r="CL10" s="4"/>
      <c r="CM10" s="4"/>
      <c r="CN10" s="4"/>
      <c r="CO10" s="4"/>
    </row>
    <row r="11" spans="1:93" ht="27" customHeight="1" x14ac:dyDescent="0.25">
      <c r="A11" s="849"/>
      <c r="B11" s="701"/>
      <c r="C11" s="115">
        <v>19</v>
      </c>
      <c r="D11" s="4292" t="s">
        <v>429</v>
      </c>
      <c r="E11" s="3028"/>
      <c r="F11" s="3028"/>
      <c r="G11" s="3028"/>
      <c r="H11" s="3028"/>
      <c r="I11" s="3028"/>
      <c r="J11" s="108"/>
      <c r="K11" s="108"/>
      <c r="L11" s="108"/>
      <c r="M11" s="328"/>
      <c r="N11" s="328"/>
      <c r="O11" s="328"/>
      <c r="P11" s="328"/>
      <c r="Q11" s="328"/>
      <c r="R11" s="328"/>
      <c r="S11" s="329"/>
      <c r="T11" s="330"/>
      <c r="U11" s="328"/>
      <c r="V11" s="328"/>
      <c r="W11" s="328"/>
      <c r="X11" s="330"/>
      <c r="Y11" s="330"/>
      <c r="Z11" s="330"/>
      <c r="AA11" s="328"/>
      <c r="AB11" s="332"/>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33"/>
      <c r="BR11" s="333"/>
      <c r="BS11" s="333"/>
      <c r="BT11" s="333"/>
      <c r="BU11" s="334"/>
    </row>
    <row r="12" spans="1:93" s="4" customFormat="1" ht="15.75" x14ac:dyDescent="0.25">
      <c r="A12" s="2909"/>
      <c r="B12" s="2910"/>
      <c r="C12" s="741"/>
      <c r="D12" s="744"/>
      <c r="E12" s="917">
        <v>1905</v>
      </c>
      <c r="F12" s="4288" t="s">
        <v>1185</v>
      </c>
      <c r="G12" s="4289"/>
      <c r="H12" s="4289"/>
      <c r="I12" s="4289"/>
      <c r="J12" s="4290"/>
      <c r="K12" s="4290"/>
      <c r="L12" s="4290"/>
      <c r="M12" s="918"/>
      <c r="N12" s="918"/>
      <c r="O12" s="918"/>
      <c r="P12" s="918"/>
      <c r="Q12" s="918"/>
      <c r="R12" s="918"/>
      <c r="S12" s="919"/>
      <c r="T12" s="920"/>
      <c r="U12" s="918"/>
      <c r="V12" s="918"/>
      <c r="W12" s="341"/>
      <c r="X12" s="340"/>
      <c r="Y12" s="340"/>
      <c r="Z12" s="340"/>
      <c r="AA12" s="918"/>
      <c r="AB12" s="921"/>
      <c r="AC12" s="918"/>
      <c r="AD12" s="918"/>
      <c r="AE12" s="918"/>
      <c r="AF12" s="918"/>
      <c r="AG12" s="918"/>
      <c r="AH12" s="918"/>
      <c r="AI12" s="918"/>
      <c r="AJ12" s="918"/>
      <c r="AK12" s="918"/>
      <c r="AL12" s="918"/>
      <c r="AM12" s="918"/>
      <c r="AN12" s="918"/>
      <c r="AO12" s="918"/>
      <c r="AP12" s="918"/>
      <c r="AQ12" s="918"/>
      <c r="AR12" s="918"/>
      <c r="AS12" s="918"/>
      <c r="AT12" s="918"/>
      <c r="AU12" s="918"/>
      <c r="AV12" s="918"/>
      <c r="AW12" s="918"/>
      <c r="AX12" s="918"/>
      <c r="AY12" s="918"/>
      <c r="AZ12" s="918"/>
      <c r="BA12" s="918"/>
      <c r="BB12" s="918"/>
      <c r="BC12" s="918"/>
      <c r="BD12" s="918"/>
      <c r="BE12" s="918"/>
      <c r="BF12" s="918"/>
      <c r="BG12" s="918"/>
      <c r="BH12" s="918"/>
      <c r="BI12" s="918"/>
      <c r="BJ12" s="918"/>
      <c r="BK12" s="918"/>
      <c r="BL12" s="918"/>
      <c r="BM12" s="918"/>
      <c r="BN12" s="918"/>
      <c r="BO12" s="918"/>
      <c r="BP12" s="918"/>
      <c r="BQ12" s="922"/>
      <c r="BR12" s="922"/>
      <c r="BS12" s="922"/>
      <c r="BT12" s="922"/>
      <c r="BU12" s="923"/>
    </row>
    <row r="13" spans="1:93" ht="65.25" customHeight="1" x14ac:dyDescent="0.25">
      <c r="A13" s="2909"/>
      <c r="B13" s="2910"/>
      <c r="C13" s="279"/>
      <c r="D13" s="280"/>
      <c r="E13" s="4291"/>
      <c r="F13" s="4291"/>
      <c r="G13" s="2697">
        <v>1905021</v>
      </c>
      <c r="H13" s="2514" t="s">
        <v>1186</v>
      </c>
      <c r="I13" s="2697">
        <v>1905021</v>
      </c>
      <c r="J13" s="2514" t="s">
        <v>1186</v>
      </c>
      <c r="K13" s="2697">
        <v>190502100</v>
      </c>
      <c r="L13" s="2514" t="s">
        <v>1187</v>
      </c>
      <c r="M13" s="2697">
        <v>190502100</v>
      </c>
      <c r="N13" s="2514" t="s">
        <v>1187</v>
      </c>
      <c r="O13" s="2697">
        <v>12</v>
      </c>
      <c r="P13" s="2697">
        <v>12</v>
      </c>
      <c r="Q13" s="2697" t="s">
        <v>1188</v>
      </c>
      <c r="R13" s="2514" t="s">
        <v>1189</v>
      </c>
      <c r="S13" s="4304">
        <f>SUM(X13:X15)/T13</f>
        <v>0.67874117647058818</v>
      </c>
      <c r="T13" s="4305">
        <f>SUM(X13:X19)</f>
        <v>170000000</v>
      </c>
      <c r="U13" s="4119" t="s">
        <v>1190</v>
      </c>
      <c r="V13" s="4306" t="s">
        <v>1191</v>
      </c>
      <c r="W13" s="924" t="s">
        <v>1192</v>
      </c>
      <c r="X13" s="417">
        <v>80386000</v>
      </c>
      <c r="Y13" s="750">
        <v>80386000</v>
      </c>
      <c r="Z13" s="750">
        <v>80386000</v>
      </c>
      <c r="AA13" s="533" t="s">
        <v>1193</v>
      </c>
      <c r="AB13" s="4308">
        <v>20</v>
      </c>
      <c r="AC13" s="2546" t="s">
        <v>422</v>
      </c>
      <c r="AD13" s="4311">
        <v>2360</v>
      </c>
      <c r="AE13" s="4310">
        <v>4013</v>
      </c>
      <c r="AF13" s="4312">
        <v>2360</v>
      </c>
      <c r="AG13" s="4310">
        <v>2424</v>
      </c>
      <c r="AH13" s="4311">
        <v>480</v>
      </c>
      <c r="AI13" s="4310">
        <v>1182</v>
      </c>
      <c r="AJ13" s="4309">
        <v>1400</v>
      </c>
      <c r="AK13" s="4310">
        <v>1493</v>
      </c>
      <c r="AL13" s="4311">
        <v>1440</v>
      </c>
      <c r="AM13" s="4310">
        <v>2883</v>
      </c>
      <c r="AN13" s="4309">
        <v>1200</v>
      </c>
      <c r="AO13" s="4310">
        <v>879</v>
      </c>
      <c r="AP13" s="4311">
        <v>50</v>
      </c>
      <c r="AQ13" s="4310">
        <v>244</v>
      </c>
      <c r="AR13" s="4309">
        <v>50</v>
      </c>
      <c r="AS13" s="4310">
        <v>60</v>
      </c>
      <c r="AT13" s="4311" t="s">
        <v>153</v>
      </c>
      <c r="AU13" s="4310">
        <v>2</v>
      </c>
      <c r="AV13" s="4309" t="s">
        <v>153</v>
      </c>
      <c r="AW13" s="4310">
        <v>3</v>
      </c>
      <c r="AX13" s="4311" t="s">
        <v>153</v>
      </c>
      <c r="AY13" s="4310"/>
      <c r="AZ13" s="4309" t="s">
        <v>153</v>
      </c>
      <c r="BA13" s="4310">
        <v>1</v>
      </c>
      <c r="BB13" s="4311">
        <v>50</v>
      </c>
      <c r="BC13" s="4310">
        <v>198</v>
      </c>
      <c r="BD13" s="4309">
        <v>50</v>
      </c>
      <c r="BE13" s="4310">
        <v>712</v>
      </c>
      <c r="BF13" s="4311" t="s">
        <v>153</v>
      </c>
      <c r="BG13" s="4310">
        <v>75</v>
      </c>
      <c r="BH13" s="3948">
        <f>SUM(AD13+AF13)</f>
        <v>4720</v>
      </c>
      <c r="BI13" s="4310">
        <f>SUM(AI13+AK13+AM13+AO13)</f>
        <v>6437</v>
      </c>
      <c r="BJ13" s="4310">
        <v>15</v>
      </c>
      <c r="BK13" s="4316">
        <f>SUM(Y13:Y19)</f>
        <v>165845884</v>
      </c>
      <c r="BL13" s="4316">
        <f>SUM(Z13:Z19)</f>
        <v>165845884</v>
      </c>
      <c r="BM13" s="4317">
        <f>BL13/BK13</f>
        <v>1</v>
      </c>
      <c r="BN13" s="4310">
        <v>20</v>
      </c>
      <c r="BO13" s="4310" t="s">
        <v>422</v>
      </c>
      <c r="BP13" s="4314" t="s">
        <v>1194</v>
      </c>
      <c r="BQ13" s="4315">
        <v>44197</v>
      </c>
      <c r="BR13" s="4315">
        <v>44245</v>
      </c>
      <c r="BS13" s="4313">
        <v>44561</v>
      </c>
      <c r="BT13" s="4313">
        <v>44551</v>
      </c>
      <c r="BU13" s="4314" t="s">
        <v>1194</v>
      </c>
    </row>
    <row r="14" spans="1:93" ht="65.25" customHeight="1" x14ac:dyDescent="0.25">
      <c r="A14" s="2909"/>
      <c r="B14" s="2910"/>
      <c r="C14" s="279"/>
      <c r="D14" s="280"/>
      <c r="E14" s="4291"/>
      <c r="F14" s="4291"/>
      <c r="G14" s="2697"/>
      <c r="H14" s="2514"/>
      <c r="I14" s="2697"/>
      <c r="J14" s="2514"/>
      <c r="K14" s="2697"/>
      <c r="L14" s="2514"/>
      <c r="M14" s="2697"/>
      <c r="N14" s="2514"/>
      <c r="O14" s="2697"/>
      <c r="P14" s="2697"/>
      <c r="Q14" s="2697"/>
      <c r="R14" s="2514"/>
      <c r="S14" s="4304"/>
      <c r="T14" s="4305"/>
      <c r="U14" s="4119"/>
      <c r="V14" s="4306"/>
      <c r="W14" s="924" t="s">
        <v>1195</v>
      </c>
      <c r="X14" s="417">
        <v>24345000</v>
      </c>
      <c r="Y14" s="750">
        <v>23644334</v>
      </c>
      <c r="Z14" s="750">
        <f>+Y14</f>
        <v>23644334</v>
      </c>
      <c r="AA14" s="533" t="s">
        <v>1193</v>
      </c>
      <c r="AB14" s="4308"/>
      <c r="AC14" s="2546"/>
      <c r="AD14" s="4311"/>
      <c r="AE14" s="4310"/>
      <c r="AF14" s="4312"/>
      <c r="AG14" s="4310"/>
      <c r="AH14" s="4311"/>
      <c r="AI14" s="4310"/>
      <c r="AJ14" s="4309"/>
      <c r="AK14" s="4310"/>
      <c r="AL14" s="4311"/>
      <c r="AM14" s="4310"/>
      <c r="AN14" s="4309"/>
      <c r="AO14" s="4310"/>
      <c r="AP14" s="4311"/>
      <c r="AQ14" s="4310"/>
      <c r="AR14" s="4309"/>
      <c r="AS14" s="4310"/>
      <c r="AT14" s="4311"/>
      <c r="AU14" s="4310"/>
      <c r="AV14" s="4309"/>
      <c r="AW14" s="4310"/>
      <c r="AX14" s="4311"/>
      <c r="AY14" s="4310"/>
      <c r="AZ14" s="4309"/>
      <c r="BA14" s="4310"/>
      <c r="BB14" s="4311"/>
      <c r="BC14" s="4310"/>
      <c r="BD14" s="4309"/>
      <c r="BE14" s="4310"/>
      <c r="BF14" s="4311"/>
      <c r="BG14" s="4310"/>
      <c r="BH14" s="3948"/>
      <c r="BI14" s="4310"/>
      <c r="BJ14" s="4310"/>
      <c r="BK14" s="4316"/>
      <c r="BL14" s="4316"/>
      <c r="BM14" s="4317"/>
      <c r="BN14" s="4310"/>
      <c r="BO14" s="4310"/>
      <c r="BP14" s="4314"/>
      <c r="BQ14" s="4315"/>
      <c r="BR14" s="4315"/>
      <c r="BS14" s="4313"/>
      <c r="BT14" s="4313"/>
      <c r="BU14" s="4314"/>
    </row>
    <row r="15" spans="1:93" ht="65.25" customHeight="1" x14ac:dyDescent="0.25">
      <c r="A15" s="2909"/>
      <c r="B15" s="2910"/>
      <c r="C15" s="279"/>
      <c r="D15" s="280"/>
      <c r="E15" s="4291"/>
      <c r="F15" s="4291"/>
      <c r="G15" s="2697"/>
      <c r="H15" s="2514"/>
      <c r="I15" s="2697"/>
      <c r="J15" s="2514"/>
      <c r="K15" s="2697"/>
      <c r="L15" s="2514"/>
      <c r="M15" s="2697"/>
      <c r="N15" s="2514"/>
      <c r="O15" s="2697"/>
      <c r="P15" s="2697"/>
      <c r="Q15" s="2697"/>
      <c r="R15" s="2514"/>
      <c r="S15" s="4304"/>
      <c r="T15" s="4305"/>
      <c r="U15" s="4119"/>
      <c r="V15" s="4306"/>
      <c r="W15" s="924" t="s">
        <v>1196</v>
      </c>
      <c r="X15" s="417">
        <v>10655000</v>
      </c>
      <c r="Y15" s="750">
        <v>10655000</v>
      </c>
      <c r="Z15" s="750">
        <v>10655000</v>
      </c>
      <c r="AA15" s="533" t="s">
        <v>1193</v>
      </c>
      <c r="AB15" s="4308"/>
      <c r="AC15" s="2546"/>
      <c r="AD15" s="4311"/>
      <c r="AE15" s="4310"/>
      <c r="AF15" s="4312"/>
      <c r="AG15" s="4310"/>
      <c r="AH15" s="4311"/>
      <c r="AI15" s="4310"/>
      <c r="AJ15" s="4309"/>
      <c r="AK15" s="4310"/>
      <c r="AL15" s="4311"/>
      <c r="AM15" s="4310"/>
      <c r="AN15" s="4309"/>
      <c r="AO15" s="4310"/>
      <c r="AP15" s="4311"/>
      <c r="AQ15" s="4310"/>
      <c r="AR15" s="4309"/>
      <c r="AS15" s="4310"/>
      <c r="AT15" s="4311"/>
      <c r="AU15" s="4310"/>
      <c r="AV15" s="4309"/>
      <c r="AW15" s="4310"/>
      <c r="AX15" s="4311"/>
      <c r="AY15" s="4310"/>
      <c r="AZ15" s="4309"/>
      <c r="BA15" s="4310"/>
      <c r="BB15" s="4311"/>
      <c r="BC15" s="4310"/>
      <c r="BD15" s="4309"/>
      <c r="BE15" s="4310"/>
      <c r="BF15" s="4311"/>
      <c r="BG15" s="4310"/>
      <c r="BH15" s="3948"/>
      <c r="BI15" s="4310"/>
      <c r="BJ15" s="4310"/>
      <c r="BK15" s="4316"/>
      <c r="BL15" s="4316"/>
      <c r="BM15" s="4317"/>
      <c r="BN15" s="4310"/>
      <c r="BO15" s="4310"/>
      <c r="BP15" s="4314"/>
      <c r="BQ15" s="4315"/>
      <c r="BR15" s="4315"/>
      <c r="BS15" s="4313"/>
      <c r="BT15" s="4313"/>
      <c r="BU15" s="4314"/>
    </row>
    <row r="16" spans="1:93" ht="65.25" customHeight="1" x14ac:dyDescent="0.25">
      <c r="A16" s="2909"/>
      <c r="B16" s="2910"/>
      <c r="C16" s="279"/>
      <c r="D16" s="280"/>
      <c r="E16" s="573"/>
      <c r="F16" s="573"/>
      <c r="G16" s="2697">
        <v>1905022</v>
      </c>
      <c r="H16" s="2514" t="s">
        <v>1197</v>
      </c>
      <c r="I16" s="2697">
        <v>1905022</v>
      </c>
      <c r="J16" s="2514" t="s">
        <v>1197</v>
      </c>
      <c r="K16" s="2697">
        <v>190502200</v>
      </c>
      <c r="L16" s="2514" t="s">
        <v>1198</v>
      </c>
      <c r="M16" s="2697">
        <v>190502200</v>
      </c>
      <c r="N16" s="2514" t="s">
        <v>1198</v>
      </c>
      <c r="O16" s="2697">
        <v>12</v>
      </c>
      <c r="P16" s="2697">
        <v>12</v>
      </c>
      <c r="Q16" s="2697"/>
      <c r="R16" s="2514"/>
      <c r="S16" s="3668">
        <f>SUM(X16:X19)/T13</f>
        <v>0.32125882352941176</v>
      </c>
      <c r="T16" s="4305"/>
      <c r="U16" s="4119"/>
      <c r="V16" s="4306"/>
      <c r="W16" s="925" t="s">
        <v>1199</v>
      </c>
      <c r="X16" s="417">
        <v>22540000</v>
      </c>
      <c r="Y16" s="750">
        <f>+X16</f>
        <v>22540000</v>
      </c>
      <c r="Z16" s="750">
        <f>+Y16</f>
        <v>22540000</v>
      </c>
      <c r="AA16" s="533" t="s">
        <v>1200</v>
      </c>
      <c r="AB16" s="4308"/>
      <c r="AC16" s="2546"/>
      <c r="AD16" s="4311"/>
      <c r="AE16" s="4310"/>
      <c r="AF16" s="4312"/>
      <c r="AG16" s="4310"/>
      <c r="AH16" s="4311"/>
      <c r="AI16" s="4310"/>
      <c r="AJ16" s="4309"/>
      <c r="AK16" s="4310"/>
      <c r="AL16" s="4311"/>
      <c r="AM16" s="4310"/>
      <c r="AN16" s="4309"/>
      <c r="AO16" s="4310"/>
      <c r="AP16" s="4311"/>
      <c r="AQ16" s="4310"/>
      <c r="AR16" s="4309"/>
      <c r="AS16" s="4310"/>
      <c r="AT16" s="4311"/>
      <c r="AU16" s="4310"/>
      <c r="AV16" s="4309"/>
      <c r="AW16" s="4310"/>
      <c r="AX16" s="4311"/>
      <c r="AY16" s="4310"/>
      <c r="AZ16" s="4309"/>
      <c r="BA16" s="4310"/>
      <c r="BB16" s="4311"/>
      <c r="BC16" s="4310"/>
      <c r="BD16" s="4309"/>
      <c r="BE16" s="4310"/>
      <c r="BF16" s="4311"/>
      <c r="BG16" s="4310"/>
      <c r="BH16" s="3948"/>
      <c r="BI16" s="4310"/>
      <c r="BJ16" s="4310"/>
      <c r="BK16" s="4316"/>
      <c r="BL16" s="4316"/>
      <c r="BM16" s="4317"/>
      <c r="BN16" s="4310"/>
      <c r="BO16" s="4310"/>
      <c r="BP16" s="4314"/>
      <c r="BQ16" s="4315"/>
      <c r="BR16" s="4315"/>
      <c r="BS16" s="4313"/>
      <c r="BT16" s="4313"/>
      <c r="BU16" s="4314"/>
    </row>
    <row r="17" spans="1:73" ht="65.25" customHeight="1" x14ac:dyDescent="0.25">
      <c r="A17" s="2909"/>
      <c r="B17" s="2910"/>
      <c r="C17" s="279"/>
      <c r="D17" s="280"/>
      <c r="E17" s="573"/>
      <c r="F17" s="573"/>
      <c r="G17" s="2697"/>
      <c r="H17" s="2514"/>
      <c r="I17" s="2697"/>
      <c r="J17" s="2514"/>
      <c r="K17" s="2697"/>
      <c r="L17" s="2514"/>
      <c r="M17" s="2697"/>
      <c r="N17" s="2514"/>
      <c r="O17" s="2697"/>
      <c r="P17" s="2697"/>
      <c r="Q17" s="2697"/>
      <c r="R17" s="2514"/>
      <c r="S17" s="3668"/>
      <c r="T17" s="4305"/>
      <c r="U17" s="4119"/>
      <c r="V17" s="4306"/>
      <c r="W17" s="925" t="s">
        <v>1201</v>
      </c>
      <c r="X17" s="417">
        <v>17774000</v>
      </c>
      <c r="Y17" s="750">
        <f>+X17</f>
        <v>17774000</v>
      </c>
      <c r="Z17" s="750">
        <f>+Y17</f>
        <v>17774000</v>
      </c>
      <c r="AA17" s="218" t="s">
        <v>1200</v>
      </c>
      <c r="AB17" s="4308"/>
      <c r="AC17" s="2546"/>
      <c r="AD17" s="4311"/>
      <c r="AE17" s="4310"/>
      <c r="AF17" s="4312"/>
      <c r="AG17" s="4310"/>
      <c r="AH17" s="4311"/>
      <c r="AI17" s="4310"/>
      <c r="AJ17" s="4309"/>
      <c r="AK17" s="4310"/>
      <c r="AL17" s="4311"/>
      <c r="AM17" s="4310"/>
      <c r="AN17" s="4309"/>
      <c r="AO17" s="4310"/>
      <c r="AP17" s="4311"/>
      <c r="AQ17" s="4310"/>
      <c r="AR17" s="4309"/>
      <c r="AS17" s="4310"/>
      <c r="AT17" s="4311"/>
      <c r="AU17" s="4310"/>
      <c r="AV17" s="4309"/>
      <c r="AW17" s="4310"/>
      <c r="AX17" s="4311"/>
      <c r="AY17" s="4310"/>
      <c r="AZ17" s="4309"/>
      <c r="BA17" s="4310"/>
      <c r="BB17" s="4311"/>
      <c r="BC17" s="4310"/>
      <c r="BD17" s="4309"/>
      <c r="BE17" s="4310"/>
      <c r="BF17" s="4311"/>
      <c r="BG17" s="4310"/>
      <c r="BH17" s="3948"/>
      <c r="BI17" s="4310"/>
      <c r="BJ17" s="4310"/>
      <c r="BK17" s="4316"/>
      <c r="BL17" s="4316"/>
      <c r="BM17" s="4317"/>
      <c r="BN17" s="4310"/>
      <c r="BO17" s="4310"/>
      <c r="BP17" s="4314"/>
      <c r="BQ17" s="4315"/>
      <c r="BR17" s="4315"/>
      <c r="BS17" s="4313"/>
      <c r="BT17" s="4313"/>
      <c r="BU17" s="4314"/>
    </row>
    <row r="18" spans="1:73" ht="65.25" customHeight="1" x14ac:dyDescent="0.25">
      <c r="A18" s="2909"/>
      <c r="B18" s="2910"/>
      <c r="C18" s="279"/>
      <c r="D18" s="280"/>
      <c r="E18" s="573"/>
      <c r="F18" s="573"/>
      <c r="G18" s="2697"/>
      <c r="H18" s="2514"/>
      <c r="I18" s="2697"/>
      <c r="J18" s="2514"/>
      <c r="K18" s="2697"/>
      <c r="L18" s="2514"/>
      <c r="M18" s="2697"/>
      <c r="N18" s="2514"/>
      <c r="O18" s="2697"/>
      <c r="P18" s="2697"/>
      <c r="Q18" s="2697"/>
      <c r="R18" s="2514"/>
      <c r="S18" s="3668"/>
      <c r="T18" s="4305"/>
      <c r="U18" s="4119"/>
      <c r="V18" s="4306"/>
      <c r="W18" s="926" t="s">
        <v>1202</v>
      </c>
      <c r="X18" s="927">
        <v>9300000</v>
      </c>
      <c r="Y18" s="928">
        <v>5848550</v>
      </c>
      <c r="Z18" s="928">
        <f>+Y18</f>
        <v>5848550</v>
      </c>
      <c r="AA18" s="929" t="s">
        <v>1203</v>
      </c>
      <c r="AB18" s="4308"/>
      <c r="AC18" s="2546"/>
      <c r="AD18" s="4311"/>
      <c r="AE18" s="4310"/>
      <c r="AF18" s="4312"/>
      <c r="AG18" s="4310"/>
      <c r="AH18" s="4311"/>
      <c r="AI18" s="4310"/>
      <c r="AJ18" s="4309"/>
      <c r="AK18" s="4310"/>
      <c r="AL18" s="4311"/>
      <c r="AM18" s="4310"/>
      <c r="AN18" s="4309"/>
      <c r="AO18" s="4310"/>
      <c r="AP18" s="4311"/>
      <c r="AQ18" s="4310"/>
      <c r="AR18" s="4309"/>
      <c r="AS18" s="4310"/>
      <c r="AT18" s="4311"/>
      <c r="AU18" s="4310"/>
      <c r="AV18" s="4309"/>
      <c r="AW18" s="4310"/>
      <c r="AX18" s="4311"/>
      <c r="AY18" s="4310"/>
      <c r="AZ18" s="4309"/>
      <c r="BA18" s="4310"/>
      <c r="BB18" s="4311"/>
      <c r="BC18" s="4310"/>
      <c r="BD18" s="4309"/>
      <c r="BE18" s="4310"/>
      <c r="BF18" s="4311"/>
      <c r="BG18" s="4310"/>
      <c r="BH18" s="3948"/>
      <c r="BI18" s="4310"/>
      <c r="BJ18" s="4310"/>
      <c r="BK18" s="4316"/>
      <c r="BL18" s="4316"/>
      <c r="BM18" s="4317"/>
      <c r="BN18" s="4310"/>
      <c r="BO18" s="4310"/>
      <c r="BP18" s="4314"/>
      <c r="BQ18" s="4315"/>
      <c r="BR18" s="4315"/>
      <c r="BS18" s="4313"/>
      <c r="BT18" s="4313"/>
      <c r="BU18" s="4314"/>
    </row>
    <row r="19" spans="1:73" ht="39" customHeight="1" x14ac:dyDescent="0.25">
      <c r="A19" s="2909"/>
      <c r="B19" s="2910"/>
      <c r="C19" s="930"/>
      <c r="D19" s="931"/>
      <c r="E19" s="573"/>
      <c r="F19" s="573"/>
      <c r="G19" s="2697"/>
      <c r="H19" s="2514"/>
      <c r="I19" s="2697"/>
      <c r="J19" s="2514"/>
      <c r="K19" s="2697"/>
      <c r="L19" s="2514"/>
      <c r="M19" s="2697"/>
      <c r="N19" s="2514"/>
      <c r="O19" s="2697"/>
      <c r="P19" s="2697"/>
      <c r="Q19" s="2697"/>
      <c r="R19" s="2514"/>
      <c r="S19" s="3668"/>
      <c r="T19" s="4305"/>
      <c r="U19" s="4119"/>
      <c r="V19" s="4307"/>
      <c r="W19" s="932" t="s">
        <v>1204</v>
      </c>
      <c r="X19" s="933">
        <v>5000000</v>
      </c>
      <c r="Y19" s="933">
        <v>4998000</v>
      </c>
      <c r="Z19" s="933">
        <f>+Y19</f>
        <v>4998000</v>
      </c>
      <c r="AA19" s="218" t="s">
        <v>1205</v>
      </c>
      <c r="AB19" s="4308"/>
      <c r="AC19" s="2546"/>
      <c r="AD19" s="4311"/>
      <c r="AE19" s="4310"/>
      <c r="AF19" s="4312"/>
      <c r="AG19" s="4310"/>
      <c r="AH19" s="4311"/>
      <c r="AI19" s="4310"/>
      <c r="AJ19" s="4309"/>
      <c r="AK19" s="4310"/>
      <c r="AL19" s="4311"/>
      <c r="AM19" s="4310"/>
      <c r="AN19" s="4309"/>
      <c r="AO19" s="4310"/>
      <c r="AP19" s="4311"/>
      <c r="AQ19" s="4310"/>
      <c r="AR19" s="4309"/>
      <c r="AS19" s="4310"/>
      <c r="AT19" s="4311"/>
      <c r="AU19" s="4310"/>
      <c r="AV19" s="4309"/>
      <c r="AW19" s="4310"/>
      <c r="AX19" s="4311"/>
      <c r="AY19" s="4310"/>
      <c r="AZ19" s="4309"/>
      <c r="BA19" s="4310"/>
      <c r="BB19" s="4311"/>
      <c r="BC19" s="4310"/>
      <c r="BD19" s="4309"/>
      <c r="BE19" s="4310"/>
      <c r="BF19" s="4311"/>
      <c r="BG19" s="4310"/>
      <c r="BH19" s="3948"/>
      <c r="BI19" s="4310"/>
      <c r="BJ19" s="4310"/>
      <c r="BK19" s="4316"/>
      <c r="BL19" s="4316"/>
      <c r="BM19" s="4317"/>
      <c r="BN19" s="4310"/>
      <c r="BO19" s="4310"/>
      <c r="BP19" s="4314"/>
      <c r="BQ19" s="4315"/>
      <c r="BR19" s="4315"/>
      <c r="BS19" s="4313"/>
      <c r="BT19" s="4313"/>
      <c r="BU19" s="4314"/>
    </row>
    <row r="20" spans="1:73" s="4" customFormat="1" ht="27.75" customHeight="1" x14ac:dyDescent="0.25">
      <c r="A20" s="2909"/>
      <c r="B20" s="2910"/>
      <c r="C20" s="176">
        <v>33</v>
      </c>
      <c r="D20" s="934" t="s">
        <v>274</v>
      </c>
      <c r="E20" s="935"/>
      <c r="F20" s="606"/>
      <c r="G20" s="936"/>
      <c r="H20" s="936"/>
      <c r="I20" s="936"/>
      <c r="J20" s="936"/>
      <c r="K20" s="936"/>
      <c r="L20" s="936"/>
      <c r="M20" s="936"/>
      <c r="N20" s="936"/>
      <c r="O20" s="936"/>
      <c r="P20" s="936"/>
      <c r="Q20" s="936"/>
      <c r="R20" s="936"/>
      <c r="S20" s="937"/>
      <c r="T20" s="938"/>
      <c r="U20" s="936"/>
      <c r="V20" s="939"/>
      <c r="W20" s="940"/>
      <c r="X20" s="940"/>
      <c r="Y20" s="940"/>
      <c r="Z20" s="940"/>
      <c r="AA20" s="941"/>
      <c r="AB20" s="942"/>
      <c r="AC20" s="486"/>
      <c r="AD20" s="941"/>
      <c r="AE20" s="941"/>
      <c r="AF20" s="941"/>
      <c r="AG20" s="941"/>
      <c r="AH20" s="941"/>
      <c r="AI20" s="941"/>
      <c r="AJ20" s="941"/>
      <c r="AK20" s="941"/>
      <c r="AL20" s="941"/>
      <c r="AM20" s="941"/>
      <c r="AN20" s="941"/>
      <c r="AO20" s="941"/>
      <c r="AP20" s="941"/>
      <c r="AQ20" s="941"/>
      <c r="AR20" s="941"/>
      <c r="AS20" s="941"/>
      <c r="AT20" s="941"/>
      <c r="AU20" s="941"/>
      <c r="AV20" s="941"/>
      <c r="AW20" s="941"/>
      <c r="AX20" s="941"/>
      <c r="AY20" s="941"/>
      <c r="AZ20" s="941"/>
      <c r="BA20" s="941"/>
      <c r="BB20" s="941"/>
      <c r="BC20" s="941"/>
      <c r="BD20" s="941"/>
      <c r="BE20" s="941"/>
      <c r="BF20" s="941"/>
      <c r="BG20" s="941"/>
      <c r="BH20" s="942"/>
      <c r="BI20" s="943"/>
      <c r="BJ20" s="943"/>
      <c r="BK20" s="944"/>
      <c r="BL20" s="944"/>
      <c r="BM20" s="942"/>
      <c r="BN20" s="942"/>
      <c r="BO20" s="942"/>
      <c r="BP20" s="942"/>
      <c r="BQ20" s="945"/>
      <c r="BR20" s="945"/>
      <c r="BS20" s="945"/>
      <c r="BT20" s="945"/>
      <c r="BU20" s="946"/>
    </row>
    <row r="21" spans="1:73" s="4" customFormat="1" ht="27" customHeight="1" x14ac:dyDescent="0.25">
      <c r="A21" s="2909"/>
      <c r="B21" s="2910"/>
      <c r="C21" s="741"/>
      <c r="D21" s="742"/>
      <c r="E21" s="283">
        <v>3301</v>
      </c>
      <c r="F21" s="3222" t="s">
        <v>275</v>
      </c>
      <c r="G21" s="3223"/>
      <c r="H21" s="3223"/>
      <c r="I21" s="3223"/>
      <c r="J21" s="3223"/>
      <c r="K21" s="3223"/>
      <c r="L21" s="3223"/>
      <c r="M21" s="794"/>
      <c r="N21" s="794"/>
      <c r="O21" s="794"/>
      <c r="P21" s="794"/>
      <c r="Q21" s="794"/>
      <c r="R21" s="794"/>
      <c r="S21" s="947"/>
      <c r="T21" s="948"/>
      <c r="U21" s="794"/>
      <c r="V21" s="794"/>
      <c r="W21" s="794"/>
      <c r="X21" s="794"/>
      <c r="Y21" s="794"/>
      <c r="Z21" s="794"/>
      <c r="AA21" s="90"/>
      <c r="AB21" s="949"/>
      <c r="AC21" s="190"/>
      <c r="AD21" s="794"/>
      <c r="AE21" s="794"/>
      <c r="AF21" s="794"/>
      <c r="AG21" s="794"/>
      <c r="AH21" s="794"/>
      <c r="AI21" s="794"/>
      <c r="AJ21" s="794"/>
      <c r="AK21" s="794"/>
      <c r="AL21" s="794"/>
      <c r="AM21" s="794"/>
      <c r="AN21" s="794"/>
      <c r="AO21" s="794"/>
      <c r="AP21" s="794"/>
      <c r="AQ21" s="794"/>
      <c r="AR21" s="794"/>
      <c r="AS21" s="794"/>
      <c r="AT21" s="794"/>
      <c r="AU21" s="794"/>
      <c r="AV21" s="794"/>
      <c r="AW21" s="794"/>
      <c r="AX21" s="794"/>
      <c r="AY21" s="794"/>
      <c r="AZ21" s="794"/>
      <c r="BA21" s="794"/>
      <c r="BB21" s="794"/>
      <c r="BC21" s="794"/>
      <c r="BD21" s="794"/>
      <c r="BE21" s="794"/>
      <c r="BF21" s="794"/>
      <c r="BG21" s="794"/>
      <c r="BH21" s="794"/>
      <c r="BI21" s="950"/>
      <c r="BJ21" s="950"/>
      <c r="BK21" s="951"/>
      <c r="BL21" s="951"/>
      <c r="BM21" s="794"/>
      <c r="BN21" s="794"/>
      <c r="BO21" s="794"/>
      <c r="BP21" s="794"/>
      <c r="BQ21" s="952"/>
      <c r="BR21" s="952"/>
      <c r="BS21" s="952"/>
      <c r="BT21" s="952"/>
      <c r="BU21" s="863"/>
    </row>
    <row r="22" spans="1:73" s="4" customFormat="1" ht="201.75" customHeight="1" x14ac:dyDescent="0.25">
      <c r="A22" s="2909"/>
      <c r="B22" s="2910"/>
      <c r="C22" s="745"/>
      <c r="D22" s="744"/>
      <c r="E22" s="10"/>
      <c r="F22" s="10"/>
      <c r="G22" s="953">
        <v>3301051</v>
      </c>
      <c r="H22" s="954" t="s">
        <v>1206</v>
      </c>
      <c r="I22" s="953">
        <v>3301051</v>
      </c>
      <c r="J22" s="954" t="s">
        <v>1206</v>
      </c>
      <c r="K22" s="723">
        <v>330105110</v>
      </c>
      <c r="L22" s="728" t="s">
        <v>1207</v>
      </c>
      <c r="M22" s="723">
        <v>330105110</v>
      </c>
      <c r="N22" s="728" t="s">
        <v>1207</v>
      </c>
      <c r="O22" s="723">
        <v>250</v>
      </c>
      <c r="P22" s="723">
        <v>250</v>
      </c>
      <c r="Q22" s="723" t="s">
        <v>1208</v>
      </c>
      <c r="R22" s="728" t="s">
        <v>1209</v>
      </c>
      <c r="S22" s="955">
        <f>X22/T22</f>
        <v>1</v>
      </c>
      <c r="T22" s="956">
        <f>X22</f>
        <v>14250000</v>
      </c>
      <c r="U22" s="728" t="s">
        <v>1210</v>
      </c>
      <c r="V22" s="738" t="s">
        <v>1211</v>
      </c>
      <c r="W22" s="735" t="s">
        <v>1212</v>
      </c>
      <c r="X22" s="927">
        <v>14250000</v>
      </c>
      <c r="Y22" s="957">
        <v>14250000</v>
      </c>
      <c r="Z22" s="957">
        <f>+Y22</f>
        <v>14250000</v>
      </c>
      <c r="AA22" s="218" t="s">
        <v>1213</v>
      </c>
      <c r="AB22" s="958">
        <v>20</v>
      </c>
      <c r="AC22" s="713" t="s">
        <v>422</v>
      </c>
      <c r="AD22" s="959">
        <v>100</v>
      </c>
      <c r="AE22" s="960">
        <v>100</v>
      </c>
      <c r="AF22" s="960">
        <v>150</v>
      </c>
      <c r="AG22" s="960">
        <v>150</v>
      </c>
      <c r="AH22" s="960" t="s">
        <v>153</v>
      </c>
      <c r="AI22" s="960"/>
      <c r="AJ22" s="960"/>
      <c r="AK22" s="960">
        <v>145</v>
      </c>
      <c r="AL22" s="960"/>
      <c r="AM22" s="960">
        <v>105</v>
      </c>
      <c r="AN22" s="960"/>
      <c r="AO22" s="960"/>
      <c r="AP22" s="960"/>
      <c r="AQ22" s="960"/>
      <c r="AR22" s="960"/>
      <c r="AS22" s="960"/>
      <c r="AT22" s="960"/>
      <c r="AU22" s="960"/>
      <c r="AV22" s="960"/>
      <c r="AW22" s="960"/>
      <c r="AX22" s="960"/>
      <c r="AY22" s="960"/>
      <c r="AZ22" s="960"/>
      <c r="BA22" s="960"/>
      <c r="BB22" s="960"/>
      <c r="BC22" s="960"/>
      <c r="BD22" s="960"/>
      <c r="BE22" s="960"/>
      <c r="BF22" s="960"/>
      <c r="BG22" s="960"/>
      <c r="BH22" s="961">
        <f>AD22+AF22</f>
        <v>250</v>
      </c>
      <c r="BI22" s="961">
        <f>AE22+AG22</f>
        <v>250</v>
      </c>
      <c r="BJ22" s="961">
        <v>3</v>
      </c>
      <c r="BK22" s="962">
        <f>SUM( Y22)</f>
        <v>14250000</v>
      </c>
      <c r="BL22" s="962">
        <f>SUM( Z22)</f>
        <v>14250000</v>
      </c>
      <c r="BM22" s="748">
        <f>BL22/BK22</f>
        <v>1</v>
      </c>
      <c r="BN22" s="961">
        <v>20</v>
      </c>
      <c r="BO22" s="961" t="s">
        <v>422</v>
      </c>
      <c r="BP22" s="963" t="s">
        <v>1214</v>
      </c>
      <c r="BQ22" s="717">
        <v>44197</v>
      </c>
      <c r="BR22" s="717">
        <v>44251</v>
      </c>
      <c r="BS22" s="717">
        <v>44561</v>
      </c>
      <c r="BT22" s="717">
        <v>44370</v>
      </c>
      <c r="BU22" s="963" t="s">
        <v>1214</v>
      </c>
    </row>
    <row r="23" spans="1:73" s="4" customFormat="1" ht="20.25" customHeight="1" x14ac:dyDescent="0.25">
      <c r="A23" s="2909"/>
      <c r="B23" s="2910"/>
      <c r="C23" s="176">
        <v>41</v>
      </c>
      <c r="D23" s="4292" t="s">
        <v>1215</v>
      </c>
      <c r="E23" s="3028"/>
      <c r="F23" s="3620"/>
      <c r="G23" s="3620"/>
      <c r="H23" s="3620"/>
      <c r="I23" s="3620"/>
      <c r="J23" s="3620"/>
      <c r="K23" s="606"/>
      <c r="L23" s="606"/>
      <c r="M23" s="606"/>
      <c r="N23" s="606"/>
      <c r="O23" s="606"/>
      <c r="P23" s="606"/>
      <c r="Q23" s="606"/>
      <c r="R23" s="606"/>
      <c r="S23" s="964"/>
      <c r="T23" s="965"/>
      <c r="U23" s="606"/>
      <c r="V23" s="966"/>
      <c r="W23" s="606"/>
      <c r="X23" s="606"/>
      <c r="Y23" s="606"/>
      <c r="Z23" s="606"/>
      <c r="AA23" s="936"/>
      <c r="AB23" s="853"/>
      <c r="AC23" s="486"/>
      <c r="AD23" s="967"/>
      <c r="AE23" s="967"/>
      <c r="AF23" s="967"/>
      <c r="AG23" s="967"/>
      <c r="AH23" s="967"/>
      <c r="AI23" s="967"/>
      <c r="AJ23" s="967"/>
      <c r="AK23" s="967"/>
      <c r="AL23" s="967"/>
      <c r="AM23" s="967"/>
      <c r="AN23" s="967"/>
      <c r="AO23" s="967"/>
      <c r="AP23" s="967"/>
      <c r="AQ23" s="967"/>
      <c r="AR23" s="967"/>
      <c r="AS23" s="967"/>
      <c r="AT23" s="967"/>
      <c r="AU23" s="967"/>
      <c r="AV23" s="967"/>
      <c r="AW23" s="967"/>
      <c r="AX23" s="967"/>
      <c r="AY23" s="967"/>
      <c r="AZ23" s="967"/>
      <c r="BA23" s="967"/>
      <c r="BB23" s="967"/>
      <c r="BC23" s="967"/>
      <c r="BD23" s="967"/>
      <c r="BE23" s="967"/>
      <c r="BF23" s="967"/>
      <c r="BG23" s="967"/>
      <c r="BH23" s="853"/>
      <c r="BI23" s="968"/>
      <c r="BJ23" s="968"/>
      <c r="BK23" s="969"/>
      <c r="BL23" s="969"/>
      <c r="BM23" s="853"/>
      <c r="BN23" s="853"/>
      <c r="BO23" s="853"/>
      <c r="BP23" s="853"/>
      <c r="BQ23" s="970"/>
      <c r="BR23" s="970"/>
      <c r="BS23" s="970"/>
      <c r="BT23" s="970"/>
      <c r="BU23" s="971"/>
    </row>
    <row r="24" spans="1:73" s="4" customFormat="1" ht="27" customHeight="1" x14ac:dyDescent="0.25">
      <c r="A24" s="2909"/>
      <c r="B24" s="2910"/>
      <c r="C24" s="741"/>
      <c r="D24" s="744"/>
      <c r="E24" s="972">
        <v>4102</v>
      </c>
      <c r="F24" s="973" t="s">
        <v>1216</v>
      </c>
      <c r="G24" s="974"/>
      <c r="H24" s="974"/>
      <c r="I24" s="974"/>
      <c r="J24" s="974"/>
      <c r="K24" s="974"/>
      <c r="L24" s="974"/>
      <c r="M24" s="400"/>
      <c r="N24" s="400"/>
      <c r="O24" s="794"/>
      <c r="P24" s="90"/>
      <c r="Q24" s="794"/>
      <c r="R24" s="794"/>
      <c r="S24" s="947"/>
      <c r="T24" s="948"/>
      <c r="U24" s="794"/>
      <c r="V24" s="794"/>
      <c r="W24" s="90"/>
      <c r="X24" s="90"/>
      <c r="Y24" s="90"/>
      <c r="Z24" s="90"/>
      <c r="AA24" s="90"/>
      <c r="AB24" s="949"/>
      <c r="AC24" s="190"/>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794"/>
      <c r="BA24" s="794"/>
      <c r="BB24" s="794"/>
      <c r="BC24" s="794"/>
      <c r="BD24" s="794"/>
      <c r="BE24" s="794"/>
      <c r="BF24" s="794"/>
      <c r="BG24" s="794"/>
      <c r="BH24" s="794"/>
      <c r="BI24" s="950"/>
      <c r="BJ24" s="950"/>
      <c r="BK24" s="951"/>
      <c r="BL24" s="951"/>
      <c r="BM24" s="794"/>
      <c r="BN24" s="794"/>
      <c r="BO24" s="794"/>
      <c r="BP24" s="794"/>
      <c r="BQ24" s="952"/>
      <c r="BR24" s="952"/>
      <c r="BS24" s="952"/>
      <c r="BT24" s="952"/>
      <c r="BU24" s="863"/>
    </row>
    <row r="25" spans="1:73" ht="158.25" customHeight="1" x14ac:dyDescent="0.25">
      <c r="A25" s="2909"/>
      <c r="B25" s="2910"/>
      <c r="C25" s="279"/>
      <c r="D25" s="975"/>
      <c r="E25" s="3982"/>
      <c r="F25" s="3982"/>
      <c r="G25" s="2516" t="s">
        <v>20</v>
      </c>
      <c r="H25" s="4294" t="s">
        <v>1217</v>
      </c>
      <c r="I25" s="4295">
        <v>4102035</v>
      </c>
      <c r="J25" s="4297" t="s">
        <v>1218</v>
      </c>
      <c r="K25" s="719" t="s">
        <v>20</v>
      </c>
      <c r="L25" s="4298" t="s">
        <v>1219</v>
      </c>
      <c r="M25" s="2715">
        <v>410203500</v>
      </c>
      <c r="N25" s="4322" t="s">
        <v>321</v>
      </c>
      <c r="O25" s="2715">
        <v>1</v>
      </c>
      <c r="P25" s="2547">
        <v>1</v>
      </c>
      <c r="Q25" s="2755" t="s">
        <v>1220</v>
      </c>
      <c r="R25" s="2993" t="s">
        <v>1221</v>
      </c>
      <c r="S25" s="4319">
        <f>SUM(X25:X26)/T25</f>
        <v>0.49053271853232611</v>
      </c>
      <c r="T25" s="4320">
        <f>SUM(X25:X30)</f>
        <v>101930000</v>
      </c>
      <c r="U25" s="2993" t="s">
        <v>1222</v>
      </c>
      <c r="V25" s="3022" t="s">
        <v>1223</v>
      </c>
      <c r="W25" s="4219" t="s">
        <v>1224</v>
      </c>
      <c r="X25" s="417">
        <v>20000000</v>
      </c>
      <c r="Y25" s="749">
        <f>+'[4]F-PLA-47 EJE METAS PROYECTOS'!V22</f>
        <v>18661500</v>
      </c>
      <c r="Z25" s="749">
        <f>+Y25</f>
        <v>18661500</v>
      </c>
      <c r="AA25" s="976" t="s">
        <v>1225</v>
      </c>
      <c r="AB25" s="977">
        <v>20</v>
      </c>
      <c r="AC25" s="978" t="s">
        <v>422</v>
      </c>
      <c r="AD25" s="4318">
        <v>104</v>
      </c>
      <c r="AE25" s="4318">
        <v>996</v>
      </c>
      <c r="AF25" s="4318">
        <v>96</v>
      </c>
      <c r="AG25" s="4318">
        <v>82</v>
      </c>
      <c r="AH25" s="4318">
        <v>125</v>
      </c>
      <c r="AI25" s="4318">
        <v>96</v>
      </c>
      <c r="AJ25" s="4318" t="s">
        <v>153</v>
      </c>
      <c r="AK25" s="4318">
        <v>93</v>
      </c>
      <c r="AL25" s="4318">
        <v>75</v>
      </c>
      <c r="AM25" s="4318">
        <v>882</v>
      </c>
      <c r="AN25" s="4318" t="s">
        <v>153</v>
      </c>
      <c r="AO25" s="4318">
        <v>7</v>
      </c>
      <c r="AP25" s="4318" t="s">
        <v>153</v>
      </c>
      <c r="AQ25" s="4318">
        <v>3</v>
      </c>
      <c r="AR25" s="4318" t="s">
        <v>153</v>
      </c>
      <c r="AS25" s="4318">
        <v>4</v>
      </c>
      <c r="AT25" s="4318" t="s">
        <v>153</v>
      </c>
      <c r="AU25" s="4318"/>
      <c r="AV25" s="4318" t="s">
        <v>153</v>
      </c>
      <c r="AW25" s="4318"/>
      <c r="AX25" s="4318" t="s">
        <v>153</v>
      </c>
      <c r="AY25" s="4318"/>
      <c r="AZ25" s="4318" t="s">
        <v>153</v>
      </c>
      <c r="BA25" s="4318"/>
      <c r="BB25" s="4318">
        <v>8</v>
      </c>
      <c r="BC25" s="4318">
        <v>23</v>
      </c>
      <c r="BD25" s="4318" t="s">
        <v>153</v>
      </c>
      <c r="BE25" s="4318">
        <v>12</v>
      </c>
      <c r="BF25" s="4318" t="s">
        <v>153</v>
      </c>
      <c r="BG25" s="4318">
        <v>16</v>
      </c>
      <c r="BH25" s="3917">
        <v>200</v>
      </c>
      <c r="BI25" s="4318">
        <v>1078</v>
      </c>
      <c r="BJ25" s="4318">
        <v>10</v>
      </c>
      <c r="BK25" s="4328">
        <f>SUM(Y25:Y30)</f>
        <v>94725334</v>
      </c>
      <c r="BL25" s="4328">
        <f>SUM(Z25:Z30)</f>
        <v>94725334</v>
      </c>
      <c r="BM25" s="4329">
        <f>BL25/BK25</f>
        <v>1</v>
      </c>
      <c r="BN25" s="4318">
        <v>20</v>
      </c>
      <c r="BO25" s="4318" t="s">
        <v>422</v>
      </c>
      <c r="BP25" s="4318" t="s">
        <v>1226</v>
      </c>
      <c r="BQ25" s="4327">
        <v>44197</v>
      </c>
      <c r="BR25" s="4327">
        <v>44242</v>
      </c>
      <c r="BS25" s="4327">
        <v>44561</v>
      </c>
      <c r="BT25" s="4327">
        <v>44421</v>
      </c>
      <c r="BU25" s="3917" t="s">
        <v>1226</v>
      </c>
    </row>
    <row r="26" spans="1:73" ht="158.25" customHeight="1" x14ac:dyDescent="0.25">
      <c r="A26" s="2909"/>
      <c r="B26" s="2910"/>
      <c r="C26" s="279"/>
      <c r="D26" s="975"/>
      <c r="E26" s="3982"/>
      <c r="F26" s="3982"/>
      <c r="G26" s="2693"/>
      <c r="H26" s="4004"/>
      <c r="I26" s="4296"/>
      <c r="J26" s="3407"/>
      <c r="K26" s="719"/>
      <c r="L26" s="2782"/>
      <c r="M26" s="2717"/>
      <c r="N26" s="3312"/>
      <c r="O26" s="2717"/>
      <c r="P26" s="2717"/>
      <c r="Q26" s="2755"/>
      <c r="R26" s="2993"/>
      <c r="S26" s="3926"/>
      <c r="T26" s="4320"/>
      <c r="U26" s="2993"/>
      <c r="V26" s="3022"/>
      <c r="W26" s="4221"/>
      <c r="X26" s="417">
        <v>30000000</v>
      </c>
      <c r="Y26" s="749">
        <v>30000000</v>
      </c>
      <c r="Z26" s="749">
        <f>+Y26</f>
        <v>30000000</v>
      </c>
      <c r="AA26" s="976" t="s">
        <v>1227</v>
      </c>
      <c r="AB26" s="977">
        <v>88</v>
      </c>
      <c r="AC26" s="978" t="s">
        <v>1228</v>
      </c>
      <c r="AD26" s="4318"/>
      <c r="AE26" s="4318"/>
      <c r="AF26" s="4318"/>
      <c r="AG26" s="4318"/>
      <c r="AH26" s="4318"/>
      <c r="AI26" s="4318"/>
      <c r="AJ26" s="4318"/>
      <c r="AK26" s="4318"/>
      <c r="AL26" s="4318"/>
      <c r="AM26" s="4318"/>
      <c r="AN26" s="4318"/>
      <c r="AO26" s="4318"/>
      <c r="AP26" s="4318"/>
      <c r="AQ26" s="4318"/>
      <c r="AR26" s="4318"/>
      <c r="AS26" s="4318"/>
      <c r="AT26" s="4318"/>
      <c r="AU26" s="4318"/>
      <c r="AV26" s="4318"/>
      <c r="AW26" s="4318"/>
      <c r="AX26" s="4318"/>
      <c r="AY26" s="4318"/>
      <c r="AZ26" s="4318"/>
      <c r="BA26" s="4318"/>
      <c r="BB26" s="4318"/>
      <c r="BC26" s="4318"/>
      <c r="BD26" s="4318"/>
      <c r="BE26" s="4318"/>
      <c r="BF26" s="4318"/>
      <c r="BG26" s="4318"/>
      <c r="BH26" s="3917"/>
      <c r="BI26" s="4318"/>
      <c r="BJ26" s="4318"/>
      <c r="BK26" s="4328"/>
      <c r="BL26" s="4328"/>
      <c r="BM26" s="4329"/>
      <c r="BN26" s="4318"/>
      <c r="BO26" s="4318"/>
      <c r="BP26" s="4318"/>
      <c r="BQ26" s="4327"/>
      <c r="BR26" s="4327"/>
      <c r="BS26" s="4327"/>
      <c r="BT26" s="4327"/>
      <c r="BU26" s="3917"/>
    </row>
    <row r="27" spans="1:73" ht="104.25" customHeight="1" x14ac:dyDescent="0.25">
      <c r="A27" s="2909"/>
      <c r="B27" s="2910"/>
      <c r="C27" s="279"/>
      <c r="D27" s="975"/>
      <c r="E27" s="3982"/>
      <c r="F27" s="3982"/>
      <c r="G27" s="4299" t="s">
        <v>20</v>
      </c>
      <c r="H27" s="4325" t="s">
        <v>1229</v>
      </c>
      <c r="I27" s="2697">
        <v>4102001</v>
      </c>
      <c r="J27" s="4325" t="s">
        <v>1230</v>
      </c>
      <c r="K27" s="2547" t="s">
        <v>20</v>
      </c>
      <c r="L27" s="2545" t="s">
        <v>1231</v>
      </c>
      <c r="M27" s="2547">
        <v>410200100</v>
      </c>
      <c r="N27" s="2545" t="s">
        <v>1232</v>
      </c>
      <c r="O27" s="2547">
        <v>12</v>
      </c>
      <c r="P27" s="2547">
        <v>12</v>
      </c>
      <c r="Q27" s="2755"/>
      <c r="R27" s="2993"/>
      <c r="S27" s="3925">
        <f>SUM(X27:X30)/T25</f>
        <v>0.50946728146767395</v>
      </c>
      <c r="T27" s="4320"/>
      <c r="U27" s="2993"/>
      <c r="V27" s="3022"/>
      <c r="W27" s="736" t="s">
        <v>1233</v>
      </c>
      <c r="X27" s="417">
        <v>20000000</v>
      </c>
      <c r="Y27" s="750">
        <v>17500000</v>
      </c>
      <c r="Z27" s="750">
        <v>17500000</v>
      </c>
      <c r="AA27" s="976" t="s">
        <v>1234</v>
      </c>
      <c r="AB27" s="977">
        <v>20</v>
      </c>
      <c r="AC27" s="978" t="s">
        <v>422</v>
      </c>
      <c r="AD27" s="4318"/>
      <c r="AE27" s="4318"/>
      <c r="AF27" s="4318"/>
      <c r="AG27" s="4318"/>
      <c r="AH27" s="4318"/>
      <c r="AI27" s="4318"/>
      <c r="AJ27" s="4318"/>
      <c r="AK27" s="4318"/>
      <c r="AL27" s="4318"/>
      <c r="AM27" s="4318"/>
      <c r="AN27" s="4318"/>
      <c r="AO27" s="4318"/>
      <c r="AP27" s="4318"/>
      <c r="AQ27" s="4318"/>
      <c r="AR27" s="4318"/>
      <c r="AS27" s="4318"/>
      <c r="AT27" s="4318"/>
      <c r="AU27" s="4318"/>
      <c r="AV27" s="4318"/>
      <c r="AW27" s="4318"/>
      <c r="AX27" s="4318"/>
      <c r="AY27" s="4318"/>
      <c r="AZ27" s="4318"/>
      <c r="BA27" s="4318"/>
      <c r="BB27" s="4318"/>
      <c r="BC27" s="4318"/>
      <c r="BD27" s="4318"/>
      <c r="BE27" s="4318"/>
      <c r="BF27" s="4318"/>
      <c r="BG27" s="4318"/>
      <c r="BH27" s="3917"/>
      <c r="BI27" s="4318"/>
      <c r="BJ27" s="4318"/>
      <c r="BK27" s="4328"/>
      <c r="BL27" s="4328"/>
      <c r="BM27" s="4329"/>
      <c r="BN27" s="4318"/>
      <c r="BO27" s="4318"/>
      <c r="BP27" s="4318"/>
      <c r="BQ27" s="4327"/>
      <c r="BR27" s="4327"/>
      <c r="BS27" s="4327"/>
      <c r="BT27" s="4327"/>
      <c r="BU27" s="3917"/>
    </row>
    <row r="28" spans="1:73" ht="105" customHeight="1" x14ac:dyDescent="0.25">
      <c r="A28" s="2909"/>
      <c r="B28" s="2910"/>
      <c r="C28" s="279"/>
      <c r="D28" s="975"/>
      <c r="E28" s="3982"/>
      <c r="F28" s="3982"/>
      <c r="G28" s="4299"/>
      <c r="H28" s="4326"/>
      <c r="I28" s="2697"/>
      <c r="J28" s="4326"/>
      <c r="K28" s="2716"/>
      <c r="L28" s="2781"/>
      <c r="M28" s="2716"/>
      <c r="N28" s="2781"/>
      <c r="O28" s="2716"/>
      <c r="P28" s="2716"/>
      <c r="Q28" s="2755"/>
      <c r="R28" s="2993"/>
      <c r="S28" s="3988"/>
      <c r="T28" s="4320"/>
      <c r="U28" s="2993"/>
      <c r="V28" s="3022"/>
      <c r="W28" s="4321" t="s">
        <v>1235</v>
      </c>
      <c r="X28" s="417">
        <v>20000000</v>
      </c>
      <c r="Y28" s="750">
        <v>16633834</v>
      </c>
      <c r="Z28" s="750">
        <f>+Y28</f>
        <v>16633834</v>
      </c>
      <c r="AA28" s="976" t="s">
        <v>1234</v>
      </c>
      <c r="AB28" s="977">
        <v>20</v>
      </c>
      <c r="AC28" s="978" t="s">
        <v>422</v>
      </c>
      <c r="AD28" s="4318"/>
      <c r="AE28" s="4318"/>
      <c r="AF28" s="4318"/>
      <c r="AG28" s="4318"/>
      <c r="AH28" s="4318"/>
      <c r="AI28" s="4318"/>
      <c r="AJ28" s="4318"/>
      <c r="AK28" s="4318"/>
      <c r="AL28" s="4318"/>
      <c r="AM28" s="4318"/>
      <c r="AN28" s="4318"/>
      <c r="AO28" s="4318"/>
      <c r="AP28" s="4318"/>
      <c r="AQ28" s="4318"/>
      <c r="AR28" s="4318"/>
      <c r="AS28" s="4318"/>
      <c r="AT28" s="4318"/>
      <c r="AU28" s="4318"/>
      <c r="AV28" s="4318"/>
      <c r="AW28" s="4318"/>
      <c r="AX28" s="4318"/>
      <c r="AY28" s="4318"/>
      <c r="AZ28" s="4318"/>
      <c r="BA28" s="4318"/>
      <c r="BB28" s="4318"/>
      <c r="BC28" s="4318"/>
      <c r="BD28" s="4318"/>
      <c r="BE28" s="4318"/>
      <c r="BF28" s="4318"/>
      <c r="BG28" s="4318"/>
      <c r="BH28" s="3917"/>
      <c r="BI28" s="4318"/>
      <c r="BJ28" s="4318"/>
      <c r="BK28" s="4328"/>
      <c r="BL28" s="4328"/>
      <c r="BM28" s="4329"/>
      <c r="BN28" s="4318"/>
      <c r="BO28" s="4318"/>
      <c r="BP28" s="4318"/>
      <c r="BQ28" s="4327"/>
      <c r="BR28" s="4327"/>
      <c r="BS28" s="4327"/>
      <c r="BT28" s="4327"/>
      <c r="BU28" s="3917"/>
    </row>
    <row r="29" spans="1:73" ht="105" customHeight="1" x14ac:dyDescent="0.25">
      <c r="A29" s="2909"/>
      <c r="B29" s="2910"/>
      <c r="C29" s="279"/>
      <c r="D29" s="975"/>
      <c r="E29" s="3982"/>
      <c r="F29" s="3982"/>
      <c r="G29" s="4324"/>
      <c r="H29" s="4326"/>
      <c r="I29" s="2516"/>
      <c r="J29" s="4326"/>
      <c r="K29" s="2716"/>
      <c r="L29" s="2781"/>
      <c r="M29" s="2716"/>
      <c r="N29" s="2781"/>
      <c r="O29" s="2716"/>
      <c r="P29" s="2716"/>
      <c r="Q29" s="2755"/>
      <c r="R29" s="2993"/>
      <c r="S29" s="3988"/>
      <c r="T29" s="4320"/>
      <c r="U29" s="2993"/>
      <c r="V29" s="3022"/>
      <c r="W29" s="4321"/>
      <c r="X29" s="417">
        <v>1930000</v>
      </c>
      <c r="Y29" s="750">
        <v>1930000</v>
      </c>
      <c r="Z29" s="750">
        <f>+Y29</f>
        <v>1930000</v>
      </c>
      <c r="AA29" s="976" t="s">
        <v>1236</v>
      </c>
      <c r="AB29" s="977">
        <v>88</v>
      </c>
      <c r="AC29" s="978" t="s">
        <v>1228</v>
      </c>
      <c r="AD29" s="4318"/>
      <c r="AE29" s="4318"/>
      <c r="AF29" s="4318"/>
      <c r="AG29" s="4318"/>
      <c r="AH29" s="4318"/>
      <c r="AI29" s="4318"/>
      <c r="AJ29" s="4318"/>
      <c r="AK29" s="4318"/>
      <c r="AL29" s="4318"/>
      <c r="AM29" s="4318"/>
      <c r="AN29" s="4318"/>
      <c r="AO29" s="4318"/>
      <c r="AP29" s="4318"/>
      <c r="AQ29" s="4318"/>
      <c r="AR29" s="4318"/>
      <c r="AS29" s="4318"/>
      <c r="AT29" s="4318"/>
      <c r="AU29" s="4318"/>
      <c r="AV29" s="4318"/>
      <c r="AW29" s="4318"/>
      <c r="AX29" s="4318"/>
      <c r="AY29" s="4318"/>
      <c r="AZ29" s="4318"/>
      <c r="BA29" s="4318"/>
      <c r="BB29" s="4318"/>
      <c r="BC29" s="4318"/>
      <c r="BD29" s="4318"/>
      <c r="BE29" s="4318"/>
      <c r="BF29" s="4318"/>
      <c r="BG29" s="4318"/>
      <c r="BH29" s="3917"/>
      <c r="BI29" s="4318"/>
      <c r="BJ29" s="4318"/>
      <c r="BK29" s="4328"/>
      <c r="BL29" s="4328"/>
      <c r="BM29" s="4329"/>
      <c r="BN29" s="4318"/>
      <c r="BO29" s="4318"/>
      <c r="BP29" s="4318"/>
      <c r="BQ29" s="4327"/>
      <c r="BR29" s="4327"/>
      <c r="BS29" s="4327"/>
      <c r="BT29" s="4327"/>
      <c r="BU29" s="3917"/>
    </row>
    <row r="30" spans="1:73" ht="72.75" customHeight="1" x14ac:dyDescent="0.25">
      <c r="A30" s="2909"/>
      <c r="B30" s="2910"/>
      <c r="C30" s="279"/>
      <c r="D30" s="975"/>
      <c r="E30" s="3982"/>
      <c r="F30" s="3982"/>
      <c r="G30" s="4324"/>
      <c r="H30" s="4326"/>
      <c r="I30" s="2516"/>
      <c r="J30" s="4326"/>
      <c r="K30" s="2716"/>
      <c r="L30" s="2781"/>
      <c r="M30" s="2716"/>
      <c r="N30" s="2781"/>
      <c r="O30" s="2716"/>
      <c r="P30" s="4323"/>
      <c r="Q30" s="2755"/>
      <c r="R30" s="2993"/>
      <c r="S30" s="3988"/>
      <c r="T30" s="4320"/>
      <c r="U30" s="2993"/>
      <c r="V30" s="3022"/>
      <c r="W30" s="735" t="s">
        <v>1237</v>
      </c>
      <c r="X30" s="417">
        <v>10000000</v>
      </c>
      <c r="Y30" s="750">
        <v>10000000</v>
      </c>
      <c r="Z30" s="750">
        <v>10000000</v>
      </c>
      <c r="AA30" s="976" t="s">
        <v>1234</v>
      </c>
      <c r="AB30" s="977">
        <v>20</v>
      </c>
      <c r="AC30" s="978" t="s">
        <v>422</v>
      </c>
      <c r="AD30" s="4318"/>
      <c r="AE30" s="4318"/>
      <c r="AF30" s="4318"/>
      <c r="AG30" s="4318"/>
      <c r="AH30" s="4318"/>
      <c r="AI30" s="4318"/>
      <c r="AJ30" s="4318"/>
      <c r="AK30" s="4318"/>
      <c r="AL30" s="4318"/>
      <c r="AM30" s="4318"/>
      <c r="AN30" s="4318"/>
      <c r="AO30" s="4318"/>
      <c r="AP30" s="4318"/>
      <c r="AQ30" s="4318"/>
      <c r="AR30" s="4318"/>
      <c r="AS30" s="4318"/>
      <c r="AT30" s="4318"/>
      <c r="AU30" s="4318"/>
      <c r="AV30" s="4318"/>
      <c r="AW30" s="4318"/>
      <c r="AX30" s="4318"/>
      <c r="AY30" s="4318"/>
      <c r="AZ30" s="4318"/>
      <c r="BA30" s="4318"/>
      <c r="BB30" s="4318"/>
      <c r="BC30" s="4318"/>
      <c r="BD30" s="4318"/>
      <c r="BE30" s="4318"/>
      <c r="BF30" s="4318"/>
      <c r="BG30" s="4318"/>
      <c r="BH30" s="3917"/>
      <c r="BI30" s="4318"/>
      <c r="BJ30" s="4318"/>
      <c r="BK30" s="4328"/>
      <c r="BL30" s="4328"/>
      <c r="BM30" s="4329"/>
      <c r="BN30" s="4318"/>
      <c r="BO30" s="4318"/>
      <c r="BP30" s="4318"/>
      <c r="BQ30" s="4327"/>
      <c r="BR30" s="4327"/>
      <c r="BS30" s="4327"/>
      <c r="BT30" s="4327"/>
      <c r="BU30" s="3917"/>
    </row>
    <row r="31" spans="1:73" ht="62.25" customHeight="1" x14ac:dyDescent="0.25">
      <c r="A31" s="2909"/>
      <c r="B31" s="2910"/>
      <c r="C31" s="279"/>
      <c r="D31" s="975"/>
      <c r="E31" s="3982"/>
      <c r="F31" s="3982"/>
      <c r="G31" s="4299" t="s">
        <v>20</v>
      </c>
      <c r="H31" s="2713" t="s">
        <v>1238</v>
      </c>
      <c r="I31" s="2697">
        <v>4102043</v>
      </c>
      <c r="J31" s="2514" t="s">
        <v>1239</v>
      </c>
      <c r="K31" s="2697" t="s">
        <v>20</v>
      </c>
      <c r="L31" s="2514" t="s">
        <v>1240</v>
      </c>
      <c r="M31" s="2697" t="s">
        <v>1241</v>
      </c>
      <c r="N31" s="2514" t="s">
        <v>1242</v>
      </c>
      <c r="O31" s="2697">
        <v>1</v>
      </c>
      <c r="P31" s="2697">
        <v>0.8</v>
      </c>
      <c r="Q31" s="3982" t="s">
        <v>1243</v>
      </c>
      <c r="R31" s="4119" t="s">
        <v>1244</v>
      </c>
      <c r="S31" s="4304">
        <f>SUM(X31:X35)/T31</f>
        <v>1</v>
      </c>
      <c r="T31" s="4305">
        <f>SUM(X31:X35)</f>
        <v>132000000</v>
      </c>
      <c r="U31" s="4119" t="s">
        <v>1245</v>
      </c>
      <c r="V31" s="4306" t="s">
        <v>1246</v>
      </c>
      <c r="W31" s="826" t="s">
        <v>1247</v>
      </c>
      <c r="X31" s="979">
        <v>9600000</v>
      </c>
      <c r="Y31" s="750">
        <v>9600000</v>
      </c>
      <c r="Z31" s="750">
        <v>9600000</v>
      </c>
      <c r="AA31" s="533" t="s">
        <v>1248</v>
      </c>
      <c r="AB31" s="4331">
        <v>20</v>
      </c>
      <c r="AC31" s="2546" t="s">
        <v>422</v>
      </c>
      <c r="AD31" s="4309">
        <v>650</v>
      </c>
      <c r="AE31" s="2511">
        <f>670+565</f>
        <v>1235</v>
      </c>
      <c r="AF31" s="4309">
        <v>600</v>
      </c>
      <c r="AG31" s="4309">
        <f>501+540</f>
        <v>1041</v>
      </c>
      <c r="AH31" s="4309">
        <v>125</v>
      </c>
      <c r="AI31" s="4309">
        <f>375+177+216</f>
        <v>768</v>
      </c>
      <c r="AJ31" s="4309">
        <v>250</v>
      </c>
      <c r="AK31" s="4309">
        <f>92+91</f>
        <v>183</v>
      </c>
      <c r="AL31" s="4309">
        <v>625</v>
      </c>
      <c r="AM31" s="4309">
        <f>655+217+329+14</f>
        <v>1215</v>
      </c>
      <c r="AN31" s="4309">
        <v>250</v>
      </c>
      <c r="AO31" s="4309">
        <f>49+61+458</f>
        <v>568</v>
      </c>
      <c r="AP31" s="4309" t="s">
        <v>153</v>
      </c>
      <c r="AQ31" s="4309">
        <f>463+1105</f>
        <v>1568</v>
      </c>
      <c r="AR31" s="4309" t="s">
        <v>153</v>
      </c>
      <c r="AS31" s="4309">
        <v>124</v>
      </c>
      <c r="AT31" s="4309" t="s">
        <v>153</v>
      </c>
      <c r="AU31" s="4309" t="s">
        <v>153</v>
      </c>
      <c r="AV31" s="4309" t="s">
        <v>153</v>
      </c>
      <c r="AW31" s="4309" t="s">
        <v>153</v>
      </c>
      <c r="AX31" s="4309" t="s">
        <v>153</v>
      </c>
      <c r="AY31" s="4309" t="s">
        <v>153</v>
      </c>
      <c r="AZ31" s="4309" t="s">
        <v>153</v>
      </c>
      <c r="BA31" s="4309" t="s">
        <v>153</v>
      </c>
      <c r="BB31" s="4309" t="s">
        <v>153</v>
      </c>
      <c r="BC31" s="4309">
        <v>65</v>
      </c>
      <c r="BD31" s="4309" t="s">
        <v>153</v>
      </c>
      <c r="BE31" s="4309">
        <f>6+49</f>
        <v>55</v>
      </c>
      <c r="BF31" s="4309" t="s">
        <v>153</v>
      </c>
      <c r="BG31" s="4309">
        <v>8</v>
      </c>
      <c r="BH31" s="3948">
        <v>1250</v>
      </c>
      <c r="BI31" s="3948">
        <f>1171+1105+458</f>
        <v>2734</v>
      </c>
      <c r="BJ31" s="3948">
        <v>19</v>
      </c>
      <c r="BK31" s="4333">
        <f>SUM(Y31:Y35)</f>
        <v>105491560</v>
      </c>
      <c r="BL31" s="4333">
        <f>SUM(Z31:Z35)</f>
        <v>105491560</v>
      </c>
      <c r="BM31" s="3668">
        <f>BL31/BK31</f>
        <v>1</v>
      </c>
      <c r="BN31" s="3948">
        <v>20</v>
      </c>
      <c r="BO31" s="3948" t="s">
        <v>422</v>
      </c>
      <c r="BP31" s="3948" t="s">
        <v>1226</v>
      </c>
      <c r="BQ31" s="4330">
        <v>44197</v>
      </c>
      <c r="BR31" s="4330">
        <v>44228</v>
      </c>
      <c r="BS31" s="4330">
        <v>44561</v>
      </c>
      <c r="BT31" s="4330">
        <v>44407</v>
      </c>
      <c r="BU31" s="3948" t="s">
        <v>1226</v>
      </c>
    </row>
    <row r="32" spans="1:73" ht="51" customHeight="1" x14ac:dyDescent="0.25">
      <c r="A32" s="2909"/>
      <c r="B32" s="2910"/>
      <c r="C32" s="279"/>
      <c r="D32" s="975"/>
      <c r="E32" s="3982"/>
      <c r="F32" s="3982"/>
      <c r="G32" s="4299"/>
      <c r="H32" s="2713"/>
      <c r="I32" s="2697"/>
      <c r="J32" s="2514"/>
      <c r="K32" s="2697"/>
      <c r="L32" s="2514"/>
      <c r="M32" s="2697"/>
      <c r="N32" s="2514"/>
      <c r="O32" s="2697"/>
      <c r="P32" s="2697"/>
      <c r="Q32" s="3982"/>
      <c r="R32" s="4119"/>
      <c r="S32" s="4304"/>
      <c r="T32" s="4305"/>
      <c r="U32" s="4119"/>
      <c r="V32" s="4306"/>
      <c r="W32" s="826" t="s">
        <v>1249</v>
      </c>
      <c r="X32" s="979">
        <v>11000000</v>
      </c>
      <c r="Y32" s="750">
        <v>8000000</v>
      </c>
      <c r="Z32" s="750">
        <v>8000000</v>
      </c>
      <c r="AA32" s="533" t="s">
        <v>1248</v>
      </c>
      <c r="AB32" s="4331"/>
      <c r="AC32" s="2546"/>
      <c r="AD32" s="4309"/>
      <c r="AE32" s="2511"/>
      <c r="AF32" s="4309"/>
      <c r="AG32" s="4309"/>
      <c r="AH32" s="4309"/>
      <c r="AI32" s="4309"/>
      <c r="AJ32" s="4309"/>
      <c r="AK32" s="4309"/>
      <c r="AL32" s="4309"/>
      <c r="AM32" s="4309"/>
      <c r="AN32" s="4309"/>
      <c r="AO32" s="4309"/>
      <c r="AP32" s="4309"/>
      <c r="AQ32" s="4309"/>
      <c r="AR32" s="4309"/>
      <c r="AS32" s="4309"/>
      <c r="AT32" s="4309"/>
      <c r="AU32" s="4309"/>
      <c r="AV32" s="4309"/>
      <c r="AW32" s="4309"/>
      <c r="AX32" s="4309"/>
      <c r="AY32" s="4309"/>
      <c r="AZ32" s="4309"/>
      <c r="BA32" s="4309"/>
      <c r="BB32" s="4309"/>
      <c r="BC32" s="4309"/>
      <c r="BD32" s="4309"/>
      <c r="BE32" s="4309"/>
      <c r="BF32" s="4309"/>
      <c r="BG32" s="4309"/>
      <c r="BH32" s="3948"/>
      <c r="BI32" s="3948"/>
      <c r="BJ32" s="3948"/>
      <c r="BK32" s="4333"/>
      <c r="BL32" s="4333"/>
      <c r="BM32" s="3668"/>
      <c r="BN32" s="3948"/>
      <c r="BO32" s="3948"/>
      <c r="BP32" s="3948"/>
      <c r="BQ32" s="4330"/>
      <c r="BR32" s="4330"/>
      <c r="BS32" s="4330"/>
      <c r="BT32" s="4330"/>
      <c r="BU32" s="3948"/>
    </row>
    <row r="33" spans="1:73" ht="58.5" customHeight="1" x14ac:dyDescent="0.25">
      <c r="A33" s="2909"/>
      <c r="B33" s="2910"/>
      <c r="C33" s="279"/>
      <c r="D33" s="975"/>
      <c r="E33" s="3982"/>
      <c r="F33" s="3982"/>
      <c r="G33" s="4299"/>
      <c r="H33" s="2713"/>
      <c r="I33" s="2697"/>
      <c r="J33" s="2514"/>
      <c r="K33" s="2697"/>
      <c r="L33" s="2514"/>
      <c r="M33" s="2697"/>
      <c r="N33" s="2514"/>
      <c r="O33" s="2697"/>
      <c r="P33" s="2697"/>
      <c r="Q33" s="3982"/>
      <c r="R33" s="4119"/>
      <c r="S33" s="4304"/>
      <c r="T33" s="4305"/>
      <c r="U33" s="4119"/>
      <c r="V33" s="4306"/>
      <c r="W33" s="826" t="s">
        <v>1250</v>
      </c>
      <c r="X33" s="979">
        <v>104400000</v>
      </c>
      <c r="Y33" s="750">
        <v>80923560</v>
      </c>
      <c r="Z33" s="750">
        <f>+Y33</f>
        <v>80923560</v>
      </c>
      <c r="AA33" s="533" t="s">
        <v>1248</v>
      </c>
      <c r="AB33" s="4331"/>
      <c r="AC33" s="2546"/>
      <c r="AD33" s="4309"/>
      <c r="AE33" s="2511"/>
      <c r="AF33" s="4309"/>
      <c r="AG33" s="4309"/>
      <c r="AH33" s="4309"/>
      <c r="AI33" s="4309"/>
      <c r="AJ33" s="4309"/>
      <c r="AK33" s="4309"/>
      <c r="AL33" s="4309"/>
      <c r="AM33" s="4309"/>
      <c r="AN33" s="4309"/>
      <c r="AO33" s="4309"/>
      <c r="AP33" s="4309"/>
      <c r="AQ33" s="4309"/>
      <c r="AR33" s="4309"/>
      <c r="AS33" s="4309"/>
      <c r="AT33" s="4309"/>
      <c r="AU33" s="4309"/>
      <c r="AV33" s="4309"/>
      <c r="AW33" s="4309"/>
      <c r="AX33" s="4309"/>
      <c r="AY33" s="4309"/>
      <c r="AZ33" s="4309"/>
      <c r="BA33" s="4309"/>
      <c r="BB33" s="4309"/>
      <c r="BC33" s="4309"/>
      <c r="BD33" s="4309"/>
      <c r="BE33" s="4309"/>
      <c r="BF33" s="4309"/>
      <c r="BG33" s="4309"/>
      <c r="BH33" s="3948"/>
      <c r="BI33" s="3948"/>
      <c r="BJ33" s="3948"/>
      <c r="BK33" s="4333"/>
      <c r="BL33" s="4333"/>
      <c r="BM33" s="3668"/>
      <c r="BN33" s="3948"/>
      <c r="BO33" s="3948"/>
      <c r="BP33" s="3948"/>
      <c r="BQ33" s="4330"/>
      <c r="BR33" s="4330"/>
      <c r="BS33" s="4330"/>
      <c r="BT33" s="4330"/>
      <c r="BU33" s="3948"/>
    </row>
    <row r="34" spans="1:73" ht="33.75" customHeight="1" x14ac:dyDescent="0.25">
      <c r="A34" s="2909"/>
      <c r="B34" s="2910"/>
      <c r="C34" s="279"/>
      <c r="D34" s="975"/>
      <c r="E34" s="3982"/>
      <c r="F34" s="3982"/>
      <c r="G34" s="4299"/>
      <c r="H34" s="2713"/>
      <c r="I34" s="2697"/>
      <c r="J34" s="2514"/>
      <c r="K34" s="2697"/>
      <c r="L34" s="2514"/>
      <c r="M34" s="2697"/>
      <c r="N34" s="2514"/>
      <c r="O34" s="2697"/>
      <c r="P34" s="2697"/>
      <c r="Q34" s="3982"/>
      <c r="R34" s="4119"/>
      <c r="S34" s="4304"/>
      <c r="T34" s="4305"/>
      <c r="U34" s="4119"/>
      <c r="V34" s="4306"/>
      <c r="W34" s="980" t="s">
        <v>1251</v>
      </c>
      <c r="X34" s="979">
        <v>4000000</v>
      </c>
      <c r="Y34" s="750">
        <v>3968000</v>
      </c>
      <c r="Z34" s="750">
        <f>+Y34</f>
        <v>3968000</v>
      </c>
      <c r="AA34" s="533" t="s">
        <v>1252</v>
      </c>
      <c r="AB34" s="4331"/>
      <c r="AC34" s="2546"/>
      <c r="AD34" s="4309"/>
      <c r="AE34" s="2511"/>
      <c r="AF34" s="4309"/>
      <c r="AG34" s="4309"/>
      <c r="AH34" s="4309"/>
      <c r="AI34" s="4309"/>
      <c r="AJ34" s="4309"/>
      <c r="AK34" s="4309"/>
      <c r="AL34" s="4309"/>
      <c r="AM34" s="4309"/>
      <c r="AN34" s="4309"/>
      <c r="AO34" s="4309"/>
      <c r="AP34" s="4309"/>
      <c r="AQ34" s="4309"/>
      <c r="AR34" s="4309"/>
      <c r="AS34" s="4309"/>
      <c r="AT34" s="4309"/>
      <c r="AU34" s="4309"/>
      <c r="AV34" s="4309"/>
      <c r="AW34" s="4309"/>
      <c r="AX34" s="4309"/>
      <c r="AY34" s="4309"/>
      <c r="AZ34" s="4309"/>
      <c r="BA34" s="4309"/>
      <c r="BB34" s="4309"/>
      <c r="BC34" s="4309"/>
      <c r="BD34" s="4309"/>
      <c r="BE34" s="4309"/>
      <c r="BF34" s="4309"/>
      <c r="BG34" s="4309"/>
      <c r="BH34" s="3948"/>
      <c r="BI34" s="3948"/>
      <c r="BJ34" s="3948"/>
      <c r="BK34" s="4333"/>
      <c r="BL34" s="4333"/>
      <c r="BM34" s="3668"/>
      <c r="BN34" s="3948"/>
      <c r="BO34" s="3948"/>
      <c r="BP34" s="3948"/>
      <c r="BQ34" s="4330"/>
      <c r="BR34" s="4330"/>
      <c r="BS34" s="4330"/>
      <c r="BT34" s="4330"/>
      <c r="BU34" s="3948"/>
    </row>
    <row r="35" spans="1:73" ht="33.75" customHeight="1" x14ac:dyDescent="0.25">
      <c r="A35" s="2909"/>
      <c r="B35" s="2910"/>
      <c r="C35" s="279"/>
      <c r="D35" s="975"/>
      <c r="E35" s="3982"/>
      <c r="F35" s="3982"/>
      <c r="G35" s="4299"/>
      <c r="H35" s="2713"/>
      <c r="I35" s="2697"/>
      <c r="J35" s="2514"/>
      <c r="K35" s="2697"/>
      <c r="L35" s="2514"/>
      <c r="M35" s="2697"/>
      <c r="N35" s="2514"/>
      <c r="O35" s="2697"/>
      <c r="P35" s="2697"/>
      <c r="Q35" s="3982"/>
      <c r="R35" s="4119"/>
      <c r="S35" s="4304"/>
      <c r="T35" s="4305"/>
      <c r="U35" s="4119"/>
      <c r="V35" s="4306"/>
      <c r="W35" s="981" t="s">
        <v>1253</v>
      </c>
      <c r="X35" s="979">
        <v>3000000</v>
      </c>
      <c r="Y35" s="750">
        <v>3000000</v>
      </c>
      <c r="Z35" s="750">
        <f>+Y35</f>
        <v>3000000</v>
      </c>
      <c r="AA35" s="533" t="s">
        <v>1254</v>
      </c>
      <c r="AB35" s="4331"/>
      <c r="AC35" s="2546"/>
      <c r="AD35" s="4332"/>
      <c r="AE35" s="2511"/>
      <c r="AF35" s="4309"/>
      <c r="AG35" s="4309"/>
      <c r="AH35" s="4309"/>
      <c r="AI35" s="4309"/>
      <c r="AJ35" s="4309"/>
      <c r="AK35" s="4309"/>
      <c r="AL35" s="4309"/>
      <c r="AM35" s="4309"/>
      <c r="AN35" s="4309"/>
      <c r="AO35" s="4309"/>
      <c r="AP35" s="4309"/>
      <c r="AQ35" s="4309"/>
      <c r="AR35" s="4309"/>
      <c r="AS35" s="4309"/>
      <c r="AT35" s="4309"/>
      <c r="AU35" s="4309"/>
      <c r="AV35" s="4309"/>
      <c r="AW35" s="4309"/>
      <c r="AX35" s="4309"/>
      <c r="AY35" s="4309"/>
      <c r="AZ35" s="4309"/>
      <c r="BA35" s="4309"/>
      <c r="BB35" s="4309"/>
      <c r="BC35" s="4309"/>
      <c r="BD35" s="4309"/>
      <c r="BE35" s="4309"/>
      <c r="BF35" s="4309"/>
      <c r="BG35" s="4309"/>
      <c r="BH35" s="3948"/>
      <c r="BI35" s="3948"/>
      <c r="BJ35" s="3948"/>
      <c r="BK35" s="4333"/>
      <c r="BL35" s="4333"/>
      <c r="BM35" s="3668"/>
      <c r="BN35" s="3948"/>
      <c r="BO35" s="3948"/>
      <c r="BP35" s="3948"/>
      <c r="BQ35" s="4330"/>
      <c r="BR35" s="2701"/>
      <c r="BS35" s="4330"/>
      <c r="BT35" s="2701"/>
      <c r="BU35" s="3948"/>
    </row>
    <row r="36" spans="1:73" ht="130.5" customHeight="1" x14ac:dyDescent="0.25">
      <c r="A36" s="2909"/>
      <c r="B36" s="2910"/>
      <c r="C36" s="279"/>
      <c r="D36" s="975"/>
      <c r="E36" s="3982"/>
      <c r="F36" s="3982"/>
      <c r="G36" s="982" t="s">
        <v>20</v>
      </c>
      <c r="H36" s="983" t="s">
        <v>1255</v>
      </c>
      <c r="I36" s="688">
        <v>4102035</v>
      </c>
      <c r="J36" s="815" t="s">
        <v>1218</v>
      </c>
      <c r="K36" s="719" t="s">
        <v>1256</v>
      </c>
      <c r="L36" s="984" t="s">
        <v>1257</v>
      </c>
      <c r="M36" s="719" t="s">
        <v>1258</v>
      </c>
      <c r="N36" s="984" t="s">
        <v>1259</v>
      </c>
      <c r="O36" s="985">
        <v>1</v>
      </c>
      <c r="P36" s="985">
        <v>0.9</v>
      </c>
      <c r="Q36" s="4337" t="s">
        <v>1260</v>
      </c>
      <c r="R36" s="4338" t="s">
        <v>1261</v>
      </c>
      <c r="S36" s="986">
        <f>SUM(X36)/T36</f>
        <v>3.7685231015004678E-2</v>
      </c>
      <c r="T36" s="4340">
        <f>SUM(X36:X44)</f>
        <v>624647889</v>
      </c>
      <c r="U36" s="4342" t="s">
        <v>1262</v>
      </c>
      <c r="V36" s="4343" t="s">
        <v>1263</v>
      </c>
      <c r="W36" s="715" t="s">
        <v>1264</v>
      </c>
      <c r="X36" s="417">
        <v>23540000</v>
      </c>
      <c r="Y36" s="750">
        <v>23540000</v>
      </c>
      <c r="Z36" s="750">
        <v>23540000</v>
      </c>
      <c r="AA36" s="976" t="s">
        <v>1265</v>
      </c>
      <c r="AB36" s="977">
        <v>20</v>
      </c>
      <c r="AC36" s="714" t="s">
        <v>422</v>
      </c>
      <c r="AD36" s="2560">
        <v>15600</v>
      </c>
      <c r="AE36" s="4310">
        <v>15976</v>
      </c>
      <c r="AF36" s="4335">
        <v>14400</v>
      </c>
      <c r="AG36" s="4310">
        <v>15969</v>
      </c>
      <c r="AH36" s="4334">
        <v>25000</v>
      </c>
      <c r="AI36" s="4310">
        <v>26905</v>
      </c>
      <c r="AJ36" s="4335">
        <v>3750</v>
      </c>
      <c r="AK36" s="4310">
        <v>5038</v>
      </c>
      <c r="AL36" s="4334">
        <v>1250</v>
      </c>
      <c r="AM36" s="4310">
        <v>2</v>
      </c>
      <c r="AN36" s="4335" t="s">
        <v>153</v>
      </c>
      <c r="AO36" s="4310">
        <v>1</v>
      </c>
      <c r="AP36" s="4334" t="s">
        <v>153</v>
      </c>
      <c r="AQ36" s="4310">
        <v>5</v>
      </c>
      <c r="AR36" s="4335" t="s">
        <v>153</v>
      </c>
      <c r="AS36" s="4310">
        <v>3</v>
      </c>
      <c r="AT36" s="4334"/>
      <c r="AU36" s="4310"/>
      <c r="AV36" s="4335" t="s">
        <v>153</v>
      </c>
      <c r="AW36" s="4310"/>
      <c r="AX36" s="4334" t="s">
        <v>153</v>
      </c>
      <c r="AY36" s="4310"/>
      <c r="AZ36" s="4335" t="s">
        <v>153</v>
      </c>
      <c r="BA36" s="4310"/>
      <c r="BB36" s="4334" t="s">
        <v>153</v>
      </c>
      <c r="BC36" s="4310">
        <v>49</v>
      </c>
      <c r="BD36" s="4335"/>
      <c r="BE36" s="4310">
        <v>79</v>
      </c>
      <c r="BF36" s="4334" t="s">
        <v>153</v>
      </c>
      <c r="BG36" s="4310"/>
      <c r="BH36" s="4336">
        <v>30000</v>
      </c>
      <c r="BI36" s="4310">
        <v>31945</v>
      </c>
      <c r="BJ36" s="4310">
        <v>17</v>
      </c>
      <c r="BK36" s="4351">
        <f>SUM(Y36:Y44)</f>
        <v>604076511</v>
      </c>
      <c r="BL36" s="4351">
        <f>SUM(Z36:Z44)</f>
        <v>604076511</v>
      </c>
      <c r="BM36" s="2805">
        <f>BL36/BK36</f>
        <v>1</v>
      </c>
      <c r="BN36" s="2560">
        <v>20</v>
      </c>
      <c r="BO36" s="2560" t="s">
        <v>422</v>
      </c>
      <c r="BP36" s="2560" t="s">
        <v>1226</v>
      </c>
      <c r="BQ36" s="4347">
        <v>44197</v>
      </c>
      <c r="BR36" s="4348">
        <v>44243</v>
      </c>
      <c r="BS36" s="4349">
        <v>44561</v>
      </c>
      <c r="BT36" s="4348">
        <v>44362</v>
      </c>
      <c r="BU36" s="4110" t="s">
        <v>1226</v>
      </c>
    </row>
    <row r="37" spans="1:73" ht="69" customHeight="1" x14ac:dyDescent="0.25">
      <c r="A37" s="2909"/>
      <c r="B37" s="2910"/>
      <c r="C37" s="279"/>
      <c r="D37" s="975"/>
      <c r="E37" s="3982"/>
      <c r="F37" s="3982"/>
      <c r="G37" s="4299" t="s">
        <v>20</v>
      </c>
      <c r="H37" s="2713" t="s">
        <v>1266</v>
      </c>
      <c r="I37" s="4303" t="s">
        <v>1267</v>
      </c>
      <c r="J37" s="2514" t="s">
        <v>1268</v>
      </c>
      <c r="K37" s="4346">
        <v>410204301</v>
      </c>
      <c r="L37" s="2514" t="s">
        <v>1269</v>
      </c>
      <c r="M37" s="4346">
        <v>410204301</v>
      </c>
      <c r="N37" s="2720" t="s">
        <v>1270</v>
      </c>
      <c r="O37" s="2546">
        <v>1</v>
      </c>
      <c r="P37" s="2546">
        <v>1</v>
      </c>
      <c r="Q37" s="3982"/>
      <c r="R37" s="4339"/>
      <c r="S37" s="3668">
        <f>SUM(X37:X44)/T36</f>
        <v>0.96231476898499535</v>
      </c>
      <c r="T37" s="4341"/>
      <c r="U37" s="4306"/>
      <c r="V37" s="4344"/>
      <c r="W37" s="715" t="s">
        <v>1271</v>
      </c>
      <c r="X37" s="417">
        <v>19813334</v>
      </c>
      <c r="Y37" s="750">
        <v>19000000</v>
      </c>
      <c r="Z37" s="750">
        <f>+Y37</f>
        <v>19000000</v>
      </c>
      <c r="AA37" s="976" t="s">
        <v>1272</v>
      </c>
      <c r="AB37" s="977">
        <v>20</v>
      </c>
      <c r="AC37" s="714" t="s">
        <v>422</v>
      </c>
      <c r="AD37" s="2560"/>
      <c r="AE37" s="4310"/>
      <c r="AF37" s="4309"/>
      <c r="AG37" s="4310"/>
      <c r="AH37" s="4334"/>
      <c r="AI37" s="4310"/>
      <c r="AJ37" s="4309"/>
      <c r="AK37" s="4310"/>
      <c r="AL37" s="4334"/>
      <c r="AM37" s="4310"/>
      <c r="AN37" s="4309"/>
      <c r="AO37" s="4310"/>
      <c r="AP37" s="4334"/>
      <c r="AQ37" s="4310"/>
      <c r="AR37" s="4309"/>
      <c r="AS37" s="4310"/>
      <c r="AT37" s="4334"/>
      <c r="AU37" s="4310"/>
      <c r="AV37" s="4309"/>
      <c r="AW37" s="4310"/>
      <c r="AX37" s="4334"/>
      <c r="AY37" s="4310"/>
      <c r="AZ37" s="4309"/>
      <c r="BA37" s="4310"/>
      <c r="BB37" s="4334"/>
      <c r="BC37" s="4310"/>
      <c r="BD37" s="4309"/>
      <c r="BE37" s="4310"/>
      <c r="BF37" s="4334"/>
      <c r="BG37" s="4310"/>
      <c r="BH37" s="3948"/>
      <c r="BI37" s="4310"/>
      <c r="BJ37" s="4310"/>
      <c r="BK37" s="4351"/>
      <c r="BL37" s="4351"/>
      <c r="BM37" s="2805"/>
      <c r="BN37" s="2560"/>
      <c r="BO37" s="2560"/>
      <c r="BP37" s="2560"/>
      <c r="BQ37" s="4347"/>
      <c r="BR37" s="4348"/>
      <c r="BS37" s="4350"/>
      <c r="BT37" s="4348"/>
      <c r="BU37" s="4110"/>
    </row>
    <row r="38" spans="1:73" ht="120" customHeight="1" x14ac:dyDescent="0.25">
      <c r="A38" s="2909"/>
      <c r="B38" s="2910"/>
      <c r="C38" s="279"/>
      <c r="D38" s="975"/>
      <c r="E38" s="3982"/>
      <c r="F38" s="3982"/>
      <c r="G38" s="4299"/>
      <c r="H38" s="2713"/>
      <c r="I38" s="4303"/>
      <c r="J38" s="2514"/>
      <c r="K38" s="4346"/>
      <c r="L38" s="2514"/>
      <c r="M38" s="4346"/>
      <c r="N38" s="2720"/>
      <c r="O38" s="2546"/>
      <c r="P38" s="2546"/>
      <c r="Q38" s="3982"/>
      <c r="R38" s="4339"/>
      <c r="S38" s="3668"/>
      <c r="T38" s="4341"/>
      <c r="U38" s="4306"/>
      <c r="V38" s="4344"/>
      <c r="W38" s="715" t="s">
        <v>1273</v>
      </c>
      <c r="X38" s="417">
        <v>28006666</v>
      </c>
      <c r="Y38" s="750">
        <v>27050000</v>
      </c>
      <c r="Z38" s="750">
        <f>+Y38</f>
        <v>27050000</v>
      </c>
      <c r="AA38" s="976" t="s">
        <v>1272</v>
      </c>
      <c r="AB38" s="977">
        <v>20</v>
      </c>
      <c r="AC38" s="714" t="s">
        <v>422</v>
      </c>
      <c r="AD38" s="2560"/>
      <c r="AE38" s="4310"/>
      <c r="AF38" s="4309"/>
      <c r="AG38" s="4310"/>
      <c r="AH38" s="4334"/>
      <c r="AI38" s="4310"/>
      <c r="AJ38" s="4309"/>
      <c r="AK38" s="4310"/>
      <c r="AL38" s="4334"/>
      <c r="AM38" s="4310"/>
      <c r="AN38" s="4309"/>
      <c r="AO38" s="4310"/>
      <c r="AP38" s="4334"/>
      <c r="AQ38" s="4310"/>
      <c r="AR38" s="4309"/>
      <c r="AS38" s="4310"/>
      <c r="AT38" s="4334"/>
      <c r="AU38" s="4310"/>
      <c r="AV38" s="4309"/>
      <c r="AW38" s="4310"/>
      <c r="AX38" s="4334"/>
      <c r="AY38" s="4310"/>
      <c r="AZ38" s="4309"/>
      <c r="BA38" s="4310"/>
      <c r="BB38" s="4334"/>
      <c r="BC38" s="4310"/>
      <c r="BD38" s="4309"/>
      <c r="BE38" s="4310"/>
      <c r="BF38" s="4334"/>
      <c r="BG38" s="4310"/>
      <c r="BH38" s="3948"/>
      <c r="BI38" s="4310"/>
      <c r="BJ38" s="4310"/>
      <c r="BK38" s="4351"/>
      <c r="BL38" s="4351"/>
      <c r="BM38" s="2805"/>
      <c r="BN38" s="2560"/>
      <c r="BO38" s="2560"/>
      <c r="BP38" s="2560"/>
      <c r="BQ38" s="4347"/>
      <c r="BR38" s="4348"/>
      <c r="BS38" s="4350"/>
      <c r="BT38" s="4348"/>
      <c r="BU38" s="4110"/>
    </row>
    <row r="39" spans="1:73" ht="71.25" customHeight="1" x14ac:dyDescent="0.25">
      <c r="A39" s="2909"/>
      <c r="B39" s="2910"/>
      <c r="C39" s="279"/>
      <c r="D39" s="975"/>
      <c r="E39" s="3982"/>
      <c r="F39" s="3982"/>
      <c r="G39" s="4299"/>
      <c r="H39" s="2713"/>
      <c r="I39" s="4303"/>
      <c r="J39" s="2514"/>
      <c r="K39" s="4346"/>
      <c r="L39" s="2514"/>
      <c r="M39" s="4346"/>
      <c r="N39" s="2720"/>
      <c r="O39" s="2546"/>
      <c r="P39" s="2546"/>
      <c r="Q39" s="3982"/>
      <c r="R39" s="4339"/>
      <c r="S39" s="3668"/>
      <c r="T39" s="4341"/>
      <c r="U39" s="4306"/>
      <c r="V39" s="4344"/>
      <c r="W39" s="4321" t="s">
        <v>1274</v>
      </c>
      <c r="X39" s="987">
        <v>219623307</v>
      </c>
      <c r="Y39" s="750">
        <f>124839672+93783307</f>
        <v>218622979</v>
      </c>
      <c r="Z39" s="750">
        <f>+Y39</f>
        <v>218622979</v>
      </c>
      <c r="AA39" s="976" t="s">
        <v>1275</v>
      </c>
      <c r="AB39" s="977">
        <v>20</v>
      </c>
      <c r="AC39" s="714" t="s">
        <v>422</v>
      </c>
      <c r="AD39" s="2560"/>
      <c r="AE39" s="4310"/>
      <c r="AF39" s="4309"/>
      <c r="AG39" s="4310"/>
      <c r="AH39" s="4334"/>
      <c r="AI39" s="4310"/>
      <c r="AJ39" s="4309"/>
      <c r="AK39" s="4310"/>
      <c r="AL39" s="4334"/>
      <c r="AM39" s="4310"/>
      <c r="AN39" s="4309"/>
      <c r="AO39" s="4310"/>
      <c r="AP39" s="4334"/>
      <c r="AQ39" s="4310"/>
      <c r="AR39" s="4309"/>
      <c r="AS39" s="4310"/>
      <c r="AT39" s="4334"/>
      <c r="AU39" s="4310"/>
      <c r="AV39" s="4309"/>
      <c r="AW39" s="4310"/>
      <c r="AX39" s="4334"/>
      <c r="AY39" s="4310"/>
      <c r="AZ39" s="4309"/>
      <c r="BA39" s="4310"/>
      <c r="BB39" s="4334"/>
      <c r="BC39" s="4310"/>
      <c r="BD39" s="4309"/>
      <c r="BE39" s="4310"/>
      <c r="BF39" s="4334"/>
      <c r="BG39" s="4310"/>
      <c r="BH39" s="3948"/>
      <c r="BI39" s="4310"/>
      <c r="BJ39" s="4310"/>
      <c r="BK39" s="4351"/>
      <c r="BL39" s="4351"/>
      <c r="BM39" s="2805"/>
      <c r="BN39" s="2560"/>
      <c r="BO39" s="2560"/>
      <c r="BP39" s="2560"/>
      <c r="BQ39" s="4347"/>
      <c r="BR39" s="4348"/>
      <c r="BS39" s="4350"/>
      <c r="BT39" s="4348"/>
      <c r="BU39" s="4110"/>
    </row>
    <row r="40" spans="1:73" ht="71.25" customHeight="1" x14ac:dyDescent="0.25">
      <c r="A40" s="2909"/>
      <c r="B40" s="2910"/>
      <c r="C40" s="279"/>
      <c r="D40" s="975"/>
      <c r="E40" s="3982"/>
      <c r="F40" s="3982"/>
      <c r="G40" s="4299"/>
      <c r="H40" s="2713"/>
      <c r="I40" s="4303"/>
      <c r="J40" s="2514"/>
      <c r="K40" s="4346"/>
      <c r="L40" s="2514"/>
      <c r="M40" s="4346"/>
      <c r="N40" s="2720"/>
      <c r="O40" s="2546"/>
      <c r="P40" s="2546"/>
      <c r="Q40" s="3982"/>
      <c r="R40" s="4339"/>
      <c r="S40" s="3668"/>
      <c r="T40" s="4341"/>
      <c r="U40" s="4306"/>
      <c r="V40" s="4344"/>
      <c r="W40" s="4321"/>
      <c r="X40" s="988">
        <v>232865082</v>
      </c>
      <c r="Y40" s="750">
        <f>167648389+65216643</f>
        <v>232865032</v>
      </c>
      <c r="Z40" s="750">
        <f>+Y40</f>
        <v>232865032</v>
      </c>
      <c r="AA40" s="976" t="s">
        <v>1276</v>
      </c>
      <c r="AB40" s="977">
        <v>88</v>
      </c>
      <c r="AC40" s="714" t="s">
        <v>1228</v>
      </c>
      <c r="AD40" s="2560"/>
      <c r="AE40" s="4310"/>
      <c r="AF40" s="4309"/>
      <c r="AG40" s="4310"/>
      <c r="AH40" s="4334"/>
      <c r="AI40" s="4310"/>
      <c r="AJ40" s="4309"/>
      <c r="AK40" s="4310"/>
      <c r="AL40" s="4334"/>
      <c r="AM40" s="4310"/>
      <c r="AN40" s="4309"/>
      <c r="AO40" s="4310"/>
      <c r="AP40" s="4334"/>
      <c r="AQ40" s="4310"/>
      <c r="AR40" s="4309"/>
      <c r="AS40" s="4310"/>
      <c r="AT40" s="4334"/>
      <c r="AU40" s="4310"/>
      <c r="AV40" s="4309"/>
      <c r="AW40" s="4310"/>
      <c r="AX40" s="4334"/>
      <c r="AY40" s="4310"/>
      <c r="AZ40" s="4309"/>
      <c r="BA40" s="4310"/>
      <c r="BB40" s="4334"/>
      <c r="BC40" s="4310"/>
      <c r="BD40" s="4309"/>
      <c r="BE40" s="4310"/>
      <c r="BF40" s="4334"/>
      <c r="BG40" s="4310"/>
      <c r="BH40" s="3948"/>
      <c r="BI40" s="4310"/>
      <c r="BJ40" s="4310"/>
      <c r="BK40" s="4351"/>
      <c r="BL40" s="4351"/>
      <c r="BM40" s="2805"/>
      <c r="BN40" s="2560"/>
      <c r="BO40" s="2560"/>
      <c r="BP40" s="2560"/>
      <c r="BQ40" s="4347"/>
      <c r="BR40" s="4348"/>
      <c r="BS40" s="4350"/>
      <c r="BT40" s="4348"/>
      <c r="BU40" s="4110"/>
    </row>
    <row r="41" spans="1:73" ht="71.25" customHeight="1" x14ac:dyDescent="0.25">
      <c r="A41" s="2909"/>
      <c r="B41" s="2910"/>
      <c r="C41" s="279"/>
      <c r="D41" s="975"/>
      <c r="E41" s="3982"/>
      <c r="F41" s="3982"/>
      <c r="G41" s="4299"/>
      <c r="H41" s="2713"/>
      <c r="I41" s="4303"/>
      <c r="J41" s="2514"/>
      <c r="K41" s="4346"/>
      <c r="L41" s="2514"/>
      <c r="M41" s="4346"/>
      <c r="N41" s="2720"/>
      <c r="O41" s="2546"/>
      <c r="P41" s="2546"/>
      <c r="Q41" s="3982"/>
      <c r="R41" s="4339"/>
      <c r="S41" s="3668"/>
      <c r="T41" s="4341"/>
      <c r="U41" s="4306"/>
      <c r="V41" s="4344"/>
      <c r="W41" s="4321"/>
      <c r="X41" s="987">
        <v>56999500</v>
      </c>
      <c r="Y41" s="750">
        <f>+X41</f>
        <v>56999500</v>
      </c>
      <c r="Z41" s="750">
        <f>+Y41</f>
        <v>56999500</v>
      </c>
      <c r="AA41" s="976" t="s">
        <v>1277</v>
      </c>
      <c r="AB41" s="977">
        <v>88</v>
      </c>
      <c r="AC41" s="714" t="s">
        <v>1228</v>
      </c>
      <c r="AD41" s="2560"/>
      <c r="AE41" s="4310"/>
      <c r="AF41" s="4309"/>
      <c r="AG41" s="4310"/>
      <c r="AH41" s="4334"/>
      <c r="AI41" s="4310"/>
      <c r="AJ41" s="4309"/>
      <c r="AK41" s="4310"/>
      <c r="AL41" s="4334"/>
      <c r="AM41" s="4310"/>
      <c r="AN41" s="4309"/>
      <c r="AO41" s="4310"/>
      <c r="AP41" s="4334"/>
      <c r="AQ41" s="4310"/>
      <c r="AR41" s="4309"/>
      <c r="AS41" s="4310"/>
      <c r="AT41" s="4334"/>
      <c r="AU41" s="4310"/>
      <c r="AV41" s="4309"/>
      <c r="AW41" s="4310"/>
      <c r="AX41" s="4334"/>
      <c r="AY41" s="4310"/>
      <c r="AZ41" s="4309"/>
      <c r="BA41" s="4310"/>
      <c r="BB41" s="4334"/>
      <c r="BC41" s="4310"/>
      <c r="BD41" s="4309"/>
      <c r="BE41" s="4310"/>
      <c r="BF41" s="4334"/>
      <c r="BG41" s="4310"/>
      <c r="BH41" s="3948"/>
      <c r="BI41" s="4310"/>
      <c r="BJ41" s="4310"/>
      <c r="BK41" s="4351"/>
      <c r="BL41" s="4351"/>
      <c r="BM41" s="2805"/>
      <c r="BN41" s="2560"/>
      <c r="BO41" s="2560"/>
      <c r="BP41" s="2560"/>
      <c r="BQ41" s="4347"/>
      <c r="BR41" s="4348"/>
      <c r="BS41" s="4350"/>
      <c r="BT41" s="4348"/>
      <c r="BU41" s="4110"/>
    </row>
    <row r="42" spans="1:73" ht="87.75" customHeight="1" x14ac:dyDescent="0.25">
      <c r="A42" s="2909"/>
      <c r="B42" s="2910"/>
      <c r="C42" s="279"/>
      <c r="D42" s="975"/>
      <c r="E42" s="3982"/>
      <c r="F42" s="3982"/>
      <c r="G42" s="4299"/>
      <c r="H42" s="2713"/>
      <c r="I42" s="4303"/>
      <c r="J42" s="2514"/>
      <c r="K42" s="4346"/>
      <c r="L42" s="2514"/>
      <c r="M42" s="4346"/>
      <c r="N42" s="2720"/>
      <c r="O42" s="2546"/>
      <c r="P42" s="2546"/>
      <c r="Q42" s="3982"/>
      <c r="R42" s="4339"/>
      <c r="S42" s="3668"/>
      <c r="T42" s="4341"/>
      <c r="U42" s="4306"/>
      <c r="V42" s="4344"/>
      <c r="W42" s="715" t="s">
        <v>1278</v>
      </c>
      <c r="X42" s="417">
        <v>30800000</v>
      </c>
      <c r="Y42" s="750">
        <v>17000000</v>
      </c>
      <c r="Z42" s="750">
        <v>17000000</v>
      </c>
      <c r="AA42" s="976" t="s">
        <v>1272</v>
      </c>
      <c r="AB42" s="977">
        <v>20</v>
      </c>
      <c r="AC42" s="714" t="s">
        <v>422</v>
      </c>
      <c r="AD42" s="2560"/>
      <c r="AE42" s="4310"/>
      <c r="AF42" s="4309"/>
      <c r="AG42" s="4310"/>
      <c r="AH42" s="4334"/>
      <c r="AI42" s="4310"/>
      <c r="AJ42" s="4309"/>
      <c r="AK42" s="4310"/>
      <c r="AL42" s="4334"/>
      <c r="AM42" s="4310"/>
      <c r="AN42" s="4309"/>
      <c r="AO42" s="4310"/>
      <c r="AP42" s="4334"/>
      <c r="AQ42" s="4310"/>
      <c r="AR42" s="4309"/>
      <c r="AS42" s="4310"/>
      <c r="AT42" s="4334"/>
      <c r="AU42" s="4310"/>
      <c r="AV42" s="4309"/>
      <c r="AW42" s="4310"/>
      <c r="AX42" s="4334"/>
      <c r="AY42" s="4310"/>
      <c r="AZ42" s="4309"/>
      <c r="BA42" s="4310"/>
      <c r="BB42" s="4334"/>
      <c r="BC42" s="4310"/>
      <c r="BD42" s="4309"/>
      <c r="BE42" s="4310"/>
      <c r="BF42" s="4334"/>
      <c r="BG42" s="4310"/>
      <c r="BH42" s="3948"/>
      <c r="BI42" s="4310"/>
      <c r="BJ42" s="4310"/>
      <c r="BK42" s="4351"/>
      <c r="BL42" s="4351"/>
      <c r="BM42" s="2805"/>
      <c r="BN42" s="2560"/>
      <c r="BO42" s="2560"/>
      <c r="BP42" s="2560"/>
      <c r="BQ42" s="4347"/>
      <c r="BR42" s="4348"/>
      <c r="BS42" s="4350"/>
      <c r="BT42" s="4348"/>
      <c r="BU42" s="4110"/>
    </row>
    <row r="43" spans="1:73" ht="48" customHeight="1" x14ac:dyDescent="0.25">
      <c r="A43" s="2909"/>
      <c r="B43" s="2910"/>
      <c r="C43" s="279"/>
      <c r="D43" s="975"/>
      <c r="E43" s="3982"/>
      <c r="F43" s="3982"/>
      <c r="G43" s="4299"/>
      <c r="H43" s="2713"/>
      <c r="I43" s="4303"/>
      <c r="J43" s="2514"/>
      <c r="K43" s="4346"/>
      <c r="L43" s="2514"/>
      <c r="M43" s="4346"/>
      <c r="N43" s="2720"/>
      <c r="O43" s="2546"/>
      <c r="P43" s="2546"/>
      <c r="Q43" s="3982"/>
      <c r="R43" s="4339"/>
      <c r="S43" s="3668"/>
      <c r="T43" s="4341"/>
      <c r="U43" s="4306"/>
      <c r="V43" s="4344"/>
      <c r="W43" s="989" t="s">
        <v>1279</v>
      </c>
      <c r="X43" s="417">
        <v>5000000</v>
      </c>
      <c r="Y43" s="750">
        <v>1000000</v>
      </c>
      <c r="Z43" s="750">
        <f t="shared" ref="Z43:Z51" si="0">+Y43</f>
        <v>1000000</v>
      </c>
      <c r="AA43" s="976" t="s">
        <v>1272</v>
      </c>
      <c r="AB43" s="977">
        <v>20</v>
      </c>
      <c r="AC43" s="714" t="s">
        <v>422</v>
      </c>
      <c r="AD43" s="2560"/>
      <c r="AE43" s="4310"/>
      <c r="AF43" s="4309"/>
      <c r="AG43" s="4310"/>
      <c r="AH43" s="4334"/>
      <c r="AI43" s="4310"/>
      <c r="AJ43" s="4309"/>
      <c r="AK43" s="4310"/>
      <c r="AL43" s="4334"/>
      <c r="AM43" s="4310"/>
      <c r="AN43" s="4309"/>
      <c r="AO43" s="4310"/>
      <c r="AP43" s="4334"/>
      <c r="AQ43" s="4310"/>
      <c r="AR43" s="4309"/>
      <c r="AS43" s="4310"/>
      <c r="AT43" s="4334"/>
      <c r="AU43" s="4310"/>
      <c r="AV43" s="4309"/>
      <c r="AW43" s="4310"/>
      <c r="AX43" s="4334"/>
      <c r="AY43" s="4310"/>
      <c r="AZ43" s="4309"/>
      <c r="BA43" s="4310"/>
      <c r="BB43" s="4334"/>
      <c r="BC43" s="4310"/>
      <c r="BD43" s="4309"/>
      <c r="BE43" s="4310"/>
      <c r="BF43" s="4334"/>
      <c r="BG43" s="4310"/>
      <c r="BH43" s="3948"/>
      <c r="BI43" s="4310"/>
      <c r="BJ43" s="4310"/>
      <c r="BK43" s="4351"/>
      <c r="BL43" s="4351"/>
      <c r="BM43" s="2805"/>
      <c r="BN43" s="2560"/>
      <c r="BO43" s="2560"/>
      <c r="BP43" s="2560"/>
      <c r="BQ43" s="4347"/>
      <c r="BR43" s="4348"/>
      <c r="BS43" s="4350"/>
      <c r="BT43" s="4348"/>
      <c r="BU43" s="4110"/>
    </row>
    <row r="44" spans="1:73" ht="44.25" customHeight="1" x14ac:dyDescent="0.25">
      <c r="A44" s="2909"/>
      <c r="B44" s="2910"/>
      <c r="C44" s="279"/>
      <c r="D44" s="975"/>
      <c r="E44" s="3982"/>
      <c r="F44" s="3982"/>
      <c r="G44" s="4299"/>
      <c r="H44" s="2713"/>
      <c r="I44" s="4303"/>
      <c r="J44" s="2514"/>
      <c r="K44" s="4346"/>
      <c r="L44" s="2514"/>
      <c r="M44" s="4346"/>
      <c r="N44" s="2720"/>
      <c r="O44" s="2546"/>
      <c r="P44" s="2546"/>
      <c r="Q44" s="3982"/>
      <c r="R44" s="4339"/>
      <c r="S44" s="3668"/>
      <c r="T44" s="4341"/>
      <c r="U44" s="4306"/>
      <c r="V44" s="4344"/>
      <c r="W44" s="690" t="s">
        <v>1204</v>
      </c>
      <c r="X44" s="990">
        <v>8000000</v>
      </c>
      <c r="Y44" s="750">
        <v>7999000</v>
      </c>
      <c r="Z44" s="750">
        <f t="shared" si="0"/>
        <v>7999000</v>
      </c>
      <c r="AA44" s="976" t="s">
        <v>1280</v>
      </c>
      <c r="AB44" s="977">
        <v>20</v>
      </c>
      <c r="AC44" s="714" t="s">
        <v>422</v>
      </c>
      <c r="AD44" s="2560"/>
      <c r="AE44" s="4310"/>
      <c r="AF44" s="4309"/>
      <c r="AG44" s="4310"/>
      <c r="AH44" s="4334"/>
      <c r="AI44" s="4310"/>
      <c r="AJ44" s="4309"/>
      <c r="AK44" s="4310"/>
      <c r="AL44" s="4334"/>
      <c r="AM44" s="4310"/>
      <c r="AN44" s="4309"/>
      <c r="AO44" s="4310"/>
      <c r="AP44" s="4334"/>
      <c r="AQ44" s="4310"/>
      <c r="AR44" s="4309"/>
      <c r="AS44" s="4310"/>
      <c r="AT44" s="4334"/>
      <c r="AU44" s="4310"/>
      <c r="AV44" s="4309"/>
      <c r="AW44" s="4310"/>
      <c r="AX44" s="4334"/>
      <c r="AY44" s="4310"/>
      <c r="AZ44" s="4309"/>
      <c r="BA44" s="4310"/>
      <c r="BB44" s="4334"/>
      <c r="BC44" s="4310"/>
      <c r="BD44" s="4309"/>
      <c r="BE44" s="4310"/>
      <c r="BF44" s="4334"/>
      <c r="BG44" s="4310"/>
      <c r="BH44" s="3948"/>
      <c r="BI44" s="4310"/>
      <c r="BJ44" s="4310"/>
      <c r="BK44" s="4351"/>
      <c r="BL44" s="4351"/>
      <c r="BM44" s="2805"/>
      <c r="BN44" s="2560"/>
      <c r="BO44" s="2560"/>
      <c r="BP44" s="2560"/>
      <c r="BQ44" s="4347"/>
      <c r="BR44" s="4348"/>
      <c r="BS44" s="4350"/>
      <c r="BT44" s="4348"/>
      <c r="BU44" s="4110"/>
    </row>
    <row r="45" spans="1:73" ht="48.75" customHeight="1" x14ac:dyDescent="0.25">
      <c r="A45" s="2909"/>
      <c r="B45" s="2910"/>
      <c r="C45" s="279"/>
      <c r="D45" s="975"/>
      <c r="E45" s="3982"/>
      <c r="F45" s="3982"/>
      <c r="G45" s="4299" t="s">
        <v>20</v>
      </c>
      <c r="H45" s="4326" t="s">
        <v>1281</v>
      </c>
      <c r="I45" s="2693">
        <v>4102038</v>
      </c>
      <c r="J45" s="4326" t="s">
        <v>1282</v>
      </c>
      <c r="K45" s="2716" t="s">
        <v>20</v>
      </c>
      <c r="L45" s="2781" t="s">
        <v>1283</v>
      </c>
      <c r="M45" s="2716">
        <v>410203800</v>
      </c>
      <c r="N45" s="2781" t="s">
        <v>1284</v>
      </c>
      <c r="O45" s="2716">
        <v>1</v>
      </c>
      <c r="P45" s="2547">
        <v>1</v>
      </c>
      <c r="Q45" s="2756" t="s">
        <v>1285</v>
      </c>
      <c r="R45" s="2994" t="s">
        <v>1286</v>
      </c>
      <c r="S45" s="3988">
        <f>SUM(X45:X51)/T45</f>
        <v>1</v>
      </c>
      <c r="T45" s="4320">
        <f>SUM(X45:X51)</f>
        <v>200000000</v>
      </c>
      <c r="U45" s="2993" t="s">
        <v>1287</v>
      </c>
      <c r="V45" s="3022" t="s">
        <v>1211</v>
      </c>
      <c r="W45" s="736" t="s">
        <v>1288</v>
      </c>
      <c r="X45" s="417">
        <v>91460000</v>
      </c>
      <c r="Y45" s="750">
        <v>59247102</v>
      </c>
      <c r="Z45" s="750">
        <f t="shared" si="0"/>
        <v>59247102</v>
      </c>
      <c r="AA45" s="533" t="s">
        <v>1289</v>
      </c>
      <c r="AB45" s="4355">
        <v>20</v>
      </c>
      <c r="AC45" s="3983" t="s">
        <v>422</v>
      </c>
      <c r="AD45" s="4353">
        <v>550</v>
      </c>
      <c r="AE45" s="3896">
        <v>1133</v>
      </c>
      <c r="AF45" s="2569">
        <v>450</v>
      </c>
      <c r="AG45" s="3896">
        <v>1959</v>
      </c>
      <c r="AH45" s="4353" t="s">
        <v>153</v>
      </c>
      <c r="AI45" s="3896"/>
      <c r="AJ45" s="2569">
        <v>950</v>
      </c>
      <c r="AK45" s="3896">
        <v>2453</v>
      </c>
      <c r="AL45" s="4353">
        <v>50</v>
      </c>
      <c r="AM45" s="3896">
        <v>639</v>
      </c>
      <c r="AN45" s="2569" t="s">
        <v>153</v>
      </c>
      <c r="AO45" s="4100"/>
      <c r="AP45" s="4358" t="s">
        <v>153</v>
      </c>
      <c r="AQ45" s="4100"/>
      <c r="AR45" s="4318"/>
      <c r="AS45" s="4100"/>
      <c r="AT45" s="4358"/>
      <c r="AU45" s="4100"/>
      <c r="AV45" s="4318"/>
      <c r="AW45" s="4100"/>
      <c r="AX45" s="4358"/>
      <c r="AY45" s="4100"/>
      <c r="AZ45" s="4318"/>
      <c r="BA45" s="4100"/>
      <c r="BB45" s="4358"/>
      <c r="BC45" s="4100"/>
      <c r="BD45" s="4318"/>
      <c r="BE45" s="4100"/>
      <c r="BF45" s="4358"/>
      <c r="BG45" s="4100"/>
      <c r="BH45" s="4100">
        <v>2841</v>
      </c>
      <c r="BI45" s="4100">
        <v>3092</v>
      </c>
      <c r="BJ45" s="4100">
        <v>13</v>
      </c>
      <c r="BK45" s="4362">
        <f>SUM(Y45:Y51)</f>
        <v>151606702</v>
      </c>
      <c r="BL45" s="4362">
        <f>SUM(Z45:Z51)</f>
        <v>151606702</v>
      </c>
      <c r="BM45" s="2726">
        <f>BK45/BL45</f>
        <v>1</v>
      </c>
      <c r="BN45" s="4100">
        <v>20</v>
      </c>
      <c r="BO45" s="4100" t="s">
        <v>422</v>
      </c>
      <c r="BP45" s="4100" t="s">
        <v>1214</v>
      </c>
      <c r="BQ45" s="2735">
        <v>44197</v>
      </c>
      <c r="BR45" s="2735">
        <v>44251</v>
      </c>
      <c r="BS45" s="4327">
        <v>44561</v>
      </c>
      <c r="BT45" s="4327">
        <v>44377</v>
      </c>
      <c r="BU45" s="3916" t="s">
        <v>1290</v>
      </c>
    </row>
    <row r="46" spans="1:73" ht="48.75" customHeight="1" x14ac:dyDescent="0.25">
      <c r="A46" s="2909"/>
      <c r="B46" s="2910"/>
      <c r="C46" s="279"/>
      <c r="D46" s="975"/>
      <c r="E46" s="3982"/>
      <c r="F46" s="3982"/>
      <c r="G46" s="4299"/>
      <c r="H46" s="4326"/>
      <c r="I46" s="2697"/>
      <c r="J46" s="4326"/>
      <c r="K46" s="2716"/>
      <c r="L46" s="2781"/>
      <c r="M46" s="2716"/>
      <c r="N46" s="2781"/>
      <c r="O46" s="2716"/>
      <c r="P46" s="2716"/>
      <c r="Q46" s="2783"/>
      <c r="R46" s="2930"/>
      <c r="S46" s="3988"/>
      <c r="T46" s="4320"/>
      <c r="U46" s="2993"/>
      <c r="V46" s="3022"/>
      <c r="W46" s="736" t="s">
        <v>1291</v>
      </c>
      <c r="X46" s="417">
        <v>22540000</v>
      </c>
      <c r="Y46" s="750">
        <v>22540000</v>
      </c>
      <c r="Z46" s="750">
        <f t="shared" si="0"/>
        <v>22540000</v>
      </c>
      <c r="AA46" s="533" t="s">
        <v>1289</v>
      </c>
      <c r="AB46" s="4356"/>
      <c r="AC46" s="3983"/>
      <c r="AD46" s="2569"/>
      <c r="AE46" s="3896"/>
      <c r="AF46" s="2569"/>
      <c r="AG46" s="3896"/>
      <c r="AH46" s="2569"/>
      <c r="AI46" s="3896"/>
      <c r="AJ46" s="2569"/>
      <c r="AK46" s="3896"/>
      <c r="AL46" s="2569"/>
      <c r="AM46" s="3896"/>
      <c r="AN46" s="2569"/>
      <c r="AO46" s="4100"/>
      <c r="AP46" s="4318"/>
      <c r="AQ46" s="4100"/>
      <c r="AR46" s="4318"/>
      <c r="AS46" s="4100"/>
      <c r="AT46" s="4318"/>
      <c r="AU46" s="4100"/>
      <c r="AV46" s="4318"/>
      <c r="AW46" s="4100"/>
      <c r="AX46" s="4318"/>
      <c r="AY46" s="4100"/>
      <c r="AZ46" s="4318"/>
      <c r="BA46" s="4100"/>
      <c r="BB46" s="4318"/>
      <c r="BC46" s="4100"/>
      <c r="BD46" s="4318"/>
      <c r="BE46" s="4100"/>
      <c r="BF46" s="4318"/>
      <c r="BG46" s="4100"/>
      <c r="BH46" s="4100"/>
      <c r="BI46" s="4100"/>
      <c r="BJ46" s="4100"/>
      <c r="BK46" s="4362"/>
      <c r="BL46" s="4362"/>
      <c r="BM46" s="2726"/>
      <c r="BN46" s="4100"/>
      <c r="BO46" s="4100"/>
      <c r="BP46" s="4100"/>
      <c r="BQ46" s="4327"/>
      <c r="BR46" s="4327"/>
      <c r="BS46" s="4327"/>
      <c r="BT46" s="4327"/>
      <c r="BU46" s="3917"/>
    </row>
    <row r="47" spans="1:73" ht="48.75" customHeight="1" x14ac:dyDescent="0.25">
      <c r="A47" s="2909"/>
      <c r="B47" s="2910"/>
      <c r="C47" s="279"/>
      <c r="D47" s="975"/>
      <c r="E47" s="3982"/>
      <c r="F47" s="3982"/>
      <c r="G47" s="4299"/>
      <c r="H47" s="4326"/>
      <c r="I47" s="2697"/>
      <c r="J47" s="4326"/>
      <c r="K47" s="2716"/>
      <c r="L47" s="2781"/>
      <c r="M47" s="2716"/>
      <c r="N47" s="2781"/>
      <c r="O47" s="2716"/>
      <c r="P47" s="2716"/>
      <c r="Q47" s="2783"/>
      <c r="R47" s="2930"/>
      <c r="S47" s="3988"/>
      <c r="T47" s="4320"/>
      <c r="U47" s="2993"/>
      <c r="V47" s="3022"/>
      <c r="W47" s="736" t="s">
        <v>1292</v>
      </c>
      <c r="X47" s="417">
        <v>23575000</v>
      </c>
      <c r="Y47" s="750">
        <v>20576000</v>
      </c>
      <c r="Z47" s="750">
        <f t="shared" si="0"/>
        <v>20576000</v>
      </c>
      <c r="AA47" s="991" t="s">
        <v>1289</v>
      </c>
      <c r="AB47" s="4356"/>
      <c r="AC47" s="3983"/>
      <c r="AD47" s="2569"/>
      <c r="AE47" s="3896"/>
      <c r="AF47" s="2569"/>
      <c r="AG47" s="3896"/>
      <c r="AH47" s="2569"/>
      <c r="AI47" s="3896"/>
      <c r="AJ47" s="2569"/>
      <c r="AK47" s="3896"/>
      <c r="AL47" s="2569"/>
      <c r="AM47" s="3896"/>
      <c r="AN47" s="2569"/>
      <c r="AO47" s="4100"/>
      <c r="AP47" s="4318"/>
      <c r="AQ47" s="4100"/>
      <c r="AR47" s="4318"/>
      <c r="AS47" s="4100"/>
      <c r="AT47" s="4318"/>
      <c r="AU47" s="4100"/>
      <c r="AV47" s="4318"/>
      <c r="AW47" s="4100"/>
      <c r="AX47" s="4318"/>
      <c r="AY47" s="4100"/>
      <c r="AZ47" s="4318"/>
      <c r="BA47" s="4100"/>
      <c r="BB47" s="4318"/>
      <c r="BC47" s="4100"/>
      <c r="BD47" s="4318"/>
      <c r="BE47" s="4100"/>
      <c r="BF47" s="4318"/>
      <c r="BG47" s="4100"/>
      <c r="BH47" s="4100"/>
      <c r="BI47" s="4100"/>
      <c r="BJ47" s="4100"/>
      <c r="BK47" s="4362"/>
      <c r="BL47" s="4362"/>
      <c r="BM47" s="2726"/>
      <c r="BN47" s="4100"/>
      <c r="BO47" s="4100"/>
      <c r="BP47" s="4100"/>
      <c r="BQ47" s="4327"/>
      <c r="BR47" s="4327"/>
      <c r="BS47" s="4327"/>
      <c r="BT47" s="4327"/>
      <c r="BU47" s="3917"/>
    </row>
    <row r="48" spans="1:73" ht="48.75" customHeight="1" x14ac:dyDescent="0.25">
      <c r="A48" s="2909"/>
      <c r="B48" s="2910"/>
      <c r="C48" s="279"/>
      <c r="D48" s="975"/>
      <c r="E48" s="3982"/>
      <c r="F48" s="3982"/>
      <c r="G48" s="4299"/>
      <c r="H48" s="4326"/>
      <c r="I48" s="2697"/>
      <c r="J48" s="4326"/>
      <c r="K48" s="2716"/>
      <c r="L48" s="2781"/>
      <c r="M48" s="2716"/>
      <c r="N48" s="2781"/>
      <c r="O48" s="2716"/>
      <c r="P48" s="2716"/>
      <c r="Q48" s="2783"/>
      <c r="R48" s="2930"/>
      <c r="S48" s="3988"/>
      <c r="T48" s="4320"/>
      <c r="U48" s="2993"/>
      <c r="V48" s="3022"/>
      <c r="W48" s="736" t="s">
        <v>1293</v>
      </c>
      <c r="X48" s="417">
        <v>22425000</v>
      </c>
      <c r="Y48" s="750">
        <v>22425000</v>
      </c>
      <c r="Z48" s="933">
        <f t="shared" si="0"/>
        <v>22425000</v>
      </c>
      <c r="AA48" s="691" t="s">
        <v>1289</v>
      </c>
      <c r="AB48" s="4356"/>
      <c r="AC48" s="3983"/>
      <c r="AD48" s="2569"/>
      <c r="AE48" s="3896"/>
      <c r="AF48" s="2569"/>
      <c r="AG48" s="3896"/>
      <c r="AH48" s="2569"/>
      <c r="AI48" s="3896"/>
      <c r="AJ48" s="2569"/>
      <c r="AK48" s="3896"/>
      <c r="AL48" s="2569"/>
      <c r="AM48" s="3896"/>
      <c r="AN48" s="2569"/>
      <c r="AO48" s="4100"/>
      <c r="AP48" s="4318"/>
      <c r="AQ48" s="4100"/>
      <c r="AR48" s="4318"/>
      <c r="AS48" s="4100"/>
      <c r="AT48" s="4318"/>
      <c r="AU48" s="4100"/>
      <c r="AV48" s="4318"/>
      <c r="AW48" s="4100"/>
      <c r="AX48" s="4318"/>
      <c r="AY48" s="4100"/>
      <c r="AZ48" s="4318"/>
      <c r="BA48" s="4100"/>
      <c r="BB48" s="4318"/>
      <c r="BC48" s="4100"/>
      <c r="BD48" s="4318"/>
      <c r="BE48" s="4100"/>
      <c r="BF48" s="4318"/>
      <c r="BG48" s="4100"/>
      <c r="BH48" s="4100"/>
      <c r="BI48" s="4100"/>
      <c r="BJ48" s="4100"/>
      <c r="BK48" s="4362"/>
      <c r="BL48" s="4362"/>
      <c r="BM48" s="2726"/>
      <c r="BN48" s="4100"/>
      <c r="BO48" s="4100"/>
      <c r="BP48" s="4100"/>
      <c r="BQ48" s="4327"/>
      <c r="BR48" s="4327"/>
      <c r="BS48" s="4327"/>
      <c r="BT48" s="4327"/>
      <c r="BU48" s="3917"/>
    </row>
    <row r="49" spans="1:73" ht="32.25" customHeight="1" x14ac:dyDescent="0.25">
      <c r="A49" s="2909"/>
      <c r="B49" s="2910"/>
      <c r="C49" s="279"/>
      <c r="D49" s="975"/>
      <c r="E49" s="3982"/>
      <c r="F49" s="3982"/>
      <c r="G49" s="4299"/>
      <c r="H49" s="4326"/>
      <c r="I49" s="2697"/>
      <c r="J49" s="4326"/>
      <c r="K49" s="2716"/>
      <c r="L49" s="2781"/>
      <c r="M49" s="2716"/>
      <c r="N49" s="2781"/>
      <c r="O49" s="2716"/>
      <c r="P49" s="2716"/>
      <c r="Q49" s="2783"/>
      <c r="R49" s="2930"/>
      <c r="S49" s="3988"/>
      <c r="T49" s="4320"/>
      <c r="U49" s="2993"/>
      <c r="V49" s="3022"/>
      <c r="W49" s="736" t="s">
        <v>1204</v>
      </c>
      <c r="X49" s="990">
        <v>10000000</v>
      </c>
      <c r="Y49" s="750">
        <v>9995400</v>
      </c>
      <c r="Z49" s="933">
        <f t="shared" si="0"/>
        <v>9995400</v>
      </c>
      <c r="AA49" s="691" t="s">
        <v>1294</v>
      </c>
      <c r="AB49" s="4356"/>
      <c r="AC49" s="3983"/>
      <c r="AD49" s="2569"/>
      <c r="AE49" s="3896"/>
      <c r="AF49" s="2569"/>
      <c r="AG49" s="3896"/>
      <c r="AH49" s="2569"/>
      <c r="AI49" s="3896"/>
      <c r="AJ49" s="2569"/>
      <c r="AK49" s="3896"/>
      <c r="AL49" s="2569"/>
      <c r="AM49" s="3896"/>
      <c r="AN49" s="2569"/>
      <c r="AO49" s="4100"/>
      <c r="AP49" s="4318"/>
      <c r="AQ49" s="4100"/>
      <c r="AR49" s="4318"/>
      <c r="AS49" s="4100"/>
      <c r="AT49" s="4318"/>
      <c r="AU49" s="4100"/>
      <c r="AV49" s="4318"/>
      <c r="AW49" s="4100"/>
      <c r="AX49" s="4318"/>
      <c r="AY49" s="4100"/>
      <c r="AZ49" s="4318"/>
      <c r="BA49" s="4100"/>
      <c r="BB49" s="4318"/>
      <c r="BC49" s="4100"/>
      <c r="BD49" s="4318"/>
      <c r="BE49" s="4100"/>
      <c r="BF49" s="4318"/>
      <c r="BG49" s="4100"/>
      <c r="BH49" s="4100"/>
      <c r="BI49" s="4100"/>
      <c r="BJ49" s="4100"/>
      <c r="BK49" s="4362"/>
      <c r="BL49" s="4362"/>
      <c r="BM49" s="2726"/>
      <c r="BN49" s="4100"/>
      <c r="BO49" s="4100"/>
      <c r="BP49" s="4100"/>
      <c r="BQ49" s="4327"/>
      <c r="BR49" s="4327"/>
      <c r="BS49" s="4327"/>
      <c r="BT49" s="4327"/>
      <c r="BU49" s="3917"/>
    </row>
    <row r="50" spans="1:73" ht="32.25" customHeight="1" x14ac:dyDescent="0.25">
      <c r="A50" s="2909"/>
      <c r="B50" s="2910"/>
      <c r="C50" s="279"/>
      <c r="D50" s="975"/>
      <c r="E50" s="3982"/>
      <c r="F50" s="3982"/>
      <c r="G50" s="4299"/>
      <c r="H50" s="4326"/>
      <c r="I50" s="2697"/>
      <c r="J50" s="4326"/>
      <c r="K50" s="2716"/>
      <c r="L50" s="2781"/>
      <c r="M50" s="2716"/>
      <c r="N50" s="2781"/>
      <c r="O50" s="2716"/>
      <c r="P50" s="2716"/>
      <c r="Q50" s="2783"/>
      <c r="R50" s="2930"/>
      <c r="S50" s="3988"/>
      <c r="T50" s="4320"/>
      <c r="U50" s="2993"/>
      <c r="V50" s="3022"/>
      <c r="W50" s="736" t="s">
        <v>1295</v>
      </c>
      <c r="X50" s="990">
        <v>10000000</v>
      </c>
      <c r="Y50" s="750">
        <f>+X50</f>
        <v>10000000</v>
      </c>
      <c r="Z50" s="750">
        <f t="shared" si="0"/>
        <v>10000000</v>
      </c>
      <c r="AA50" s="992" t="s">
        <v>1296</v>
      </c>
      <c r="AB50" s="4356"/>
      <c r="AC50" s="3983"/>
      <c r="AD50" s="2569"/>
      <c r="AE50" s="3896"/>
      <c r="AF50" s="2569"/>
      <c r="AG50" s="3896"/>
      <c r="AH50" s="2569"/>
      <c r="AI50" s="3896"/>
      <c r="AJ50" s="2569"/>
      <c r="AK50" s="3896"/>
      <c r="AL50" s="2569"/>
      <c r="AM50" s="3896"/>
      <c r="AN50" s="2569"/>
      <c r="AO50" s="4100"/>
      <c r="AP50" s="4318"/>
      <c r="AQ50" s="4100"/>
      <c r="AR50" s="4318"/>
      <c r="AS50" s="4100"/>
      <c r="AT50" s="4318"/>
      <c r="AU50" s="4100"/>
      <c r="AV50" s="4318"/>
      <c r="AW50" s="4100"/>
      <c r="AX50" s="4318"/>
      <c r="AY50" s="4100"/>
      <c r="AZ50" s="4318"/>
      <c r="BA50" s="4100"/>
      <c r="BB50" s="4318"/>
      <c r="BC50" s="4100"/>
      <c r="BD50" s="4318"/>
      <c r="BE50" s="4100"/>
      <c r="BF50" s="4318"/>
      <c r="BG50" s="4100"/>
      <c r="BH50" s="4100"/>
      <c r="BI50" s="4100"/>
      <c r="BJ50" s="4100"/>
      <c r="BK50" s="4362"/>
      <c r="BL50" s="4362"/>
      <c r="BM50" s="2726"/>
      <c r="BN50" s="4100"/>
      <c r="BO50" s="4100"/>
      <c r="BP50" s="4100"/>
      <c r="BQ50" s="4327"/>
      <c r="BR50" s="4327"/>
      <c r="BS50" s="4327"/>
      <c r="BT50" s="4327"/>
      <c r="BU50" s="3917"/>
    </row>
    <row r="51" spans="1:73" ht="32.25" customHeight="1" x14ac:dyDescent="0.25">
      <c r="A51" s="2909"/>
      <c r="B51" s="2910"/>
      <c r="C51" s="279"/>
      <c r="D51" s="975"/>
      <c r="E51" s="3982"/>
      <c r="F51" s="3982"/>
      <c r="G51" s="4299"/>
      <c r="H51" s="4345"/>
      <c r="I51" s="2697"/>
      <c r="J51" s="4345"/>
      <c r="K51" s="2717"/>
      <c r="L51" s="2782"/>
      <c r="M51" s="2717"/>
      <c r="N51" s="2782"/>
      <c r="O51" s="2717"/>
      <c r="P51" s="2717"/>
      <c r="Q51" s="2783"/>
      <c r="R51" s="2930"/>
      <c r="S51" s="3926"/>
      <c r="T51" s="4354"/>
      <c r="U51" s="2994"/>
      <c r="V51" s="3023"/>
      <c r="W51" s="736" t="s">
        <v>1297</v>
      </c>
      <c r="X51" s="417">
        <v>20000000</v>
      </c>
      <c r="Y51" s="750">
        <v>6823200</v>
      </c>
      <c r="Z51" s="750">
        <f t="shared" si="0"/>
        <v>6823200</v>
      </c>
      <c r="AA51" s="533" t="s">
        <v>1298</v>
      </c>
      <c r="AB51" s="4357"/>
      <c r="AC51" s="3983"/>
      <c r="AD51" s="4352"/>
      <c r="AE51" s="3897"/>
      <c r="AF51" s="4352"/>
      <c r="AG51" s="3897"/>
      <c r="AH51" s="4352"/>
      <c r="AI51" s="3897"/>
      <c r="AJ51" s="4352"/>
      <c r="AK51" s="3897"/>
      <c r="AL51" s="4352"/>
      <c r="AM51" s="3897"/>
      <c r="AN51" s="4352"/>
      <c r="AO51" s="4101"/>
      <c r="AP51" s="4359"/>
      <c r="AQ51" s="4101"/>
      <c r="AR51" s="4359"/>
      <c r="AS51" s="4101"/>
      <c r="AT51" s="4359"/>
      <c r="AU51" s="4101"/>
      <c r="AV51" s="4359"/>
      <c r="AW51" s="4101"/>
      <c r="AX51" s="4359"/>
      <c r="AY51" s="4101"/>
      <c r="AZ51" s="4359"/>
      <c r="BA51" s="4101"/>
      <c r="BB51" s="4359"/>
      <c r="BC51" s="4101"/>
      <c r="BD51" s="4359"/>
      <c r="BE51" s="4101"/>
      <c r="BF51" s="4359"/>
      <c r="BG51" s="4101"/>
      <c r="BH51" s="4101"/>
      <c r="BI51" s="4101"/>
      <c r="BJ51" s="4101"/>
      <c r="BK51" s="4363"/>
      <c r="BL51" s="4363"/>
      <c r="BM51" s="2727"/>
      <c r="BN51" s="4101"/>
      <c r="BO51" s="4101"/>
      <c r="BP51" s="4101"/>
      <c r="BQ51" s="4361"/>
      <c r="BR51" s="4361"/>
      <c r="BS51" s="4361"/>
      <c r="BT51" s="4361"/>
      <c r="BU51" s="3918"/>
    </row>
    <row r="52" spans="1:73" ht="129" customHeight="1" x14ac:dyDescent="0.25">
      <c r="A52" s="2909"/>
      <c r="B52" s="2910"/>
      <c r="C52" s="279"/>
      <c r="D52" s="975"/>
      <c r="E52" s="3982"/>
      <c r="F52" s="3982"/>
      <c r="G52" s="4299" t="s">
        <v>20</v>
      </c>
      <c r="H52" s="4325" t="s">
        <v>1299</v>
      </c>
      <c r="I52" s="2697">
        <v>4102042</v>
      </c>
      <c r="J52" s="4325" t="s">
        <v>1300</v>
      </c>
      <c r="K52" s="2547" t="s">
        <v>20</v>
      </c>
      <c r="L52" s="2545" t="s">
        <v>1301</v>
      </c>
      <c r="M52" s="2547">
        <v>410204200</v>
      </c>
      <c r="N52" s="2545" t="s">
        <v>1302</v>
      </c>
      <c r="O52" s="2547">
        <v>12</v>
      </c>
      <c r="P52" s="2547">
        <v>12</v>
      </c>
      <c r="Q52" s="2783" t="s">
        <v>1303</v>
      </c>
      <c r="R52" s="2930" t="s">
        <v>1304</v>
      </c>
      <c r="S52" s="3925">
        <f>SUM(X52:X54)/T52</f>
        <v>1</v>
      </c>
      <c r="T52" s="4360">
        <f>SUM(X52:X54)</f>
        <v>28000000</v>
      </c>
      <c r="U52" s="3021" t="s">
        <v>1305</v>
      </c>
      <c r="V52" s="3021" t="s">
        <v>1306</v>
      </c>
      <c r="W52" s="736" t="s">
        <v>1307</v>
      </c>
      <c r="X52" s="417">
        <v>5000000</v>
      </c>
      <c r="Y52" s="750">
        <v>5000000</v>
      </c>
      <c r="Z52" s="750">
        <v>5000000</v>
      </c>
      <c r="AA52" s="993" t="s">
        <v>1308</v>
      </c>
      <c r="AB52" s="4355">
        <v>20</v>
      </c>
      <c r="AC52" s="2546" t="s">
        <v>422</v>
      </c>
      <c r="AD52" s="4358">
        <v>2360</v>
      </c>
      <c r="AE52" s="4358">
        <v>3755</v>
      </c>
      <c r="AF52" s="4358">
        <v>2360</v>
      </c>
      <c r="AG52" s="4358">
        <v>1607</v>
      </c>
      <c r="AH52" s="4358">
        <v>480</v>
      </c>
      <c r="AI52" s="4358">
        <v>91</v>
      </c>
      <c r="AJ52" s="4358">
        <v>1500</v>
      </c>
      <c r="AK52" s="4358">
        <v>189</v>
      </c>
      <c r="AL52" s="4358">
        <v>1540</v>
      </c>
      <c r="AM52" s="4358">
        <v>721</v>
      </c>
      <c r="AN52" s="4358">
        <v>1000</v>
      </c>
      <c r="AO52" s="4358">
        <v>128</v>
      </c>
      <c r="AP52" s="4358">
        <v>50</v>
      </c>
      <c r="AQ52" s="4358"/>
      <c r="AR52" s="4358">
        <v>50</v>
      </c>
      <c r="AS52" s="4358">
        <v>1</v>
      </c>
      <c r="AT52" s="4358" t="s">
        <v>153</v>
      </c>
      <c r="AU52" s="4358"/>
      <c r="AV52" s="4358" t="s">
        <v>153</v>
      </c>
      <c r="AW52" s="4358"/>
      <c r="AX52" s="4358" t="s">
        <v>153</v>
      </c>
      <c r="AY52" s="4358"/>
      <c r="AZ52" s="4358" t="s">
        <v>153</v>
      </c>
      <c r="BA52" s="4358"/>
      <c r="BB52" s="4358">
        <v>50</v>
      </c>
      <c r="BC52" s="4358">
        <v>11</v>
      </c>
      <c r="BD52" s="4358">
        <v>50</v>
      </c>
      <c r="BE52" s="4358">
        <v>23</v>
      </c>
      <c r="BF52" s="4358" t="s">
        <v>153</v>
      </c>
      <c r="BG52" s="4358">
        <v>11</v>
      </c>
      <c r="BH52" s="3916">
        <f>SUM(AD52+AF52)</f>
        <v>4720</v>
      </c>
      <c r="BI52" s="4358">
        <f>SUM(AE52+AG52)</f>
        <v>5362</v>
      </c>
      <c r="BJ52" s="4358">
        <v>3</v>
      </c>
      <c r="BK52" s="4368">
        <f>SUM(Y52:Y54)</f>
        <v>23850296</v>
      </c>
      <c r="BL52" s="4368">
        <f>SUM(Z52:Z54)</f>
        <v>23850296</v>
      </c>
      <c r="BM52" s="4370">
        <f>BL52/BK52</f>
        <v>1</v>
      </c>
      <c r="BN52" s="4358">
        <v>20</v>
      </c>
      <c r="BO52" s="4358" t="s">
        <v>422</v>
      </c>
      <c r="BP52" s="4358" t="s">
        <v>1194</v>
      </c>
      <c r="BQ52" s="2735">
        <v>44197</v>
      </c>
      <c r="BR52" s="2735">
        <v>44256</v>
      </c>
      <c r="BS52" s="2735">
        <v>44561</v>
      </c>
      <c r="BT52" s="2735">
        <v>44551</v>
      </c>
      <c r="BU52" s="3916" t="s">
        <v>1194</v>
      </c>
    </row>
    <row r="53" spans="1:73" ht="86.25" customHeight="1" x14ac:dyDescent="0.25">
      <c r="A53" s="2909"/>
      <c r="B53" s="2910"/>
      <c r="C53" s="279"/>
      <c r="D53" s="975"/>
      <c r="E53" s="3982"/>
      <c r="F53" s="3982"/>
      <c r="G53" s="4299"/>
      <c r="H53" s="4326"/>
      <c r="I53" s="2697"/>
      <c r="J53" s="4326"/>
      <c r="K53" s="2716"/>
      <c r="L53" s="2781"/>
      <c r="M53" s="2716"/>
      <c r="N53" s="2781"/>
      <c r="O53" s="2716"/>
      <c r="P53" s="2716"/>
      <c r="Q53" s="2783"/>
      <c r="R53" s="2930"/>
      <c r="S53" s="3988"/>
      <c r="T53" s="4320"/>
      <c r="U53" s="3022"/>
      <c r="V53" s="3022"/>
      <c r="W53" s="736" t="s">
        <v>1309</v>
      </c>
      <c r="X53" s="417">
        <v>15000000</v>
      </c>
      <c r="Y53" s="750">
        <v>15000000</v>
      </c>
      <c r="Z53" s="750">
        <f>+Y53</f>
        <v>15000000</v>
      </c>
      <c r="AA53" s="533" t="s">
        <v>1308</v>
      </c>
      <c r="AB53" s="4356"/>
      <c r="AC53" s="2546"/>
      <c r="AD53" s="4318"/>
      <c r="AE53" s="4318"/>
      <c r="AF53" s="4318"/>
      <c r="AG53" s="4318"/>
      <c r="AH53" s="4318"/>
      <c r="AI53" s="4318"/>
      <c r="AJ53" s="4318"/>
      <c r="AK53" s="4318"/>
      <c r="AL53" s="4318"/>
      <c r="AM53" s="4318"/>
      <c r="AN53" s="4318"/>
      <c r="AO53" s="4318"/>
      <c r="AP53" s="4318"/>
      <c r="AQ53" s="4318"/>
      <c r="AR53" s="4318"/>
      <c r="AS53" s="4318"/>
      <c r="AT53" s="4318"/>
      <c r="AU53" s="4318"/>
      <c r="AV53" s="4318"/>
      <c r="AW53" s="4318"/>
      <c r="AX53" s="4318"/>
      <c r="AY53" s="4318"/>
      <c r="AZ53" s="4318"/>
      <c r="BA53" s="4318"/>
      <c r="BB53" s="4318"/>
      <c r="BC53" s="4318"/>
      <c r="BD53" s="4318"/>
      <c r="BE53" s="4318"/>
      <c r="BF53" s="4318"/>
      <c r="BG53" s="4318"/>
      <c r="BH53" s="3917"/>
      <c r="BI53" s="4318"/>
      <c r="BJ53" s="4318"/>
      <c r="BK53" s="4328"/>
      <c r="BL53" s="4328"/>
      <c r="BM53" s="4329"/>
      <c r="BN53" s="4318"/>
      <c r="BO53" s="4318"/>
      <c r="BP53" s="4318"/>
      <c r="BQ53" s="4327"/>
      <c r="BR53" s="4327"/>
      <c r="BS53" s="4327"/>
      <c r="BT53" s="4327"/>
      <c r="BU53" s="3917"/>
    </row>
    <row r="54" spans="1:73" ht="61.5" customHeight="1" x14ac:dyDescent="0.25">
      <c r="A54" s="2909"/>
      <c r="B54" s="2910"/>
      <c r="C54" s="279"/>
      <c r="D54" s="975"/>
      <c r="E54" s="3982"/>
      <c r="F54" s="3982"/>
      <c r="G54" s="4299"/>
      <c r="H54" s="4345"/>
      <c r="I54" s="2697"/>
      <c r="J54" s="4345"/>
      <c r="K54" s="2717"/>
      <c r="L54" s="2782"/>
      <c r="M54" s="2717"/>
      <c r="N54" s="2782"/>
      <c r="O54" s="2717"/>
      <c r="P54" s="2717"/>
      <c r="Q54" s="2783"/>
      <c r="R54" s="2930"/>
      <c r="S54" s="3926"/>
      <c r="T54" s="4354"/>
      <c r="U54" s="3023"/>
      <c r="V54" s="3023"/>
      <c r="W54" s="736" t="s">
        <v>1202</v>
      </c>
      <c r="X54" s="417">
        <v>8000000</v>
      </c>
      <c r="Y54" s="750">
        <f>+'[4]F-PLA-47 EJE METAS PROYECTOS'!V39</f>
        <v>3850296</v>
      </c>
      <c r="Z54" s="750">
        <f>+Y54</f>
        <v>3850296</v>
      </c>
      <c r="AA54" s="533" t="s">
        <v>1310</v>
      </c>
      <c r="AB54" s="4357"/>
      <c r="AC54" s="2546"/>
      <c r="AD54" s="4359"/>
      <c r="AE54" s="4359"/>
      <c r="AF54" s="4359"/>
      <c r="AG54" s="4359"/>
      <c r="AH54" s="4359"/>
      <c r="AI54" s="4359"/>
      <c r="AJ54" s="4359"/>
      <c r="AK54" s="4359"/>
      <c r="AL54" s="4359"/>
      <c r="AM54" s="4359"/>
      <c r="AN54" s="4359"/>
      <c r="AO54" s="4359"/>
      <c r="AP54" s="4359"/>
      <c r="AQ54" s="4359"/>
      <c r="AR54" s="4359"/>
      <c r="AS54" s="4359"/>
      <c r="AT54" s="4359"/>
      <c r="AU54" s="4359"/>
      <c r="AV54" s="4359"/>
      <c r="AW54" s="4359"/>
      <c r="AX54" s="4359"/>
      <c r="AY54" s="4359"/>
      <c r="AZ54" s="4359"/>
      <c r="BA54" s="4359"/>
      <c r="BB54" s="4359"/>
      <c r="BC54" s="4359"/>
      <c r="BD54" s="4359"/>
      <c r="BE54" s="4359"/>
      <c r="BF54" s="4359"/>
      <c r="BG54" s="4359"/>
      <c r="BH54" s="3918"/>
      <c r="BI54" s="4359"/>
      <c r="BJ54" s="4359"/>
      <c r="BK54" s="4369"/>
      <c r="BL54" s="4369"/>
      <c r="BM54" s="4371"/>
      <c r="BN54" s="4359"/>
      <c r="BO54" s="4359"/>
      <c r="BP54" s="4359"/>
      <c r="BQ54" s="4361"/>
      <c r="BR54" s="4361"/>
      <c r="BS54" s="4361"/>
      <c r="BT54" s="4361"/>
      <c r="BU54" s="3918"/>
    </row>
    <row r="55" spans="1:73" ht="53.25" customHeight="1" x14ac:dyDescent="0.25">
      <c r="A55" s="2909"/>
      <c r="B55" s="2910"/>
      <c r="C55" s="279"/>
      <c r="D55" s="975"/>
      <c r="E55" s="3982"/>
      <c r="F55" s="3982"/>
      <c r="G55" s="2516" t="s">
        <v>20</v>
      </c>
      <c r="H55" s="4002" t="s">
        <v>1311</v>
      </c>
      <c r="I55" s="4295">
        <v>4102001</v>
      </c>
      <c r="J55" s="4002" t="s">
        <v>1312</v>
      </c>
      <c r="K55" s="2547" t="s">
        <v>20</v>
      </c>
      <c r="L55" s="2545" t="s">
        <v>1313</v>
      </c>
      <c r="M55" s="2547">
        <v>410200100</v>
      </c>
      <c r="N55" s="2545" t="s">
        <v>1232</v>
      </c>
      <c r="O55" s="2547">
        <v>1</v>
      </c>
      <c r="P55" s="4365">
        <v>0.7</v>
      </c>
      <c r="Q55" s="2783" t="s">
        <v>1314</v>
      </c>
      <c r="R55" s="2930" t="s">
        <v>1315</v>
      </c>
      <c r="S55" s="3925">
        <f>SUM(X55:X58)/T55</f>
        <v>0.64695498676081198</v>
      </c>
      <c r="T55" s="4360">
        <f>SUM(X55:X59)</f>
        <v>50985000</v>
      </c>
      <c r="U55" s="2992" t="s">
        <v>1316</v>
      </c>
      <c r="V55" s="3021" t="s">
        <v>1317</v>
      </c>
      <c r="W55" s="736" t="s">
        <v>1318</v>
      </c>
      <c r="X55" s="417">
        <f>5000000-2000000</f>
        <v>3000000</v>
      </c>
      <c r="Y55" s="750">
        <v>3000000</v>
      </c>
      <c r="Z55" s="750">
        <v>3000000</v>
      </c>
      <c r="AA55" s="976" t="s">
        <v>1319</v>
      </c>
      <c r="AB55" s="994">
        <v>20</v>
      </c>
      <c r="AC55" s="978" t="s">
        <v>422</v>
      </c>
      <c r="AD55" s="4358">
        <v>260</v>
      </c>
      <c r="AE55" s="4358">
        <v>694</v>
      </c>
      <c r="AF55" s="4358">
        <v>240</v>
      </c>
      <c r="AG55" s="4358">
        <v>348</v>
      </c>
      <c r="AH55" s="4358">
        <v>125</v>
      </c>
      <c r="AI55" s="4358">
        <v>86</v>
      </c>
      <c r="AJ55" s="4358">
        <v>250</v>
      </c>
      <c r="AK55" s="4358">
        <v>65</v>
      </c>
      <c r="AL55" s="4358">
        <v>125</v>
      </c>
      <c r="AM55" s="4358">
        <v>765</v>
      </c>
      <c r="AN55" s="4358" t="s">
        <v>153</v>
      </c>
      <c r="AO55" s="4358">
        <v>126</v>
      </c>
      <c r="AP55" s="4358" t="s">
        <v>153</v>
      </c>
      <c r="AQ55" s="4358"/>
      <c r="AR55" s="4358" t="s">
        <v>153</v>
      </c>
      <c r="AS55" s="4358">
        <v>2</v>
      </c>
      <c r="AT55" s="4358" t="s">
        <v>153</v>
      </c>
      <c r="AU55" s="4358"/>
      <c r="AV55" s="4358" t="s">
        <v>153</v>
      </c>
      <c r="AW55" s="4358"/>
      <c r="AX55" s="4358" t="s">
        <v>153</v>
      </c>
      <c r="AY55" s="4358"/>
      <c r="AZ55" s="4358" t="s">
        <v>153</v>
      </c>
      <c r="BA55" s="4358">
        <v>1</v>
      </c>
      <c r="BB55" s="4358" t="s">
        <v>153</v>
      </c>
      <c r="BC55" s="4358">
        <v>15</v>
      </c>
      <c r="BD55" s="4358" t="s">
        <v>153</v>
      </c>
      <c r="BE55" s="4358">
        <v>17</v>
      </c>
      <c r="BF55" s="4358" t="s">
        <v>153</v>
      </c>
      <c r="BG55" s="4358">
        <v>3</v>
      </c>
      <c r="BH55" s="3916">
        <v>500</v>
      </c>
      <c r="BI55" s="4358">
        <v>1042</v>
      </c>
      <c r="BJ55" s="4358">
        <v>4</v>
      </c>
      <c r="BK55" s="4368">
        <f>SUM(Y55:Y59)</f>
        <v>50943833</v>
      </c>
      <c r="BL55" s="4368">
        <f>SUM(Z55:Z59)</f>
        <v>50943833</v>
      </c>
      <c r="BM55" s="4370">
        <f>BL55/BK55</f>
        <v>1</v>
      </c>
      <c r="BN55" s="4358">
        <v>20</v>
      </c>
      <c r="BO55" s="4358" t="s">
        <v>422</v>
      </c>
      <c r="BP55" s="4358" t="s">
        <v>1226</v>
      </c>
      <c r="BQ55" s="2735">
        <v>44197</v>
      </c>
      <c r="BR55" s="2735">
        <v>44257</v>
      </c>
      <c r="BS55" s="2735">
        <v>44561</v>
      </c>
      <c r="BT55" s="2735">
        <v>44376</v>
      </c>
      <c r="BU55" s="3916" t="s">
        <v>1226</v>
      </c>
    </row>
    <row r="56" spans="1:73" ht="81" customHeight="1" x14ac:dyDescent="0.25">
      <c r="A56" s="2909"/>
      <c r="B56" s="2910"/>
      <c r="C56" s="279"/>
      <c r="D56" s="975"/>
      <c r="E56" s="3982"/>
      <c r="F56" s="3982"/>
      <c r="G56" s="2517"/>
      <c r="H56" s="4003"/>
      <c r="I56" s="4300"/>
      <c r="J56" s="4003"/>
      <c r="K56" s="2716"/>
      <c r="L56" s="2781"/>
      <c r="M56" s="2716"/>
      <c r="N56" s="2781"/>
      <c r="O56" s="2716"/>
      <c r="P56" s="4366"/>
      <c r="Q56" s="2783"/>
      <c r="R56" s="2930"/>
      <c r="S56" s="3988"/>
      <c r="T56" s="4320"/>
      <c r="U56" s="2993"/>
      <c r="V56" s="3022"/>
      <c r="W56" s="736" t="s">
        <v>1320</v>
      </c>
      <c r="X56" s="417">
        <f>5000000-2343000</f>
        <v>2657000</v>
      </c>
      <c r="Y56" s="750">
        <v>2615833</v>
      </c>
      <c r="Z56" s="995">
        <f t="shared" ref="Z56:Z64" si="1">+Y56</f>
        <v>2615833</v>
      </c>
      <c r="AA56" s="976" t="s">
        <v>1319</v>
      </c>
      <c r="AB56" s="994">
        <v>20</v>
      </c>
      <c r="AC56" s="978" t="s">
        <v>422</v>
      </c>
      <c r="AD56" s="4318"/>
      <c r="AE56" s="4318"/>
      <c r="AF56" s="4318"/>
      <c r="AG56" s="4318"/>
      <c r="AH56" s="4318"/>
      <c r="AI56" s="4318"/>
      <c r="AJ56" s="4318"/>
      <c r="AK56" s="4318"/>
      <c r="AL56" s="4318"/>
      <c r="AM56" s="4318"/>
      <c r="AN56" s="4318"/>
      <c r="AO56" s="4318"/>
      <c r="AP56" s="4318"/>
      <c r="AQ56" s="4318"/>
      <c r="AR56" s="4318"/>
      <c r="AS56" s="4318"/>
      <c r="AT56" s="4318"/>
      <c r="AU56" s="4318"/>
      <c r="AV56" s="4318"/>
      <c r="AW56" s="4318"/>
      <c r="AX56" s="4318"/>
      <c r="AY56" s="4318"/>
      <c r="AZ56" s="4318"/>
      <c r="BA56" s="4318"/>
      <c r="BB56" s="4318"/>
      <c r="BC56" s="4318"/>
      <c r="BD56" s="4318"/>
      <c r="BE56" s="4318"/>
      <c r="BF56" s="4318"/>
      <c r="BG56" s="4318"/>
      <c r="BH56" s="3917"/>
      <c r="BI56" s="4318"/>
      <c r="BJ56" s="4318"/>
      <c r="BK56" s="4328"/>
      <c r="BL56" s="4328"/>
      <c r="BM56" s="4329"/>
      <c r="BN56" s="4318"/>
      <c r="BO56" s="4318"/>
      <c r="BP56" s="4318"/>
      <c r="BQ56" s="4327"/>
      <c r="BR56" s="4327"/>
      <c r="BS56" s="4327"/>
      <c r="BT56" s="4327"/>
      <c r="BU56" s="3917"/>
    </row>
    <row r="57" spans="1:73" ht="63" customHeight="1" x14ac:dyDescent="0.25">
      <c r="A57" s="2909"/>
      <c r="B57" s="2910"/>
      <c r="C57" s="279"/>
      <c r="D57" s="975"/>
      <c r="E57" s="3982"/>
      <c r="F57" s="3982"/>
      <c r="G57" s="2517"/>
      <c r="H57" s="4003"/>
      <c r="I57" s="4300"/>
      <c r="J57" s="4003"/>
      <c r="K57" s="2716"/>
      <c r="L57" s="2781"/>
      <c r="M57" s="2716"/>
      <c r="N57" s="2781"/>
      <c r="O57" s="2716"/>
      <c r="P57" s="4366"/>
      <c r="Q57" s="2783"/>
      <c r="R57" s="2930"/>
      <c r="S57" s="3988"/>
      <c r="T57" s="4320"/>
      <c r="U57" s="2993"/>
      <c r="V57" s="3022"/>
      <c r="W57" s="4219" t="s">
        <v>1321</v>
      </c>
      <c r="X57" s="417">
        <f>10000000+4343000</f>
        <v>14343000</v>
      </c>
      <c r="Y57" s="750">
        <v>14343000</v>
      </c>
      <c r="Z57" s="995">
        <f t="shared" si="1"/>
        <v>14343000</v>
      </c>
      <c r="AA57" s="976" t="s">
        <v>1319</v>
      </c>
      <c r="AB57" s="994">
        <v>20</v>
      </c>
      <c r="AC57" s="978" t="s">
        <v>422</v>
      </c>
      <c r="AD57" s="4318"/>
      <c r="AE57" s="4318"/>
      <c r="AF57" s="4318"/>
      <c r="AG57" s="4318"/>
      <c r="AH57" s="4318"/>
      <c r="AI57" s="4318"/>
      <c r="AJ57" s="4318"/>
      <c r="AK57" s="4318"/>
      <c r="AL57" s="4318"/>
      <c r="AM57" s="4318"/>
      <c r="AN57" s="4318"/>
      <c r="AO57" s="4318"/>
      <c r="AP57" s="4318"/>
      <c r="AQ57" s="4318"/>
      <c r="AR57" s="4318"/>
      <c r="AS57" s="4318"/>
      <c r="AT57" s="4318"/>
      <c r="AU57" s="4318"/>
      <c r="AV57" s="4318"/>
      <c r="AW57" s="4318"/>
      <c r="AX57" s="4318"/>
      <c r="AY57" s="4318"/>
      <c r="AZ57" s="4318"/>
      <c r="BA57" s="4318"/>
      <c r="BB57" s="4318"/>
      <c r="BC57" s="4318"/>
      <c r="BD57" s="4318"/>
      <c r="BE57" s="4318"/>
      <c r="BF57" s="4318"/>
      <c r="BG57" s="4318"/>
      <c r="BH57" s="3917"/>
      <c r="BI57" s="4318"/>
      <c r="BJ57" s="4318"/>
      <c r="BK57" s="4328"/>
      <c r="BL57" s="4328"/>
      <c r="BM57" s="4329"/>
      <c r="BN57" s="4318"/>
      <c r="BO57" s="4318"/>
      <c r="BP57" s="4318"/>
      <c r="BQ57" s="4327"/>
      <c r="BR57" s="4327"/>
      <c r="BS57" s="4327"/>
      <c r="BT57" s="4327"/>
      <c r="BU57" s="3917"/>
    </row>
    <row r="58" spans="1:73" ht="63" customHeight="1" x14ac:dyDescent="0.25">
      <c r="A58" s="2909"/>
      <c r="B58" s="2910"/>
      <c r="C58" s="279"/>
      <c r="D58" s="975"/>
      <c r="E58" s="3982"/>
      <c r="F58" s="3982"/>
      <c r="G58" s="2693"/>
      <c r="H58" s="4004"/>
      <c r="I58" s="4296"/>
      <c r="J58" s="4301"/>
      <c r="K58" s="2717"/>
      <c r="L58" s="2782"/>
      <c r="M58" s="2717"/>
      <c r="N58" s="4364"/>
      <c r="O58" s="2717"/>
      <c r="P58" s="4367"/>
      <c r="Q58" s="2783"/>
      <c r="R58" s="2930"/>
      <c r="S58" s="3926"/>
      <c r="T58" s="4320"/>
      <c r="U58" s="2993"/>
      <c r="V58" s="3022"/>
      <c r="W58" s="4221"/>
      <c r="X58" s="417">
        <v>12985000</v>
      </c>
      <c r="Y58" s="750">
        <f>+X58</f>
        <v>12985000</v>
      </c>
      <c r="Z58" s="750">
        <f t="shared" si="1"/>
        <v>12985000</v>
      </c>
      <c r="AA58" s="976" t="s">
        <v>1322</v>
      </c>
      <c r="AB58" s="994">
        <v>88</v>
      </c>
      <c r="AC58" s="978" t="s">
        <v>1228</v>
      </c>
      <c r="AD58" s="4318"/>
      <c r="AE58" s="4318"/>
      <c r="AF58" s="4318"/>
      <c r="AG58" s="4318"/>
      <c r="AH58" s="4318"/>
      <c r="AI58" s="4318"/>
      <c r="AJ58" s="4318"/>
      <c r="AK58" s="4318"/>
      <c r="AL58" s="4318"/>
      <c r="AM58" s="4318"/>
      <c r="AN58" s="4318"/>
      <c r="AO58" s="4318"/>
      <c r="AP58" s="4318"/>
      <c r="AQ58" s="4318"/>
      <c r="AR58" s="4318"/>
      <c r="AS58" s="4318"/>
      <c r="AT58" s="4318"/>
      <c r="AU58" s="4318"/>
      <c r="AV58" s="4318"/>
      <c r="AW58" s="4318"/>
      <c r="AX58" s="4318"/>
      <c r="AY58" s="4318"/>
      <c r="AZ58" s="4318"/>
      <c r="BA58" s="4318"/>
      <c r="BB58" s="4318"/>
      <c r="BC58" s="4318"/>
      <c r="BD58" s="4318"/>
      <c r="BE58" s="4318"/>
      <c r="BF58" s="4318"/>
      <c r="BG58" s="4318"/>
      <c r="BH58" s="3917"/>
      <c r="BI58" s="4318"/>
      <c r="BJ58" s="4318"/>
      <c r="BK58" s="4328"/>
      <c r="BL58" s="4328"/>
      <c r="BM58" s="4329"/>
      <c r="BN58" s="4318"/>
      <c r="BO58" s="4318"/>
      <c r="BP58" s="4318"/>
      <c r="BQ58" s="4327"/>
      <c r="BR58" s="4327"/>
      <c r="BS58" s="4327"/>
      <c r="BT58" s="4327"/>
      <c r="BU58" s="3917"/>
    </row>
    <row r="59" spans="1:73" ht="154.5" customHeight="1" x14ac:dyDescent="0.25">
      <c r="A59" s="2909"/>
      <c r="B59" s="2910"/>
      <c r="C59" s="279"/>
      <c r="D59" s="975"/>
      <c r="E59" s="3982"/>
      <c r="F59" s="3982"/>
      <c r="G59" s="996">
        <v>4102022</v>
      </c>
      <c r="H59" s="997" t="s">
        <v>1323</v>
      </c>
      <c r="I59" s="998">
        <v>4102046</v>
      </c>
      <c r="J59" s="999" t="s">
        <v>1324</v>
      </c>
      <c r="K59" s="687">
        <v>410204600</v>
      </c>
      <c r="L59" s="685" t="s">
        <v>1325</v>
      </c>
      <c r="M59" s="687">
        <v>410204600</v>
      </c>
      <c r="N59" s="999" t="s">
        <v>1326</v>
      </c>
      <c r="O59" s="687">
        <v>16</v>
      </c>
      <c r="P59" s="687">
        <v>16</v>
      </c>
      <c r="Q59" s="2783"/>
      <c r="R59" s="2930"/>
      <c r="S59" s="1000">
        <f>SUM(X59)/T55</f>
        <v>0.35304501323918802</v>
      </c>
      <c r="T59" s="4354"/>
      <c r="U59" s="2994"/>
      <c r="V59" s="3023"/>
      <c r="W59" s="736" t="s">
        <v>1327</v>
      </c>
      <c r="X59" s="417">
        <v>18000000</v>
      </c>
      <c r="Y59" s="750">
        <v>18000000</v>
      </c>
      <c r="Z59" s="750">
        <f t="shared" si="1"/>
        <v>18000000</v>
      </c>
      <c r="AA59" s="976" t="s">
        <v>1328</v>
      </c>
      <c r="AB59" s="994">
        <v>20</v>
      </c>
      <c r="AC59" s="978" t="s">
        <v>422</v>
      </c>
      <c r="AD59" s="4359"/>
      <c r="AE59" s="4359"/>
      <c r="AF59" s="4359"/>
      <c r="AG59" s="4359"/>
      <c r="AH59" s="4359"/>
      <c r="AI59" s="4359"/>
      <c r="AJ59" s="4359"/>
      <c r="AK59" s="4359"/>
      <c r="AL59" s="4359"/>
      <c r="AM59" s="4359"/>
      <c r="AN59" s="4359"/>
      <c r="AO59" s="4359"/>
      <c r="AP59" s="4359"/>
      <c r="AQ59" s="4359"/>
      <c r="AR59" s="4359"/>
      <c r="AS59" s="4359"/>
      <c r="AT59" s="4359"/>
      <c r="AU59" s="4359"/>
      <c r="AV59" s="4359"/>
      <c r="AW59" s="4359"/>
      <c r="AX59" s="4359"/>
      <c r="AY59" s="4359"/>
      <c r="AZ59" s="4359"/>
      <c r="BA59" s="4359"/>
      <c r="BB59" s="4359"/>
      <c r="BC59" s="4359"/>
      <c r="BD59" s="4359"/>
      <c r="BE59" s="4359"/>
      <c r="BF59" s="4359"/>
      <c r="BG59" s="4359"/>
      <c r="BH59" s="3918"/>
      <c r="BI59" s="4359"/>
      <c r="BJ59" s="4359"/>
      <c r="BK59" s="4369"/>
      <c r="BL59" s="4369"/>
      <c r="BM59" s="4371"/>
      <c r="BN59" s="4359"/>
      <c r="BO59" s="4359"/>
      <c r="BP59" s="4359"/>
      <c r="BQ59" s="4361"/>
      <c r="BR59" s="4361"/>
      <c r="BS59" s="4361"/>
      <c r="BT59" s="4361"/>
      <c r="BU59" s="3918"/>
    </row>
    <row r="60" spans="1:73" ht="66" customHeight="1" x14ac:dyDescent="0.25">
      <c r="A60" s="2909"/>
      <c r="B60" s="2910"/>
      <c r="C60" s="279"/>
      <c r="D60" s="975"/>
      <c r="E60" s="3982"/>
      <c r="F60" s="3982"/>
      <c r="G60" s="4299">
        <v>4102038</v>
      </c>
      <c r="H60" s="4325" t="s">
        <v>1329</v>
      </c>
      <c r="I60" s="2697">
        <v>4102038</v>
      </c>
      <c r="J60" s="4325" t="s">
        <v>1329</v>
      </c>
      <c r="K60" s="2547">
        <v>410203800</v>
      </c>
      <c r="L60" s="2545" t="s">
        <v>1284</v>
      </c>
      <c r="M60" s="2547">
        <v>410203800</v>
      </c>
      <c r="N60" s="2545" t="s">
        <v>1284</v>
      </c>
      <c r="O60" s="2547">
        <v>10</v>
      </c>
      <c r="P60" s="2547">
        <v>10</v>
      </c>
      <c r="Q60" s="2752" t="s">
        <v>1330</v>
      </c>
      <c r="R60" s="2992" t="s">
        <v>1331</v>
      </c>
      <c r="S60" s="3925">
        <f>SUM(X60:X64)/T60</f>
        <v>1</v>
      </c>
      <c r="T60" s="4360">
        <f>SUM(X60:X64)</f>
        <v>37000000</v>
      </c>
      <c r="U60" s="3021" t="s">
        <v>1332</v>
      </c>
      <c r="V60" s="3021" t="s">
        <v>1333</v>
      </c>
      <c r="W60" s="1001" t="s">
        <v>1334</v>
      </c>
      <c r="X60" s="1002">
        <v>18000000</v>
      </c>
      <c r="Y60" s="750">
        <v>18000000</v>
      </c>
      <c r="Z60" s="750">
        <f t="shared" si="1"/>
        <v>18000000</v>
      </c>
      <c r="AA60" s="533" t="s">
        <v>1335</v>
      </c>
      <c r="AB60" s="4355">
        <v>20</v>
      </c>
      <c r="AC60" s="3983" t="s">
        <v>422</v>
      </c>
      <c r="AD60" s="3916"/>
      <c r="AE60" s="3916"/>
      <c r="AF60" s="3916">
        <v>10</v>
      </c>
      <c r="AG60" s="3916">
        <v>10</v>
      </c>
      <c r="AH60" s="3916"/>
      <c r="AI60" s="3916"/>
      <c r="AJ60" s="3916">
        <v>10</v>
      </c>
      <c r="AK60" s="3916">
        <v>10</v>
      </c>
      <c r="AL60" s="3916"/>
      <c r="AM60" s="3916"/>
      <c r="AN60" s="3916"/>
      <c r="AO60" s="3916"/>
      <c r="AP60" s="3916"/>
      <c r="AQ60" s="3916"/>
      <c r="AR60" s="3916"/>
      <c r="AS60" s="3916"/>
      <c r="AT60" s="3916"/>
      <c r="AU60" s="3916"/>
      <c r="AV60" s="3916"/>
      <c r="AW60" s="3916"/>
      <c r="AX60" s="3916"/>
      <c r="AY60" s="3916"/>
      <c r="AZ60" s="3916"/>
      <c r="BA60" s="3916"/>
      <c r="BB60" s="3916"/>
      <c r="BC60" s="3916"/>
      <c r="BD60" s="3916"/>
      <c r="BE60" s="3916"/>
      <c r="BF60" s="3916"/>
      <c r="BG60" s="3916"/>
      <c r="BH60" s="3916">
        <f>AF60</f>
        <v>10</v>
      </c>
      <c r="BI60" s="3916">
        <f>AG60</f>
        <v>10</v>
      </c>
      <c r="BJ60" s="3916">
        <v>6</v>
      </c>
      <c r="BK60" s="4372">
        <f>SUM(Y60:Y64)</f>
        <v>36718334</v>
      </c>
      <c r="BL60" s="4372">
        <f>SUM(Z60:Z64)</f>
        <v>36718334</v>
      </c>
      <c r="BM60" s="3916">
        <f>BL60/BK60</f>
        <v>1</v>
      </c>
      <c r="BN60" s="3916">
        <v>20</v>
      </c>
      <c r="BO60" s="3916" t="s">
        <v>422</v>
      </c>
      <c r="BP60" s="3916" t="s">
        <v>1214</v>
      </c>
      <c r="BQ60" s="2735">
        <v>44197</v>
      </c>
      <c r="BR60" s="2735">
        <v>44244</v>
      </c>
      <c r="BS60" s="2735">
        <v>44561</v>
      </c>
      <c r="BT60" s="2735">
        <v>44363</v>
      </c>
      <c r="BU60" s="3916" t="s">
        <v>1214</v>
      </c>
    </row>
    <row r="61" spans="1:73" ht="71.25" customHeight="1" x14ac:dyDescent="0.25">
      <c r="A61" s="2909"/>
      <c r="B61" s="2910"/>
      <c r="C61" s="279"/>
      <c r="D61" s="975"/>
      <c r="E61" s="3982"/>
      <c r="F61" s="3982"/>
      <c r="G61" s="4299"/>
      <c r="H61" s="4326"/>
      <c r="I61" s="2697"/>
      <c r="J61" s="4326"/>
      <c r="K61" s="2716"/>
      <c r="L61" s="2781"/>
      <c r="M61" s="2716"/>
      <c r="N61" s="2781"/>
      <c r="O61" s="2716"/>
      <c r="P61" s="2716"/>
      <c r="Q61" s="2755"/>
      <c r="R61" s="2993"/>
      <c r="S61" s="3988"/>
      <c r="T61" s="4320"/>
      <c r="U61" s="3022"/>
      <c r="V61" s="3022"/>
      <c r="W61" s="1001" t="s">
        <v>1336</v>
      </c>
      <c r="X61" s="1002">
        <v>4000000</v>
      </c>
      <c r="Y61" s="750">
        <v>3814500</v>
      </c>
      <c r="Z61" s="750">
        <f t="shared" si="1"/>
        <v>3814500</v>
      </c>
      <c r="AA61" s="533" t="s">
        <v>1335</v>
      </c>
      <c r="AB61" s="4356"/>
      <c r="AC61" s="3983"/>
      <c r="AD61" s="3917"/>
      <c r="AE61" s="3917"/>
      <c r="AF61" s="3917"/>
      <c r="AG61" s="3917"/>
      <c r="AH61" s="3917"/>
      <c r="AI61" s="3917"/>
      <c r="AJ61" s="3917"/>
      <c r="AK61" s="3917"/>
      <c r="AL61" s="3917"/>
      <c r="AM61" s="3917"/>
      <c r="AN61" s="3917"/>
      <c r="AO61" s="3917"/>
      <c r="AP61" s="3917"/>
      <c r="AQ61" s="3917"/>
      <c r="AR61" s="3917"/>
      <c r="AS61" s="3917"/>
      <c r="AT61" s="3917"/>
      <c r="AU61" s="3917"/>
      <c r="AV61" s="3917"/>
      <c r="AW61" s="3917"/>
      <c r="AX61" s="3917"/>
      <c r="AY61" s="3917"/>
      <c r="AZ61" s="3917"/>
      <c r="BA61" s="3917"/>
      <c r="BB61" s="3917"/>
      <c r="BC61" s="3917"/>
      <c r="BD61" s="3917"/>
      <c r="BE61" s="3917"/>
      <c r="BF61" s="3917"/>
      <c r="BG61" s="3917"/>
      <c r="BH61" s="3917"/>
      <c r="BI61" s="3917"/>
      <c r="BJ61" s="3917"/>
      <c r="BK61" s="4362"/>
      <c r="BL61" s="4362"/>
      <c r="BM61" s="3917"/>
      <c r="BN61" s="3917"/>
      <c r="BO61" s="3917"/>
      <c r="BP61" s="3917"/>
      <c r="BQ61" s="4327"/>
      <c r="BR61" s="4327"/>
      <c r="BS61" s="4327"/>
      <c r="BT61" s="4327"/>
      <c r="BU61" s="3917"/>
    </row>
    <row r="62" spans="1:73" ht="60" customHeight="1" x14ac:dyDescent="0.25">
      <c r="A62" s="2909"/>
      <c r="B62" s="2910"/>
      <c r="C62" s="279"/>
      <c r="D62" s="975"/>
      <c r="E62" s="3982"/>
      <c r="F62" s="3982"/>
      <c r="G62" s="4299"/>
      <c r="H62" s="4326"/>
      <c r="I62" s="2697"/>
      <c r="J62" s="4326"/>
      <c r="K62" s="2716"/>
      <c r="L62" s="2781"/>
      <c r="M62" s="2716"/>
      <c r="N62" s="2781"/>
      <c r="O62" s="2716"/>
      <c r="P62" s="2716"/>
      <c r="Q62" s="2755"/>
      <c r="R62" s="2993"/>
      <c r="S62" s="3988"/>
      <c r="T62" s="4320"/>
      <c r="U62" s="3022"/>
      <c r="V62" s="3022"/>
      <c r="W62" s="1001" t="s">
        <v>1337</v>
      </c>
      <c r="X62" s="1002">
        <v>8000000</v>
      </c>
      <c r="Y62" s="750">
        <v>8000000</v>
      </c>
      <c r="Z62" s="750">
        <f t="shared" si="1"/>
        <v>8000000</v>
      </c>
      <c r="AA62" s="533" t="s">
        <v>1335</v>
      </c>
      <c r="AB62" s="4356"/>
      <c r="AC62" s="3983"/>
      <c r="AD62" s="3917"/>
      <c r="AE62" s="3917"/>
      <c r="AF62" s="3917"/>
      <c r="AG62" s="3917"/>
      <c r="AH62" s="3917"/>
      <c r="AI62" s="3917"/>
      <c r="AJ62" s="3917"/>
      <c r="AK62" s="3917"/>
      <c r="AL62" s="3917"/>
      <c r="AM62" s="3917"/>
      <c r="AN62" s="3917"/>
      <c r="AO62" s="3917"/>
      <c r="AP62" s="3917"/>
      <c r="AQ62" s="3917"/>
      <c r="AR62" s="3917"/>
      <c r="AS62" s="3917"/>
      <c r="AT62" s="3917"/>
      <c r="AU62" s="3917"/>
      <c r="AV62" s="3917"/>
      <c r="AW62" s="3917"/>
      <c r="AX62" s="3917"/>
      <c r="AY62" s="3917"/>
      <c r="AZ62" s="3917"/>
      <c r="BA62" s="3917"/>
      <c r="BB62" s="3917"/>
      <c r="BC62" s="3917"/>
      <c r="BD62" s="3917"/>
      <c r="BE62" s="3917"/>
      <c r="BF62" s="3917"/>
      <c r="BG62" s="3917"/>
      <c r="BH62" s="3917"/>
      <c r="BI62" s="3917"/>
      <c r="BJ62" s="3917"/>
      <c r="BK62" s="4362"/>
      <c r="BL62" s="4362"/>
      <c r="BM62" s="3917"/>
      <c r="BN62" s="3917"/>
      <c r="BO62" s="3917"/>
      <c r="BP62" s="3917"/>
      <c r="BQ62" s="4327"/>
      <c r="BR62" s="4327"/>
      <c r="BS62" s="4327"/>
      <c r="BT62" s="4327"/>
      <c r="BU62" s="3917"/>
    </row>
    <row r="63" spans="1:73" ht="69.75" customHeight="1" x14ac:dyDescent="0.25">
      <c r="A63" s="2909"/>
      <c r="B63" s="2910"/>
      <c r="C63" s="279"/>
      <c r="D63" s="975"/>
      <c r="E63" s="3982"/>
      <c r="F63" s="3982"/>
      <c r="G63" s="4299"/>
      <c r="H63" s="4326"/>
      <c r="I63" s="2697"/>
      <c r="J63" s="4326"/>
      <c r="K63" s="2716"/>
      <c r="L63" s="2781"/>
      <c r="M63" s="2716"/>
      <c r="N63" s="2781"/>
      <c r="O63" s="2716"/>
      <c r="P63" s="2716"/>
      <c r="Q63" s="2755"/>
      <c r="R63" s="2993"/>
      <c r="S63" s="3988"/>
      <c r="T63" s="4320"/>
      <c r="U63" s="3022"/>
      <c r="V63" s="3022"/>
      <c r="W63" s="1001" t="s">
        <v>1338</v>
      </c>
      <c r="X63" s="1002">
        <v>4000000</v>
      </c>
      <c r="Y63" s="750">
        <v>4000000</v>
      </c>
      <c r="Z63" s="750">
        <f t="shared" si="1"/>
        <v>4000000</v>
      </c>
      <c r="AA63" s="533" t="s">
        <v>1335</v>
      </c>
      <c r="AB63" s="4356"/>
      <c r="AC63" s="3983"/>
      <c r="AD63" s="3917"/>
      <c r="AE63" s="3917"/>
      <c r="AF63" s="3917"/>
      <c r="AG63" s="3917"/>
      <c r="AH63" s="3917"/>
      <c r="AI63" s="3917"/>
      <c r="AJ63" s="3917"/>
      <c r="AK63" s="3917"/>
      <c r="AL63" s="3917"/>
      <c r="AM63" s="3917"/>
      <c r="AN63" s="3917"/>
      <c r="AO63" s="3917"/>
      <c r="AP63" s="3917"/>
      <c r="AQ63" s="3917"/>
      <c r="AR63" s="3917"/>
      <c r="AS63" s="3917"/>
      <c r="AT63" s="3917"/>
      <c r="AU63" s="3917"/>
      <c r="AV63" s="3917"/>
      <c r="AW63" s="3917"/>
      <c r="AX63" s="3917"/>
      <c r="AY63" s="3917"/>
      <c r="AZ63" s="3917"/>
      <c r="BA63" s="3917"/>
      <c r="BB63" s="3917"/>
      <c r="BC63" s="3917"/>
      <c r="BD63" s="3917"/>
      <c r="BE63" s="3917"/>
      <c r="BF63" s="3917"/>
      <c r="BG63" s="3917"/>
      <c r="BH63" s="3917"/>
      <c r="BI63" s="3917"/>
      <c r="BJ63" s="3917"/>
      <c r="BK63" s="4362"/>
      <c r="BL63" s="4362"/>
      <c r="BM63" s="3917"/>
      <c r="BN63" s="3917"/>
      <c r="BO63" s="3917"/>
      <c r="BP63" s="3917"/>
      <c r="BQ63" s="4327"/>
      <c r="BR63" s="4327"/>
      <c r="BS63" s="4327"/>
      <c r="BT63" s="4327"/>
      <c r="BU63" s="3917"/>
    </row>
    <row r="64" spans="1:73" ht="60" customHeight="1" x14ac:dyDescent="0.25">
      <c r="A64" s="2909"/>
      <c r="B64" s="2910"/>
      <c r="C64" s="279"/>
      <c r="D64" s="975"/>
      <c r="E64" s="3982"/>
      <c r="F64" s="4293"/>
      <c r="G64" s="4324"/>
      <c r="H64" s="4326"/>
      <c r="I64" s="2516"/>
      <c r="J64" s="4326"/>
      <c r="K64" s="2716"/>
      <c r="L64" s="2781"/>
      <c r="M64" s="2716"/>
      <c r="N64" s="2781"/>
      <c r="O64" s="2716"/>
      <c r="P64" s="2716"/>
      <c r="Q64" s="2755"/>
      <c r="R64" s="2993"/>
      <c r="S64" s="3988"/>
      <c r="T64" s="4320"/>
      <c r="U64" s="3022"/>
      <c r="V64" s="3022"/>
      <c r="W64" s="1003" t="s">
        <v>1339</v>
      </c>
      <c r="X64" s="1004">
        <v>3000000</v>
      </c>
      <c r="Y64" s="1005">
        <v>2903834</v>
      </c>
      <c r="Z64" s="928">
        <f t="shared" si="1"/>
        <v>2903834</v>
      </c>
      <c r="AA64" s="533" t="s">
        <v>1335</v>
      </c>
      <c r="AB64" s="4356"/>
      <c r="AC64" s="3983"/>
      <c r="AD64" s="3917"/>
      <c r="AE64" s="3917"/>
      <c r="AF64" s="3917"/>
      <c r="AG64" s="3917"/>
      <c r="AH64" s="3917"/>
      <c r="AI64" s="3917"/>
      <c r="AJ64" s="3917"/>
      <c r="AK64" s="3917"/>
      <c r="AL64" s="3917"/>
      <c r="AM64" s="3917"/>
      <c r="AN64" s="3917"/>
      <c r="AO64" s="3917"/>
      <c r="AP64" s="3917"/>
      <c r="AQ64" s="3917"/>
      <c r="AR64" s="3917"/>
      <c r="AS64" s="3917"/>
      <c r="AT64" s="3917"/>
      <c r="AU64" s="3917"/>
      <c r="AV64" s="3917"/>
      <c r="AW64" s="3917"/>
      <c r="AX64" s="3917"/>
      <c r="AY64" s="3917"/>
      <c r="AZ64" s="3917"/>
      <c r="BA64" s="3917"/>
      <c r="BB64" s="3917"/>
      <c r="BC64" s="3917"/>
      <c r="BD64" s="3917"/>
      <c r="BE64" s="3917"/>
      <c r="BF64" s="3917"/>
      <c r="BG64" s="3917"/>
      <c r="BH64" s="3917"/>
      <c r="BI64" s="3917"/>
      <c r="BJ64" s="3917"/>
      <c r="BK64" s="4362"/>
      <c r="BL64" s="4362"/>
      <c r="BM64" s="3917"/>
      <c r="BN64" s="3917"/>
      <c r="BO64" s="3917"/>
      <c r="BP64" s="3917"/>
      <c r="BQ64" s="4327"/>
      <c r="BR64" s="4327"/>
      <c r="BS64" s="4327"/>
      <c r="BT64" s="4327"/>
      <c r="BU64" s="3917"/>
    </row>
    <row r="65" spans="1:73" s="4" customFormat="1" ht="27" customHeight="1" x14ac:dyDescent="0.25">
      <c r="A65" s="2909"/>
      <c r="B65" s="2910"/>
      <c r="C65" s="743"/>
      <c r="D65" s="744"/>
      <c r="E65" s="283">
        <v>4103</v>
      </c>
      <c r="F65" s="973" t="s">
        <v>1340</v>
      </c>
      <c r="G65" s="974"/>
      <c r="H65" s="974"/>
      <c r="I65" s="974"/>
      <c r="J65" s="974"/>
      <c r="K65" s="974"/>
      <c r="L65" s="974"/>
      <c r="M65" s="400"/>
      <c r="N65" s="399"/>
      <c r="O65" s="794"/>
      <c r="P65" s="794"/>
      <c r="Q65" s="794"/>
      <c r="R65" s="1006"/>
      <c r="S65" s="947"/>
      <c r="T65" s="948"/>
      <c r="U65" s="1006"/>
      <c r="V65" s="1006"/>
      <c r="W65" s="1006"/>
      <c r="X65" s="1006"/>
      <c r="Y65" s="1006"/>
      <c r="Z65" s="1006"/>
      <c r="AA65" s="918"/>
      <c r="AB65" s="949"/>
      <c r="AC65" s="190"/>
      <c r="AD65" s="794"/>
      <c r="AE65" s="794"/>
      <c r="AF65" s="794"/>
      <c r="AG65" s="794"/>
      <c r="AH65" s="794"/>
      <c r="AI65" s="794"/>
      <c r="AJ65" s="794"/>
      <c r="AK65" s="794"/>
      <c r="AL65" s="794"/>
      <c r="AM65" s="794"/>
      <c r="AN65" s="794"/>
      <c r="AO65" s="794"/>
      <c r="AP65" s="794"/>
      <c r="AQ65" s="794"/>
      <c r="AR65" s="794"/>
      <c r="AS65" s="794"/>
      <c r="AT65" s="794"/>
      <c r="AU65" s="794"/>
      <c r="AV65" s="794"/>
      <c r="AW65" s="794"/>
      <c r="AX65" s="794"/>
      <c r="AY65" s="794"/>
      <c r="AZ65" s="794"/>
      <c r="BA65" s="794"/>
      <c r="BB65" s="794"/>
      <c r="BC65" s="794"/>
      <c r="BD65" s="794"/>
      <c r="BE65" s="794"/>
      <c r="BF65" s="794"/>
      <c r="BG65" s="794"/>
      <c r="BH65" s="794"/>
      <c r="BI65" s="950"/>
      <c r="BJ65" s="950"/>
      <c r="BK65" s="951"/>
      <c r="BL65" s="951"/>
      <c r="BM65" s="90"/>
      <c r="BN65" s="794"/>
      <c r="BO65" s="794"/>
      <c r="BP65" s="794"/>
      <c r="BQ65" s="952"/>
      <c r="BR65" s="952"/>
      <c r="BS65" s="952"/>
      <c r="BT65" s="952"/>
      <c r="BU65" s="863"/>
    </row>
    <row r="66" spans="1:73" ht="172.5" customHeight="1" x14ac:dyDescent="0.25">
      <c r="A66" s="2909"/>
      <c r="B66" s="2910"/>
      <c r="C66" s="279"/>
      <c r="D66" s="280"/>
      <c r="E66" s="4373"/>
      <c r="F66" s="4373"/>
      <c r="G66" s="998">
        <v>4103059</v>
      </c>
      <c r="H66" s="983" t="s">
        <v>1341</v>
      </c>
      <c r="I66" s="982">
        <v>4103059</v>
      </c>
      <c r="J66" s="983" t="s">
        <v>1341</v>
      </c>
      <c r="K66" s="719">
        <v>410305900</v>
      </c>
      <c r="L66" s="720" t="s">
        <v>1342</v>
      </c>
      <c r="M66" s="719">
        <v>410305900</v>
      </c>
      <c r="N66" s="720" t="s">
        <v>1342</v>
      </c>
      <c r="O66" s="719">
        <v>10</v>
      </c>
      <c r="P66" s="719">
        <v>10</v>
      </c>
      <c r="Q66" s="724" t="s">
        <v>1343</v>
      </c>
      <c r="R66" s="721" t="s">
        <v>1344</v>
      </c>
      <c r="S66" s="1007">
        <f>SUM(X66)/T66</f>
        <v>1</v>
      </c>
      <c r="T66" s="956">
        <f>SUM(X66)</f>
        <v>15000000</v>
      </c>
      <c r="U66" s="728" t="s">
        <v>1345</v>
      </c>
      <c r="V66" s="738" t="s">
        <v>1211</v>
      </c>
      <c r="W66" s="736" t="s">
        <v>1346</v>
      </c>
      <c r="X66" s="417">
        <v>15000000</v>
      </c>
      <c r="Y66" s="749">
        <v>15000000</v>
      </c>
      <c r="Z66" s="749">
        <f>+Y66</f>
        <v>15000000</v>
      </c>
      <c r="AA66" s="533" t="s">
        <v>1347</v>
      </c>
      <c r="AB66" s="1008">
        <v>20</v>
      </c>
      <c r="AC66" s="686" t="s">
        <v>422</v>
      </c>
      <c r="AD66" s="680">
        <v>6</v>
      </c>
      <c r="AE66" s="1009">
        <v>6</v>
      </c>
      <c r="AF66" s="1009">
        <v>9</v>
      </c>
      <c r="AG66" s="1009">
        <v>9</v>
      </c>
      <c r="AH66" s="1009" t="s">
        <v>153</v>
      </c>
      <c r="AI66" s="1009"/>
      <c r="AJ66" s="1009">
        <v>10</v>
      </c>
      <c r="AK66" s="1009">
        <v>10</v>
      </c>
      <c r="AL66" s="734"/>
      <c r="AM66" s="734">
        <v>5</v>
      </c>
      <c r="AN66" s="734">
        <v>5</v>
      </c>
      <c r="AO66" s="734"/>
      <c r="AP66" s="734"/>
      <c r="AQ66" s="734"/>
      <c r="AR66" s="734"/>
      <c r="AS66" s="734"/>
      <c r="AT66" s="734"/>
      <c r="AU66" s="734"/>
      <c r="AV66" s="734"/>
      <c r="AW66" s="734"/>
      <c r="AX66" s="734"/>
      <c r="AY66" s="734"/>
      <c r="AZ66" s="734"/>
      <c r="BA66" s="734"/>
      <c r="BB66" s="734"/>
      <c r="BC66" s="734"/>
      <c r="BD66" s="734"/>
      <c r="BE66" s="734"/>
      <c r="BF66" s="734"/>
      <c r="BG66" s="734"/>
      <c r="BH66" s="734">
        <v>10</v>
      </c>
      <c r="BI66" s="961">
        <v>10</v>
      </c>
      <c r="BJ66" s="961">
        <v>3</v>
      </c>
      <c r="BK66" s="962">
        <f>SUM(Y66)</f>
        <v>15000000</v>
      </c>
      <c r="BL66" s="962">
        <v>15000000</v>
      </c>
      <c r="BM66" s="1010">
        <f>BL66/BK66</f>
        <v>1</v>
      </c>
      <c r="BN66" s="961">
        <v>20</v>
      </c>
      <c r="BO66" s="961" t="s">
        <v>422</v>
      </c>
      <c r="BP66" s="803" t="s">
        <v>1214</v>
      </c>
      <c r="BQ66" s="1011">
        <v>44197</v>
      </c>
      <c r="BR66" s="1011">
        <v>44265</v>
      </c>
      <c r="BS66" s="1011">
        <v>44561</v>
      </c>
      <c r="BT66" s="1011">
        <v>44384</v>
      </c>
      <c r="BU66" s="803" t="s">
        <v>1214</v>
      </c>
    </row>
    <row r="67" spans="1:73" ht="127.5" customHeight="1" x14ac:dyDescent="0.25">
      <c r="A67" s="2909"/>
      <c r="B67" s="2910"/>
      <c r="C67" s="279"/>
      <c r="D67" s="280"/>
      <c r="E67" s="4373"/>
      <c r="F67" s="4373"/>
      <c r="G67" s="998">
        <v>4103052</v>
      </c>
      <c r="H67" s="997" t="s">
        <v>1348</v>
      </c>
      <c r="I67" s="982">
        <v>4103052</v>
      </c>
      <c r="J67" s="997" t="s">
        <v>1348</v>
      </c>
      <c r="K67" s="687">
        <v>410305202</v>
      </c>
      <c r="L67" s="685" t="s">
        <v>1349</v>
      </c>
      <c r="M67" s="687">
        <v>410305202</v>
      </c>
      <c r="N67" s="685" t="s">
        <v>1349</v>
      </c>
      <c r="O67" s="687">
        <v>1</v>
      </c>
      <c r="P67" s="687">
        <v>1</v>
      </c>
      <c r="Q67" s="713" t="s">
        <v>1350</v>
      </c>
      <c r="R67" s="727" t="s">
        <v>1351</v>
      </c>
      <c r="S67" s="1012">
        <f>SUM(X67)/T67</f>
        <v>1</v>
      </c>
      <c r="T67" s="1013">
        <f>SUM(X67)</f>
        <v>20000000</v>
      </c>
      <c r="U67" s="727" t="s">
        <v>1352</v>
      </c>
      <c r="V67" s="737" t="s">
        <v>1353</v>
      </c>
      <c r="W67" s="727" t="s">
        <v>1354</v>
      </c>
      <c r="X67" s="347">
        <v>20000000</v>
      </c>
      <c r="Y67" s="1014">
        <v>20000000</v>
      </c>
      <c r="Z67" s="1014">
        <f>+Y67</f>
        <v>20000000</v>
      </c>
      <c r="AA67" s="533" t="s">
        <v>1355</v>
      </c>
      <c r="AB67" s="1015">
        <v>20</v>
      </c>
      <c r="AC67" s="978" t="s">
        <v>422</v>
      </c>
      <c r="AD67" s="1016">
        <v>300</v>
      </c>
      <c r="AE67" s="1016">
        <v>323</v>
      </c>
      <c r="AF67" s="1016">
        <v>300</v>
      </c>
      <c r="AG67" s="1016">
        <v>297</v>
      </c>
      <c r="AH67" s="1016"/>
      <c r="AI67" s="1016"/>
      <c r="AJ67" s="1016"/>
      <c r="AK67" s="1016"/>
      <c r="AL67" s="1016"/>
      <c r="AM67" s="1016"/>
      <c r="AN67" s="1016"/>
      <c r="AO67" s="1016"/>
      <c r="AP67" s="1016"/>
      <c r="AQ67" s="1016"/>
      <c r="AR67" s="1016"/>
      <c r="AS67" s="1016"/>
      <c r="AT67" s="1016"/>
      <c r="AU67" s="1016"/>
      <c r="AV67" s="1016"/>
      <c r="AW67" s="1016"/>
      <c r="AX67" s="1016"/>
      <c r="AY67" s="1016"/>
      <c r="AZ67" s="1016"/>
      <c r="BA67" s="1016"/>
      <c r="BB67" s="1016"/>
      <c r="BC67" s="1016"/>
      <c r="BD67" s="1016"/>
      <c r="BE67" s="1016"/>
      <c r="BF67" s="1016"/>
      <c r="BG67" s="1016"/>
      <c r="BH67" s="1016">
        <v>600</v>
      </c>
      <c r="BI67" s="1016">
        <v>620</v>
      </c>
      <c r="BJ67" s="1016">
        <v>2</v>
      </c>
      <c r="BK67" s="1017">
        <f>+Y67</f>
        <v>20000000</v>
      </c>
      <c r="BL67" s="1017">
        <v>20000000</v>
      </c>
      <c r="BM67" s="748">
        <f>BL67/BK67</f>
        <v>1</v>
      </c>
      <c r="BN67" s="1016">
        <v>20</v>
      </c>
      <c r="BO67" s="1016" t="s">
        <v>422</v>
      </c>
      <c r="BP67" s="1016" t="s">
        <v>1356</v>
      </c>
      <c r="BQ67" s="1018">
        <v>44197</v>
      </c>
      <c r="BR67" s="1018">
        <v>44257</v>
      </c>
      <c r="BS67" s="1018">
        <v>44561</v>
      </c>
      <c r="BT67" s="1018">
        <v>44376</v>
      </c>
      <c r="BU67" s="1016" t="s">
        <v>1356</v>
      </c>
    </row>
    <row r="68" spans="1:73" ht="71.25" customHeight="1" x14ac:dyDescent="0.25">
      <c r="A68" s="2909"/>
      <c r="B68" s="2910"/>
      <c r="C68" s="279"/>
      <c r="D68" s="280"/>
      <c r="E68" s="4373"/>
      <c r="F68" s="4373"/>
      <c r="G68" s="2697">
        <v>4103050</v>
      </c>
      <c r="H68" s="4325" t="s">
        <v>1357</v>
      </c>
      <c r="I68" s="4299">
        <v>4103050</v>
      </c>
      <c r="J68" s="4325" t="s">
        <v>1357</v>
      </c>
      <c r="K68" s="2547">
        <v>410305001</v>
      </c>
      <c r="L68" s="2545" t="s">
        <v>1358</v>
      </c>
      <c r="M68" s="2547">
        <v>410305001</v>
      </c>
      <c r="N68" s="2545" t="s">
        <v>1358</v>
      </c>
      <c r="O68" s="2547">
        <v>12</v>
      </c>
      <c r="P68" s="2547">
        <v>12</v>
      </c>
      <c r="Q68" s="2547" t="s">
        <v>1359</v>
      </c>
      <c r="R68" s="2543" t="s">
        <v>1360</v>
      </c>
      <c r="S68" s="3925">
        <f>SUM(X68:X70)/T68</f>
        <v>1</v>
      </c>
      <c r="T68" s="4360">
        <f>SUM(X68:X70)</f>
        <v>25000000</v>
      </c>
      <c r="U68" s="2992" t="s">
        <v>1361</v>
      </c>
      <c r="V68" s="3021" t="s">
        <v>1306</v>
      </c>
      <c r="W68" s="2992" t="s">
        <v>1362</v>
      </c>
      <c r="X68" s="1019">
        <v>0</v>
      </c>
      <c r="Y68" s="1020"/>
      <c r="Z68" s="1020"/>
      <c r="AA68" s="991" t="s">
        <v>1363</v>
      </c>
      <c r="AB68" s="1021">
        <v>20</v>
      </c>
      <c r="AC68" s="1016" t="s">
        <v>422</v>
      </c>
      <c r="AD68" s="2745">
        <v>20</v>
      </c>
      <c r="AE68" s="4358">
        <v>99</v>
      </c>
      <c r="AF68" s="4358">
        <v>10</v>
      </c>
      <c r="AG68" s="4358">
        <v>42</v>
      </c>
      <c r="AH68" s="4358">
        <v>10</v>
      </c>
      <c r="AI68" s="4358">
        <v>0</v>
      </c>
      <c r="AJ68" s="4358" t="s">
        <v>153</v>
      </c>
      <c r="AK68" s="4358">
        <v>0</v>
      </c>
      <c r="AL68" s="4358">
        <v>0</v>
      </c>
      <c r="AM68" s="4358">
        <v>113</v>
      </c>
      <c r="AN68" s="3916"/>
      <c r="AO68" s="4358">
        <v>28</v>
      </c>
      <c r="AP68" s="3916"/>
      <c r="AQ68" s="4358">
        <v>1</v>
      </c>
      <c r="AR68" s="3916"/>
      <c r="AS68" s="4358"/>
      <c r="AT68" s="3916"/>
      <c r="AU68" s="4358"/>
      <c r="AV68" s="3916"/>
      <c r="AW68" s="4358"/>
      <c r="AX68" s="3916"/>
      <c r="AY68" s="4358"/>
      <c r="AZ68" s="3916"/>
      <c r="BA68" s="4358"/>
      <c r="BB68" s="3916"/>
      <c r="BC68" s="4358">
        <v>5</v>
      </c>
      <c r="BD68" s="3916"/>
      <c r="BE68" s="4358">
        <v>3</v>
      </c>
      <c r="BF68" s="3916"/>
      <c r="BG68" s="4358">
        <v>3</v>
      </c>
      <c r="BH68" s="3916">
        <f>AD68+AF68</f>
        <v>30</v>
      </c>
      <c r="BI68" s="4358">
        <f>SUM(AI68+AK68+AM68+AO68)</f>
        <v>141</v>
      </c>
      <c r="BJ68" s="4358">
        <v>3</v>
      </c>
      <c r="BK68" s="4377">
        <f>SUM(Y68:Y70)</f>
        <v>24000000</v>
      </c>
      <c r="BL68" s="4377">
        <f>SUM(Z68:Z70)</f>
        <v>24000000</v>
      </c>
      <c r="BM68" s="4370">
        <f>BL68/BK68</f>
        <v>1</v>
      </c>
      <c r="BN68" s="4358">
        <v>20</v>
      </c>
      <c r="BO68" s="4358" t="s">
        <v>422</v>
      </c>
      <c r="BP68" s="4358" t="s">
        <v>1194</v>
      </c>
      <c r="BQ68" s="2735">
        <v>44197</v>
      </c>
      <c r="BR68" s="2735">
        <v>44228</v>
      </c>
      <c r="BS68" s="2735">
        <v>44561</v>
      </c>
      <c r="BT68" s="2735">
        <v>44408</v>
      </c>
      <c r="BU68" s="3916" t="s">
        <v>1194</v>
      </c>
    </row>
    <row r="69" spans="1:73" ht="60.75" customHeight="1" x14ac:dyDescent="0.25">
      <c r="A69" s="2909"/>
      <c r="B69" s="2910"/>
      <c r="C69" s="279"/>
      <c r="D69" s="280"/>
      <c r="E69" s="4373"/>
      <c r="F69" s="4373"/>
      <c r="G69" s="2697"/>
      <c r="H69" s="4326"/>
      <c r="I69" s="4299"/>
      <c r="J69" s="4326"/>
      <c r="K69" s="2716"/>
      <c r="L69" s="2781"/>
      <c r="M69" s="2716"/>
      <c r="N69" s="2781"/>
      <c r="O69" s="2716"/>
      <c r="P69" s="2716"/>
      <c r="Q69" s="2716"/>
      <c r="R69" s="2543"/>
      <c r="S69" s="3988"/>
      <c r="T69" s="4320"/>
      <c r="U69" s="2993"/>
      <c r="V69" s="3022"/>
      <c r="W69" s="2994"/>
      <c r="X69" s="1022">
        <v>10000000</v>
      </c>
      <c r="Y69" s="1023">
        <v>10000000</v>
      </c>
      <c r="Z69" s="1023">
        <f>+Y69</f>
        <v>10000000</v>
      </c>
      <c r="AA69" s="991" t="s">
        <v>1364</v>
      </c>
      <c r="AB69" s="1021">
        <v>20</v>
      </c>
      <c r="AC69" s="1016" t="s">
        <v>422</v>
      </c>
      <c r="AD69" s="2502"/>
      <c r="AE69" s="4318"/>
      <c r="AF69" s="4318"/>
      <c r="AG69" s="4318"/>
      <c r="AH69" s="4318"/>
      <c r="AI69" s="4318"/>
      <c r="AJ69" s="4318"/>
      <c r="AK69" s="4318"/>
      <c r="AL69" s="4318"/>
      <c r="AM69" s="4318"/>
      <c r="AN69" s="3917"/>
      <c r="AO69" s="4318"/>
      <c r="AP69" s="3917"/>
      <c r="AQ69" s="4318"/>
      <c r="AR69" s="3917"/>
      <c r="AS69" s="4318"/>
      <c r="AT69" s="3917"/>
      <c r="AU69" s="4318"/>
      <c r="AV69" s="3917"/>
      <c r="AW69" s="4318"/>
      <c r="AX69" s="3917"/>
      <c r="AY69" s="4318"/>
      <c r="AZ69" s="3917"/>
      <c r="BA69" s="4318"/>
      <c r="BB69" s="3917"/>
      <c r="BC69" s="4318"/>
      <c r="BD69" s="3917"/>
      <c r="BE69" s="4318"/>
      <c r="BF69" s="3917"/>
      <c r="BG69" s="4318"/>
      <c r="BH69" s="3917"/>
      <c r="BI69" s="4318"/>
      <c r="BJ69" s="4318"/>
      <c r="BK69" s="4378"/>
      <c r="BL69" s="4378"/>
      <c r="BM69" s="4329"/>
      <c r="BN69" s="4318"/>
      <c r="BO69" s="4318"/>
      <c r="BP69" s="4318"/>
      <c r="BQ69" s="4327"/>
      <c r="BR69" s="4327"/>
      <c r="BS69" s="4327"/>
      <c r="BT69" s="4327"/>
      <c r="BU69" s="3917"/>
    </row>
    <row r="70" spans="1:73" ht="107.25" customHeight="1" x14ac:dyDescent="0.25">
      <c r="A70" s="2909"/>
      <c r="B70" s="2910"/>
      <c r="C70" s="279"/>
      <c r="D70" s="280"/>
      <c r="E70" s="4373"/>
      <c r="F70" s="4373"/>
      <c r="G70" s="2697"/>
      <c r="H70" s="4345"/>
      <c r="I70" s="4299"/>
      <c r="J70" s="4345"/>
      <c r="K70" s="2717"/>
      <c r="L70" s="2782"/>
      <c r="M70" s="2717"/>
      <c r="N70" s="2782"/>
      <c r="O70" s="2717"/>
      <c r="P70" s="2717"/>
      <c r="Q70" s="2717"/>
      <c r="R70" s="2543"/>
      <c r="S70" s="3926"/>
      <c r="T70" s="4354"/>
      <c r="U70" s="2994"/>
      <c r="V70" s="3023"/>
      <c r="W70" s="736" t="s">
        <v>1365</v>
      </c>
      <c r="X70" s="417">
        <v>15000000</v>
      </c>
      <c r="Y70" s="750">
        <v>14000000</v>
      </c>
      <c r="Z70" s="750">
        <f>+Y70</f>
        <v>14000000</v>
      </c>
      <c r="AA70" s="533" t="s">
        <v>1364</v>
      </c>
      <c r="AB70" s="1015">
        <v>20</v>
      </c>
      <c r="AC70" s="978" t="s">
        <v>422</v>
      </c>
      <c r="AD70" s="4375"/>
      <c r="AE70" s="4359"/>
      <c r="AF70" s="4359"/>
      <c r="AG70" s="4359"/>
      <c r="AH70" s="4359"/>
      <c r="AI70" s="4359"/>
      <c r="AJ70" s="4359"/>
      <c r="AK70" s="4359"/>
      <c r="AL70" s="4359"/>
      <c r="AM70" s="4359"/>
      <c r="AN70" s="3918"/>
      <c r="AO70" s="4359"/>
      <c r="AP70" s="3918"/>
      <c r="AQ70" s="4359"/>
      <c r="AR70" s="3918"/>
      <c r="AS70" s="4359"/>
      <c r="AT70" s="3918"/>
      <c r="AU70" s="4359"/>
      <c r="AV70" s="3918"/>
      <c r="AW70" s="4359"/>
      <c r="AX70" s="3918"/>
      <c r="AY70" s="4359"/>
      <c r="AZ70" s="3918"/>
      <c r="BA70" s="4359"/>
      <c r="BB70" s="3918"/>
      <c r="BC70" s="4359"/>
      <c r="BD70" s="3918"/>
      <c r="BE70" s="4359"/>
      <c r="BF70" s="3918"/>
      <c r="BG70" s="4359"/>
      <c r="BH70" s="3918"/>
      <c r="BI70" s="4359"/>
      <c r="BJ70" s="4359"/>
      <c r="BK70" s="4379"/>
      <c r="BL70" s="4379"/>
      <c r="BM70" s="4371"/>
      <c r="BN70" s="4359"/>
      <c r="BO70" s="4359"/>
      <c r="BP70" s="4359"/>
      <c r="BQ70" s="4361"/>
      <c r="BR70" s="4361"/>
      <c r="BS70" s="4361"/>
      <c r="BT70" s="4361"/>
      <c r="BU70" s="3918"/>
    </row>
    <row r="71" spans="1:73" ht="69" customHeight="1" x14ac:dyDescent="0.25">
      <c r="A71" s="2909"/>
      <c r="B71" s="2910"/>
      <c r="C71" s="279"/>
      <c r="D71" s="280"/>
      <c r="E71" s="4373"/>
      <c r="F71" s="4373"/>
      <c r="G71" s="2697">
        <v>4103058</v>
      </c>
      <c r="H71" s="4325" t="s">
        <v>1366</v>
      </c>
      <c r="I71" s="2516">
        <v>4103058</v>
      </c>
      <c r="J71" s="4002" t="s">
        <v>1366</v>
      </c>
      <c r="K71" s="2547">
        <v>410305800</v>
      </c>
      <c r="L71" s="2545" t="s">
        <v>1367</v>
      </c>
      <c r="M71" s="2547">
        <v>410305800</v>
      </c>
      <c r="N71" s="2545" t="s">
        <v>1367</v>
      </c>
      <c r="O71" s="2547">
        <v>2</v>
      </c>
      <c r="P71" s="2547">
        <v>2</v>
      </c>
      <c r="Q71" s="2752" t="s">
        <v>1368</v>
      </c>
      <c r="R71" s="2992" t="s">
        <v>1369</v>
      </c>
      <c r="S71" s="3884">
        <f>SUM(X71:X74)/T71</f>
        <v>1</v>
      </c>
      <c r="T71" s="4360">
        <f>SUM(X71:X74)</f>
        <v>75112368</v>
      </c>
      <c r="U71" s="2992" t="s">
        <v>1370</v>
      </c>
      <c r="V71" s="3021" t="s">
        <v>1306</v>
      </c>
      <c r="W71" s="736" t="s">
        <v>1371</v>
      </c>
      <c r="X71" s="990">
        <f>18000000-3150000</f>
        <v>14850000</v>
      </c>
      <c r="Y71" s="750">
        <v>14850000</v>
      </c>
      <c r="Z71" s="995">
        <f>+Y71</f>
        <v>14850000</v>
      </c>
      <c r="AA71" s="691" t="s">
        <v>1372</v>
      </c>
      <c r="AB71" s="994">
        <v>20</v>
      </c>
      <c r="AC71" s="978" t="s">
        <v>422</v>
      </c>
      <c r="AD71" s="4376">
        <v>225</v>
      </c>
      <c r="AE71" s="3916">
        <v>565</v>
      </c>
      <c r="AF71" s="4376">
        <v>225</v>
      </c>
      <c r="AG71" s="3916">
        <v>443</v>
      </c>
      <c r="AH71" s="4376" t="s">
        <v>153</v>
      </c>
      <c r="AI71" s="3916">
        <v>50</v>
      </c>
      <c r="AJ71" s="4376">
        <v>70</v>
      </c>
      <c r="AK71" s="3916">
        <v>262</v>
      </c>
      <c r="AL71" s="4376">
        <v>100</v>
      </c>
      <c r="AM71" s="3916">
        <v>484</v>
      </c>
      <c r="AN71" s="4358">
        <v>50</v>
      </c>
      <c r="AO71" s="3916"/>
      <c r="AP71" s="4358">
        <v>10</v>
      </c>
      <c r="AQ71" s="3916">
        <v>0</v>
      </c>
      <c r="AR71" s="4358">
        <v>10</v>
      </c>
      <c r="AS71" s="3916">
        <v>0</v>
      </c>
      <c r="AT71" s="4358" t="s">
        <v>153</v>
      </c>
      <c r="AU71" s="3916"/>
      <c r="AV71" s="4358" t="s">
        <v>153</v>
      </c>
      <c r="AW71" s="3916"/>
      <c r="AX71" s="4358" t="s">
        <v>153</v>
      </c>
      <c r="AY71" s="3916"/>
      <c r="AZ71" s="4358" t="s">
        <v>153</v>
      </c>
      <c r="BA71" s="3916"/>
      <c r="BB71" s="4358" t="s">
        <v>153</v>
      </c>
      <c r="BC71" s="3916"/>
      <c r="BD71" s="4358">
        <v>200</v>
      </c>
      <c r="BE71" s="3916">
        <v>971</v>
      </c>
      <c r="BF71" s="4358">
        <v>10</v>
      </c>
      <c r="BG71" s="3916"/>
      <c r="BH71" s="3916">
        <v>450</v>
      </c>
      <c r="BI71" s="3916">
        <v>1008</v>
      </c>
      <c r="BJ71" s="3916">
        <v>5</v>
      </c>
      <c r="BK71" s="4380">
        <f>SUM(Y71:Y74)</f>
        <v>71374050.390000001</v>
      </c>
      <c r="BL71" s="4380">
        <f>SUM(Z71:Z74)</f>
        <v>71374050.390000001</v>
      </c>
      <c r="BM71" s="3721">
        <f>BL71/BK71</f>
        <v>1</v>
      </c>
      <c r="BN71" s="3916">
        <v>20</v>
      </c>
      <c r="BO71" s="3916" t="s">
        <v>422</v>
      </c>
      <c r="BP71" s="3916" t="s">
        <v>1373</v>
      </c>
      <c r="BQ71" s="2735">
        <v>44197</v>
      </c>
      <c r="BR71" s="2735">
        <v>44244</v>
      </c>
      <c r="BS71" s="2735">
        <v>44561</v>
      </c>
      <c r="BT71" s="2735">
        <v>44363</v>
      </c>
      <c r="BU71" s="3916" t="s">
        <v>1373</v>
      </c>
    </row>
    <row r="72" spans="1:73" ht="68.25" customHeight="1" x14ac:dyDescent="0.25">
      <c r="A72" s="2909"/>
      <c r="B72" s="2910"/>
      <c r="C72" s="279"/>
      <c r="D72" s="280"/>
      <c r="E72" s="4373"/>
      <c r="F72" s="4373"/>
      <c r="G72" s="2697"/>
      <c r="H72" s="4326"/>
      <c r="I72" s="2517"/>
      <c r="J72" s="4003"/>
      <c r="K72" s="2716"/>
      <c r="L72" s="2781"/>
      <c r="M72" s="2716"/>
      <c r="N72" s="2781"/>
      <c r="O72" s="2716"/>
      <c r="P72" s="2716"/>
      <c r="Q72" s="2755"/>
      <c r="R72" s="2993"/>
      <c r="S72" s="3903"/>
      <c r="T72" s="4320"/>
      <c r="U72" s="2993"/>
      <c r="V72" s="3022"/>
      <c r="W72" s="4219" t="s">
        <v>1374</v>
      </c>
      <c r="X72" s="990">
        <f>10000000-6000000</f>
        <v>4000000</v>
      </c>
      <c r="Y72" s="750">
        <v>3630774</v>
      </c>
      <c r="Z72" s="750">
        <v>3630774</v>
      </c>
      <c r="AA72" s="691" t="s">
        <v>1372</v>
      </c>
      <c r="AB72" s="994">
        <v>20</v>
      </c>
      <c r="AC72" s="978" t="s">
        <v>422</v>
      </c>
      <c r="AD72" s="4318"/>
      <c r="AE72" s="3917"/>
      <c r="AF72" s="4318"/>
      <c r="AG72" s="3917"/>
      <c r="AH72" s="4318"/>
      <c r="AI72" s="3917"/>
      <c r="AJ72" s="4318"/>
      <c r="AK72" s="3917"/>
      <c r="AL72" s="4318"/>
      <c r="AM72" s="3917"/>
      <c r="AN72" s="4318"/>
      <c r="AO72" s="3917"/>
      <c r="AP72" s="4318"/>
      <c r="AQ72" s="3917"/>
      <c r="AR72" s="4318"/>
      <c r="AS72" s="3917"/>
      <c r="AT72" s="4318"/>
      <c r="AU72" s="3917"/>
      <c r="AV72" s="4318"/>
      <c r="AW72" s="3917"/>
      <c r="AX72" s="4318"/>
      <c r="AY72" s="3917"/>
      <c r="AZ72" s="4318"/>
      <c r="BA72" s="3917"/>
      <c r="BB72" s="4318"/>
      <c r="BC72" s="3917"/>
      <c r="BD72" s="4318"/>
      <c r="BE72" s="3917"/>
      <c r="BF72" s="4318"/>
      <c r="BG72" s="3917"/>
      <c r="BH72" s="3917"/>
      <c r="BI72" s="3917"/>
      <c r="BJ72" s="3917"/>
      <c r="BK72" s="4381"/>
      <c r="BL72" s="4381"/>
      <c r="BM72" s="2726"/>
      <c r="BN72" s="3917"/>
      <c r="BO72" s="3917"/>
      <c r="BP72" s="3917"/>
      <c r="BQ72" s="4327"/>
      <c r="BR72" s="4327"/>
      <c r="BS72" s="4327"/>
      <c r="BT72" s="4327"/>
      <c r="BU72" s="3917"/>
    </row>
    <row r="73" spans="1:73" ht="65.25" customHeight="1" x14ac:dyDescent="0.25">
      <c r="A73" s="2909"/>
      <c r="B73" s="2910"/>
      <c r="C73" s="279"/>
      <c r="D73" s="280"/>
      <c r="E73" s="4373"/>
      <c r="F73" s="4373"/>
      <c r="G73" s="2697"/>
      <c r="H73" s="4326"/>
      <c r="I73" s="2517"/>
      <c r="J73" s="4003"/>
      <c r="K73" s="2716"/>
      <c r="L73" s="2781"/>
      <c r="M73" s="2716"/>
      <c r="N73" s="2781"/>
      <c r="O73" s="2716"/>
      <c r="P73" s="2716"/>
      <c r="Q73" s="2755"/>
      <c r="R73" s="2993"/>
      <c r="S73" s="3903"/>
      <c r="T73" s="4320"/>
      <c r="U73" s="2993"/>
      <c r="V73" s="3022"/>
      <c r="W73" s="4221"/>
      <c r="X73" s="990">
        <v>47112368</v>
      </c>
      <c r="Y73" s="750">
        <f>+'[4]F-PLA-47 EJE METAS PROYECTOS'!V51</f>
        <v>43747500</v>
      </c>
      <c r="Z73" s="750">
        <f>+Y73</f>
        <v>43747500</v>
      </c>
      <c r="AA73" s="691" t="s">
        <v>1375</v>
      </c>
      <c r="AB73" s="994">
        <v>88</v>
      </c>
      <c r="AC73" s="978" t="s">
        <v>1228</v>
      </c>
      <c r="AD73" s="4318"/>
      <c r="AE73" s="3917"/>
      <c r="AF73" s="4318"/>
      <c r="AG73" s="3917"/>
      <c r="AH73" s="4318"/>
      <c r="AI73" s="3917"/>
      <c r="AJ73" s="4318"/>
      <c r="AK73" s="3917"/>
      <c r="AL73" s="4318"/>
      <c r="AM73" s="3917"/>
      <c r="AN73" s="4318"/>
      <c r="AO73" s="3917"/>
      <c r="AP73" s="4318"/>
      <c r="AQ73" s="3917"/>
      <c r="AR73" s="4318"/>
      <c r="AS73" s="3917"/>
      <c r="AT73" s="4318"/>
      <c r="AU73" s="3917"/>
      <c r="AV73" s="4318"/>
      <c r="AW73" s="3917"/>
      <c r="AX73" s="4318"/>
      <c r="AY73" s="3917"/>
      <c r="AZ73" s="4318"/>
      <c r="BA73" s="3917"/>
      <c r="BB73" s="4318"/>
      <c r="BC73" s="3917"/>
      <c r="BD73" s="4318"/>
      <c r="BE73" s="3917"/>
      <c r="BF73" s="4318"/>
      <c r="BG73" s="3917"/>
      <c r="BH73" s="3917"/>
      <c r="BI73" s="3917"/>
      <c r="BJ73" s="3917"/>
      <c r="BK73" s="4381"/>
      <c r="BL73" s="4381"/>
      <c r="BM73" s="2726"/>
      <c r="BN73" s="3917"/>
      <c r="BO73" s="3917"/>
      <c r="BP73" s="3917"/>
      <c r="BQ73" s="4327"/>
      <c r="BR73" s="4327"/>
      <c r="BS73" s="4327"/>
      <c r="BT73" s="4327"/>
      <c r="BU73" s="3917"/>
    </row>
    <row r="74" spans="1:73" ht="104.25" customHeight="1" x14ac:dyDescent="0.25">
      <c r="A74" s="2909"/>
      <c r="B74" s="2910"/>
      <c r="C74" s="279"/>
      <c r="D74" s="280"/>
      <c r="E74" s="4373"/>
      <c r="F74" s="4373"/>
      <c r="G74" s="2697"/>
      <c r="H74" s="4326"/>
      <c r="I74" s="2517"/>
      <c r="J74" s="4003"/>
      <c r="K74" s="2716"/>
      <c r="L74" s="2781"/>
      <c r="M74" s="2716"/>
      <c r="N74" s="2781"/>
      <c r="O74" s="2716"/>
      <c r="P74" s="4323"/>
      <c r="Q74" s="2755"/>
      <c r="R74" s="2993"/>
      <c r="S74" s="3903"/>
      <c r="T74" s="4320"/>
      <c r="U74" s="2993"/>
      <c r="V74" s="3022"/>
      <c r="W74" s="736" t="s">
        <v>1295</v>
      </c>
      <c r="X74" s="990">
        <v>9150000</v>
      </c>
      <c r="Y74" s="750">
        <v>9145776.3900000006</v>
      </c>
      <c r="Z74" s="750">
        <f>+Y74</f>
        <v>9145776.3900000006</v>
      </c>
      <c r="AA74" s="691" t="s">
        <v>1376</v>
      </c>
      <c r="AB74" s="994">
        <v>20</v>
      </c>
      <c r="AC74" s="978" t="s">
        <v>422</v>
      </c>
      <c r="AD74" s="4318"/>
      <c r="AE74" s="3917"/>
      <c r="AF74" s="4318"/>
      <c r="AG74" s="3917"/>
      <c r="AH74" s="4318"/>
      <c r="AI74" s="3917"/>
      <c r="AJ74" s="4318"/>
      <c r="AK74" s="3917"/>
      <c r="AL74" s="4318"/>
      <c r="AM74" s="3917"/>
      <c r="AN74" s="4318"/>
      <c r="AO74" s="3917"/>
      <c r="AP74" s="4318"/>
      <c r="AQ74" s="3917"/>
      <c r="AR74" s="4318"/>
      <c r="AS74" s="3917"/>
      <c r="AT74" s="4318"/>
      <c r="AU74" s="3917"/>
      <c r="AV74" s="4318"/>
      <c r="AW74" s="3917"/>
      <c r="AX74" s="4318"/>
      <c r="AY74" s="3917"/>
      <c r="AZ74" s="4318"/>
      <c r="BA74" s="3917"/>
      <c r="BB74" s="4318"/>
      <c r="BC74" s="3917"/>
      <c r="BD74" s="4318"/>
      <c r="BE74" s="3917"/>
      <c r="BF74" s="4318"/>
      <c r="BG74" s="3917"/>
      <c r="BH74" s="3917"/>
      <c r="BI74" s="3917"/>
      <c r="BJ74" s="3917"/>
      <c r="BK74" s="4381"/>
      <c r="BL74" s="4381"/>
      <c r="BM74" s="2726"/>
      <c r="BN74" s="3917"/>
      <c r="BO74" s="3917"/>
      <c r="BP74" s="3917"/>
      <c r="BQ74" s="4327"/>
      <c r="BR74" s="4327"/>
      <c r="BS74" s="4327"/>
      <c r="BT74" s="4327"/>
      <c r="BU74" s="3917"/>
    </row>
    <row r="75" spans="1:73" ht="49.5" customHeight="1" x14ac:dyDescent="0.25">
      <c r="A75" s="2909"/>
      <c r="B75" s="2910"/>
      <c r="C75" s="279"/>
      <c r="D75" s="280"/>
      <c r="E75" s="4373"/>
      <c r="F75" s="4373"/>
      <c r="G75" s="2697" t="s">
        <v>20</v>
      </c>
      <c r="H75" s="2713" t="s">
        <v>1377</v>
      </c>
      <c r="I75" s="2697">
        <v>4103060</v>
      </c>
      <c r="J75" s="2514" t="s">
        <v>1378</v>
      </c>
      <c r="K75" s="2697" t="s">
        <v>20</v>
      </c>
      <c r="L75" s="2514" t="s">
        <v>1379</v>
      </c>
      <c r="M75" s="2697">
        <v>410306000</v>
      </c>
      <c r="N75" s="2514" t="s">
        <v>1380</v>
      </c>
      <c r="O75" s="2697">
        <v>5</v>
      </c>
      <c r="P75" s="2697">
        <v>5</v>
      </c>
      <c r="Q75" s="4293" t="s">
        <v>1381</v>
      </c>
      <c r="R75" s="4119" t="s">
        <v>1382</v>
      </c>
      <c r="S75" s="4382">
        <f>SUM(X75:X77)/T75</f>
        <v>0.57446808510638303</v>
      </c>
      <c r="T75" s="4305">
        <f>SUM(X75:X80)</f>
        <v>47000000</v>
      </c>
      <c r="U75" s="4227" t="s">
        <v>1383</v>
      </c>
      <c r="V75" s="4306" t="s">
        <v>1384</v>
      </c>
      <c r="W75" s="820" t="s">
        <v>1385</v>
      </c>
      <c r="X75" s="1002">
        <f>10000000-1000000</f>
        <v>9000000</v>
      </c>
      <c r="Y75" s="1002">
        <f t="shared" ref="Y75:Z75" si="2">10000000-1000000</f>
        <v>9000000</v>
      </c>
      <c r="Z75" s="1002">
        <f t="shared" si="2"/>
        <v>9000000</v>
      </c>
      <c r="AA75" s="993" t="s">
        <v>1386</v>
      </c>
      <c r="AB75" s="4356">
        <v>20</v>
      </c>
      <c r="AC75" s="3983" t="s">
        <v>422</v>
      </c>
      <c r="AD75" s="4310">
        <v>1471</v>
      </c>
      <c r="AE75" s="4310">
        <v>1500</v>
      </c>
      <c r="AF75" s="4309">
        <v>1412</v>
      </c>
      <c r="AG75" s="4310">
        <v>1750</v>
      </c>
      <c r="AH75" s="4386" t="s">
        <v>153</v>
      </c>
      <c r="AI75" s="4310"/>
      <c r="AJ75" s="4309" t="s">
        <v>153</v>
      </c>
      <c r="AK75" s="4310"/>
      <c r="AL75" s="4386" t="s">
        <v>153</v>
      </c>
      <c r="AM75" s="4310"/>
      <c r="AN75" s="4309" t="s">
        <v>153</v>
      </c>
      <c r="AO75" s="4310"/>
      <c r="AP75" s="4386">
        <v>2883</v>
      </c>
      <c r="AQ75" s="4310">
        <v>3250</v>
      </c>
      <c r="AR75" s="4309" t="s">
        <v>153</v>
      </c>
      <c r="AS75" s="4310"/>
      <c r="AT75" s="4386" t="s">
        <v>153</v>
      </c>
      <c r="AU75" s="4310"/>
      <c r="AV75" s="4309" t="s">
        <v>153</v>
      </c>
      <c r="AW75" s="4310"/>
      <c r="AX75" s="4386" t="s">
        <v>153</v>
      </c>
      <c r="AY75" s="4310"/>
      <c r="AZ75" s="4309" t="s">
        <v>153</v>
      </c>
      <c r="BA75" s="4310"/>
      <c r="BB75" s="4386" t="s">
        <v>153</v>
      </c>
      <c r="BC75" s="4310"/>
      <c r="BD75" s="4309" t="s">
        <v>153</v>
      </c>
      <c r="BE75" s="4310"/>
      <c r="BF75" s="4386" t="s">
        <v>153</v>
      </c>
      <c r="BG75" s="4310"/>
      <c r="BH75" s="3948">
        <v>2883</v>
      </c>
      <c r="BI75" s="4310">
        <v>3250</v>
      </c>
      <c r="BJ75" s="4310">
        <v>4</v>
      </c>
      <c r="BK75" s="4398">
        <f>SUM(Y75:Y80)</f>
        <v>45333347</v>
      </c>
      <c r="BL75" s="4398">
        <f>SUM(Z75:Z80)</f>
        <v>45333347</v>
      </c>
      <c r="BM75" s="4394">
        <f>BL75/BK75</f>
        <v>1</v>
      </c>
      <c r="BN75" s="4310"/>
      <c r="BO75" s="4310"/>
      <c r="BP75" s="4310" t="s">
        <v>1387</v>
      </c>
      <c r="BQ75" s="4395">
        <v>44197</v>
      </c>
      <c r="BR75" s="3094"/>
      <c r="BS75" s="4388">
        <v>44561</v>
      </c>
      <c r="BT75" s="3094"/>
      <c r="BU75" s="4389" t="s">
        <v>1387</v>
      </c>
    </row>
    <row r="76" spans="1:73" ht="46.5" customHeight="1" x14ac:dyDescent="0.25">
      <c r="A76" s="2909"/>
      <c r="B76" s="2910"/>
      <c r="C76" s="279"/>
      <c r="D76" s="280"/>
      <c r="E76" s="4373"/>
      <c r="F76" s="4373"/>
      <c r="G76" s="2697"/>
      <c r="H76" s="2713"/>
      <c r="I76" s="2697"/>
      <c r="J76" s="2514"/>
      <c r="K76" s="2697"/>
      <c r="L76" s="2514"/>
      <c r="M76" s="2697"/>
      <c r="N76" s="2514"/>
      <c r="O76" s="2697"/>
      <c r="P76" s="2697"/>
      <c r="Q76" s="2536"/>
      <c r="R76" s="4119"/>
      <c r="S76" s="4383"/>
      <c r="T76" s="4305"/>
      <c r="U76" s="4385"/>
      <c r="V76" s="4306"/>
      <c r="W76" s="820" t="s">
        <v>1388</v>
      </c>
      <c r="X76" s="1002">
        <f>17000000-1000000</f>
        <v>16000000</v>
      </c>
      <c r="Y76" s="1002">
        <f t="shared" ref="Y76:Z76" si="3">17000000-1000000</f>
        <v>16000000</v>
      </c>
      <c r="Z76" s="1002">
        <f t="shared" si="3"/>
        <v>16000000</v>
      </c>
      <c r="AA76" s="533" t="s">
        <v>1386</v>
      </c>
      <c r="AB76" s="4356"/>
      <c r="AC76" s="3983"/>
      <c r="AD76" s="4310"/>
      <c r="AE76" s="4310"/>
      <c r="AF76" s="4309"/>
      <c r="AG76" s="4310"/>
      <c r="AH76" s="4334"/>
      <c r="AI76" s="4310"/>
      <c r="AJ76" s="4309"/>
      <c r="AK76" s="4310"/>
      <c r="AL76" s="4334"/>
      <c r="AM76" s="4310"/>
      <c r="AN76" s="4309"/>
      <c r="AO76" s="4310"/>
      <c r="AP76" s="4334"/>
      <c r="AQ76" s="4310"/>
      <c r="AR76" s="4309"/>
      <c r="AS76" s="4310"/>
      <c r="AT76" s="4334"/>
      <c r="AU76" s="4310"/>
      <c r="AV76" s="4309"/>
      <c r="AW76" s="4310"/>
      <c r="AX76" s="4334"/>
      <c r="AY76" s="4310"/>
      <c r="AZ76" s="4309"/>
      <c r="BA76" s="4310"/>
      <c r="BB76" s="4334"/>
      <c r="BC76" s="4310"/>
      <c r="BD76" s="4309"/>
      <c r="BE76" s="4310"/>
      <c r="BF76" s="4334"/>
      <c r="BG76" s="4310"/>
      <c r="BH76" s="3948"/>
      <c r="BI76" s="4310"/>
      <c r="BJ76" s="4310"/>
      <c r="BK76" s="4398"/>
      <c r="BL76" s="4398"/>
      <c r="BM76" s="4394"/>
      <c r="BN76" s="4310"/>
      <c r="BO76" s="4310"/>
      <c r="BP76" s="4310"/>
      <c r="BQ76" s="4396"/>
      <c r="BR76" s="3094"/>
      <c r="BS76" s="4388"/>
      <c r="BT76" s="3094"/>
      <c r="BU76" s="4390"/>
    </row>
    <row r="77" spans="1:73" ht="46.5" customHeight="1" x14ac:dyDescent="0.25">
      <c r="A77" s="2909"/>
      <c r="B77" s="2910"/>
      <c r="C77" s="279"/>
      <c r="D77" s="280"/>
      <c r="E77" s="4373"/>
      <c r="F77" s="4373"/>
      <c r="G77" s="2697"/>
      <c r="H77" s="2713"/>
      <c r="I77" s="2697"/>
      <c r="J77" s="2514"/>
      <c r="K77" s="2697"/>
      <c r="L77" s="2514"/>
      <c r="M77" s="2697"/>
      <c r="N77" s="2514"/>
      <c r="O77" s="2697"/>
      <c r="P77" s="2697"/>
      <c r="Q77" s="2536"/>
      <c r="R77" s="4119"/>
      <c r="S77" s="4384"/>
      <c r="T77" s="4305"/>
      <c r="U77" s="4385"/>
      <c r="V77" s="4306"/>
      <c r="W77" s="820" t="s">
        <v>1389</v>
      </c>
      <c r="X77" s="1002">
        <v>2000000</v>
      </c>
      <c r="Y77" s="750">
        <v>2000000</v>
      </c>
      <c r="Z77" s="750">
        <v>2000000</v>
      </c>
      <c r="AA77" s="533" t="s">
        <v>1390</v>
      </c>
      <c r="AB77" s="4356"/>
      <c r="AC77" s="3983"/>
      <c r="AD77" s="4310"/>
      <c r="AE77" s="4310"/>
      <c r="AF77" s="4309"/>
      <c r="AG77" s="4310"/>
      <c r="AH77" s="4334"/>
      <c r="AI77" s="4310"/>
      <c r="AJ77" s="4309"/>
      <c r="AK77" s="4310"/>
      <c r="AL77" s="4334"/>
      <c r="AM77" s="4310"/>
      <c r="AN77" s="4309"/>
      <c r="AO77" s="4310"/>
      <c r="AP77" s="4334"/>
      <c r="AQ77" s="4310"/>
      <c r="AR77" s="4309"/>
      <c r="AS77" s="4310"/>
      <c r="AT77" s="4334"/>
      <c r="AU77" s="4310"/>
      <c r="AV77" s="4309"/>
      <c r="AW77" s="4310"/>
      <c r="AX77" s="4334"/>
      <c r="AY77" s="4310"/>
      <c r="AZ77" s="4309"/>
      <c r="BA77" s="4310"/>
      <c r="BB77" s="4334"/>
      <c r="BC77" s="4310"/>
      <c r="BD77" s="4309"/>
      <c r="BE77" s="4310"/>
      <c r="BF77" s="4334"/>
      <c r="BG77" s="4310"/>
      <c r="BH77" s="3948"/>
      <c r="BI77" s="4310"/>
      <c r="BJ77" s="4310"/>
      <c r="BK77" s="4398"/>
      <c r="BL77" s="4398"/>
      <c r="BM77" s="4394"/>
      <c r="BN77" s="4310"/>
      <c r="BO77" s="4310"/>
      <c r="BP77" s="4310"/>
      <c r="BQ77" s="4396"/>
      <c r="BR77" s="3094"/>
      <c r="BS77" s="4388"/>
      <c r="BT77" s="3094"/>
      <c r="BU77" s="4390"/>
    </row>
    <row r="78" spans="1:73" ht="54.75" customHeight="1" x14ac:dyDescent="0.25">
      <c r="A78" s="2909"/>
      <c r="B78" s="2910"/>
      <c r="C78" s="279"/>
      <c r="D78" s="280"/>
      <c r="E78" s="4373"/>
      <c r="F78" s="4373"/>
      <c r="G78" s="2697" t="s">
        <v>20</v>
      </c>
      <c r="H78" s="4392" t="s">
        <v>1391</v>
      </c>
      <c r="I78" s="2697">
        <v>4103060</v>
      </c>
      <c r="J78" s="2514" t="s">
        <v>1378</v>
      </c>
      <c r="K78" s="2697" t="s">
        <v>20</v>
      </c>
      <c r="L78" s="2515" t="s">
        <v>1392</v>
      </c>
      <c r="M78" s="2697">
        <v>410306000</v>
      </c>
      <c r="N78" s="2514" t="s">
        <v>1380</v>
      </c>
      <c r="O78" s="2697">
        <v>2</v>
      </c>
      <c r="P78" s="2697">
        <v>2</v>
      </c>
      <c r="Q78" s="2536"/>
      <c r="R78" s="4119"/>
      <c r="S78" s="4382">
        <f>SUM(X78:X80)/T75</f>
        <v>0.42553191489361702</v>
      </c>
      <c r="T78" s="4305"/>
      <c r="U78" s="4385"/>
      <c r="V78" s="4306"/>
      <c r="W78" s="820" t="s">
        <v>1393</v>
      </c>
      <c r="X78" s="1002">
        <f>10000000-1000000</f>
        <v>9000000</v>
      </c>
      <c r="Y78" s="750">
        <v>9000000</v>
      </c>
      <c r="Z78" s="750">
        <v>9000000</v>
      </c>
      <c r="AA78" s="533" t="s">
        <v>1394</v>
      </c>
      <c r="AB78" s="4356"/>
      <c r="AC78" s="3983"/>
      <c r="AD78" s="4310"/>
      <c r="AE78" s="4310"/>
      <c r="AF78" s="4309"/>
      <c r="AG78" s="4310"/>
      <c r="AH78" s="4334"/>
      <c r="AI78" s="4310"/>
      <c r="AJ78" s="4309"/>
      <c r="AK78" s="4310"/>
      <c r="AL78" s="4334"/>
      <c r="AM78" s="4310"/>
      <c r="AN78" s="4309"/>
      <c r="AO78" s="4310"/>
      <c r="AP78" s="4334"/>
      <c r="AQ78" s="4310"/>
      <c r="AR78" s="4309"/>
      <c r="AS78" s="4310"/>
      <c r="AT78" s="4334"/>
      <c r="AU78" s="4310"/>
      <c r="AV78" s="4309"/>
      <c r="AW78" s="4310"/>
      <c r="AX78" s="4334"/>
      <c r="AY78" s="4310"/>
      <c r="AZ78" s="4309"/>
      <c r="BA78" s="4310"/>
      <c r="BB78" s="4334"/>
      <c r="BC78" s="4310"/>
      <c r="BD78" s="4309"/>
      <c r="BE78" s="4310"/>
      <c r="BF78" s="4334"/>
      <c r="BG78" s="4310"/>
      <c r="BH78" s="3948"/>
      <c r="BI78" s="4310"/>
      <c r="BJ78" s="4310"/>
      <c r="BK78" s="4398"/>
      <c r="BL78" s="4398"/>
      <c r="BM78" s="4394"/>
      <c r="BN78" s="4310"/>
      <c r="BO78" s="4310"/>
      <c r="BP78" s="4310"/>
      <c r="BQ78" s="4396"/>
      <c r="BR78" s="3094"/>
      <c r="BS78" s="4388"/>
      <c r="BT78" s="3094"/>
      <c r="BU78" s="4390"/>
    </row>
    <row r="79" spans="1:73" ht="54.75" customHeight="1" x14ac:dyDescent="0.25">
      <c r="A79" s="2909"/>
      <c r="B79" s="2910"/>
      <c r="C79" s="279"/>
      <c r="D79" s="280"/>
      <c r="E79" s="4373"/>
      <c r="F79" s="4373"/>
      <c r="G79" s="2697"/>
      <c r="H79" s="4393"/>
      <c r="I79" s="2697"/>
      <c r="J79" s="2514"/>
      <c r="K79" s="2697"/>
      <c r="L79" s="2522"/>
      <c r="M79" s="2697"/>
      <c r="N79" s="2514"/>
      <c r="O79" s="2697"/>
      <c r="P79" s="2697"/>
      <c r="Q79" s="2536"/>
      <c r="R79" s="4119"/>
      <c r="S79" s="4383"/>
      <c r="T79" s="4305"/>
      <c r="U79" s="4385"/>
      <c r="V79" s="4306"/>
      <c r="W79" s="820" t="s">
        <v>1395</v>
      </c>
      <c r="X79" s="1002">
        <f>10000000-1000000</f>
        <v>9000000</v>
      </c>
      <c r="Y79" s="750">
        <v>9000000</v>
      </c>
      <c r="Z79" s="750">
        <v>9000000</v>
      </c>
      <c r="AA79" s="533" t="s">
        <v>1394</v>
      </c>
      <c r="AB79" s="4356"/>
      <c r="AC79" s="3983"/>
      <c r="AD79" s="4310"/>
      <c r="AE79" s="4310"/>
      <c r="AF79" s="4309"/>
      <c r="AG79" s="4310"/>
      <c r="AH79" s="4334"/>
      <c r="AI79" s="4310"/>
      <c r="AJ79" s="4309"/>
      <c r="AK79" s="4310"/>
      <c r="AL79" s="4334"/>
      <c r="AM79" s="4310"/>
      <c r="AN79" s="4309"/>
      <c r="AO79" s="4310"/>
      <c r="AP79" s="4334"/>
      <c r="AQ79" s="4310"/>
      <c r="AR79" s="4309"/>
      <c r="AS79" s="4310"/>
      <c r="AT79" s="4334"/>
      <c r="AU79" s="4310"/>
      <c r="AV79" s="4309"/>
      <c r="AW79" s="4310"/>
      <c r="AX79" s="4334"/>
      <c r="AY79" s="4310"/>
      <c r="AZ79" s="4309"/>
      <c r="BA79" s="4310"/>
      <c r="BB79" s="4334"/>
      <c r="BC79" s="4310"/>
      <c r="BD79" s="4309"/>
      <c r="BE79" s="4310"/>
      <c r="BF79" s="4334"/>
      <c r="BG79" s="4310"/>
      <c r="BH79" s="3948"/>
      <c r="BI79" s="4310"/>
      <c r="BJ79" s="4310"/>
      <c r="BK79" s="4398"/>
      <c r="BL79" s="4398"/>
      <c r="BM79" s="4394"/>
      <c r="BN79" s="4310"/>
      <c r="BO79" s="4310"/>
      <c r="BP79" s="4310"/>
      <c r="BQ79" s="4396"/>
      <c r="BR79" s="3094"/>
      <c r="BS79" s="4388"/>
      <c r="BT79" s="3094"/>
      <c r="BU79" s="4390"/>
    </row>
    <row r="80" spans="1:73" ht="54.75" customHeight="1" x14ac:dyDescent="0.25">
      <c r="A80" s="2909"/>
      <c r="B80" s="2910"/>
      <c r="C80" s="279"/>
      <c r="D80" s="280"/>
      <c r="E80" s="4373"/>
      <c r="F80" s="4373"/>
      <c r="G80" s="2697"/>
      <c r="H80" s="4374"/>
      <c r="I80" s="2697"/>
      <c r="J80" s="2514"/>
      <c r="K80" s="2697"/>
      <c r="L80" s="2513"/>
      <c r="M80" s="2697"/>
      <c r="N80" s="2514"/>
      <c r="O80" s="2697"/>
      <c r="P80" s="2697"/>
      <c r="Q80" s="4337"/>
      <c r="R80" s="4119"/>
      <c r="S80" s="4384"/>
      <c r="T80" s="4305"/>
      <c r="U80" s="4150"/>
      <c r="V80" s="4306"/>
      <c r="W80" s="820" t="s">
        <v>1389</v>
      </c>
      <c r="X80" s="990">
        <v>2000000</v>
      </c>
      <c r="Y80" s="750">
        <v>333347</v>
      </c>
      <c r="Z80" s="750">
        <v>333347</v>
      </c>
      <c r="AA80" s="991" t="s">
        <v>1396</v>
      </c>
      <c r="AB80" s="4356"/>
      <c r="AC80" s="3983"/>
      <c r="AD80" s="4310"/>
      <c r="AE80" s="4310"/>
      <c r="AF80" s="4309"/>
      <c r="AG80" s="4310"/>
      <c r="AH80" s="4387"/>
      <c r="AI80" s="4310"/>
      <c r="AJ80" s="4309"/>
      <c r="AK80" s="4310"/>
      <c r="AL80" s="4387"/>
      <c r="AM80" s="4310"/>
      <c r="AN80" s="4309"/>
      <c r="AO80" s="4310"/>
      <c r="AP80" s="4387"/>
      <c r="AQ80" s="4310"/>
      <c r="AR80" s="4309"/>
      <c r="AS80" s="4310"/>
      <c r="AT80" s="4387"/>
      <c r="AU80" s="4310"/>
      <c r="AV80" s="4309"/>
      <c r="AW80" s="4310"/>
      <c r="AX80" s="4387"/>
      <c r="AY80" s="4310"/>
      <c r="AZ80" s="4309"/>
      <c r="BA80" s="4310"/>
      <c r="BB80" s="4387"/>
      <c r="BC80" s="4310"/>
      <c r="BD80" s="4309"/>
      <c r="BE80" s="4310"/>
      <c r="BF80" s="4387"/>
      <c r="BG80" s="4310"/>
      <c r="BH80" s="3948"/>
      <c r="BI80" s="4310"/>
      <c r="BJ80" s="4310"/>
      <c r="BK80" s="4398"/>
      <c r="BL80" s="4398"/>
      <c r="BM80" s="4394"/>
      <c r="BN80" s="4310"/>
      <c r="BO80" s="4310"/>
      <c r="BP80" s="4310"/>
      <c r="BQ80" s="4397"/>
      <c r="BR80" s="3094"/>
      <c r="BS80" s="4388"/>
      <c r="BT80" s="3094"/>
      <c r="BU80" s="4391"/>
    </row>
    <row r="81" spans="1:73" ht="74.25" customHeight="1" x14ac:dyDescent="0.25">
      <c r="A81" s="2909"/>
      <c r="B81" s="2910"/>
      <c r="C81" s="279"/>
      <c r="D81" s="280"/>
      <c r="E81" s="4373"/>
      <c r="F81" s="4373"/>
      <c r="G81" s="2697" t="s">
        <v>20</v>
      </c>
      <c r="H81" s="4374" t="s">
        <v>1397</v>
      </c>
      <c r="I81" s="4302">
        <v>4103052</v>
      </c>
      <c r="J81" s="2513" t="s">
        <v>1348</v>
      </c>
      <c r="K81" s="4409" t="s">
        <v>20</v>
      </c>
      <c r="L81" s="2513" t="s">
        <v>1398</v>
      </c>
      <c r="M81" s="4409">
        <v>410305202</v>
      </c>
      <c r="N81" s="2513" t="s">
        <v>1349</v>
      </c>
      <c r="O81" s="4410">
        <v>1</v>
      </c>
      <c r="P81" s="4409">
        <v>1</v>
      </c>
      <c r="Q81" s="4337" t="s">
        <v>1399</v>
      </c>
      <c r="R81" s="4405" t="s">
        <v>1400</v>
      </c>
      <c r="S81" s="4384">
        <f>SUM(X81:X85)/T81</f>
        <v>1</v>
      </c>
      <c r="T81" s="4407">
        <f>SUM(X81:X85)</f>
        <v>51681346</v>
      </c>
      <c r="U81" s="4150" t="s">
        <v>1401</v>
      </c>
      <c r="V81" s="4338" t="s">
        <v>1402</v>
      </c>
      <c r="W81" s="4399" t="s">
        <v>1403</v>
      </c>
      <c r="X81" s="417">
        <v>35500000</v>
      </c>
      <c r="Y81" s="750">
        <v>34824000</v>
      </c>
      <c r="Z81" s="750">
        <f>+Y81</f>
        <v>34824000</v>
      </c>
      <c r="AA81" s="691" t="s">
        <v>1404</v>
      </c>
      <c r="AB81" s="994">
        <v>20</v>
      </c>
      <c r="AC81" s="978" t="s">
        <v>422</v>
      </c>
      <c r="AD81" s="4401">
        <v>3152</v>
      </c>
      <c r="AE81" s="2488">
        <v>502</v>
      </c>
      <c r="AF81" s="4403">
        <v>2908</v>
      </c>
      <c r="AG81" s="2488">
        <v>463</v>
      </c>
      <c r="AH81" s="4401" t="s">
        <v>153</v>
      </c>
      <c r="AI81" s="2488"/>
      <c r="AJ81" s="4413" t="s">
        <v>153</v>
      </c>
      <c r="AK81" s="2488"/>
      <c r="AL81" s="4401" t="s">
        <v>153</v>
      </c>
      <c r="AM81" s="2488"/>
      <c r="AN81" s="4413" t="s">
        <v>153</v>
      </c>
      <c r="AO81" s="2488"/>
      <c r="AP81" s="4401" t="s">
        <v>153</v>
      </c>
      <c r="AQ81" s="2488"/>
      <c r="AR81" s="4413">
        <v>6060</v>
      </c>
      <c r="AS81" s="2488">
        <v>965</v>
      </c>
      <c r="AT81" s="3992"/>
      <c r="AU81" s="2488"/>
      <c r="AV81" s="4411"/>
      <c r="AW81" s="2488"/>
      <c r="AX81" s="3992"/>
      <c r="AY81" s="2488"/>
      <c r="AZ81" s="4411"/>
      <c r="BA81" s="2488"/>
      <c r="BB81" s="3992"/>
      <c r="BC81" s="2488"/>
      <c r="BD81" s="4411"/>
      <c r="BE81" s="2488"/>
      <c r="BF81" s="3992"/>
      <c r="BG81" s="2488"/>
      <c r="BH81" s="4411">
        <v>6060</v>
      </c>
      <c r="BI81" s="4310">
        <f>AG81+AE81</f>
        <v>965</v>
      </c>
      <c r="BJ81" s="4310">
        <v>4</v>
      </c>
      <c r="BK81" s="4398">
        <f>SUM(Y81:Y85)</f>
        <v>51001400</v>
      </c>
      <c r="BL81" s="4398">
        <f>SUM(Z81:Z85)</f>
        <v>51001400</v>
      </c>
      <c r="BM81" s="4394">
        <f>BL81/BK81</f>
        <v>1</v>
      </c>
      <c r="BN81" s="4310"/>
      <c r="BO81" s="4310"/>
      <c r="BP81" s="4310" t="s">
        <v>1387</v>
      </c>
      <c r="BQ81" s="4397">
        <v>44197</v>
      </c>
      <c r="BR81" s="3094"/>
      <c r="BS81" s="4397">
        <v>44561</v>
      </c>
      <c r="BT81" s="3094"/>
      <c r="BU81" s="4415" t="s">
        <v>1387</v>
      </c>
    </row>
    <row r="82" spans="1:73" ht="74.25" customHeight="1" x14ac:dyDescent="0.25">
      <c r="A82" s="2909"/>
      <c r="B82" s="2910"/>
      <c r="C82" s="279"/>
      <c r="D82" s="280"/>
      <c r="E82" s="4373"/>
      <c r="F82" s="4373"/>
      <c r="G82" s="2697"/>
      <c r="H82" s="4374"/>
      <c r="I82" s="4302"/>
      <c r="J82" s="2513"/>
      <c r="K82" s="4409"/>
      <c r="L82" s="2513"/>
      <c r="M82" s="4409"/>
      <c r="N82" s="2513"/>
      <c r="O82" s="4410"/>
      <c r="P82" s="4409"/>
      <c r="Q82" s="4337"/>
      <c r="R82" s="4405"/>
      <c r="S82" s="4384"/>
      <c r="T82" s="4407"/>
      <c r="U82" s="4150"/>
      <c r="V82" s="4338"/>
      <c r="W82" s="4400"/>
      <c r="X82" s="417">
        <v>11681000</v>
      </c>
      <c r="Y82" s="417">
        <v>11681000</v>
      </c>
      <c r="Z82" s="417">
        <f>+Y82</f>
        <v>11681000</v>
      </c>
      <c r="AA82" s="691" t="s">
        <v>1405</v>
      </c>
      <c r="AB82" s="994">
        <v>88</v>
      </c>
      <c r="AC82" s="978" t="s">
        <v>1228</v>
      </c>
      <c r="AD82" s="4401"/>
      <c r="AE82" s="2488"/>
      <c r="AF82" s="4403"/>
      <c r="AG82" s="2488"/>
      <c r="AH82" s="4401"/>
      <c r="AI82" s="2488"/>
      <c r="AJ82" s="4413"/>
      <c r="AK82" s="2488"/>
      <c r="AL82" s="4401"/>
      <c r="AM82" s="2488"/>
      <c r="AN82" s="4413"/>
      <c r="AO82" s="2488"/>
      <c r="AP82" s="4401"/>
      <c r="AQ82" s="2488"/>
      <c r="AR82" s="4413"/>
      <c r="AS82" s="2488"/>
      <c r="AT82" s="3992"/>
      <c r="AU82" s="2488"/>
      <c r="AV82" s="4411"/>
      <c r="AW82" s="2488"/>
      <c r="AX82" s="3992"/>
      <c r="AY82" s="2488"/>
      <c r="AZ82" s="4411"/>
      <c r="BA82" s="2488"/>
      <c r="BB82" s="3992"/>
      <c r="BC82" s="2488"/>
      <c r="BD82" s="4411"/>
      <c r="BE82" s="2488"/>
      <c r="BF82" s="3992"/>
      <c r="BG82" s="2488"/>
      <c r="BH82" s="4411"/>
      <c r="BI82" s="4310"/>
      <c r="BJ82" s="4310"/>
      <c r="BK82" s="4398"/>
      <c r="BL82" s="4398"/>
      <c r="BM82" s="4394"/>
      <c r="BN82" s="4310"/>
      <c r="BO82" s="4310"/>
      <c r="BP82" s="4310"/>
      <c r="BQ82" s="4397"/>
      <c r="BR82" s="3094"/>
      <c r="BS82" s="4397"/>
      <c r="BT82" s="3094"/>
      <c r="BU82" s="4416"/>
    </row>
    <row r="83" spans="1:73" ht="46.5" customHeight="1" x14ac:dyDescent="0.25">
      <c r="A83" s="2909"/>
      <c r="B83" s="2910"/>
      <c r="C83" s="279"/>
      <c r="D83" s="280"/>
      <c r="E83" s="4373"/>
      <c r="F83" s="4373"/>
      <c r="G83" s="2697"/>
      <c r="H83" s="2713"/>
      <c r="I83" s="4303"/>
      <c r="J83" s="2514"/>
      <c r="K83" s="4346"/>
      <c r="L83" s="2514"/>
      <c r="M83" s="4346"/>
      <c r="N83" s="2514"/>
      <c r="O83" s="4410"/>
      <c r="P83" s="4346"/>
      <c r="Q83" s="3982"/>
      <c r="R83" s="4339"/>
      <c r="S83" s="4406"/>
      <c r="T83" s="4341"/>
      <c r="U83" s="4119"/>
      <c r="V83" s="4408"/>
      <c r="W83" s="715" t="s">
        <v>1279</v>
      </c>
      <c r="X83" s="347">
        <v>1000000</v>
      </c>
      <c r="Y83" s="348">
        <v>1000000</v>
      </c>
      <c r="Z83" s="348">
        <v>1000000</v>
      </c>
      <c r="AA83" s="691" t="s">
        <v>1404</v>
      </c>
      <c r="AB83" s="994">
        <v>20</v>
      </c>
      <c r="AC83" s="978" t="s">
        <v>422</v>
      </c>
      <c r="AD83" s="4402"/>
      <c r="AE83" s="2488"/>
      <c r="AF83" s="4404"/>
      <c r="AG83" s="2488"/>
      <c r="AH83" s="4402"/>
      <c r="AI83" s="2488"/>
      <c r="AJ83" s="4414"/>
      <c r="AK83" s="2488"/>
      <c r="AL83" s="4402"/>
      <c r="AM83" s="2488"/>
      <c r="AN83" s="4414"/>
      <c r="AO83" s="2488"/>
      <c r="AP83" s="4402"/>
      <c r="AQ83" s="2488"/>
      <c r="AR83" s="4414"/>
      <c r="AS83" s="2488"/>
      <c r="AT83" s="3981"/>
      <c r="AU83" s="2488"/>
      <c r="AV83" s="4412"/>
      <c r="AW83" s="2488"/>
      <c r="AX83" s="3981"/>
      <c r="AY83" s="2488"/>
      <c r="AZ83" s="4412"/>
      <c r="BA83" s="2488"/>
      <c r="BB83" s="3981"/>
      <c r="BC83" s="2488"/>
      <c r="BD83" s="4412"/>
      <c r="BE83" s="2488"/>
      <c r="BF83" s="3981"/>
      <c r="BG83" s="2488"/>
      <c r="BH83" s="4412"/>
      <c r="BI83" s="4310"/>
      <c r="BJ83" s="4310"/>
      <c r="BK83" s="4398"/>
      <c r="BL83" s="4398"/>
      <c r="BM83" s="4394"/>
      <c r="BN83" s="4310"/>
      <c r="BO83" s="4310"/>
      <c r="BP83" s="4310"/>
      <c r="BQ83" s="4388"/>
      <c r="BR83" s="3094"/>
      <c r="BS83" s="4388"/>
      <c r="BT83" s="3094"/>
      <c r="BU83" s="4416"/>
    </row>
    <row r="84" spans="1:73" ht="46.5" customHeight="1" x14ac:dyDescent="0.25">
      <c r="A84" s="2909"/>
      <c r="B84" s="2910"/>
      <c r="C84" s="279"/>
      <c r="D84" s="280"/>
      <c r="E84" s="10"/>
      <c r="F84" s="10"/>
      <c r="G84" s="2697"/>
      <c r="H84" s="2713"/>
      <c r="I84" s="4303"/>
      <c r="J84" s="2514"/>
      <c r="K84" s="4346"/>
      <c r="L84" s="2514"/>
      <c r="M84" s="4346"/>
      <c r="N84" s="2514"/>
      <c r="O84" s="4410"/>
      <c r="P84" s="4346"/>
      <c r="Q84" s="3982"/>
      <c r="R84" s="4339"/>
      <c r="S84" s="4406"/>
      <c r="T84" s="4341"/>
      <c r="U84" s="4119"/>
      <c r="V84" s="4339"/>
      <c r="W84" s="811" t="s">
        <v>1204</v>
      </c>
      <c r="X84" s="1024">
        <v>3500000</v>
      </c>
      <c r="Y84" s="1024">
        <v>3496400</v>
      </c>
      <c r="Z84" s="995">
        <f>+Y84</f>
        <v>3496400</v>
      </c>
      <c r="AA84" s="691" t="s">
        <v>1406</v>
      </c>
      <c r="AB84" s="994">
        <v>20</v>
      </c>
      <c r="AC84" s="978" t="s">
        <v>422</v>
      </c>
      <c r="AD84" s="4402"/>
      <c r="AE84" s="2488"/>
      <c r="AF84" s="4404"/>
      <c r="AG84" s="2488"/>
      <c r="AH84" s="4402"/>
      <c r="AI84" s="2488"/>
      <c r="AJ84" s="4414"/>
      <c r="AK84" s="2488"/>
      <c r="AL84" s="4402"/>
      <c r="AM84" s="2488"/>
      <c r="AN84" s="4414"/>
      <c r="AO84" s="2488"/>
      <c r="AP84" s="4402"/>
      <c r="AQ84" s="2488"/>
      <c r="AR84" s="4414"/>
      <c r="AS84" s="2488"/>
      <c r="AT84" s="3981"/>
      <c r="AU84" s="2488"/>
      <c r="AV84" s="4412"/>
      <c r="AW84" s="2488"/>
      <c r="AX84" s="3981"/>
      <c r="AY84" s="2488"/>
      <c r="AZ84" s="4412"/>
      <c r="BA84" s="2488"/>
      <c r="BB84" s="3981"/>
      <c r="BC84" s="2488"/>
      <c r="BD84" s="4412"/>
      <c r="BE84" s="2488"/>
      <c r="BF84" s="3981"/>
      <c r="BG84" s="2488"/>
      <c r="BH84" s="4412"/>
      <c r="BI84" s="4310"/>
      <c r="BJ84" s="4310"/>
      <c r="BK84" s="4398"/>
      <c r="BL84" s="4398"/>
      <c r="BM84" s="4394"/>
      <c r="BN84" s="4310"/>
      <c r="BO84" s="4310"/>
      <c r="BP84" s="4310"/>
      <c r="BQ84" s="4388"/>
      <c r="BR84" s="3094"/>
      <c r="BS84" s="4388"/>
      <c r="BT84" s="3094"/>
      <c r="BU84" s="4416"/>
    </row>
    <row r="85" spans="1:73" ht="51" customHeight="1" x14ac:dyDescent="0.25">
      <c r="A85" s="2909"/>
      <c r="B85" s="2910"/>
      <c r="C85" s="279"/>
      <c r="D85" s="280"/>
      <c r="E85" s="573"/>
      <c r="F85" s="573"/>
      <c r="G85" s="2697"/>
      <c r="H85" s="2713"/>
      <c r="I85" s="4303"/>
      <c r="J85" s="2514"/>
      <c r="K85" s="4346"/>
      <c r="L85" s="2514"/>
      <c r="M85" s="4346"/>
      <c r="N85" s="2514"/>
      <c r="O85" s="4410"/>
      <c r="P85" s="4346"/>
      <c r="Q85" s="3982"/>
      <c r="R85" s="4339"/>
      <c r="S85" s="4406"/>
      <c r="T85" s="4341"/>
      <c r="U85" s="4119"/>
      <c r="V85" s="4339"/>
      <c r="W85" s="811" t="s">
        <v>1407</v>
      </c>
      <c r="X85" s="1025">
        <v>346</v>
      </c>
      <c r="Y85" s="1024">
        <v>0</v>
      </c>
      <c r="Z85" s="1024">
        <v>0</v>
      </c>
      <c r="AA85" s="691" t="s">
        <v>1408</v>
      </c>
      <c r="AB85" s="994">
        <v>88</v>
      </c>
      <c r="AC85" s="978" t="s">
        <v>1228</v>
      </c>
      <c r="AD85" s="4402"/>
      <c r="AE85" s="2488"/>
      <c r="AF85" s="4404"/>
      <c r="AG85" s="2488"/>
      <c r="AH85" s="4402"/>
      <c r="AI85" s="2488"/>
      <c r="AJ85" s="4414"/>
      <c r="AK85" s="2488"/>
      <c r="AL85" s="4402"/>
      <c r="AM85" s="2488"/>
      <c r="AN85" s="4414"/>
      <c r="AO85" s="2488"/>
      <c r="AP85" s="4402"/>
      <c r="AQ85" s="2488"/>
      <c r="AR85" s="4414"/>
      <c r="AS85" s="2488"/>
      <c r="AT85" s="3981"/>
      <c r="AU85" s="2488"/>
      <c r="AV85" s="4412"/>
      <c r="AW85" s="2488"/>
      <c r="AX85" s="3981"/>
      <c r="AY85" s="2488"/>
      <c r="AZ85" s="4412"/>
      <c r="BA85" s="2488"/>
      <c r="BB85" s="3981"/>
      <c r="BC85" s="2488"/>
      <c r="BD85" s="4412"/>
      <c r="BE85" s="2488"/>
      <c r="BF85" s="3981"/>
      <c r="BG85" s="2488"/>
      <c r="BH85" s="4412"/>
      <c r="BI85" s="4310"/>
      <c r="BJ85" s="4310"/>
      <c r="BK85" s="4398"/>
      <c r="BL85" s="4398"/>
      <c r="BM85" s="4394"/>
      <c r="BN85" s="4310"/>
      <c r="BO85" s="4310"/>
      <c r="BP85" s="4310"/>
      <c r="BQ85" s="4388"/>
      <c r="BR85" s="3094"/>
      <c r="BS85" s="4388"/>
      <c r="BT85" s="3094"/>
      <c r="BU85" s="4416"/>
    </row>
    <row r="86" spans="1:73" s="4" customFormat="1" ht="27" customHeight="1" x14ac:dyDescent="0.25">
      <c r="A86" s="2909"/>
      <c r="B86" s="2910"/>
      <c r="C86" s="743"/>
      <c r="D86" s="744"/>
      <c r="E86" s="262">
        <v>4104</v>
      </c>
      <c r="F86" s="753" t="s">
        <v>1409</v>
      </c>
      <c r="G86" s="754"/>
      <c r="H86" s="1026"/>
      <c r="I86" s="754"/>
      <c r="J86" s="1026"/>
      <c r="K86" s="754"/>
      <c r="L86" s="1026"/>
      <c r="M86" s="1027"/>
      <c r="N86" s="1028"/>
      <c r="O86" s="972"/>
      <c r="P86" s="972"/>
      <c r="Q86" s="972"/>
      <c r="R86" s="1029"/>
      <c r="S86" s="919"/>
      <c r="T86" s="1030"/>
      <c r="U86" s="1031"/>
      <c r="V86" s="1031"/>
      <c r="W86" s="1031"/>
      <c r="X86" s="1031"/>
      <c r="Y86" s="1031"/>
      <c r="Z86" s="1031"/>
      <c r="AA86" s="1032" t="s">
        <v>1410</v>
      </c>
      <c r="AB86" s="921"/>
      <c r="AC86" s="190"/>
      <c r="AD86" s="1033"/>
      <c r="AE86" s="1033"/>
      <c r="AF86" s="1033"/>
      <c r="AG86" s="1033"/>
      <c r="AH86" s="1033"/>
      <c r="AI86" s="1033"/>
      <c r="AJ86" s="1033"/>
      <c r="AK86" s="1033"/>
      <c r="AL86" s="1033"/>
      <c r="AM86" s="1033"/>
      <c r="AN86" s="1033"/>
      <c r="AO86" s="1033"/>
      <c r="AP86" s="1033"/>
      <c r="AQ86" s="1033"/>
      <c r="AR86" s="1033"/>
      <c r="AS86" s="1033"/>
      <c r="AT86" s="1033"/>
      <c r="AU86" s="1033"/>
      <c r="AV86" s="1033"/>
      <c r="AW86" s="1033"/>
      <c r="AX86" s="1033"/>
      <c r="AY86" s="1033"/>
      <c r="AZ86" s="1033"/>
      <c r="BA86" s="1033"/>
      <c r="BB86" s="1033"/>
      <c r="BC86" s="1033"/>
      <c r="BD86" s="1033"/>
      <c r="BE86" s="1033"/>
      <c r="BF86" s="1033"/>
      <c r="BG86" s="1033"/>
      <c r="BH86" s="1033"/>
      <c r="BI86" s="1034"/>
      <c r="BJ86" s="1034"/>
      <c r="BK86" s="1035"/>
      <c r="BL86" s="1035"/>
      <c r="BM86" s="1033"/>
      <c r="BN86" s="1033"/>
      <c r="BO86" s="1033"/>
      <c r="BP86" s="918"/>
      <c r="BQ86" s="1036"/>
      <c r="BR86" s="1036"/>
      <c r="BS86" s="1036"/>
      <c r="BT86" s="1036"/>
      <c r="BU86" s="635"/>
    </row>
    <row r="87" spans="1:73" ht="96" customHeight="1" x14ac:dyDescent="0.25">
      <c r="A87" s="2909"/>
      <c r="B87" s="2910"/>
      <c r="C87" s="279"/>
      <c r="D87" s="280"/>
      <c r="E87" s="4417"/>
      <c r="F87" s="4417"/>
      <c r="G87" s="998">
        <v>4104035</v>
      </c>
      <c r="H87" s="696" t="s">
        <v>1411</v>
      </c>
      <c r="I87" s="1037">
        <v>4104020</v>
      </c>
      <c r="J87" s="696" t="s">
        <v>1411</v>
      </c>
      <c r="K87" s="998">
        <v>410403500</v>
      </c>
      <c r="L87" s="696" t="s">
        <v>1412</v>
      </c>
      <c r="M87" s="998">
        <v>410402000</v>
      </c>
      <c r="N87" s="817" t="s">
        <v>1413</v>
      </c>
      <c r="O87" s="693">
        <f>50+20</f>
        <v>70</v>
      </c>
      <c r="P87" s="998">
        <v>60</v>
      </c>
      <c r="Q87" s="3982" t="s">
        <v>1414</v>
      </c>
      <c r="R87" s="4119" t="s">
        <v>1415</v>
      </c>
      <c r="S87" s="1038">
        <f>X87/T87</f>
        <v>0.66085423197492166</v>
      </c>
      <c r="T87" s="4419">
        <f>SUM(X87:X94)</f>
        <v>102080000</v>
      </c>
      <c r="U87" s="4421" t="s">
        <v>1416</v>
      </c>
      <c r="V87" s="2993" t="s">
        <v>1417</v>
      </c>
      <c r="W87" s="736" t="s">
        <v>1418</v>
      </c>
      <c r="X87" s="417">
        <v>67460000</v>
      </c>
      <c r="Y87" s="1024">
        <v>67429000</v>
      </c>
      <c r="Z87" s="1024">
        <f>+Y87</f>
        <v>67429000</v>
      </c>
      <c r="AA87" s="691" t="s">
        <v>1419</v>
      </c>
      <c r="AB87" s="977">
        <v>20</v>
      </c>
      <c r="AC87" s="978" t="s">
        <v>422</v>
      </c>
      <c r="AD87" s="2978">
        <v>500</v>
      </c>
      <c r="AE87" s="3983">
        <v>389</v>
      </c>
      <c r="AF87" s="3917">
        <v>500</v>
      </c>
      <c r="AG87" s="3983">
        <v>230</v>
      </c>
      <c r="AH87" s="3917"/>
      <c r="AI87" s="3983"/>
      <c r="AJ87" s="3917"/>
      <c r="AK87" s="3983"/>
      <c r="AL87" s="3917"/>
      <c r="AM87" s="3983"/>
      <c r="AN87" s="3917"/>
      <c r="AO87" s="3983"/>
      <c r="AP87" s="3917"/>
      <c r="AQ87" s="3983"/>
      <c r="AR87" s="3917"/>
      <c r="AS87" s="3983"/>
      <c r="AT87" s="3917"/>
      <c r="AU87" s="3983"/>
      <c r="AV87" s="3917"/>
      <c r="AW87" s="3983"/>
      <c r="AX87" s="3917"/>
      <c r="AY87" s="3983"/>
      <c r="AZ87" s="3917"/>
      <c r="BA87" s="3983"/>
      <c r="BB87" s="3917"/>
      <c r="BC87" s="3983"/>
      <c r="BD87" s="3917"/>
      <c r="BE87" s="3983">
        <v>292</v>
      </c>
      <c r="BF87" s="3917"/>
      <c r="BG87" s="3983"/>
      <c r="BH87" s="3917">
        <v>1000</v>
      </c>
      <c r="BI87" s="3983">
        <f>SUM(AE87+AG87)</f>
        <v>619</v>
      </c>
      <c r="BJ87" s="3983">
        <v>5</v>
      </c>
      <c r="BK87" s="4423">
        <f>SUM(Y87:Y94)</f>
        <v>93951500</v>
      </c>
      <c r="BL87" s="4423">
        <f>SUM(Z87:Z94)</f>
        <v>93951500</v>
      </c>
      <c r="BM87" s="2505">
        <f>BK87/BL87</f>
        <v>1</v>
      </c>
      <c r="BN87" s="2965">
        <v>20</v>
      </c>
      <c r="BO87" s="2965" t="s">
        <v>422</v>
      </c>
      <c r="BP87" s="2978" t="s">
        <v>1420</v>
      </c>
      <c r="BQ87" s="3914">
        <v>44197</v>
      </c>
      <c r="BR87" s="3914">
        <v>44244</v>
      </c>
      <c r="BS87" s="3914">
        <v>44561</v>
      </c>
      <c r="BT87" s="3914">
        <v>44373</v>
      </c>
      <c r="BU87" s="2978" t="s">
        <v>1420</v>
      </c>
    </row>
    <row r="88" spans="1:73" s="4" customFormat="1" ht="52.5" customHeight="1" x14ac:dyDescent="0.25">
      <c r="A88" s="2909"/>
      <c r="B88" s="2910"/>
      <c r="C88" s="743"/>
      <c r="D88" s="744"/>
      <c r="E88" s="4373"/>
      <c r="F88" s="4373"/>
      <c r="G88" s="4293">
        <v>4104035</v>
      </c>
      <c r="H88" s="4245" t="s">
        <v>1411</v>
      </c>
      <c r="I88" s="3982">
        <v>4104020</v>
      </c>
      <c r="J88" s="4408" t="s">
        <v>1411</v>
      </c>
      <c r="K88" s="2697" t="s">
        <v>20</v>
      </c>
      <c r="L88" s="4119" t="s">
        <v>1421</v>
      </c>
      <c r="M88" s="3982">
        <v>410402000</v>
      </c>
      <c r="N88" s="4119" t="s">
        <v>1413</v>
      </c>
      <c r="O88" s="4293">
        <v>12</v>
      </c>
      <c r="P88" s="4293">
        <v>12</v>
      </c>
      <c r="Q88" s="3982"/>
      <c r="R88" s="4119"/>
      <c r="S88" s="4382">
        <f>SUM(X88:X94)/T87</f>
        <v>0.33914576802507834</v>
      </c>
      <c r="T88" s="4419"/>
      <c r="U88" s="4421"/>
      <c r="V88" s="3013"/>
      <c r="W88" s="2992" t="s">
        <v>1422</v>
      </c>
      <c r="X88" s="417">
        <v>2000000</v>
      </c>
      <c r="Y88" s="1025">
        <v>2000000</v>
      </c>
      <c r="Z88" s="1025">
        <v>2000000</v>
      </c>
      <c r="AA88" s="691" t="s">
        <v>1423</v>
      </c>
      <c r="AB88" s="977">
        <v>88</v>
      </c>
      <c r="AC88" s="714" t="s">
        <v>1228</v>
      </c>
      <c r="AD88" s="2978"/>
      <c r="AE88" s="3983"/>
      <c r="AF88" s="3917"/>
      <c r="AG88" s="3983"/>
      <c r="AH88" s="3917"/>
      <c r="AI88" s="3983"/>
      <c r="AJ88" s="3917"/>
      <c r="AK88" s="3983"/>
      <c r="AL88" s="3917"/>
      <c r="AM88" s="3983"/>
      <c r="AN88" s="3917"/>
      <c r="AO88" s="3983"/>
      <c r="AP88" s="3917"/>
      <c r="AQ88" s="3983"/>
      <c r="AR88" s="3917"/>
      <c r="AS88" s="3983"/>
      <c r="AT88" s="3917"/>
      <c r="AU88" s="3983"/>
      <c r="AV88" s="3917"/>
      <c r="AW88" s="3983"/>
      <c r="AX88" s="3917"/>
      <c r="AY88" s="3983"/>
      <c r="AZ88" s="3917"/>
      <c r="BA88" s="3983"/>
      <c r="BB88" s="3917"/>
      <c r="BC88" s="3983"/>
      <c r="BD88" s="3917"/>
      <c r="BE88" s="3983"/>
      <c r="BF88" s="3917"/>
      <c r="BG88" s="3983"/>
      <c r="BH88" s="3917"/>
      <c r="BI88" s="3983"/>
      <c r="BJ88" s="3983"/>
      <c r="BK88" s="4423"/>
      <c r="BL88" s="4423"/>
      <c r="BM88" s="2505"/>
      <c r="BN88" s="2965"/>
      <c r="BO88" s="2965"/>
      <c r="BP88" s="2978"/>
      <c r="BQ88" s="3914"/>
      <c r="BR88" s="3914"/>
      <c r="BS88" s="3914"/>
      <c r="BT88" s="3914"/>
      <c r="BU88" s="2978"/>
    </row>
    <row r="89" spans="1:73" s="4" customFormat="1" ht="52.5" customHeight="1" x14ac:dyDescent="0.25">
      <c r="A89" s="2909"/>
      <c r="B89" s="2910"/>
      <c r="C89" s="743"/>
      <c r="D89" s="744"/>
      <c r="E89" s="4373"/>
      <c r="F89" s="4373"/>
      <c r="G89" s="2536"/>
      <c r="H89" s="4422"/>
      <c r="I89" s="3982"/>
      <c r="J89" s="4408"/>
      <c r="K89" s="2697"/>
      <c r="L89" s="4119"/>
      <c r="M89" s="3982"/>
      <c r="N89" s="4119"/>
      <c r="O89" s="2536"/>
      <c r="P89" s="2536"/>
      <c r="Q89" s="3982"/>
      <c r="R89" s="4119"/>
      <c r="S89" s="4383"/>
      <c r="T89" s="4419"/>
      <c r="U89" s="4421"/>
      <c r="V89" s="3013"/>
      <c r="W89" s="2994"/>
      <c r="X89" s="417">
        <v>12000000</v>
      </c>
      <c r="Y89" s="1025">
        <v>8614667</v>
      </c>
      <c r="Z89" s="1025">
        <f t="shared" ref="Z89:Z97" si="4">+Y89</f>
        <v>8614667</v>
      </c>
      <c r="AA89" s="691" t="s">
        <v>1419</v>
      </c>
      <c r="AB89" s="977">
        <v>20</v>
      </c>
      <c r="AC89" s="714" t="s">
        <v>422</v>
      </c>
      <c r="AD89" s="2978"/>
      <c r="AE89" s="3983"/>
      <c r="AF89" s="3917"/>
      <c r="AG89" s="3983"/>
      <c r="AH89" s="3917"/>
      <c r="AI89" s="3983"/>
      <c r="AJ89" s="3917"/>
      <c r="AK89" s="3983"/>
      <c r="AL89" s="3917"/>
      <c r="AM89" s="3983"/>
      <c r="AN89" s="3917"/>
      <c r="AO89" s="3983"/>
      <c r="AP89" s="3917"/>
      <c r="AQ89" s="3983"/>
      <c r="AR89" s="3917"/>
      <c r="AS89" s="3983"/>
      <c r="AT89" s="3917"/>
      <c r="AU89" s="3983"/>
      <c r="AV89" s="3917"/>
      <c r="AW89" s="3983"/>
      <c r="AX89" s="3917"/>
      <c r="AY89" s="3983"/>
      <c r="AZ89" s="3917"/>
      <c r="BA89" s="3983"/>
      <c r="BB89" s="3917"/>
      <c r="BC89" s="3983"/>
      <c r="BD89" s="3917"/>
      <c r="BE89" s="3983"/>
      <c r="BF89" s="3917"/>
      <c r="BG89" s="3983"/>
      <c r="BH89" s="3917"/>
      <c r="BI89" s="3983"/>
      <c r="BJ89" s="3983"/>
      <c r="BK89" s="4423"/>
      <c r="BL89" s="4423"/>
      <c r="BM89" s="2505"/>
      <c r="BN89" s="2965"/>
      <c r="BO89" s="2965"/>
      <c r="BP89" s="2978"/>
      <c r="BQ89" s="3914"/>
      <c r="BR89" s="3914"/>
      <c r="BS89" s="3914"/>
      <c r="BT89" s="3914"/>
      <c r="BU89" s="2978"/>
    </row>
    <row r="90" spans="1:73" s="4" customFormat="1" ht="69" customHeight="1" x14ac:dyDescent="0.25">
      <c r="A90" s="2909"/>
      <c r="B90" s="2910"/>
      <c r="C90" s="743"/>
      <c r="D90" s="744"/>
      <c r="E90" s="4373"/>
      <c r="F90" s="4373"/>
      <c r="G90" s="2536"/>
      <c r="H90" s="4422"/>
      <c r="I90" s="3982"/>
      <c r="J90" s="4408"/>
      <c r="K90" s="2697"/>
      <c r="L90" s="4119"/>
      <c r="M90" s="3982"/>
      <c r="N90" s="4119"/>
      <c r="O90" s="2536"/>
      <c r="P90" s="2536"/>
      <c r="Q90" s="3982"/>
      <c r="R90" s="4119"/>
      <c r="S90" s="4383"/>
      <c r="T90" s="4419"/>
      <c r="U90" s="4421"/>
      <c r="V90" s="3013"/>
      <c r="W90" s="2992" t="s">
        <v>1424</v>
      </c>
      <c r="X90" s="417">
        <v>2000000</v>
      </c>
      <c r="Y90" s="1025">
        <v>2000000</v>
      </c>
      <c r="Z90" s="1025">
        <f t="shared" si="4"/>
        <v>2000000</v>
      </c>
      <c r="AA90" s="691" t="s">
        <v>1423</v>
      </c>
      <c r="AB90" s="977">
        <v>88</v>
      </c>
      <c r="AC90" s="714" t="s">
        <v>1228</v>
      </c>
      <c r="AD90" s="2978"/>
      <c r="AE90" s="3983"/>
      <c r="AF90" s="3917"/>
      <c r="AG90" s="3983"/>
      <c r="AH90" s="3917"/>
      <c r="AI90" s="3983"/>
      <c r="AJ90" s="3917"/>
      <c r="AK90" s="3983"/>
      <c r="AL90" s="3917"/>
      <c r="AM90" s="3983"/>
      <c r="AN90" s="3917"/>
      <c r="AO90" s="3983"/>
      <c r="AP90" s="3917"/>
      <c r="AQ90" s="3983"/>
      <c r="AR90" s="3917"/>
      <c r="AS90" s="3983"/>
      <c r="AT90" s="3917"/>
      <c r="AU90" s="3983"/>
      <c r="AV90" s="3917"/>
      <c r="AW90" s="3983"/>
      <c r="AX90" s="3917"/>
      <c r="AY90" s="3983"/>
      <c r="AZ90" s="3917"/>
      <c r="BA90" s="3983"/>
      <c r="BB90" s="3917"/>
      <c r="BC90" s="3983"/>
      <c r="BD90" s="3917"/>
      <c r="BE90" s="3983"/>
      <c r="BF90" s="3917"/>
      <c r="BG90" s="3983"/>
      <c r="BH90" s="3917"/>
      <c r="BI90" s="3983"/>
      <c r="BJ90" s="3983"/>
      <c r="BK90" s="4423"/>
      <c r="BL90" s="4423"/>
      <c r="BM90" s="2505"/>
      <c r="BN90" s="2965"/>
      <c r="BO90" s="2965"/>
      <c r="BP90" s="2978"/>
      <c r="BQ90" s="3914"/>
      <c r="BR90" s="3914"/>
      <c r="BS90" s="3914"/>
      <c r="BT90" s="3914"/>
      <c r="BU90" s="2978"/>
    </row>
    <row r="91" spans="1:73" s="4" customFormat="1" ht="69" customHeight="1" x14ac:dyDescent="0.25">
      <c r="A91" s="2909"/>
      <c r="B91" s="2910"/>
      <c r="C91" s="743"/>
      <c r="D91" s="744"/>
      <c r="E91" s="4373"/>
      <c r="F91" s="4373"/>
      <c r="G91" s="2536"/>
      <c r="H91" s="4422"/>
      <c r="I91" s="3982"/>
      <c r="J91" s="4408"/>
      <c r="K91" s="2697"/>
      <c r="L91" s="4119"/>
      <c r="M91" s="3982"/>
      <c r="N91" s="4119"/>
      <c r="O91" s="2536"/>
      <c r="P91" s="2536"/>
      <c r="Q91" s="3982"/>
      <c r="R91" s="4119"/>
      <c r="S91" s="4383"/>
      <c r="T91" s="4419"/>
      <c r="U91" s="4421"/>
      <c r="V91" s="3013"/>
      <c r="W91" s="2994"/>
      <c r="X91" s="417">
        <v>12000000</v>
      </c>
      <c r="Y91" s="1025">
        <v>8427833</v>
      </c>
      <c r="Z91" s="1025">
        <f t="shared" si="4"/>
        <v>8427833</v>
      </c>
      <c r="AA91" s="691" t="s">
        <v>1419</v>
      </c>
      <c r="AB91" s="977">
        <v>20</v>
      </c>
      <c r="AC91" s="714" t="s">
        <v>422</v>
      </c>
      <c r="AD91" s="2978"/>
      <c r="AE91" s="3983"/>
      <c r="AF91" s="3917"/>
      <c r="AG91" s="3983"/>
      <c r="AH91" s="3917"/>
      <c r="AI91" s="3983"/>
      <c r="AJ91" s="3917"/>
      <c r="AK91" s="3983"/>
      <c r="AL91" s="3917"/>
      <c r="AM91" s="3983"/>
      <c r="AN91" s="3917"/>
      <c r="AO91" s="3983"/>
      <c r="AP91" s="3917"/>
      <c r="AQ91" s="3983"/>
      <c r="AR91" s="3917"/>
      <c r="AS91" s="3983"/>
      <c r="AT91" s="3917"/>
      <c r="AU91" s="3983"/>
      <c r="AV91" s="3917"/>
      <c r="AW91" s="3983"/>
      <c r="AX91" s="3917"/>
      <c r="AY91" s="3983"/>
      <c r="AZ91" s="3917"/>
      <c r="BA91" s="3983"/>
      <c r="BB91" s="3917"/>
      <c r="BC91" s="3983"/>
      <c r="BD91" s="3917"/>
      <c r="BE91" s="3983"/>
      <c r="BF91" s="3917"/>
      <c r="BG91" s="3983"/>
      <c r="BH91" s="3917"/>
      <c r="BI91" s="3983"/>
      <c r="BJ91" s="3983"/>
      <c r="BK91" s="4423"/>
      <c r="BL91" s="4423"/>
      <c r="BM91" s="2505"/>
      <c r="BN91" s="2965"/>
      <c r="BO91" s="2965"/>
      <c r="BP91" s="2978"/>
      <c r="BQ91" s="3914"/>
      <c r="BR91" s="3914"/>
      <c r="BS91" s="3914"/>
      <c r="BT91" s="3914"/>
      <c r="BU91" s="2978"/>
    </row>
    <row r="92" spans="1:73" s="4" customFormat="1" ht="69" customHeight="1" x14ac:dyDescent="0.25">
      <c r="A92" s="2909"/>
      <c r="B92" s="2910"/>
      <c r="C92" s="743"/>
      <c r="D92" s="744"/>
      <c r="E92" s="4373"/>
      <c r="F92" s="4373"/>
      <c r="G92" s="2536"/>
      <c r="H92" s="4422"/>
      <c r="I92" s="3982"/>
      <c r="J92" s="4408"/>
      <c r="K92" s="2697"/>
      <c r="L92" s="4119"/>
      <c r="M92" s="3982"/>
      <c r="N92" s="4119"/>
      <c r="O92" s="2536"/>
      <c r="P92" s="2536"/>
      <c r="Q92" s="3982"/>
      <c r="R92" s="4119"/>
      <c r="S92" s="4383"/>
      <c r="T92" s="4419"/>
      <c r="U92" s="4421"/>
      <c r="V92" s="3013"/>
      <c r="W92" s="729" t="s">
        <v>1279</v>
      </c>
      <c r="X92" s="417">
        <v>2000000</v>
      </c>
      <c r="Y92" s="1025">
        <v>2000000</v>
      </c>
      <c r="Z92" s="1025">
        <f t="shared" si="4"/>
        <v>2000000</v>
      </c>
      <c r="AA92" s="691" t="s">
        <v>1419</v>
      </c>
      <c r="AB92" s="977">
        <v>20</v>
      </c>
      <c r="AC92" s="714" t="s">
        <v>422</v>
      </c>
      <c r="AD92" s="2978"/>
      <c r="AE92" s="3983"/>
      <c r="AF92" s="3917"/>
      <c r="AG92" s="3983"/>
      <c r="AH92" s="3917"/>
      <c r="AI92" s="3983"/>
      <c r="AJ92" s="3917"/>
      <c r="AK92" s="3983"/>
      <c r="AL92" s="3917"/>
      <c r="AM92" s="3983"/>
      <c r="AN92" s="3917"/>
      <c r="AO92" s="3983"/>
      <c r="AP92" s="3917"/>
      <c r="AQ92" s="3983"/>
      <c r="AR92" s="3917"/>
      <c r="AS92" s="3983"/>
      <c r="AT92" s="3917"/>
      <c r="AU92" s="3983"/>
      <c r="AV92" s="3917"/>
      <c r="AW92" s="3983"/>
      <c r="AX92" s="3917"/>
      <c r="AY92" s="3983"/>
      <c r="AZ92" s="3917"/>
      <c r="BA92" s="3983"/>
      <c r="BB92" s="3917"/>
      <c r="BC92" s="3983"/>
      <c r="BD92" s="3917"/>
      <c r="BE92" s="3983"/>
      <c r="BF92" s="3917"/>
      <c r="BG92" s="3983"/>
      <c r="BH92" s="3917"/>
      <c r="BI92" s="3983"/>
      <c r="BJ92" s="3983"/>
      <c r="BK92" s="4423"/>
      <c r="BL92" s="4423"/>
      <c r="BM92" s="2505"/>
      <c r="BN92" s="2965"/>
      <c r="BO92" s="2965"/>
      <c r="BP92" s="2978"/>
      <c r="BQ92" s="3914"/>
      <c r="BR92" s="3914"/>
      <c r="BS92" s="3914"/>
      <c r="BT92" s="3914"/>
      <c r="BU92" s="2978"/>
    </row>
    <row r="93" spans="1:73" s="4" customFormat="1" ht="69" customHeight="1" x14ac:dyDescent="0.25">
      <c r="A93" s="2909"/>
      <c r="B93" s="2910"/>
      <c r="C93" s="743"/>
      <c r="D93" s="744"/>
      <c r="E93" s="4373"/>
      <c r="F93" s="4373"/>
      <c r="G93" s="2536"/>
      <c r="H93" s="4422"/>
      <c r="I93" s="3982"/>
      <c r="J93" s="4408"/>
      <c r="K93" s="2697"/>
      <c r="L93" s="4119"/>
      <c r="M93" s="3982"/>
      <c r="N93" s="4119"/>
      <c r="O93" s="2536"/>
      <c r="P93" s="2536"/>
      <c r="Q93" s="3982"/>
      <c r="R93" s="4119"/>
      <c r="S93" s="4383"/>
      <c r="T93" s="4419"/>
      <c r="U93" s="4421"/>
      <c r="V93" s="3013"/>
      <c r="W93" s="2992" t="s">
        <v>1425</v>
      </c>
      <c r="X93" s="417">
        <v>80000</v>
      </c>
      <c r="Y93" s="1025">
        <v>80000</v>
      </c>
      <c r="Z93" s="1025">
        <f t="shared" si="4"/>
        <v>80000</v>
      </c>
      <c r="AA93" s="691" t="s">
        <v>1423</v>
      </c>
      <c r="AB93" s="977">
        <v>88</v>
      </c>
      <c r="AC93" s="714" t="s">
        <v>1228</v>
      </c>
      <c r="AD93" s="2978"/>
      <c r="AE93" s="3983"/>
      <c r="AF93" s="3917"/>
      <c r="AG93" s="3983"/>
      <c r="AH93" s="3917"/>
      <c r="AI93" s="3983"/>
      <c r="AJ93" s="3917"/>
      <c r="AK93" s="3983"/>
      <c r="AL93" s="3917"/>
      <c r="AM93" s="3983"/>
      <c r="AN93" s="3917"/>
      <c r="AO93" s="3983"/>
      <c r="AP93" s="3917"/>
      <c r="AQ93" s="3983"/>
      <c r="AR93" s="3917"/>
      <c r="AS93" s="3983"/>
      <c r="AT93" s="3917"/>
      <c r="AU93" s="3983"/>
      <c r="AV93" s="3917"/>
      <c r="AW93" s="3983"/>
      <c r="AX93" s="3917"/>
      <c r="AY93" s="3983"/>
      <c r="AZ93" s="3917"/>
      <c r="BA93" s="3983"/>
      <c r="BB93" s="3917"/>
      <c r="BC93" s="3983"/>
      <c r="BD93" s="3917"/>
      <c r="BE93" s="3983"/>
      <c r="BF93" s="3917"/>
      <c r="BG93" s="3983"/>
      <c r="BH93" s="3917"/>
      <c r="BI93" s="3983"/>
      <c r="BJ93" s="3983"/>
      <c r="BK93" s="4423"/>
      <c r="BL93" s="4423"/>
      <c r="BM93" s="2505"/>
      <c r="BN93" s="2965"/>
      <c r="BO93" s="2965"/>
      <c r="BP93" s="2978"/>
      <c r="BQ93" s="3914"/>
      <c r="BR93" s="3914"/>
      <c r="BS93" s="3914"/>
      <c r="BT93" s="3914"/>
      <c r="BU93" s="2978"/>
    </row>
    <row r="94" spans="1:73" s="4" customFormat="1" ht="42.75" customHeight="1" x14ac:dyDescent="0.25">
      <c r="A94" s="2909"/>
      <c r="B94" s="2910"/>
      <c r="C94" s="743"/>
      <c r="D94" s="744"/>
      <c r="E94" s="4373"/>
      <c r="F94" s="4373"/>
      <c r="G94" s="2536"/>
      <c r="H94" s="4422"/>
      <c r="I94" s="3982"/>
      <c r="J94" s="4408"/>
      <c r="K94" s="2697"/>
      <c r="L94" s="4119"/>
      <c r="M94" s="3982"/>
      <c r="N94" s="4119"/>
      <c r="O94" s="2537"/>
      <c r="P94" s="2537"/>
      <c r="Q94" s="3982"/>
      <c r="R94" s="4119"/>
      <c r="S94" s="4431"/>
      <c r="T94" s="4420"/>
      <c r="U94" s="4421"/>
      <c r="V94" s="3013"/>
      <c r="W94" s="2994"/>
      <c r="X94" s="417">
        <v>4540000</v>
      </c>
      <c r="Y94" s="1025">
        <v>3400000</v>
      </c>
      <c r="Z94" s="1025">
        <f t="shared" si="4"/>
        <v>3400000</v>
      </c>
      <c r="AA94" s="691" t="s">
        <v>1419</v>
      </c>
      <c r="AB94" s="977">
        <v>20</v>
      </c>
      <c r="AC94" s="714" t="s">
        <v>422</v>
      </c>
      <c r="AD94" s="2978"/>
      <c r="AE94" s="3983"/>
      <c r="AF94" s="3917"/>
      <c r="AG94" s="3983"/>
      <c r="AH94" s="3917"/>
      <c r="AI94" s="3983"/>
      <c r="AJ94" s="3917"/>
      <c r="AK94" s="3983"/>
      <c r="AL94" s="3917"/>
      <c r="AM94" s="3983"/>
      <c r="AN94" s="3917"/>
      <c r="AO94" s="3983"/>
      <c r="AP94" s="3917"/>
      <c r="AQ94" s="3983"/>
      <c r="AR94" s="3917"/>
      <c r="AS94" s="3983"/>
      <c r="AT94" s="3917"/>
      <c r="AU94" s="3983"/>
      <c r="AV94" s="3917"/>
      <c r="AW94" s="3983"/>
      <c r="AX94" s="3917"/>
      <c r="AY94" s="3983"/>
      <c r="AZ94" s="3917"/>
      <c r="BA94" s="3983"/>
      <c r="BB94" s="3917"/>
      <c r="BC94" s="3983"/>
      <c r="BD94" s="3917"/>
      <c r="BE94" s="3983"/>
      <c r="BF94" s="3917"/>
      <c r="BG94" s="3983"/>
      <c r="BH94" s="3917"/>
      <c r="BI94" s="3983"/>
      <c r="BJ94" s="3983"/>
      <c r="BK94" s="4423"/>
      <c r="BL94" s="4423"/>
      <c r="BM94" s="2505"/>
      <c r="BN94" s="2965"/>
      <c r="BO94" s="2965"/>
      <c r="BP94" s="2978"/>
      <c r="BQ94" s="3914"/>
      <c r="BR94" s="3914"/>
      <c r="BS94" s="3914"/>
      <c r="BT94" s="3914"/>
      <c r="BU94" s="2978"/>
    </row>
    <row r="95" spans="1:73" ht="69" customHeight="1" x14ac:dyDescent="0.25">
      <c r="A95" s="2909"/>
      <c r="B95" s="2910"/>
      <c r="C95" s="279"/>
      <c r="D95" s="280"/>
      <c r="E95" s="4373"/>
      <c r="F95" s="4373"/>
      <c r="G95" s="2697">
        <v>4104026</v>
      </c>
      <c r="H95" s="2713" t="s">
        <v>1426</v>
      </c>
      <c r="I95" s="4302">
        <v>4104027</v>
      </c>
      <c r="J95" s="2513" t="s">
        <v>1427</v>
      </c>
      <c r="K95" s="4409" t="s">
        <v>20</v>
      </c>
      <c r="L95" s="2513" t="s">
        <v>1428</v>
      </c>
      <c r="M95" s="4409">
        <v>410402700</v>
      </c>
      <c r="N95" s="2513" t="s">
        <v>1429</v>
      </c>
      <c r="O95" s="4409">
        <v>12</v>
      </c>
      <c r="P95" s="2546">
        <v>12</v>
      </c>
      <c r="Q95" s="4429" t="s">
        <v>1430</v>
      </c>
      <c r="R95" s="4405" t="s">
        <v>1431</v>
      </c>
      <c r="S95" s="4425">
        <v>1</v>
      </c>
      <c r="T95" s="4341">
        <f>SUM(X95:X97)</f>
        <v>35000000</v>
      </c>
      <c r="U95" s="4119" t="s">
        <v>1432</v>
      </c>
      <c r="V95" s="4344" t="s">
        <v>1433</v>
      </c>
      <c r="W95" s="1039" t="s">
        <v>1434</v>
      </c>
      <c r="X95" s="417">
        <v>28762098</v>
      </c>
      <c r="Y95" s="750">
        <v>28762098</v>
      </c>
      <c r="Z95" s="750">
        <f t="shared" si="4"/>
        <v>28762098</v>
      </c>
      <c r="AA95" s="691" t="s">
        <v>1435</v>
      </c>
      <c r="AB95" s="3992">
        <v>20</v>
      </c>
      <c r="AC95" s="3983" t="s">
        <v>422</v>
      </c>
      <c r="AD95" s="4414">
        <v>120</v>
      </c>
      <c r="AE95" s="4414">
        <v>184</v>
      </c>
      <c r="AF95" s="4414">
        <v>180</v>
      </c>
      <c r="AG95" s="4414">
        <v>199</v>
      </c>
      <c r="AH95" s="4412"/>
      <c r="AI95" s="4414"/>
      <c r="AJ95" s="4412"/>
      <c r="AK95" s="4414"/>
      <c r="AL95" s="4412"/>
      <c r="AM95" s="4414"/>
      <c r="AN95" s="4412"/>
      <c r="AO95" s="4414"/>
      <c r="AP95" s="4412"/>
      <c r="AQ95" s="4414"/>
      <c r="AR95" s="4412"/>
      <c r="AS95" s="4414"/>
      <c r="AT95" s="4412"/>
      <c r="AU95" s="4414"/>
      <c r="AV95" s="4412"/>
      <c r="AW95" s="4414"/>
      <c r="AX95" s="4412"/>
      <c r="AY95" s="4414"/>
      <c r="AZ95" s="4412"/>
      <c r="BA95" s="4414"/>
      <c r="BB95" s="4412"/>
      <c r="BC95" s="4414"/>
      <c r="BD95" s="4412"/>
      <c r="BE95" s="4414"/>
      <c r="BF95" s="4412"/>
      <c r="BG95" s="4414"/>
      <c r="BH95" s="4412">
        <v>300</v>
      </c>
      <c r="BI95" s="4309">
        <v>383</v>
      </c>
      <c r="BJ95" s="4309">
        <v>2</v>
      </c>
      <c r="BK95" s="4437">
        <f>SUM(Y95:Y97)</f>
        <v>34994000</v>
      </c>
      <c r="BL95" s="4437">
        <f>SUM(Z95:Z97)</f>
        <v>34994000</v>
      </c>
      <c r="BM95" s="4435">
        <f>BL95/BK95</f>
        <v>1</v>
      </c>
      <c r="BN95" s="4309">
        <v>20</v>
      </c>
      <c r="BO95" s="4309" t="s">
        <v>422</v>
      </c>
      <c r="BP95" s="4309" t="s">
        <v>1356</v>
      </c>
      <c r="BQ95" s="4330">
        <v>44197</v>
      </c>
      <c r="BR95" s="4330">
        <v>44257</v>
      </c>
      <c r="BS95" s="4330">
        <v>44561</v>
      </c>
      <c r="BT95" s="4330">
        <v>44376</v>
      </c>
      <c r="BU95" s="3948" t="s">
        <v>1356</v>
      </c>
    </row>
    <row r="96" spans="1:73" ht="69" customHeight="1" x14ac:dyDescent="0.25">
      <c r="A96" s="2909"/>
      <c r="B96" s="2910"/>
      <c r="C96" s="279"/>
      <c r="D96" s="280"/>
      <c r="E96" s="4373"/>
      <c r="F96" s="4373"/>
      <c r="G96" s="2697"/>
      <c r="H96" s="2713"/>
      <c r="I96" s="4302"/>
      <c r="J96" s="2513"/>
      <c r="K96" s="4409"/>
      <c r="L96" s="2513"/>
      <c r="M96" s="4409"/>
      <c r="N96" s="2513"/>
      <c r="O96" s="4409"/>
      <c r="P96" s="2546"/>
      <c r="Q96" s="4429"/>
      <c r="R96" s="4405"/>
      <c r="S96" s="4425"/>
      <c r="T96" s="4341"/>
      <c r="U96" s="4119"/>
      <c r="V96" s="4344"/>
      <c r="W96" s="715" t="s">
        <v>1279</v>
      </c>
      <c r="X96" s="417">
        <v>87902</v>
      </c>
      <c r="Y96" s="750">
        <v>87902</v>
      </c>
      <c r="Z96" s="750">
        <f t="shared" si="4"/>
        <v>87902</v>
      </c>
      <c r="AA96" s="691" t="s">
        <v>1435</v>
      </c>
      <c r="AB96" s="3992"/>
      <c r="AC96" s="3983"/>
      <c r="AD96" s="4414"/>
      <c r="AE96" s="4414"/>
      <c r="AF96" s="4414"/>
      <c r="AG96" s="4414"/>
      <c r="AH96" s="4412"/>
      <c r="AI96" s="4414"/>
      <c r="AJ96" s="4412"/>
      <c r="AK96" s="4414"/>
      <c r="AL96" s="4412"/>
      <c r="AM96" s="4414"/>
      <c r="AN96" s="4412"/>
      <c r="AO96" s="4414"/>
      <c r="AP96" s="4412"/>
      <c r="AQ96" s="4414"/>
      <c r="AR96" s="4412"/>
      <c r="AS96" s="4414"/>
      <c r="AT96" s="4412"/>
      <c r="AU96" s="4414"/>
      <c r="AV96" s="4412"/>
      <c r="AW96" s="4414"/>
      <c r="AX96" s="4412"/>
      <c r="AY96" s="4414"/>
      <c r="AZ96" s="4412"/>
      <c r="BA96" s="4414"/>
      <c r="BB96" s="4412"/>
      <c r="BC96" s="4414"/>
      <c r="BD96" s="4412"/>
      <c r="BE96" s="4414"/>
      <c r="BF96" s="4412"/>
      <c r="BG96" s="4414"/>
      <c r="BH96" s="4412"/>
      <c r="BI96" s="4309"/>
      <c r="BJ96" s="4309"/>
      <c r="BK96" s="4437"/>
      <c r="BL96" s="4437"/>
      <c r="BM96" s="4435"/>
      <c r="BN96" s="4309"/>
      <c r="BO96" s="4309"/>
      <c r="BP96" s="4309"/>
      <c r="BQ96" s="4330"/>
      <c r="BR96" s="4330"/>
      <c r="BS96" s="4330"/>
      <c r="BT96" s="4330"/>
      <c r="BU96" s="3948"/>
    </row>
    <row r="97" spans="1:73" ht="52.5" customHeight="1" x14ac:dyDescent="0.25">
      <c r="A97" s="2909"/>
      <c r="B97" s="2910"/>
      <c r="C97" s="279"/>
      <c r="D97" s="280"/>
      <c r="E97" s="4373"/>
      <c r="F97" s="4373"/>
      <c r="G97" s="2697"/>
      <c r="H97" s="2713"/>
      <c r="I97" s="4303"/>
      <c r="J97" s="2514"/>
      <c r="K97" s="4346"/>
      <c r="L97" s="2514"/>
      <c r="M97" s="4346"/>
      <c r="N97" s="2514"/>
      <c r="O97" s="4428"/>
      <c r="P97" s="2547"/>
      <c r="Q97" s="4430"/>
      <c r="R97" s="4424"/>
      <c r="S97" s="4426"/>
      <c r="T97" s="4427"/>
      <c r="U97" s="4227"/>
      <c r="V97" s="4439"/>
      <c r="W97" s="727" t="s">
        <v>1204</v>
      </c>
      <c r="X97" s="927">
        <v>6150000</v>
      </c>
      <c r="Y97" s="928">
        <v>6144000</v>
      </c>
      <c r="Z97" s="928">
        <f t="shared" si="4"/>
        <v>6144000</v>
      </c>
      <c r="AA97" s="691" t="s">
        <v>1436</v>
      </c>
      <c r="AB97" s="3981"/>
      <c r="AC97" s="3983"/>
      <c r="AD97" s="4414"/>
      <c r="AE97" s="4414"/>
      <c r="AF97" s="4414"/>
      <c r="AG97" s="4414"/>
      <c r="AH97" s="4412"/>
      <c r="AI97" s="4414"/>
      <c r="AJ97" s="4412"/>
      <c r="AK97" s="4414"/>
      <c r="AL97" s="4412"/>
      <c r="AM97" s="4414"/>
      <c r="AN97" s="4412"/>
      <c r="AO97" s="4414"/>
      <c r="AP97" s="4412"/>
      <c r="AQ97" s="4414"/>
      <c r="AR97" s="4412"/>
      <c r="AS97" s="4414"/>
      <c r="AT97" s="4412"/>
      <c r="AU97" s="4414"/>
      <c r="AV97" s="4412"/>
      <c r="AW97" s="4414"/>
      <c r="AX97" s="4412"/>
      <c r="AY97" s="4414"/>
      <c r="AZ97" s="4412"/>
      <c r="BA97" s="4414"/>
      <c r="BB97" s="4412"/>
      <c r="BC97" s="4414"/>
      <c r="BD97" s="4412"/>
      <c r="BE97" s="4414"/>
      <c r="BF97" s="4412"/>
      <c r="BG97" s="4414"/>
      <c r="BH97" s="4412"/>
      <c r="BI97" s="4309"/>
      <c r="BJ97" s="4309"/>
      <c r="BK97" s="4438"/>
      <c r="BL97" s="4438"/>
      <c r="BM97" s="4436"/>
      <c r="BN97" s="4332"/>
      <c r="BO97" s="4332"/>
      <c r="BP97" s="4332"/>
      <c r="BQ97" s="2701"/>
      <c r="BR97" s="2701"/>
      <c r="BS97" s="2701"/>
      <c r="BT97" s="2701"/>
      <c r="BU97" s="4432"/>
    </row>
    <row r="98" spans="1:73" ht="68.25" customHeight="1" x14ac:dyDescent="0.25">
      <c r="A98" s="2909"/>
      <c r="B98" s="2910"/>
      <c r="C98" s="279"/>
      <c r="D98" s="280"/>
      <c r="E98" s="4373"/>
      <c r="F98" s="4373"/>
      <c r="G98" s="2697">
        <v>4104015</v>
      </c>
      <c r="H98" s="4374" t="s">
        <v>1437</v>
      </c>
      <c r="I98" s="2693">
        <v>4104015</v>
      </c>
      <c r="J98" s="4374" t="s">
        <v>1438</v>
      </c>
      <c r="K98" s="2693">
        <v>410401500</v>
      </c>
      <c r="L98" s="4433" t="s">
        <v>1439</v>
      </c>
      <c r="M98" s="2693">
        <v>410401500</v>
      </c>
      <c r="N98" s="4433" t="s">
        <v>1440</v>
      </c>
      <c r="O98" s="2546">
        <v>7500</v>
      </c>
      <c r="P98" s="2546">
        <v>8123</v>
      </c>
      <c r="Q98" s="2546" t="s">
        <v>1441</v>
      </c>
      <c r="R98" s="2543" t="s">
        <v>1442</v>
      </c>
      <c r="S98" s="4444">
        <f>SUM(X98:X101)/T98</f>
        <v>6.620395199903136E-3</v>
      </c>
      <c r="T98" s="4442">
        <f>SUM(X98:X158)</f>
        <v>4652290244.0100012</v>
      </c>
      <c r="U98" s="2930" t="s">
        <v>1443</v>
      </c>
      <c r="V98" s="2936" t="s">
        <v>1444</v>
      </c>
      <c r="W98" s="740" t="s">
        <v>1445</v>
      </c>
      <c r="X98" s="347">
        <v>4000000</v>
      </c>
      <c r="Y98" s="347">
        <v>4000000</v>
      </c>
      <c r="Z98" s="347">
        <v>4000000</v>
      </c>
      <c r="AA98" s="479" t="s">
        <v>1446</v>
      </c>
      <c r="AB98" s="4443">
        <v>20</v>
      </c>
      <c r="AC98" s="2546" t="s">
        <v>422</v>
      </c>
      <c r="AD98" s="4440">
        <v>3500</v>
      </c>
      <c r="AE98" s="4440">
        <v>3252</v>
      </c>
      <c r="AF98" s="4440">
        <v>4000</v>
      </c>
      <c r="AG98" s="4440">
        <v>4871</v>
      </c>
      <c r="AH98" s="4440" t="s">
        <v>153</v>
      </c>
      <c r="AI98" s="4440">
        <v>1</v>
      </c>
      <c r="AJ98" s="4440" t="s">
        <v>153</v>
      </c>
      <c r="AK98" s="4440">
        <v>6</v>
      </c>
      <c r="AL98" s="4440" t="s">
        <v>153</v>
      </c>
      <c r="AM98" s="4440">
        <v>6</v>
      </c>
      <c r="AN98" s="4440">
        <v>7500</v>
      </c>
      <c r="AO98" s="4440">
        <v>8123</v>
      </c>
      <c r="AP98" s="4440"/>
      <c r="AQ98" s="4440">
        <v>3</v>
      </c>
      <c r="AR98" s="4440"/>
      <c r="AS98" s="4440">
        <v>4</v>
      </c>
      <c r="AT98" s="4440"/>
      <c r="AU98" s="4440"/>
      <c r="AV98" s="4440"/>
      <c r="AW98" s="4440"/>
      <c r="AX98" s="4440"/>
      <c r="AY98" s="4440"/>
      <c r="AZ98" s="4440"/>
      <c r="BA98" s="4440">
        <v>2</v>
      </c>
      <c r="BB98" s="4440"/>
      <c r="BC98" s="4440">
        <v>1</v>
      </c>
      <c r="BD98" s="4440"/>
      <c r="BE98" s="4440">
        <v>1430</v>
      </c>
      <c r="BF98" s="4440"/>
      <c r="BG98" s="4440">
        <v>31</v>
      </c>
      <c r="BH98" s="4440">
        <v>7500</v>
      </c>
      <c r="BI98" s="4310">
        <f>SUM(AE98+AG98)</f>
        <v>8123</v>
      </c>
      <c r="BJ98" s="3983">
        <v>5</v>
      </c>
      <c r="BK98" s="4447">
        <f>SUM(Y98:Y158)</f>
        <v>3388046793.2500005</v>
      </c>
      <c r="BL98" s="4447">
        <f>SUM(Z98:Z158)</f>
        <v>3388046793.2500005</v>
      </c>
      <c r="BM98" s="3933">
        <f>BL98/BK98</f>
        <v>1</v>
      </c>
      <c r="BN98" s="3983">
        <v>20</v>
      </c>
      <c r="BO98" s="3983" t="s">
        <v>422</v>
      </c>
      <c r="BP98" s="3983" t="s">
        <v>1420</v>
      </c>
      <c r="BQ98" s="3094">
        <v>44197</v>
      </c>
      <c r="BR98" s="3094">
        <v>44243</v>
      </c>
      <c r="BS98" s="3094">
        <v>44561</v>
      </c>
      <c r="BT98" s="3094">
        <v>44362</v>
      </c>
      <c r="BU98" s="3983" t="s">
        <v>1420</v>
      </c>
    </row>
    <row r="99" spans="1:73" ht="38.25" customHeight="1" x14ac:dyDescent="0.25">
      <c r="A99" s="2909"/>
      <c r="B99" s="2910"/>
      <c r="C99" s="279"/>
      <c r="D99" s="280"/>
      <c r="E99" s="4373"/>
      <c r="F99" s="4373"/>
      <c r="G99" s="2697"/>
      <c r="H99" s="2713"/>
      <c r="I99" s="2697"/>
      <c r="J99" s="2713"/>
      <c r="K99" s="2697"/>
      <c r="L99" s="2720"/>
      <c r="M99" s="2697"/>
      <c r="N99" s="2720"/>
      <c r="O99" s="2546"/>
      <c r="P99" s="2546"/>
      <c r="Q99" s="2546"/>
      <c r="R99" s="2543"/>
      <c r="S99" s="4444"/>
      <c r="T99" s="4442"/>
      <c r="U99" s="2930"/>
      <c r="V99" s="2936"/>
      <c r="W99" s="740" t="s">
        <v>1447</v>
      </c>
      <c r="X99" s="347">
        <v>1000000</v>
      </c>
      <c r="Y99" s="347">
        <v>1000000</v>
      </c>
      <c r="Z99" s="347">
        <v>1000000</v>
      </c>
      <c r="AA99" s="479" t="s">
        <v>1446</v>
      </c>
      <c r="AB99" s="4331"/>
      <c r="AC99" s="2546"/>
      <c r="AD99" s="4441"/>
      <c r="AE99" s="4441"/>
      <c r="AF99" s="4441"/>
      <c r="AG99" s="4441"/>
      <c r="AH99" s="4441"/>
      <c r="AI99" s="4441"/>
      <c r="AJ99" s="4441"/>
      <c r="AK99" s="4441"/>
      <c r="AL99" s="4441"/>
      <c r="AM99" s="4441"/>
      <c r="AN99" s="4441"/>
      <c r="AO99" s="4441"/>
      <c r="AP99" s="4441"/>
      <c r="AQ99" s="4441"/>
      <c r="AR99" s="4441"/>
      <c r="AS99" s="4441"/>
      <c r="AT99" s="4441"/>
      <c r="AU99" s="4441"/>
      <c r="AV99" s="4441"/>
      <c r="AW99" s="4441"/>
      <c r="AX99" s="4441"/>
      <c r="AY99" s="4441"/>
      <c r="AZ99" s="4441"/>
      <c r="BA99" s="4441"/>
      <c r="BB99" s="4441"/>
      <c r="BC99" s="4441"/>
      <c r="BD99" s="4441"/>
      <c r="BE99" s="4441"/>
      <c r="BF99" s="4441"/>
      <c r="BG99" s="4441"/>
      <c r="BH99" s="4441"/>
      <c r="BI99" s="4310"/>
      <c r="BJ99" s="3983"/>
      <c r="BK99" s="4447"/>
      <c r="BL99" s="4447"/>
      <c r="BM99" s="3933"/>
      <c r="BN99" s="3983"/>
      <c r="BO99" s="3983"/>
      <c r="BP99" s="3983"/>
      <c r="BQ99" s="3094"/>
      <c r="BR99" s="3094"/>
      <c r="BS99" s="3094"/>
      <c r="BT99" s="3094"/>
      <c r="BU99" s="3983"/>
    </row>
    <row r="100" spans="1:73" ht="58.5" customHeight="1" x14ac:dyDescent="0.25">
      <c r="A100" s="2909"/>
      <c r="B100" s="2910"/>
      <c r="C100" s="279"/>
      <c r="D100" s="280"/>
      <c r="E100" s="4373"/>
      <c r="F100" s="4373"/>
      <c r="G100" s="2697"/>
      <c r="H100" s="2713"/>
      <c r="I100" s="2697"/>
      <c r="J100" s="2713"/>
      <c r="K100" s="2697"/>
      <c r="L100" s="2720"/>
      <c r="M100" s="2697"/>
      <c r="N100" s="2720"/>
      <c r="O100" s="2546"/>
      <c r="P100" s="2546"/>
      <c r="Q100" s="2546"/>
      <c r="R100" s="2543"/>
      <c r="S100" s="4444"/>
      <c r="T100" s="4442"/>
      <c r="U100" s="2930"/>
      <c r="V100" s="2936"/>
      <c r="W100" s="740" t="s">
        <v>1448</v>
      </c>
      <c r="X100" s="347">
        <v>18000000</v>
      </c>
      <c r="Y100" s="347">
        <v>18000000</v>
      </c>
      <c r="Z100" s="347">
        <v>18000000</v>
      </c>
      <c r="AA100" s="479" t="s">
        <v>1446</v>
      </c>
      <c r="AB100" s="4331"/>
      <c r="AC100" s="2546"/>
      <c r="AD100" s="4441"/>
      <c r="AE100" s="4441"/>
      <c r="AF100" s="4441"/>
      <c r="AG100" s="4441"/>
      <c r="AH100" s="4441"/>
      <c r="AI100" s="4441"/>
      <c r="AJ100" s="4441"/>
      <c r="AK100" s="4441"/>
      <c r="AL100" s="4441"/>
      <c r="AM100" s="4441"/>
      <c r="AN100" s="4441"/>
      <c r="AO100" s="4441"/>
      <c r="AP100" s="4441"/>
      <c r="AQ100" s="4441"/>
      <c r="AR100" s="4441"/>
      <c r="AS100" s="4441"/>
      <c r="AT100" s="4441"/>
      <c r="AU100" s="4441"/>
      <c r="AV100" s="4441"/>
      <c r="AW100" s="4441"/>
      <c r="AX100" s="4441"/>
      <c r="AY100" s="4441"/>
      <c r="AZ100" s="4441"/>
      <c r="BA100" s="4441"/>
      <c r="BB100" s="4441"/>
      <c r="BC100" s="4441"/>
      <c r="BD100" s="4441"/>
      <c r="BE100" s="4441"/>
      <c r="BF100" s="4441"/>
      <c r="BG100" s="4441"/>
      <c r="BH100" s="4441"/>
      <c r="BI100" s="4310"/>
      <c r="BJ100" s="3983"/>
      <c r="BK100" s="4447"/>
      <c r="BL100" s="4447"/>
      <c r="BM100" s="3933"/>
      <c r="BN100" s="3983"/>
      <c r="BO100" s="3983"/>
      <c r="BP100" s="3983"/>
      <c r="BQ100" s="3094"/>
      <c r="BR100" s="3094"/>
      <c r="BS100" s="3094"/>
      <c r="BT100" s="3094"/>
      <c r="BU100" s="3983"/>
    </row>
    <row r="101" spans="1:73" ht="69.75" customHeight="1" x14ac:dyDescent="0.25">
      <c r="A101" s="2909"/>
      <c r="B101" s="2910"/>
      <c r="C101" s="279"/>
      <c r="D101" s="280"/>
      <c r="E101" s="4373"/>
      <c r="F101" s="4373"/>
      <c r="G101" s="2516"/>
      <c r="H101" s="4392"/>
      <c r="I101" s="2516"/>
      <c r="J101" s="4392"/>
      <c r="K101" s="2516"/>
      <c r="L101" s="4434"/>
      <c r="M101" s="2516"/>
      <c r="N101" s="4434"/>
      <c r="O101" s="2546"/>
      <c r="P101" s="2546"/>
      <c r="Q101" s="2546"/>
      <c r="R101" s="2543"/>
      <c r="S101" s="4444"/>
      <c r="T101" s="4442"/>
      <c r="U101" s="2930"/>
      <c r="V101" s="2936"/>
      <c r="W101" s="740" t="s">
        <v>1449</v>
      </c>
      <c r="X101" s="347">
        <v>7800000</v>
      </c>
      <c r="Y101" s="347">
        <v>3960000</v>
      </c>
      <c r="Z101" s="347">
        <v>3960000</v>
      </c>
      <c r="AA101" s="479" t="s">
        <v>1446</v>
      </c>
      <c r="AB101" s="4331"/>
      <c r="AC101" s="2546"/>
      <c r="AD101" s="4441"/>
      <c r="AE101" s="4441"/>
      <c r="AF101" s="4441"/>
      <c r="AG101" s="4441"/>
      <c r="AH101" s="4441"/>
      <c r="AI101" s="4441"/>
      <c r="AJ101" s="4441"/>
      <c r="AK101" s="4441"/>
      <c r="AL101" s="4441"/>
      <c r="AM101" s="4441"/>
      <c r="AN101" s="4441"/>
      <c r="AO101" s="4441"/>
      <c r="AP101" s="4441"/>
      <c r="AQ101" s="4441"/>
      <c r="AR101" s="4441"/>
      <c r="AS101" s="4441"/>
      <c r="AT101" s="4441"/>
      <c r="AU101" s="4441"/>
      <c r="AV101" s="4441"/>
      <c r="AW101" s="4441"/>
      <c r="AX101" s="4441"/>
      <c r="AY101" s="4441"/>
      <c r="AZ101" s="4441"/>
      <c r="BA101" s="4441"/>
      <c r="BB101" s="4441"/>
      <c r="BC101" s="4441"/>
      <c r="BD101" s="4441"/>
      <c r="BE101" s="4441"/>
      <c r="BF101" s="4441"/>
      <c r="BG101" s="4441"/>
      <c r="BH101" s="4441"/>
      <c r="BI101" s="4310"/>
      <c r="BJ101" s="3983"/>
      <c r="BK101" s="4447"/>
      <c r="BL101" s="4447"/>
      <c r="BM101" s="3933"/>
      <c r="BN101" s="3983"/>
      <c r="BO101" s="3983"/>
      <c r="BP101" s="3983"/>
      <c r="BQ101" s="3094"/>
      <c r="BR101" s="3094"/>
      <c r="BS101" s="3094"/>
      <c r="BT101" s="3094"/>
      <c r="BU101" s="3983"/>
    </row>
    <row r="102" spans="1:73" ht="36" customHeight="1" x14ac:dyDescent="0.25">
      <c r="A102" s="2909"/>
      <c r="B102" s="2910"/>
      <c r="C102" s="279"/>
      <c r="D102" s="280"/>
      <c r="E102" s="4373"/>
      <c r="F102" s="4373"/>
      <c r="G102" s="2547" t="s">
        <v>20</v>
      </c>
      <c r="H102" s="2543" t="s">
        <v>1450</v>
      </c>
      <c r="I102" s="2546">
        <v>4104008</v>
      </c>
      <c r="J102" s="2543" t="s">
        <v>1451</v>
      </c>
      <c r="K102" s="2546" t="s">
        <v>20</v>
      </c>
      <c r="L102" s="2543" t="s">
        <v>1452</v>
      </c>
      <c r="M102" s="2546">
        <v>410400800</v>
      </c>
      <c r="N102" s="2543" t="s">
        <v>1453</v>
      </c>
      <c r="O102" s="2546">
        <v>12</v>
      </c>
      <c r="P102" s="2546">
        <v>12</v>
      </c>
      <c r="Q102" s="2546"/>
      <c r="R102" s="2543"/>
      <c r="S102" s="4444">
        <f>SUM(X102:X157)/T98</f>
        <v>0.96631713317720014</v>
      </c>
      <c r="T102" s="4442"/>
      <c r="U102" s="2930"/>
      <c r="V102" s="2936"/>
      <c r="W102" s="2930" t="s">
        <v>1454</v>
      </c>
      <c r="X102" s="390">
        <v>56207020.869999997</v>
      </c>
      <c r="Y102" s="1040">
        <v>37091172.640000001</v>
      </c>
      <c r="Z102" s="347">
        <v>37091172.640000001</v>
      </c>
      <c r="AA102" s="271" t="s">
        <v>1455</v>
      </c>
      <c r="AB102" s="1041">
        <v>6</v>
      </c>
      <c r="AC102" s="1042" t="s">
        <v>1456</v>
      </c>
      <c r="AD102" s="4441"/>
      <c r="AE102" s="4441"/>
      <c r="AF102" s="4441"/>
      <c r="AG102" s="4441"/>
      <c r="AH102" s="4441"/>
      <c r="AI102" s="4441"/>
      <c r="AJ102" s="4441"/>
      <c r="AK102" s="4441"/>
      <c r="AL102" s="4441"/>
      <c r="AM102" s="4441"/>
      <c r="AN102" s="4441"/>
      <c r="AO102" s="4441"/>
      <c r="AP102" s="4441"/>
      <c r="AQ102" s="4441"/>
      <c r="AR102" s="4441"/>
      <c r="AS102" s="4441"/>
      <c r="AT102" s="4441"/>
      <c r="AU102" s="4441"/>
      <c r="AV102" s="4441"/>
      <c r="AW102" s="4441"/>
      <c r="AX102" s="4441"/>
      <c r="AY102" s="4441"/>
      <c r="AZ102" s="4441"/>
      <c r="BA102" s="4441"/>
      <c r="BB102" s="4441"/>
      <c r="BC102" s="4441"/>
      <c r="BD102" s="4441"/>
      <c r="BE102" s="4441"/>
      <c r="BF102" s="4441"/>
      <c r="BG102" s="4441"/>
      <c r="BH102" s="4441"/>
      <c r="BI102" s="4310"/>
      <c r="BJ102" s="3983"/>
      <c r="BK102" s="4447"/>
      <c r="BL102" s="4447"/>
      <c r="BM102" s="3933"/>
      <c r="BN102" s="3983"/>
      <c r="BO102" s="3983"/>
      <c r="BP102" s="3983"/>
      <c r="BQ102" s="3094"/>
      <c r="BR102" s="3094"/>
      <c r="BS102" s="3094"/>
      <c r="BT102" s="3094"/>
      <c r="BU102" s="3983"/>
    </row>
    <row r="103" spans="1:73" ht="36" customHeight="1" x14ac:dyDescent="0.25">
      <c r="A103" s="2909"/>
      <c r="B103" s="2910"/>
      <c r="C103" s="279"/>
      <c r="D103" s="280"/>
      <c r="E103" s="4373"/>
      <c r="F103" s="4373"/>
      <c r="G103" s="2716"/>
      <c r="H103" s="2543"/>
      <c r="I103" s="2546"/>
      <c r="J103" s="2543"/>
      <c r="K103" s="2546"/>
      <c r="L103" s="2543"/>
      <c r="M103" s="2546"/>
      <c r="N103" s="2543"/>
      <c r="O103" s="2546"/>
      <c r="P103" s="2546"/>
      <c r="Q103" s="2546"/>
      <c r="R103" s="2543"/>
      <c r="S103" s="4444"/>
      <c r="T103" s="4442"/>
      <c r="U103" s="2930"/>
      <c r="V103" s="2936"/>
      <c r="W103" s="2930"/>
      <c r="X103" s="390">
        <v>8567750.0500000045</v>
      </c>
      <c r="Y103" s="1040">
        <v>8567750.0500000007</v>
      </c>
      <c r="Z103" s="347">
        <v>8567750.0500000007</v>
      </c>
      <c r="AA103" s="271" t="s">
        <v>1457</v>
      </c>
      <c r="AB103" s="1043">
        <v>84</v>
      </c>
      <c r="AC103" s="1042" t="s">
        <v>1458</v>
      </c>
      <c r="AD103" s="4441"/>
      <c r="AE103" s="4441"/>
      <c r="AF103" s="4441"/>
      <c r="AG103" s="4441"/>
      <c r="AH103" s="4441"/>
      <c r="AI103" s="4441"/>
      <c r="AJ103" s="4441"/>
      <c r="AK103" s="4441"/>
      <c r="AL103" s="4441"/>
      <c r="AM103" s="4441"/>
      <c r="AN103" s="4441"/>
      <c r="AO103" s="4441"/>
      <c r="AP103" s="4441"/>
      <c r="AQ103" s="4441"/>
      <c r="AR103" s="4441"/>
      <c r="AS103" s="4441"/>
      <c r="AT103" s="4441"/>
      <c r="AU103" s="4441"/>
      <c r="AV103" s="4441"/>
      <c r="AW103" s="4441"/>
      <c r="AX103" s="4441"/>
      <c r="AY103" s="4441"/>
      <c r="AZ103" s="4441"/>
      <c r="BA103" s="4441"/>
      <c r="BB103" s="4441"/>
      <c r="BC103" s="4441"/>
      <c r="BD103" s="4441"/>
      <c r="BE103" s="4441"/>
      <c r="BF103" s="4441"/>
      <c r="BG103" s="4441"/>
      <c r="BH103" s="4441"/>
      <c r="BI103" s="4310"/>
      <c r="BJ103" s="3983"/>
      <c r="BK103" s="4447"/>
      <c r="BL103" s="4447"/>
      <c r="BM103" s="3933"/>
      <c r="BN103" s="3983"/>
      <c r="BO103" s="3983"/>
      <c r="BP103" s="3983"/>
      <c r="BQ103" s="3094"/>
      <c r="BR103" s="3094"/>
      <c r="BS103" s="3094"/>
      <c r="BT103" s="3094"/>
      <c r="BU103" s="3983"/>
    </row>
    <row r="104" spans="1:73" ht="36" customHeight="1" x14ac:dyDescent="0.25">
      <c r="A104" s="2909"/>
      <c r="B104" s="2910"/>
      <c r="C104" s="279"/>
      <c r="D104" s="280"/>
      <c r="E104" s="4373"/>
      <c r="F104" s="4373"/>
      <c r="G104" s="2716"/>
      <c r="H104" s="2543"/>
      <c r="I104" s="2546"/>
      <c r="J104" s="2543"/>
      <c r="K104" s="2546"/>
      <c r="L104" s="2543"/>
      <c r="M104" s="2546"/>
      <c r="N104" s="2543"/>
      <c r="O104" s="2546"/>
      <c r="P104" s="2546"/>
      <c r="Q104" s="2546"/>
      <c r="R104" s="2543"/>
      <c r="S104" s="4444"/>
      <c r="T104" s="4442"/>
      <c r="U104" s="2930"/>
      <c r="V104" s="2936"/>
      <c r="W104" s="2930"/>
      <c r="X104" s="390">
        <v>138449.37</v>
      </c>
      <c r="Y104" s="1044">
        <f>+X104</f>
        <v>138449.37</v>
      </c>
      <c r="Z104" s="995">
        <v>138449.37</v>
      </c>
      <c r="AA104" s="271" t="s">
        <v>1459</v>
      </c>
      <c r="AB104" s="1043">
        <v>202</v>
      </c>
      <c r="AC104" s="1042" t="s">
        <v>1460</v>
      </c>
      <c r="AD104" s="4441"/>
      <c r="AE104" s="4441"/>
      <c r="AF104" s="4441"/>
      <c r="AG104" s="4441"/>
      <c r="AH104" s="4441"/>
      <c r="AI104" s="4441"/>
      <c r="AJ104" s="4441"/>
      <c r="AK104" s="4441"/>
      <c r="AL104" s="4441"/>
      <c r="AM104" s="4441"/>
      <c r="AN104" s="4441"/>
      <c r="AO104" s="4441"/>
      <c r="AP104" s="4441"/>
      <c r="AQ104" s="4441"/>
      <c r="AR104" s="4441"/>
      <c r="AS104" s="4441"/>
      <c r="AT104" s="4441"/>
      <c r="AU104" s="4441"/>
      <c r="AV104" s="4441"/>
      <c r="AW104" s="4441"/>
      <c r="AX104" s="4441"/>
      <c r="AY104" s="4441"/>
      <c r="AZ104" s="4441"/>
      <c r="BA104" s="4441"/>
      <c r="BB104" s="4441"/>
      <c r="BC104" s="4441"/>
      <c r="BD104" s="4441"/>
      <c r="BE104" s="4441"/>
      <c r="BF104" s="4441"/>
      <c r="BG104" s="4441"/>
      <c r="BH104" s="4441"/>
      <c r="BI104" s="4310"/>
      <c r="BJ104" s="3983"/>
      <c r="BK104" s="4447"/>
      <c r="BL104" s="4447"/>
      <c r="BM104" s="3933"/>
      <c r="BN104" s="3983"/>
      <c r="BO104" s="3983"/>
      <c r="BP104" s="3983"/>
      <c r="BQ104" s="3094"/>
      <c r="BR104" s="3094"/>
      <c r="BS104" s="3094"/>
      <c r="BT104" s="3094"/>
      <c r="BU104" s="3983"/>
    </row>
    <row r="105" spans="1:73" ht="36" customHeight="1" x14ac:dyDescent="0.25">
      <c r="A105" s="2909"/>
      <c r="B105" s="2910"/>
      <c r="C105" s="279"/>
      <c r="D105" s="280"/>
      <c r="E105" s="4373"/>
      <c r="F105" s="4373"/>
      <c r="G105" s="2716"/>
      <c r="H105" s="2543"/>
      <c r="I105" s="2546"/>
      <c r="J105" s="2543"/>
      <c r="K105" s="2546"/>
      <c r="L105" s="2543"/>
      <c r="M105" s="2546"/>
      <c r="N105" s="2543"/>
      <c r="O105" s="2546"/>
      <c r="P105" s="2546"/>
      <c r="Q105" s="2546"/>
      <c r="R105" s="2543"/>
      <c r="S105" s="4444"/>
      <c r="T105" s="4442"/>
      <c r="U105" s="2930"/>
      <c r="V105" s="2936"/>
      <c r="W105" s="2930"/>
      <c r="X105" s="390">
        <v>352625342.08999997</v>
      </c>
      <c r="Y105" s="1040">
        <v>223382158.83999997</v>
      </c>
      <c r="Z105" s="347">
        <v>223382158.83999997</v>
      </c>
      <c r="AA105" s="271" t="s">
        <v>1461</v>
      </c>
      <c r="AB105" s="1041">
        <v>6</v>
      </c>
      <c r="AC105" s="1042" t="s">
        <v>1456</v>
      </c>
      <c r="AD105" s="4441"/>
      <c r="AE105" s="4441"/>
      <c r="AF105" s="4441"/>
      <c r="AG105" s="4441"/>
      <c r="AH105" s="4441"/>
      <c r="AI105" s="4441"/>
      <c r="AJ105" s="4441"/>
      <c r="AK105" s="4441"/>
      <c r="AL105" s="4441"/>
      <c r="AM105" s="4441"/>
      <c r="AN105" s="4441"/>
      <c r="AO105" s="4441"/>
      <c r="AP105" s="4441"/>
      <c r="AQ105" s="4441"/>
      <c r="AR105" s="4441"/>
      <c r="AS105" s="4441"/>
      <c r="AT105" s="4441"/>
      <c r="AU105" s="4441"/>
      <c r="AV105" s="4441"/>
      <c r="AW105" s="4441"/>
      <c r="AX105" s="4441"/>
      <c r="AY105" s="4441"/>
      <c r="AZ105" s="4441"/>
      <c r="BA105" s="4441"/>
      <c r="BB105" s="4441"/>
      <c r="BC105" s="4441"/>
      <c r="BD105" s="4441"/>
      <c r="BE105" s="4441"/>
      <c r="BF105" s="4441"/>
      <c r="BG105" s="4441"/>
      <c r="BH105" s="4441"/>
      <c r="BI105" s="4310"/>
      <c r="BJ105" s="3983"/>
      <c r="BK105" s="4447"/>
      <c r="BL105" s="4447"/>
      <c r="BM105" s="3933"/>
      <c r="BN105" s="3983"/>
      <c r="BO105" s="3983"/>
      <c r="BP105" s="3983"/>
      <c r="BQ105" s="3094"/>
      <c r="BR105" s="3094"/>
      <c r="BS105" s="3094"/>
      <c r="BT105" s="3094"/>
      <c r="BU105" s="3983"/>
    </row>
    <row r="106" spans="1:73" ht="36" customHeight="1" x14ac:dyDescent="0.25">
      <c r="A106" s="2909"/>
      <c r="B106" s="2910"/>
      <c r="C106" s="279"/>
      <c r="D106" s="280"/>
      <c r="E106" s="4373"/>
      <c r="F106" s="4373"/>
      <c r="G106" s="2716"/>
      <c r="H106" s="2543"/>
      <c r="I106" s="2546"/>
      <c r="J106" s="2543"/>
      <c r="K106" s="2546"/>
      <c r="L106" s="2543"/>
      <c r="M106" s="2546"/>
      <c r="N106" s="2543"/>
      <c r="O106" s="2546"/>
      <c r="P106" s="2546"/>
      <c r="Q106" s="2546"/>
      <c r="R106" s="2543"/>
      <c r="S106" s="4444"/>
      <c r="T106" s="4442"/>
      <c r="U106" s="2930"/>
      <c r="V106" s="2936"/>
      <c r="W106" s="2930"/>
      <c r="X106" s="390">
        <v>55552185.780000031</v>
      </c>
      <c r="Y106" s="1040">
        <v>55552185.780000001</v>
      </c>
      <c r="Z106" s="347">
        <v>55552185.780000001</v>
      </c>
      <c r="AA106" s="271" t="s">
        <v>1462</v>
      </c>
      <c r="AB106" s="1043">
        <v>84</v>
      </c>
      <c r="AC106" s="1042" t="s">
        <v>1458</v>
      </c>
      <c r="AD106" s="4441"/>
      <c r="AE106" s="4441"/>
      <c r="AF106" s="4441"/>
      <c r="AG106" s="4441"/>
      <c r="AH106" s="4441"/>
      <c r="AI106" s="4441"/>
      <c r="AJ106" s="4441"/>
      <c r="AK106" s="4441"/>
      <c r="AL106" s="4441"/>
      <c r="AM106" s="4441"/>
      <c r="AN106" s="4441"/>
      <c r="AO106" s="4441"/>
      <c r="AP106" s="4441"/>
      <c r="AQ106" s="4441"/>
      <c r="AR106" s="4441"/>
      <c r="AS106" s="4441"/>
      <c r="AT106" s="4441"/>
      <c r="AU106" s="4441"/>
      <c r="AV106" s="4441"/>
      <c r="AW106" s="4441"/>
      <c r="AX106" s="4441"/>
      <c r="AY106" s="4441"/>
      <c r="AZ106" s="4441"/>
      <c r="BA106" s="4441"/>
      <c r="BB106" s="4441"/>
      <c r="BC106" s="4441"/>
      <c r="BD106" s="4441"/>
      <c r="BE106" s="4441"/>
      <c r="BF106" s="4441"/>
      <c r="BG106" s="4441"/>
      <c r="BH106" s="4441"/>
      <c r="BI106" s="4310"/>
      <c r="BJ106" s="3983"/>
      <c r="BK106" s="4447"/>
      <c r="BL106" s="4447"/>
      <c r="BM106" s="3933"/>
      <c r="BN106" s="3983"/>
      <c r="BO106" s="3983"/>
      <c r="BP106" s="3983"/>
      <c r="BQ106" s="3094"/>
      <c r="BR106" s="3094"/>
      <c r="BS106" s="3094"/>
      <c r="BT106" s="3094"/>
      <c r="BU106" s="3983"/>
    </row>
    <row r="107" spans="1:73" ht="36" customHeight="1" x14ac:dyDescent="0.25">
      <c r="A107" s="2909"/>
      <c r="B107" s="2910"/>
      <c r="C107" s="279"/>
      <c r="D107" s="280"/>
      <c r="E107" s="4373"/>
      <c r="F107" s="4373"/>
      <c r="G107" s="2716"/>
      <c r="H107" s="2543"/>
      <c r="I107" s="2546"/>
      <c r="J107" s="2543"/>
      <c r="K107" s="2546"/>
      <c r="L107" s="2543"/>
      <c r="M107" s="2546"/>
      <c r="N107" s="2543"/>
      <c r="O107" s="2546"/>
      <c r="P107" s="2546"/>
      <c r="Q107" s="2546"/>
      <c r="R107" s="2543"/>
      <c r="S107" s="4444"/>
      <c r="T107" s="4442"/>
      <c r="U107" s="2930"/>
      <c r="V107" s="2936"/>
      <c r="W107" s="2930"/>
      <c r="X107" s="390">
        <v>813390.06</v>
      </c>
      <c r="Y107" s="1044">
        <f>+X107</f>
        <v>813390.06</v>
      </c>
      <c r="Z107" s="995">
        <v>813390.06</v>
      </c>
      <c r="AA107" s="271" t="s">
        <v>1463</v>
      </c>
      <c r="AB107" s="1043">
        <v>202</v>
      </c>
      <c r="AC107" s="1042" t="s">
        <v>1460</v>
      </c>
      <c r="AD107" s="4441"/>
      <c r="AE107" s="4441"/>
      <c r="AF107" s="4441"/>
      <c r="AG107" s="4441"/>
      <c r="AH107" s="4441"/>
      <c r="AI107" s="4441"/>
      <c r="AJ107" s="4441"/>
      <c r="AK107" s="4441"/>
      <c r="AL107" s="4441"/>
      <c r="AM107" s="4441"/>
      <c r="AN107" s="4441"/>
      <c r="AO107" s="4441"/>
      <c r="AP107" s="4441"/>
      <c r="AQ107" s="4441"/>
      <c r="AR107" s="4441"/>
      <c r="AS107" s="4441"/>
      <c r="AT107" s="4441"/>
      <c r="AU107" s="4441"/>
      <c r="AV107" s="4441"/>
      <c r="AW107" s="4441"/>
      <c r="AX107" s="4441"/>
      <c r="AY107" s="4441"/>
      <c r="AZ107" s="4441"/>
      <c r="BA107" s="4441"/>
      <c r="BB107" s="4441"/>
      <c r="BC107" s="4441"/>
      <c r="BD107" s="4441"/>
      <c r="BE107" s="4441"/>
      <c r="BF107" s="4441"/>
      <c r="BG107" s="4441"/>
      <c r="BH107" s="4441"/>
      <c r="BI107" s="4310"/>
      <c r="BJ107" s="3983"/>
      <c r="BK107" s="4447"/>
      <c r="BL107" s="4447"/>
      <c r="BM107" s="3933"/>
      <c r="BN107" s="3983"/>
      <c r="BO107" s="3983"/>
      <c r="BP107" s="3983"/>
      <c r="BQ107" s="3094"/>
      <c r="BR107" s="3094"/>
      <c r="BS107" s="3094"/>
      <c r="BT107" s="3094"/>
      <c r="BU107" s="3983"/>
    </row>
    <row r="108" spans="1:73" ht="36" customHeight="1" x14ac:dyDescent="0.25">
      <c r="A108" s="2909"/>
      <c r="B108" s="2910"/>
      <c r="C108" s="279"/>
      <c r="D108" s="280"/>
      <c r="E108" s="4373"/>
      <c r="F108" s="4373"/>
      <c r="G108" s="2716"/>
      <c r="H108" s="2543"/>
      <c r="I108" s="2546"/>
      <c r="J108" s="2543"/>
      <c r="K108" s="2546"/>
      <c r="L108" s="2543"/>
      <c r="M108" s="2546"/>
      <c r="N108" s="2543"/>
      <c r="O108" s="2546"/>
      <c r="P108" s="2546"/>
      <c r="Q108" s="2546"/>
      <c r="R108" s="2543"/>
      <c r="S108" s="4444"/>
      <c r="T108" s="4442"/>
      <c r="U108" s="2930"/>
      <c r="V108" s="2936"/>
      <c r="W108" s="2930"/>
      <c r="X108" s="390">
        <v>28690491.449999999</v>
      </c>
      <c r="Y108" s="1040">
        <v>18783852.940000001</v>
      </c>
      <c r="Z108" s="347">
        <v>18783852.940000001</v>
      </c>
      <c r="AA108" s="271" t="s">
        <v>1464</v>
      </c>
      <c r="AB108" s="1041">
        <v>6</v>
      </c>
      <c r="AC108" s="1042" t="s">
        <v>1456</v>
      </c>
      <c r="AD108" s="4441"/>
      <c r="AE108" s="4441"/>
      <c r="AF108" s="4441"/>
      <c r="AG108" s="4441"/>
      <c r="AH108" s="4441"/>
      <c r="AI108" s="4441"/>
      <c r="AJ108" s="4441"/>
      <c r="AK108" s="4441"/>
      <c r="AL108" s="4441"/>
      <c r="AM108" s="4441"/>
      <c r="AN108" s="4441"/>
      <c r="AO108" s="4441"/>
      <c r="AP108" s="4441"/>
      <c r="AQ108" s="4441"/>
      <c r="AR108" s="4441"/>
      <c r="AS108" s="4441"/>
      <c r="AT108" s="4441"/>
      <c r="AU108" s="4441"/>
      <c r="AV108" s="4441"/>
      <c r="AW108" s="4441"/>
      <c r="AX108" s="4441"/>
      <c r="AY108" s="4441"/>
      <c r="AZ108" s="4441"/>
      <c r="BA108" s="4441"/>
      <c r="BB108" s="4441"/>
      <c r="BC108" s="4441"/>
      <c r="BD108" s="4441"/>
      <c r="BE108" s="4441"/>
      <c r="BF108" s="4441"/>
      <c r="BG108" s="4441"/>
      <c r="BH108" s="4441"/>
      <c r="BI108" s="4310"/>
      <c r="BJ108" s="3983"/>
      <c r="BK108" s="4447"/>
      <c r="BL108" s="4447"/>
      <c r="BM108" s="3933"/>
      <c r="BN108" s="3983"/>
      <c r="BO108" s="3983"/>
      <c r="BP108" s="3983"/>
      <c r="BQ108" s="3094"/>
      <c r="BR108" s="3094"/>
      <c r="BS108" s="3094"/>
      <c r="BT108" s="3094"/>
      <c r="BU108" s="3983"/>
    </row>
    <row r="109" spans="1:73" ht="36" customHeight="1" x14ac:dyDescent="0.25">
      <c r="A109" s="2909"/>
      <c r="B109" s="2910"/>
      <c r="C109" s="279"/>
      <c r="D109" s="280"/>
      <c r="E109" s="4373"/>
      <c r="F109" s="4373"/>
      <c r="G109" s="2716"/>
      <c r="H109" s="2543"/>
      <c r="I109" s="2546"/>
      <c r="J109" s="2543"/>
      <c r="K109" s="2546"/>
      <c r="L109" s="2543"/>
      <c r="M109" s="2546"/>
      <c r="N109" s="2543"/>
      <c r="O109" s="2546"/>
      <c r="P109" s="2546"/>
      <c r="Q109" s="2546"/>
      <c r="R109" s="2543"/>
      <c r="S109" s="4444"/>
      <c r="T109" s="4442"/>
      <c r="U109" s="2930"/>
      <c r="V109" s="2936"/>
      <c r="W109" s="2930"/>
      <c r="X109" s="390">
        <v>4422064.5399999991</v>
      </c>
      <c r="Y109" s="1040">
        <v>4422064.54</v>
      </c>
      <c r="Z109" s="347">
        <v>4422064.54</v>
      </c>
      <c r="AA109" s="271" t="s">
        <v>1465</v>
      </c>
      <c r="AB109" s="1043">
        <v>84</v>
      </c>
      <c r="AC109" s="1042" t="s">
        <v>1458</v>
      </c>
      <c r="AD109" s="4441"/>
      <c r="AE109" s="4441"/>
      <c r="AF109" s="4441"/>
      <c r="AG109" s="4441"/>
      <c r="AH109" s="4441"/>
      <c r="AI109" s="4441"/>
      <c r="AJ109" s="4441"/>
      <c r="AK109" s="4441"/>
      <c r="AL109" s="4441"/>
      <c r="AM109" s="4441"/>
      <c r="AN109" s="4441"/>
      <c r="AO109" s="4441"/>
      <c r="AP109" s="4441"/>
      <c r="AQ109" s="4441"/>
      <c r="AR109" s="4441"/>
      <c r="AS109" s="4441"/>
      <c r="AT109" s="4441"/>
      <c r="AU109" s="4441"/>
      <c r="AV109" s="4441"/>
      <c r="AW109" s="4441"/>
      <c r="AX109" s="4441"/>
      <c r="AY109" s="4441"/>
      <c r="AZ109" s="4441"/>
      <c r="BA109" s="4441"/>
      <c r="BB109" s="4441"/>
      <c r="BC109" s="4441"/>
      <c r="BD109" s="4441"/>
      <c r="BE109" s="4441"/>
      <c r="BF109" s="4441"/>
      <c r="BG109" s="4441"/>
      <c r="BH109" s="4441"/>
      <c r="BI109" s="4310"/>
      <c r="BJ109" s="3983"/>
      <c r="BK109" s="4447"/>
      <c r="BL109" s="4447"/>
      <c r="BM109" s="3933"/>
      <c r="BN109" s="3983"/>
      <c r="BO109" s="3983"/>
      <c r="BP109" s="3983"/>
      <c r="BQ109" s="3094"/>
      <c r="BR109" s="3094"/>
      <c r="BS109" s="3094"/>
      <c r="BT109" s="3094"/>
      <c r="BU109" s="3983"/>
    </row>
    <row r="110" spans="1:73" ht="36" customHeight="1" x14ac:dyDescent="0.25">
      <c r="A110" s="2909"/>
      <c r="B110" s="2910"/>
      <c r="C110" s="279"/>
      <c r="D110" s="280"/>
      <c r="E110" s="4373"/>
      <c r="F110" s="4373"/>
      <c r="G110" s="2716"/>
      <c r="H110" s="2543"/>
      <c r="I110" s="2546"/>
      <c r="J110" s="2543"/>
      <c r="K110" s="2546"/>
      <c r="L110" s="2543"/>
      <c r="M110" s="2546"/>
      <c r="N110" s="2543"/>
      <c r="O110" s="2546"/>
      <c r="P110" s="2546"/>
      <c r="Q110" s="2546"/>
      <c r="R110" s="2543"/>
      <c r="S110" s="4444"/>
      <c r="T110" s="4442"/>
      <c r="U110" s="2930"/>
      <c r="V110" s="2936"/>
      <c r="W110" s="2930"/>
      <c r="X110" s="390">
        <v>69224.69</v>
      </c>
      <c r="Y110" s="1044">
        <f>+X110</f>
        <v>69224.69</v>
      </c>
      <c r="Z110" s="995">
        <v>69224.69</v>
      </c>
      <c r="AA110" s="271" t="s">
        <v>1466</v>
      </c>
      <c r="AB110" s="1043">
        <v>202</v>
      </c>
      <c r="AC110" s="1042" t="s">
        <v>1460</v>
      </c>
      <c r="AD110" s="4441"/>
      <c r="AE110" s="4441"/>
      <c r="AF110" s="4441"/>
      <c r="AG110" s="4441"/>
      <c r="AH110" s="4441"/>
      <c r="AI110" s="4441"/>
      <c r="AJ110" s="4441"/>
      <c r="AK110" s="4441"/>
      <c r="AL110" s="4441"/>
      <c r="AM110" s="4441"/>
      <c r="AN110" s="4441"/>
      <c r="AO110" s="4441"/>
      <c r="AP110" s="4441"/>
      <c r="AQ110" s="4441"/>
      <c r="AR110" s="4441"/>
      <c r="AS110" s="4441"/>
      <c r="AT110" s="4441"/>
      <c r="AU110" s="4441"/>
      <c r="AV110" s="4441"/>
      <c r="AW110" s="4441"/>
      <c r="AX110" s="4441"/>
      <c r="AY110" s="4441"/>
      <c r="AZ110" s="4441"/>
      <c r="BA110" s="4441"/>
      <c r="BB110" s="4441"/>
      <c r="BC110" s="4441"/>
      <c r="BD110" s="4441"/>
      <c r="BE110" s="4441"/>
      <c r="BF110" s="4441"/>
      <c r="BG110" s="4441"/>
      <c r="BH110" s="4441"/>
      <c r="BI110" s="4310"/>
      <c r="BJ110" s="3983"/>
      <c r="BK110" s="4447"/>
      <c r="BL110" s="4447"/>
      <c r="BM110" s="3933"/>
      <c r="BN110" s="3983"/>
      <c r="BO110" s="3983"/>
      <c r="BP110" s="3983"/>
      <c r="BQ110" s="3094"/>
      <c r="BR110" s="3094"/>
      <c r="BS110" s="3094"/>
      <c r="BT110" s="3094"/>
      <c r="BU110" s="3983"/>
    </row>
    <row r="111" spans="1:73" ht="36" customHeight="1" x14ac:dyDescent="0.25">
      <c r="A111" s="2909"/>
      <c r="B111" s="2910"/>
      <c r="C111" s="279"/>
      <c r="D111" s="280"/>
      <c r="E111" s="4373"/>
      <c r="F111" s="4373"/>
      <c r="G111" s="2716"/>
      <c r="H111" s="2543"/>
      <c r="I111" s="2546"/>
      <c r="J111" s="2543"/>
      <c r="K111" s="2546"/>
      <c r="L111" s="2543"/>
      <c r="M111" s="2546"/>
      <c r="N111" s="2543"/>
      <c r="O111" s="2546"/>
      <c r="P111" s="2546"/>
      <c r="Q111" s="2546"/>
      <c r="R111" s="2543"/>
      <c r="S111" s="4444"/>
      <c r="T111" s="4442"/>
      <c r="U111" s="2930"/>
      <c r="V111" s="2936"/>
      <c r="W111" s="2930"/>
      <c r="X111" s="390">
        <v>75779173.569999993</v>
      </c>
      <c r="Y111" s="1040">
        <v>44879403.209999993</v>
      </c>
      <c r="Z111" s="347">
        <v>44879403.209999993</v>
      </c>
      <c r="AA111" s="271" t="s">
        <v>1467</v>
      </c>
      <c r="AB111" s="1041">
        <v>6</v>
      </c>
      <c r="AC111" s="1042" t="s">
        <v>1456</v>
      </c>
      <c r="AD111" s="4441"/>
      <c r="AE111" s="4441"/>
      <c r="AF111" s="4441"/>
      <c r="AG111" s="4441"/>
      <c r="AH111" s="4441"/>
      <c r="AI111" s="4441"/>
      <c r="AJ111" s="4441"/>
      <c r="AK111" s="4441"/>
      <c r="AL111" s="4441"/>
      <c r="AM111" s="4441"/>
      <c r="AN111" s="4441"/>
      <c r="AO111" s="4441"/>
      <c r="AP111" s="4441"/>
      <c r="AQ111" s="4441"/>
      <c r="AR111" s="4441"/>
      <c r="AS111" s="4441"/>
      <c r="AT111" s="4441"/>
      <c r="AU111" s="4441"/>
      <c r="AV111" s="4441"/>
      <c r="AW111" s="4441"/>
      <c r="AX111" s="4441"/>
      <c r="AY111" s="4441"/>
      <c r="AZ111" s="4441"/>
      <c r="BA111" s="4441"/>
      <c r="BB111" s="4441"/>
      <c r="BC111" s="4441"/>
      <c r="BD111" s="4441"/>
      <c r="BE111" s="4441"/>
      <c r="BF111" s="4441"/>
      <c r="BG111" s="4441"/>
      <c r="BH111" s="4441"/>
      <c r="BI111" s="4310"/>
      <c r="BJ111" s="3983"/>
      <c r="BK111" s="4447"/>
      <c r="BL111" s="4447"/>
      <c r="BM111" s="3933"/>
      <c r="BN111" s="3983"/>
      <c r="BO111" s="3983"/>
      <c r="BP111" s="3983"/>
      <c r="BQ111" s="3094"/>
      <c r="BR111" s="3094"/>
      <c r="BS111" s="3094"/>
      <c r="BT111" s="3094"/>
      <c r="BU111" s="3983"/>
    </row>
    <row r="112" spans="1:73" ht="36" customHeight="1" x14ac:dyDescent="0.25">
      <c r="A112" s="2909"/>
      <c r="B112" s="2910"/>
      <c r="C112" s="279"/>
      <c r="D112" s="280"/>
      <c r="E112" s="4373"/>
      <c r="F112" s="4373"/>
      <c r="G112" s="2716"/>
      <c r="H112" s="2543"/>
      <c r="I112" s="2546"/>
      <c r="J112" s="2543"/>
      <c r="K112" s="2546"/>
      <c r="L112" s="2543"/>
      <c r="M112" s="2546"/>
      <c r="N112" s="2543"/>
      <c r="O112" s="2546"/>
      <c r="P112" s="2546"/>
      <c r="Q112" s="2546"/>
      <c r="R112" s="2543"/>
      <c r="S112" s="4444"/>
      <c r="T112" s="4442"/>
      <c r="U112" s="2930"/>
      <c r="V112" s="2936"/>
      <c r="W112" s="2930"/>
      <c r="X112" s="390">
        <v>11607919.420000002</v>
      </c>
      <c r="Y112" s="1040">
        <v>11607919.42</v>
      </c>
      <c r="Z112" s="347">
        <v>11607919.42</v>
      </c>
      <c r="AA112" s="271" t="s">
        <v>1468</v>
      </c>
      <c r="AB112" s="1043">
        <v>84</v>
      </c>
      <c r="AC112" s="1042" t="s">
        <v>1458</v>
      </c>
      <c r="AD112" s="4441"/>
      <c r="AE112" s="4441"/>
      <c r="AF112" s="4441"/>
      <c r="AG112" s="4441"/>
      <c r="AH112" s="4441"/>
      <c r="AI112" s="4441"/>
      <c r="AJ112" s="4441"/>
      <c r="AK112" s="4441"/>
      <c r="AL112" s="4441"/>
      <c r="AM112" s="4441"/>
      <c r="AN112" s="4441"/>
      <c r="AO112" s="4441"/>
      <c r="AP112" s="4441"/>
      <c r="AQ112" s="4441"/>
      <c r="AR112" s="4441"/>
      <c r="AS112" s="4441"/>
      <c r="AT112" s="4441"/>
      <c r="AU112" s="4441"/>
      <c r="AV112" s="4441"/>
      <c r="AW112" s="4441"/>
      <c r="AX112" s="4441"/>
      <c r="AY112" s="4441"/>
      <c r="AZ112" s="4441"/>
      <c r="BA112" s="4441"/>
      <c r="BB112" s="4441"/>
      <c r="BC112" s="4441"/>
      <c r="BD112" s="4441"/>
      <c r="BE112" s="4441"/>
      <c r="BF112" s="4441"/>
      <c r="BG112" s="4441"/>
      <c r="BH112" s="4441"/>
      <c r="BI112" s="4310"/>
      <c r="BJ112" s="3983"/>
      <c r="BK112" s="4447"/>
      <c r="BL112" s="4447"/>
      <c r="BM112" s="3933"/>
      <c r="BN112" s="3983"/>
      <c r="BO112" s="3983"/>
      <c r="BP112" s="3983"/>
      <c r="BQ112" s="3094"/>
      <c r="BR112" s="3094"/>
      <c r="BS112" s="3094"/>
      <c r="BT112" s="3094"/>
      <c r="BU112" s="3983"/>
    </row>
    <row r="113" spans="1:73" ht="36" customHeight="1" x14ac:dyDescent="0.25">
      <c r="A113" s="2909"/>
      <c r="B113" s="2910"/>
      <c r="C113" s="279"/>
      <c r="D113" s="280"/>
      <c r="E113" s="4373"/>
      <c r="F113" s="4373"/>
      <c r="G113" s="2716"/>
      <c r="H113" s="2543"/>
      <c r="I113" s="2546"/>
      <c r="J113" s="2543"/>
      <c r="K113" s="2546"/>
      <c r="L113" s="2543"/>
      <c r="M113" s="2546"/>
      <c r="N113" s="2543"/>
      <c r="O113" s="2546"/>
      <c r="P113" s="2546"/>
      <c r="Q113" s="2546"/>
      <c r="R113" s="2543"/>
      <c r="S113" s="4444"/>
      <c r="T113" s="4442"/>
      <c r="U113" s="2930"/>
      <c r="V113" s="2936"/>
      <c r="W113" s="2930"/>
      <c r="X113" s="390">
        <v>168735.17</v>
      </c>
      <c r="Y113" s="1044">
        <f>+X113</f>
        <v>168735.17</v>
      </c>
      <c r="Z113" s="995">
        <v>168735.17</v>
      </c>
      <c r="AA113" s="271" t="s">
        <v>1469</v>
      </c>
      <c r="AB113" s="1043">
        <v>202</v>
      </c>
      <c r="AC113" s="1042" t="s">
        <v>1460</v>
      </c>
      <c r="AD113" s="4441"/>
      <c r="AE113" s="4441"/>
      <c r="AF113" s="4441"/>
      <c r="AG113" s="4441"/>
      <c r="AH113" s="4441"/>
      <c r="AI113" s="4441"/>
      <c r="AJ113" s="4441"/>
      <c r="AK113" s="4441"/>
      <c r="AL113" s="4441"/>
      <c r="AM113" s="4441"/>
      <c r="AN113" s="4441"/>
      <c r="AO113" s="4441"/>
      <c r="AP113" s="4441"/>
      <c r="AQ113" s="4441"/>
      <c r="AR113" s="4441"/>
      <c r="AS113" s="4441"/>
      <c r="AT113" s="4441"/>
      <c r="AU113" s="4441"/>
      <c r="AV113" s="4441"/>
      <c r="AW113" s="4441"/>
      <c r="AX113" s="4441"/>
      <c r="AY113" s="4441"/>
      <c r="AZ113" s="4441"/>
      <c r="BA113" s="4441"/>
      <c r="BB113" s="4441"/>
      <c r="BC113" s="4441"/>
      <c r="BD113" s="4441"/>
      <c r="BE113" s="4441"/>
      <c r="BF113" s="4441"/>
      <c r="BG113" s="4441"/>
      <c r="BH113" s="4441"/>
      <c r="BI113" s="4310"/>
      <c r="BJ113" s="3983"/>
      <c r="BK113" s="4447"/>
      <c r="BL113" s="4447"/>
      <c r="BM113" s="3933"/>
      <c r="BN113" s="3983"/>
      <c r="BO113" s="3983"/>
      <c r="BP113" s="3983"/>
      <c r="BQ113" s="3094"/>
      <c r="BR113" s="3094"/>
      <c r="BS113" s="3094"/>
      <c r="BT113" s="3094"/>
      <c r="BU113" s="3983"/>
    </row>
    <row r="114" spans="1:73" ht="36" customHeight="1" x14ac:dyDescent="0.25">
      <c r="A114" s="2909"/>
      <c r="B114" s="2910"/>
      <c r="C114" s="279"/>
      <c r="D114" s="280"/>
      <c r="E114" s="4373"/>
      <c r="F114" s="4373"/>
      <c r="G114" s="2716"/>
      <c r="H114" s="2543"/>
      <c r="I114" s="2546"/>
      <c r="J114" s="2543"/>
      <c r="K114" s="2546"/>
      <c r="L114" s="2543"/>
      <c r="M114" s="2546"/>
      <c r="N114" s="2543"/>
      <c r="O114" s="2546"/>
      <c r="P114" s="2546"/>
      <c r="Q114" s="2546"/>
      <c r="R114" s="2543"/>
      <c r="S114" s="4444"/>
      <c r="T114" s="4442"/>
      <c r="U114" s="2930"/>
      <c r="V114" s="2936"/>
      <c r="W114" s="2930"/>
      <c r="X114" s="390">
        <v>23311024.300000001</v>
      </c>
      <c r="Y114" s="1040">
        <v>18783852.940000001</v>
      </c>
      <c r="Z114" s="347">
        <v>18783852.940000001</v>
      </c>
      <c r="AA114" s="271" t="s">
        <v>1470</v>
      </c>
      <c r="AB114" s="1041">
        <v>6</v>
      </c>
      <c r="AC114" s="1042" t="s">
        <v>1456</v>
      </c>
      <c r="AD114" s="4441"/>
      <c r="AE114" s="4441"/>
      <c r="AF114" s="4441"/>
      <c r="AG114" s="4441"/>
      <c r="AH114" s="4441"/>
      <c r="AI114" s="4441"/>
      <c r="AJ114" s="4441"/>
      <c r="AK114" s="4441"/>
      <c r="AL114" s="4441"/>
      <c r="AM114" s="4441"/>
      <c r="AN114" s="4441"/>
      <c r="AO114" s="4441"/>
      <c r="AP114" s="4441"/>
      <c r="AQ114" s="4441"/>
      <c r="AR114" s="4441"/>
      <c r="AS114" s="4441"/>
      <c r="AT114" s="4441"/>
      <c r="AU114" s="4441"/>
      <c r="AV114" s="4441"/>
      <c r="AW114" s="4441"/>
      <c r="AX114" s="4441"/>
      <c r="AY114" s="4441"/>
      <c r="AZ114" s="4441"/>
      <c r="BA114" s="4441"/>
      <c r="BB114" s="4441"/>
      <c r="BC114" s="4441"/>
      <c r="BD114" s="4441"/>
      <c r="BE114" s="4441"/>
      <c r="BF114" s="4441"/>
      <c r="BG114" s="4441"/>
      <c r="BH114" s="4441"/>
      <c r="BI114" s="4310"/>
      <c r="BJ114" s="3983"/>
      <c r="BK114" s="4447"/>
      <c r="BL114" s="4447"/>
      <c r="BM114" s="3933"/>
      <c r="BN114" s="3983"/>
      <c r="BO114" s="3983"/>
      <c r="BP114" s="3983"/>
      <c r="BQ114" s="3094"/>
      <c r="BR114" s="3094"/>
      <c r="BS114" s="3094"/>
      <c r="BT114" s="3094"/>
      <c r="BU114" s="3983"/>
    </row>
    <row r="115" spans="1:73" ht="36" customHeight="1" x14ac:dyDescent="0.25">
      <c r="A115" s="2909"/>
      <c r="B115" s="2910"/>
      <c r="C115" s="279"/>
      <c r="D115" s="280"/>
      <c r="E115" s="4373"/>
      <c r="F115" s="4373"/>
      <c r="G115" s="2716"/>
      <c r="H115" s="2543"/>
      <c r="I115" s="2546"/>
      <c r="J115" s="2543"/>
      <c r="K115" s="2546"/>
      <c r="L115" s="2543"/>
      <c r="M115" s="2546"/>
      <c r="N115" s="2543"/>
      <c r="O115" s="2546"/>
      <c r="P115" s="2546"/>
      <c r="Q115" s="2546"/>
      <c r="R115" s="2543"/>
      <c r="S115" s="4444"/>
      <c r="T115" s="4442"/>
      <c r="U115" s="2930"/>
      <c r="V115" s="2936"/>
      <c r="W115" s="2930"/>
      <c r="X115" s="390">
        <v>3592927.4400000013</v>
      </c>
      <c r="Y115" s="1040">
        <v>3592927.44</v>
      </c>
      <c r="Z115" s="347">
        <v>3592927.44</v>
      </c>
      <c r="AA115" s="271" t="s">
        <v>1471</v>
      </c>
      <c r="AB115" s="1043">
        <v>84</v>
      </c>
      <c r="AC115" s="1042" t="s">
        <v>1458</v>
      </c>
      <c r="AD115" s="4441"/>
      <c r="AE115" s="4441"/>
      <c r="AF115" s="4441"/>
      <c r="AG115" s="4441"/>
      <c r="AH115" s="4441"/>
      <c r="AI115" s="4441"/>
      <c r="AJ115" s="4441"/>
      <c r="AK115" s="4441"/>
      <c r="AL115" s="4441"/>
      <c r="AM115" s="4441"/>
      <c r="AN115" s="4441"/>
      <c r="AO115" s="4441"/>
      <c r="AP115" s="4441"/>
      <c r="AQ115" s="4441"/>
      <c r="AR115" s="4441"/>
      <c r="AS115" s="4441"/>
      <c r="AT115" s="4441"/>
      <c r="AU115" s="4441"/>
      <c r="AV115" s="4441"/>
      <c r="AW115" s="4441"/>
      <c r="AX115" s="4441"/>
      <c r="AY115" s="4441"/>
      <c r="AZ115" s="4441"/>
      <c r="BA115" s="4441"/>
      <c r="BB115" s="4441"/>
      <c r="BC115" s="4441"/>
      <c r="BD115" s="4441"/>
      <c r="BE115" s="4441"/>
      <c r="BF115" s="4441"/>
      <c r="BG115" s="4441"/>
      <c r="BH115" s="4441"/>
      <c r="BI115" s="4310"/>
      <c r="BJ115" s="3983"/>
      <c r="BK115" s="4447"/>
      <c r="BL115" s="4447"/>
      <c r="BM115" s="3933"/>
      <c r="BN115" s="3983"/>
      <c r="BO115" s="3983"/>
      <c r="BP115" s="3983"/>
      <c r="BQ115" s="3094"/>
      <c r="BR115" s="3094"/>
      <c r="BS115" s="3094"/>
      <c r="BT115" s="3094"/>
      <c r="BU115" s="3983"/>
    </row>
    <row r="116" spans="1:73" ht="36" customHeight="1" x14ac:dyDescent="0.25">
      <c r="A116" s="2909"/>
      <c r="B116" s="2910"/>
      <c r="C116" s="279"/>
      <c r="D116" s="280"/>
      <c r="E116" s="4373"/>
      <c r="F116" s="4373"/>
      <c r="G116" s="2716"/>
      <c r="H116" s="2543"/>
      <c r="I116" s="2546"/>
      <c r="J116" s="2543"/>
      <c r="K116" s="2546"/>
      <c r="L116" s="2543"/>
      <c r="M116" s="2546"/>
      <c r="N116" s="2543"/>
      <c r="O116" s="2546"/>
      <c r="P116" s="2546"/>
      <c r="Q116" s="2546"/>
      <c r="R116" s="2543"/>
      <c r="S116" s="4444"/>
      <c r="T116" s="4442"/>
      <c r="U116" s="2930"/>
      <c r="V116" s="2936"/>
      <c r="W116" s="2930"/>
      <c r="X116" s="390">
        <v>69224.69</v>
      </c>
      <c r="Y116" s="1044">
        <f>+X116</f>
        <v>69224.69</v>
      </c>
      <c r="Z116" s="995">
        <v>69224.69</v>
      </c>
      <c r="AA116" s="271" t="s">
        <v>1472</v>
      </c>
      <c r="AB116" s="1043">
        <v>202</v>
      </c>
      <c r="AC116" s="1042" t="s">
        <v>1460</v>
      </c>
      <c r="AD116" s="4441"/>
      <c r="AE116" s="4441"/>
      <c r="AF116" s="4441"/>
      <c r="AG116" s="4441"/>
      <c r="AH116" s="4441"/>
      <c r="AI116" s="4441"/>
      <c r="AJ116" s="4441"/>
      <c r="AK116" s="4441"/>
      <c r="AL116" s="4441"/>
      <c r="AM116" s="4441"/>
      <c r="AN116" s="4441"/>
      <c r="AO116" s="4441"/>
      <c r="AP116" s="4441"/>
      <c r="AQ116" s="4441"/>
      <c r="AR116" s="4441"/>
      <c r="AS116" s="4441"/>
      <c r="AT116" s="4441"/>
      <c r="AU116" s="4441"/>
      <c r="AV116" s="4441"/>
      <c r="AW116" s="4441"/>
      <c r="AX116" s="4441"/>
      <c r="AY116" s="4441"/>
      <c r="AZ116" s="4441"/>
      <c r="BA116" s="4441"/>
      <c r="BB116" s="4441"/>
      <c r="BC116" s="4441"/>
      <c r="BD116" s="4441"/>
      <c r="BE116" s="4441"/>
      <c r="BF116" s="4441"/>
      <c r="BG116" s="4441"/>
      <c r="BH116" s="4441"/>
      <c r="BI116" s="4310"/>
      <c r="BJ116" s="3983"/>
      <c r="BK116" s="4447"/>
      <c r="BL116" s="4447"/>
      <c r="BM116" s="3933"/>
      <c r="BN116" s="3983"/>
      <c r="BO116" s="3983"/>
      <c r="BP116" s="3983"/>
      <c r="BQ116" s="3094"/>
      <c r="BR116" s="3094"/>
      <c r="BS116" s="3094"/>
      <c r="BT116" s="3094"/>
      <c r="BU116" s="3983"/>
    </row>
    <row r="117" spans="1:73" ht="36" customHeight="1" x14ac:dyDescent="0.25">
      <c r="A117" s="2909"/>
      <c r="B117" s="2910"/>
      <c r="C117" s="279"/>
      <c r="D117" s="280"/>
      <c r="E117" s="4373"/>
      <c r="F117" s="4373"/>
      <c r="G117" s="2716"/>
      <c r="H117" s="2543"/>
      <c r="I117" s="2546"/>
      <c r="J117" s="2543"/>
      <c r="K117" s="2546"/>
      <c r="L117" s="2543"/>
      <c r="M117" s="2546"/>
      <c r="N117" s="2543"/>
      <c r="O117" s="2546"/>
      <c r="P117" s="2546"/>
      <c r="Q117" s="2546"/>
      <c r="R117" s="2543"/>
      <c r="S117" s="4444"/>
      <c r="T117" s="4442"/>
      <c r="U117" s="2930"/>
      <c r="V117" s="2936"/>
      <c r="W117" s="2930"/>
      <c r="X117" s="390">
        <v>162290857.18000001</v>
      </c>
      <c r="Y117" s="1040">
        <v>108007154.39</v>
      </c>
      <c r="Z117" s="347">
        <v>108007154.39</v>
      </c>
      <c r="AA117" s="271" t="s">
        <v>1473</v>
      </c>
      <c r="AB117" s="1041">
        <v>6</v>
      </c>
      <c r="AC117" s="1042" t="s">
        <v>1456</v>
      </c>
      <c r="AD117" s="4441"/>
      <c r="AE117" s="4441"/>
      <c r="AF117" s="4441"/>
      <c r="AG117" s="4441"/>
      <c r="AH117" s="4441"/>
      <c r="AI117" s="4441"/>
      <c r="AJ117" s="4441"/>
      <c r="AK117" s="4441"/>
      <c r="AL117" s="4441"/>
      <c r="AM117" s="4441"/>
      <c r="AN117" s="4441"/>
      <c r="AO117" s="4441"/>
      <c r="AP117" s="4441"/>
      <c r="AQ117" s="4441"/>
      <c r="AR117" s="4441"/>
      <c r="AS117" s="4441"/>
      <c r="AT117" s="4441"/>
      <c r="AU117" s="4441"/>
      <c r="AV117" s="4441"/>
      <c r="AW117" s="4441"/>
      <c r="AX117" s="4441"/>
      <c r="AY117" s="4441"/>
      <c r="AZ117" s="4441"/>
      <c r="BA117" s="4441"/>
      <c r="BB117" s="4441"/>
      <c r="BC117" s="4441"/>
      <c r="BD117" s="4441"/>
      <c r="BE117" s="4441"/>
      <c r="BF117" s="4441"/>
      <c r="BG117" s="4441"/>
      <c r="BH117" s="4441"/>
      <c r="BI117" s="4310"/>
      <c r="BJ117" s="3983"/>
      <c r="BK117" s="4447"/>
      <c r="BL117" s="4447"/>
      <c r="BM117" s="3933"/>
      <c r="BN117" s="3983"/>
      <c r="BO117" s="3983"/>
      <c r="BP117" s="3983"/>
      <c r="BQ117" s="3094"/>
      <c r="BR117" s="3094"/>
      <c r="BS117" s="3094"/>
      <c r="BT117" s="3094"/>
      <c r="BU117" s="3983"/>
    </row>
    <row r="118" spans="1:73" ht="36" customHeight="1" x14ac:dyDescent="0.25">
      <c r="A118" s="2909"/>
      <c r="B118" s="2910"/>
      <c r="C118" s="279"/>
      <c r="D118" s="280"/>
      <c r="E118" s="4373"/>
      <c r="F118" s="4373"/>
      <c r="G118" s="2716"/>
      <c r="H118" s="2543"/>
      <c r="I118" s="2546"/>
      <c r="J118" s="2543"/>
      <c r="K118" s="2546"/>
      <c r="L118" s="2543"/>
      <c r="M118" s="2546"/>
      <c r="N118" s="2543"/>
      <c r="O118" s="2546"/>
      <c r="P118" s="2546"/>
      <c r="Q118" s="2546"/>
      <c r="R118" s="2543"/>
      <c r="S118" s="4444"/>
      <c r="T118" s="4442"/>
      <c r="U118" s="2930"/>
      <c r="V118" s="2936"/>
      <c r="W118" s="2930"/>
      <c r="X118" s="390">
        <v>24874113.039999992</v>
      </c>
      <c r="Y118" s="1040">
        <v>24874113.039999999</v>
      </c>
      <c r="Z118" s="347">
        <v>24874113.039999999</v>
      </c>
      <c r="AA118" s="271" t="s">
        <v>1474</v>
      </c>
      <c r="AB118" s="1043">
        <v>84</v>
      </c>
      <c r="AC118" s="1042" t="s">
        <v>1458</v>
      </c>
      <c r="AD118" s="4441"/>
      <c r="AE118" s="4441"/>
      <c r="AF118" s="4441"/>
      <c r="AG118" s="4441"/>
      <c r="AH118" s="4441"/>
      <c r="AI118" s="4441"/>
      <c r="AJ118" s="4441"/>
      <c r="AK118" s="4441"/>
      <c r="AL118" s="4441"/>
      <c r="AM118" s="4441"/>
      <c r="AN118" s="4441"/>
      <c r="AO118" s="4441"/>
      <c r="AP118" s="4441"/>
      <c r="AQ118" s="4441"/>
      <c r="AR118" s="4441"/>
      <c r="AS118" s="4441"/>
      <c r="AT118" s="4441"/>
      <c r="AU118" s="4441"/>
      <c r="AV118" s="4441"/>
      <c r="AW118" s="4441"/>
      <c r="AX118" s="4441"/>
      <c r="AY118" s="4441"/>
      <c r="AZ118" s="4441"/>
      <c r="BA118" s="4441"/>
      <c r="BB118" s="4441"/>
      <c r="BC118" s="4441"/>
      <c r="BD118" s="4441"/>
      <c r="BE118" s="4441"/>
      <c r="BF118" s="4441"/>
      <c r="BG118" s="4441"/>
      <c r="BH118" s="4441"/>
      <c r="BI118" s="4310"/>
      <c r="BJ118" s="3983"/>
      <c r="BK118" s="4447"/>
      <c r="BL118" s="4447"/>
      <c r="BM118" s="3933"/>
      <c r="BN118" s="3983"/>
      <c r="BO118" s="3983"/>
      <c r="BP118" s="3983"/>
      <c r="BQ118" s="3094"/>
      <c r="BR118" s="3094"/>
      <c r="BS118" s="3094"/>
      <c r="BT118" s="3094"/>
      <c r="BU118" s="3983"/>
    </row>
    <row r="119" spans="1:73" ht="36" customHeight="1" x14ac:dyDescent="0.25">
      <c r="A119" s="2909"/>
      <c r="B119" s="2910"/>
      <c r="C119" s="279"/>
      <c r="D119" s="280"/>
      <c r="E119" s="4373"/>
      <c r="F119" s="4373"/>
      <c r="G119" s="2716"/>
      <c r="H119" s="2543"/>
      <c r="I119" s="2546"/>
      <c r="J119" s="2543"/>
      <c r="K119" s="2546"/>
      <c r="L119" s="2543"/>
      <c r="M119" s="2546"/>
      <c r="N119" s="2543"/>
      <c r="O119" s="2546"/>
      <c r="P119" s="2546"/>
      <c r="Q119" s="2546"/>
      <c r="R119" s="2543"/>
      <c r="S119" s="4444"/>
      <c r="T119" s="4442"/>
      <c r="U119" s="2930"/>
      <c r="V119" s="2936"/>
      <c r="W119" s="2930"/>
      <c r="X119" s="390">
        <v>398041.95</v>
      </c>
      <c r="Y119" s="1044">
        <f>+X119</f>
        <v>398041.95</v>
      </c>
      <c r="Z119" s="995">
        <v>398041.95</v>
      </c>
      <c r="AA119" s="271" t="s">
        <v>1475</v>
      </c>
      <c r="AB119" s="1043">
        <v>202</v>
      </c>
      <c r="AC119" s="1042" t="s">
        <v>1460</v>
      </c>
      <c r="AD119" s="4441"/>
      <c r="AE119" s="4441"/>
      <c r="AF119" s="4441"/>
      <c r="AG119" s="4441"/>
      <c r="AH119" s="4441"/>
      <c r="AI119" s="4441"/>
      <c r="AJ119" s="4441"/>
      <c r="AK119" s="4441"/>
      <c r="AL119" s="4441"/>
      <c r="AM119" s="4441"/>
      <c r="AN119" s="4441"/>
      <c r="AO119" s="4441"/>
      <c r="AP119" s="4441"/>
      <c r="AQ119" s="4441"/>
      <c r="AR119" s="4441"/>
      <c r="AS119" s="4441"/>
      <c r="AT119" s="4441"/>
      <c r="AU119" s="4441"/>
      <c r="AV119" s="4441"/>
      <c r="AW119" s="4441"/>
      <c r="AX119" s="4441"/>
      <c r="AY119" s="4441"/>
      <c r="AZ119" s="4441"/>
      <c r="BA119" s="4441"/>
      <c r="BB119" s="4441"/>
      <c r="BC119" s="4441"/>
      <c r="BD119" s="4441"/>
      <c r="BE119" s="4441"/>
      <c r="BF119" s="4441"/>
      <c r="BG119" s="4441"/>
      <c r="BH119" s="4441"/>
      <c r="BI119" s="4310"/>
      <c r="BJ119" s="3983"/>
      <c r="BK119" s="4447"/>
      <c r="BL119" s="4447"/>
      <c r="BM119" s="3933"/>
      <c r="BN119" s="3983"/>
      <c r="BO119" s="3983"/>
      <c r="BP119" s="3983"/>
      <c r="BQ119" s="3094"/>
      <c r="BR119" s="3094"/>
      <c r="BS119" s="3094"/>
      <c r="BT119" s="3094"/>
      <c r="BU119" s="3983"/>
    </row>
    <row r="120" spans="1:73" ht="36" customHeight="1" x14ac:dyDescent="0.25">
      <c r="A120" s="2909"/>
      <c r="B120" s="2910"/>
      <c r="C120" s="279"/>
      <c r="D120" s="280"/>
      <c r="E120" s="4373"/>
      <c r="F120" s="4373"/>
      <c r="G120" s="2716"/>
      <c r="H120" s="2543"/>
      <c r="I120" s="2546"/>
      <c r="J120" s="2543"/>
      <c r="K120" s="2546"/>
      <c r="L120" s="2543"/>
      <c r="M120" s="2546"/>
      <c r="N120" s="2543"/>
      <c r="O120" s="2546"/>
      <c r="P120" s="2546"/>
      <c r="Q120" s="2546"/>
      <c r="R120" s="2543"/>
      <c r="S120" s="4444"/>
      <c r="T120" s="4442"/>
      <c r="U120" s="2930"/>
      <c r="V120" s="2936"/>
      <c r="W120" s="2930"/>
      <c r="X120" s="390">
        <v>117569276.84999999</v>
      </c>
      <c r="Y120" s="1040">
        <v>75773897.569999993</v>
      </c>
      <c r="Z120" s="347">
        <v>75773897.569999993</v>
      </c>
      <c r="AA120" s="271" t="s">
        <v>1476</v>
      </c>
      <c r="AB120" s="1041">
        <v>6</v>
      </c>
      <c r="AC120" s="1042" t="s">
        <v>1456</v>
      </c>
      <c r="AD120" s="4441"/>
      <c r="AE120" s="4441"/>
      <c r="AF120" s="4441"/>
      <c r="AG120" s="4441"/>
      <c r="AH120" s="4441"/>
      <c r="AI120" s="4441"/>
      <c r="AJ120" s="4441"/>
      <c r="AK120" s="4441"/>
      <c r="AL120" s="4441"/>
      <c r="AM120" s="4441"/>
      <c r="AN120" s="4441"/>
      <c r="AO120" s="4441"/>
      <c r="AP120" s="4441"/>
      <c r="AQ120" s="4441"/>
      <c r="AR120" s="4441"/>
      <c r="AS120" s="4441"/>
      <c r="AT120" s="4441"/>
      <c r="AU120" s="4441"/>
      <c r="AV120" s="4441"/>
      <c r="AW120" s="4441"/>
      <c r="AX120" s="4441"/>
      <c r="AY120" s="4441"/>
      <c r="AZ120" s="4441"/>
      <c r="BA120" s="4441"/>
      <c r="BB120" s="4441"/>
      <c r="BC120" s="4441"/>
      <c r="BD120" s="4441"/>
      <c r="BE120" s="4441"/>
      <c r="BF120" s="4441"/>
      <c r="BG120" s="4441"/>
      <c r="BH120" s="4441"/>
      <c r="BI120" s="4310"/>
      <c r="BJ120" s="3983"/>
      <c r="BK120" s="4447"/>
      <c r="BL120" s="4447"/>
      <c r="BM120" s="3933"/>
      <c r="BN120" s="3983"/>
      <c r="BO120" s="3983"/>
      <c r="BP120" s="3983"/>
      <c r="BQ120" s="3094"/>
      <c r="BR120" s="3094"/>
      <c r="BS120" s="3094"/>
      <c r="BT120" s="3094"/>
      <c r="BU120" s="3983"/>
    </row>
    <row r="121" spans="1:73" ht="36" customHeight="1" x14ac:dyDescent="0.25">
      <c r="A121" s="2909"/>
      <c r="B121" s="2910"/>
      <c r="C121" s="279"/>
      <c r="D121" s="280"/>
      <c r="E121" s="4373"/>
      <c r="F121" s="4373"/>
      <c r="G121" s="2716"/>
      <c r="H121" s="2543"/>
      <c r="I121" s="2546"/>
      <c r="J121" s="2543"/>
      <c r="K121" s="2546"/>
      <c r="L121" s="2543"/>
      <c r="M121" s="2546"/>
      <c r="N121" s="2543"/>
      <c r="O121" s="2546"/>
      <c r="P121" s="2546"/>
      <c r="Q121" s="2546"/>
      <c r="R121" s="2543"/>
      <c r="S121" s="4444"/>
      <c r="T121" s="4442"/>
      <c r="U121" s="2930"/>
      <c r="V121" s="2936"/>
      <c r="W121" s="2930"/>
      <c r="X121" s="390">
        <v>17964637.189999998</v>
      </c>
      <c r="Y121" s="1040">
        <v>17964637.190000001</v>
      </c>
      <c r="Z121" s="347">
        <v>17964637.190000001</v>
      </c>
      <c r="AA121" s="271" t="s">
        <v>1477</v>
      </c>
      <c r="AB121" s="1043">
        <v>84</v>
      </c>
      <c r="AC121" s="1042" t="s">
        <v>1458</v>
      </c>
      <c r="AD121" s="4441"/>
      <c r="AE121" s="4441"/>
      <c r="AF121" s="4441"/>
      <c r="AG121" s="4441"/>
      <c r="AH121" s="4441"/>
      <c r="AI121" s="4441"/>
      <c r="AJ121" s="4441"/>
      <c r="AK121" s="4441"/>
      <c r="AL121" s="4441"/>
      <c r="AM121" s="4441"/>
      <c r="AN121" s="4441"/>
      <c r="AO121" s="4441"/>
      <c r="AP121" s="4441"/>
      <c r="AQ121" s="4441"/>
      <c r="AR121" s="4441"/>
      <c r="AS121" s="4441"/>
      <c r="AT121" s="4441"/>
      <c r="AU121" s="4441"/>
      <c r="AV121" s="4441"/>
      <c r="AW121" s="4441"/>
      <c r="AX121" s="4441"/>
      <c r="AY121" s="4441"/>
      <c r="AZ121" s="4441"/>
      <c r="BA121" s="4441"/>
      <c r="BB121" s="4441"/>
      <c r="BC121" s="4441"/>
      <c r="BD121" s="4441"/>
      <c r="BE121" s="4441"/>
      <c r="BF121" s="4441"/>
      <c r="BG121" s="4441"/>
      <c r="BH121" s="4441"/>
      <c r="BI121" s="4310"/>
      <c r="BJ121" s="3983"/>
      <c r="BK121" s="4447"/>
      <c r="BL121" s="4447"/>
      <c r="BM121" s="3933"/>
      <c r="BN121" s="3983"/>
      <c r="BO121" s="3983"/>
      <c r="BP121" s="3983"/>
      <c r="BQ121" s="3094"/>
      <c r="BR121" s="3094"/>
      <c r="BS121" s="3094"/>
      <c r="BT121" s="3094"/>
      <c r="BU121" s="3983"/>
    </row>
    <row r="122" spans="1:73" ht="36" customHeight="1" x14ac:dyDescent="0.25">
      <c r="A122" s="2909"/>
      <c r="B122" s="2910"/>
      <c r="C122" s="279"/>
      <c r="D122" s="280"/>
      <c r="E122" s="4373"/>
      <c r="F122" s="4373"/>
      <c r="G122" s="2716"/>
      <c r="H122" s="2543"/>
      <c r="I122" s="2546"/>
      <c r="J122" s="2543"/>
      <c r="K122" s="2546"/>
      <c r="L122" s="2543"/>
      <c r="M122" s="2546"/>
      <c r="N122" s="2543"/>
      <c r="O122" s="2546"/>
      <c r="P122" s="2546"/>
      <c r="Q122" s="2546"/>
      <c r="R122" s="2543"/>
      <c r="S122" s="4444"/>
      <c r="T122" s="4442"/>
      <c r="U122" s="2930"/>
      <c r="V122" s="2936"/>
      <c r="W122" s="2930"/>
      <c r="X122" s="390">
        <v>272572.2</v>
      </c>
      <c r="Y122" s="1044">
        <f>+X122</f>
        <v>272572.2</v>
      </c>
      <c r="Z122" s="995">
        <v>272572.2</v>
      </c>
      <c r="AA122" s="271" t="s">
        <v>1478</v>
      </c>
      <c r="AB122" s="1043">
        <v>202</v>
      </c>
      <c r="AC122" s="1042" t="s">
        <v>1460</v>
      </c>
      <c r="AD122" s="4441"/>
      <c r="AE122" s="4441"/>
      <c r="AF122" s="4441"/>
      <c r="AG122" s="4441"/>
      <c r="AH122" s="4441"/>
      <c r="AI122" s="4441"/>
      <c r="AJ122" s="4441"/>
      <c r="AK122" s="4441"/>
      <c r="AL122" s="4441"/>
      <c r="AM122" s="4441"/>
      <c r="AN122" s="4441"/>
      <c r="AO122" s="4441"/>
      <c r="AP122" s="4441"/>
      <c r="AQ122" s="4441"/>
      <c r="AR122" s="4441"/>
      <c r="AS122" s="4441"/>
      <c r="AT122" s="4441"/>
      <c r="AU122" s="4441"/>
      <c r="AV122" s="4441"/>
      <c r="AW122" s="4441"/>
      <c r="AX122" s="4441"/>
      <c r="AY122" s="4441"/>
      <c r="AZ122" s="4441"/>
      <c r="BA122" s="4441"/>
      <c r="BB122" s="4441"/>
      <c r="BC122" s="4441"/>
      <c r="BD122" s="4441"/>
      <c r="BE122" s="4441"/>
      <c r="BF122" s="4441"/>
      <c r="BG122" s="4441"/>
      <c r="BH122" s="4441"/>
      <c r="BI122" s="4310"/>
      <c r="BJ122" s="3983"/>
      <c r="BK122" s="4447"/>
      <c r="BL122" s="4447"/>
      <c r="BM122" s="3933"/>
      <c r="BN122" s="3983"/>
      <c r="BO122" s="3983"/>
      <c r="BP122" s="3983"/>
      <c r="BQ122" s="3094"/>
      <c r="BR122" s="3094"/>
      <c r="BS122" s="3094"/>
      <c r="BT122" s="3094"/>
      <c r="BU122" s="3983"/>
    </row>
    <row r="123" spans="1:73" ht="36" customHeight="1" x14ac:dyDescent="0.25">
      <c r="A123" s="2909"/>
      <c r="B123" s="2910"/>
      <c r="C123" s="279"/>
      <c r="D123" s="280"/>
      <c r="E123" s="4373"/>
      <c r="F123" s="4373"/>
      <c r="G123" s="2716"/>
      <c r="H123" s="2543"/>
      <c r="I123" s="2546"/>
      <c r="J123" s="2543"/>
      <c r="K123" s="2546"/>
      <c r="L123" s="2543"/>
      <c r="M123" s="2546"/>
      <c r="N123" s="2543"/>
      <c r="O123" s="2546"/>
      <c r="P123" s="2546"/>
      <c r="Q123" s="2546"/>
      <c r="R123" s="2543"/>
      <c r="S123" s="4444"/>
      <c r="T123" s="4442"/>
      <c r="U123" s="2930"/>
      <c r="V123" s="2936"/>
      <c r="W123" s="2930"/>
      <c r="X123" s="390">
        <v>62760450.049999997</v>
      </c>
      <c r="Y123" s="1040">
        <v>41787135.900000006</v>
      </c>
      <c r="Z123" s="347">
        <v>41787135.900000006</v>
      </c>
      <c r="AA123" s="271" t="s">
        <v>1479</v>
      </c>
      <c r="AB123" s="1041">
        <v>6</v>
      </c>
      <c r="AC123" s="1042" t="s">
        <v>1456</v>
      </c>
      <c r="AD123" s="4441"/>
      <c r="AE123" s="4441"/>
      <c r="AF123" s="4441"/>
      <c r="AG123" s="4441"/>
      <c r="AH123" s="4441"/>
      <c r="AI123" s="4441"/>
      <c r="AJ123" s="4441"/>
      <c r="AK123" s="4441"/>
      <c r="AL123" s="4441"/>
      <c r="AM123" s="4441"/>
      <c r="AN123" s="4441"/>
      <c r="AO123" s="4441"/>
      <c r="AP123" s="4441"/>
      <c r="AQ123" s="4441"/>
      <c r="AR123" s="4441"/>
      <c r="AS123" s="4441"/>
      <c r="AT123" s="4441"/>
      <c r="AU123" s="4441"/>
      <c r="AV123" s="4441"/>
      <c r="AW123" s="4441"/>
      <c r="AX123" s="4441"/>
      <c r="AY123" s="4441"/>
      <c r="AZ123" s="4441"/>
      <c r="BA123" s="4441"/>
      <c r="BB123" s="4441"/>
      <c r="BC123" s="4441"/>
      <c r="BD123" s="4441"/>
      <c r="BE123" s="4441"/>
      <c r="BF123" s="4441"/>
      <c r="BG123" s="4441"/>
      <c r="BH123" s="4441"/>
      <c r="BI123" s="4310"/>
      <c r="BJ123" s="3983"/>
      <c r="BK123" s="4447"/>
      <c r="BL123" s="4447"/>
      <c r="BM123" s="3933"/>
      <c r="BN123" s="3983"/>
      <c r="BO123" s="3983"/>
      <c r="BP123" s="3983"/>
      <c r="BQ123" s="3094"/>
      <c r="BR123" s="3094"/>
      <c r="BS123" s="3094"/>
      <c r="BT123" s="3094"/>
      <c r="BU123" s="3983"/>
    </row>
    <row r="124" spans="1:73" ht="36" customHeight="1" x14ac:dyDescent="0.25">
      <c r="A124" s="2909"/>
      <c r="B124" s="2910"/>
      <c r="C124" s="279"/>
      <c r="D124" s="280"/>
      <c r="E124" s="4373"/>
      <c r="F124" s="4373"/>
      <c r="G124" s="2716"/>
      <c r="H124" s="2543"/>
      <c r="I124" s="2546"/>
      <c r="J124" s="2543"/>
      <c r="K124" s="2546"/>
      <c r="L124" s="2543"/>
      <c r="M124" s="2546"/>
      <c r="N124" s="2543"/>
      <c r="O124" s="2546"/>
      <c r="P124" s="2546"/>
      <c r="Q124" s="2546"/>
      <c r="R124" s="2543"/>
      <c r="S124" s="4444"/>
      <c r="T124" s="4442"/>
      <c r="U124" s="2930"/>
      <c r="V124" s="2936"/>
      <c r="W124" s="2930"/>
      <c r="X124" s="390">
        <v>9396887.1400000006</v>
      </c>
      <c r="Y124" s="1040">
        <v>9396887.1400000006</v>
      </c>
      <c r="Z124" s="347">
        <v>9396887.1400000006</v>
      </c>
      <c r="AA124" s="271" t="s">
        <v>1480</v>
      </c>
      <c r="AB124" s="1043">
        <v>84</v>
      </c>
      <c r="AC124" s="1042" t="s">
        <v>1458</v>
      </c>
      <c r="AD124" s="4441"/>
      <c r="AE124" s="4441"/>
      <c r="AF124" s="4441"/>
      <c r="AG124" s="4441"/>
      <c r="AH124" s="4441"/>
      <c r="AI124" s="4441"/>
      <c r="AJ124" s="4441"/>
      <c r="AK124" s="4441"/>
      <c r="AL124" s="4441"/>
      <c r="AM124" s="4441"/>
      <c r="AN124" s="4441"/>
      <c r="AO124" s="4441"/>
      <c r="AP124" s="4441"/>
      <c r="AQ124" s="4441"/>
      <c r="AR124" s="4441"/>
      <c r="AS124" s="4441"/>
      <c r="AT124" s="4441"/>
      <c r="AU124" s="4441"/>
      <c r="AV124" s="4441"/>
      <c r="AW124" s="4441"/>
      <c r="AX124" s="4441"/>
      <c r="AY124" s="4441"/>
      <c r="AZ124" s="4441"/>
      <c r="BA124" s="4441"/>
      <c r="BB124" s="4441"/>
      <c r="BC124" s="4441"/>
      <c r="BD124" s="4441"/>
      <c r="BE124" s="4441"/>
      <c r="BF124" s="4441"/>
      <c r="BG124" s="4441"/>
      <c r="BH124" s="4441"/>
      <c r="BI124" s="4310"/>
      <c r="BJ124" s="3983"/>
      <c r="BK124" s="4447"/>
      <c r="BL124" s="4447"/>
      <c r="BM124" s="3933"/>
      <c r="BN124" s="3983"/>
      <c r="BO124" s="3983"/>
      <c r="BP124" s="3983"/>
      <c r="BQ124" s="3094"/>
      <c r="BR124" s="3094"/>
      <c r="BS124" s="3094"/>
      <c r="BT124" s="3094"/>
      <c r="BU124" s="3983"/>
    </row>
    <row r="125" spans="1:73" ht="36" customHeight="1" x14ac:dyDescent="0.25">
      <c r="A125" s="2909"/>
      <c r="B125" s="2910"/>
      <c r="C125" s="279"/>
      <c r="D125" s="280"/>
      <c r="E125" s="4373"/>
      <c r="F125" s="4373"/>
      <c r="G125" s="2716"/>
      <c r="H125" s="2543"/>
      <c r="I125" s="2546"/>
      <c r="J125" s="2543"/>
      <c r="K125" s="2546"/>
      <c r="L125" s="2543"/>
      <c r="M125" s="2546"/>
      <c r="N125" s="2543"/>
      <c r="O125" s="2546"/>
      <c r="P125" s="2546"/>
      <c r="Q125" s="2546"/>
      <c r="R125" s="2543"/>
      <c r="S125" s="4444"/>
      <c r="T125" s="4442"/>
      <c r="U125" s="2930"/>
      <c r="V125" s="2936"/>
      <c r="W125" s="2930"/>
      <c r="X125" s="390">
        <v>155755.54999999999</v>
      </c>
      <c r="Y125" s="1044">
        <f>+X125</f>
        <v>155755.54999999999</v>
      </c>
      <c r="Z125" s="995">
        <v>155755.54999999999</v>
      </c>
      <c r="AA125" s="271" t="s">
        <v>1481</v>
      </c>
      <c r="AB125" s="1043">
        <v>202</v>
      </c>
      <c r="AC125" s="1042" t="s">
        <v>1460</v>
      </c>
      <c r="AD125" s="4441"/>
      <c r="AE125" s="4441"/>
      <c r="AF125" s="4441"/>
      <c r="AG125" s="4441"/>
      <c r="AH125" s="4441"/>
      <c r="AI125" s="4441"/>
      <c r="AJ125" s="4441"/>
      <c r="AK125" s="4441"/>
      <c r="AL125" s="4441"/>
      <c r="AM125" s="4441"/>
      <c r="AN125" s="4441"/>
      <c r="AO125" s="4441"/>
      <c r="AP125" s="4441"/>
      <c r="AQ125" s="4441"/>
      <c r="AR125" s="4441"/>
      <c r="AS125" s="4441"/>
      <c r="AT125" s="4441"/>
      <c r="AU125" s="4441"/>
      <c r="AV125" s="4441"/>
      <c r="AW125" s="4441"/>
      <c r="AX125" s="4441"/>
      <c r="AY125" s="4441"/>
      <c r="AZ125" s="4441"/>
      <c r="BA125" s="4441"/>
      <c r="BB125" s="4441"/>
      <c r="BC125" s="4441"/>
      <c r="BD125" s="4441"/>
      <c r="BE125" s="4441"/>
      <c r="BF125" s="4441"/>
      <c r="BG125" s="4441"/>
      <c r="BH125" s="4441"/>
      <c r="BI125" s="4310"/>
      <c r="BJ125" s="3983"/>
      <c r="BK125" s="4447"/>
      <c r="BL125" s="4447"/>
      <c r="BM125" s="3933"/>
      <c r="BN125" s="3983"/>
      <c r="BO125" s="3983"/>
      <c r="BP125" s="3983"/>
      <c r="BQ125" s="3094"/>
      <c r="BR125" s="3094"/>
      <c r="BS125" s="3094"/>
      <c r="BT125" s="3094"/>
      <c r="BU125" s="3983"/>
    </row>
    <row r="126" spans="1:73" ht="36" customHeight="1" x14ac:dyDescent="0.25">
      <c r="A126" s="2909"/>
      <c r="B126" s="2910"/>
      <c r="C126" s="279"/>
      <c r="D126" s="280"/>
      <c r="E126" s="4373"/>
      <c r="F126" s="4373"/>
      <c r="G126" s="2716"/>
      <c r="H126" s="2543"/>
      <c r="I126" s="2546"/>
      <c r="J126" s="2543"/>
      <c r="K126" s="2546"/>
      <c r="L126" s="2543"/>
      <c r="M126" s="2546"/>
      <c r="N126" s="2543"/>
      <c r="O126" s="2546"/>
      <c r="P126" s="2546"/>
      <c r="Q126" s="2546"/>
      <c r="R126" s="2543"/>
      <c r="S126" s="4444"/>
      <c r="T126" s="4442"/>
      <c r="U126" s="2930"/>
      <c r="V126" s="2936"/>
      <c r="W126" s="2930"/>
      <c r="X126" s="390">
        <v>28690491.449999999</v>
      </c>
      <c r="Y126" s="1040">
        <v>19528138.640000001</v>
      </c>
      <c r="Z126" s="347">
        <v>19528138.640000001</v>
      </c>
      <c r="AA126" s="271" t="s">
        <v>1482</v>
      </c>
      <c r="AB126" s="1041">
        <v>6</v>
      </c>
      <c r="AC126" s="1042" t="s">
        <v>1456</v>
      </c>
      <c r="AD126" s="4441"/>
      <c r="AE126" s="4441"/>
      <c r="AF126" s="4441"/>
      <c r="AG126" s="4441"/>
      <c r="AH126" s="4441"/>
      <c r="AI126" s="4441"/>
      <c r="AJ126" s="4441"/>
      <c r="AK126" s="4441"/>
      <c r="AL126" s="4441"/>
      <c r="AM126" s="4441"/>
      <c r="AN126" s="4441"/>
      <c r="AO126" s="4441"/>
      <c r="AP126" s="4441"/>
      <c r="AQ126" s="4441"/>
      <c r="AR126" s="4441"/>
      <c r="AS126" s="4441"/>
      <c r="AT126" s="4441"/>
      <c r="AU126" s="4441"/>
      <c r="AV126" s="4441"/>
      <c r="AW126" s="4441"/>
      <c r="AX126" s="4441"/>
      <c r="AY126" s="4441"/>
      <c r="AZ126" s="4441"/>
      <c r="BA126" s="4441"/>
      <c r="BB126" s="4441"/>
      <c r="BC126" s="4441"/>
      <c r="BD126" s="4441"/>
      <c r="BE126" s="4441"/>
      <c r="BF126" s="4441"/>
      <c r="BG126" s="4441"/>
      <c r="BH126" s="4441"/>
      <c r="BI126" s="4310"/>
      <c r="BJ126" s="3983"/>
      <c r="BK126" s="4447"/>
      <c r="BL126" s="4447"/>
      <c r="BM126" s="3933"/>
      <c r="BN126" s="3983"/>
      <c r="BO126" s="3983"/>
      <c r="BP126" s="3983"/>
      <c r="BQ126" s="3094"/>
      <c r="BR126" s="3094"/>
      <c r="BS126" s="3094"/>
      <c r="BT126" s="3094"/>
      <c r="BU126" s="3983"/>
    </row>
    <row r="127" spans="1:73" ht="36" customHeight="1" x14ac:dyDescent="0.25">
      <c r="A127" s="2909"/>
      <c r="B127" s="2910"/>
      <c r="C127" s="279"/>
      <c r="D127" s="280"/>
      <c r="E127" s="4373"/>
      <c r="F127" s="4373"/>
      <c r="G127" s="2716"/>
      <c r="H127" s="2543"/>
      <c r="I127" s="2546"/>
      <c r="J127" s="2543"/>
      <c r="K127" s="2546"/>
      <c r="L127" s="2543"/>
      <c r="M127" s="2546"/>
      <c r="N127" s="2543"/>
      <c r="O127" s="2546"/>
      <c r="P127" s="2546"/>
      <c r="Q127" s="2546"/>
      <c r="R127" s="2543"/>
      <c r="S127" s="4444"/>
      <c r="T127" s="4442"/>
      <c r="U127" s="2930"/>
      <c r="V127" s="2936"/>
      <c r="W127" s="2930"/>
      <c r="X127" s="390">
        <v>4698443.57</v>
      </c>
      <c r="Y127" s="1040">
        <v>4698443.57</v>
      </c>
      <c r="Z127" s="347">
        <v>4698443.57</v>
      </c>
      <c r="AA127" s="271" t="s">
        <v>1483</v>
      </c>
      <c r="AB127" s="1043">
        <v>84</v>
      </c>
      <c r="AC127" s="1042" t="s">
        <v>1458</v>
      </c>
      <c r="AD127" s="4441"/>
      <c r="AE127" s="4441"/>
      <c r="AF127" s="4441"/>
      <c r="AG127" s="4441"/>
      <c r="AH127" s="4441"/>
      <c r="AI127" s="4441"/>
      <c r="AJ127" s="4441"/>
      <c r="AK127" s="4441"/>
      <c r="AL127" s="4441"/>
      <c r="AM127" s="4441"/>
      <c r="AN127" s="4441"/>
      <c r="AO127" s="4441"/>
      <c r="AP127" s="4441"/>
      <c r="AQ127" s="4441"/>
      <c r="AR127" s="4441"/>
      <c r="AS127" s="4441"/>
      <c r="AT127" s="4441"/>
      <c r="AU127" s="4441"/>
      <c r="AV127" s="4441"/>
      <c r="AW127" s="4441"/>
      <c r="AX127" s="4441"/>
      <c r="AY127" s="4441"/>
      <c r="AZ127" s="4441"/>
      <c r="BA127" s="4441"/>
      <c r="BB127" s="4441"/>
      <c r="BC127" s="4441"/>
      <c r="BD127" s="4441"/>
      <c r="BE127" s="4441"/>
      <c r="BF127" s="4441"/>
      <c r="BG127" s="4441"/>
      <c r="BH127" s="4441"/>
      <c r="BI127" s="4310"/>
      <c r="BJ127" s="3983"/>
      <c r="BK127" s="4447"/>
      <c r="BL127" s="4447"/>
      <c r="BM127" s="3933"/>
      <c r="BN127" s="3983"/>
      <c r="BO127" s="3983"/>
      <c r="BP127" s="3983"/>
      <c r="BQ127" s="3094"/>
      <c r="BR127" s="3094"/>
      <c r="BS127" s="3094"/>
      <c r="BT127" s="3094"/>
      <c r="BU127" s="3983"/>
    </row>
    <row r="128" spans="1:73" ht="36" customHeight="1" x14ac:dyDescent="0.25">
      <c r="A128" s="2909"/>
      <c r="B128" s="2910"/>
      <c r="C128" s="279"/>
      <c r="D128" s="280"/>
      <c r="E128" s="4373"/>
      <c r="F128" s="4373"/>
      <c r="G128" s="2716"/>
      <c r="H128" s="2543"/>
      <c r="I128" s="2546"/>
      <c r="J128" s="2543"/>
      <c r="K128" s="2546"/>
      <c r="L128" s="2543"/>
      <c r="M128" s="2546"/>
      <c r="N128" s="2543"/>
      <c r="O128" s="2546"/>
      <c r="P128" s="2546"/>
      <c r="Q128" s="2546"/>
      <c r="R128" s="2543"/>
      <c r="S128" s="4444"/>
      <c r="T128" s="4442"/>
      <c r="U128" s="2930"/>
      <c r="V128" s="2936"/>
      <c r="W128" s="2930"/>
      <c r="X128" s="390">
        <v>73551.23</v>
      </c>
      <c r="Y128" s="1044">
        <f>+X128</f>
        <v>73551.23</v>
      </c>
      <c r="Z128" s="995">
        <v>73551.23</v>
      </c>
      <c r="AA128" s="271" t="s">
        <v>1484</v>
      </c>
      <c r="AB128" s="1043">
        <v>202</v>
      </c>
      <c r="AC128" s="1042" t="s">
        <v>1460</v>
      </c>
      <c r="AD128" s="4441"/>
      <c r="AE128" s="4441"/>
      <c r="AF128" s="4441"/>
      <c r="AG128" s="4441"/>
      <c r="AH128" s="4441"/>
      <c r="AI128" s="4441"/>
      <c r="AJ128" s="4441"/>
      <c r="AK128" s="4441"/>
      <c r="AL128" s="4441"/>
      <c r="AM128" s="4441"/>
      <c r="AN128" s="4441"/>
      <c r="AO128" s="4441"/>
      <c r="AP128" s="4441"/>
      <c r="AQ128" s="4441"/>
      <c r="AR128" s="4441"/>
      <c r="AS128" s="4441"/>
      <c r="AT128" s="4441"/>
      <c r="AU128" s="4441"/>
      <c r="AV128" s="4441"/>
      <c r="AW128" s="4441"/>
      <c r="AX128" s="4441"/>
      <c r="AY128" s="4441"/>
      <c r="AZ128" s="4441"/>
      <c r="BA128" s="4441"/>
      <c r="BB128" s="4441"/>
      <c r="BC128" s="4441"/>
      <c r="BD128" s="4441"/>
      <c r="BE128" s="4441"/>
      <c r="BF128" s="4441"/>
      <c r="BG128" s="4441"/>
      <c r="BH128" s="4441"/>
      <c r="BI128" s="4310"/>
      <c r="BJ128" s="3983"/>
      <c r="BK128" s="4447"/>
      <c r="BL128" s="4447"/>
      <c r="BM128" s="3933"/>
      <c r="BN128" s="3983"/>
      <c r="BO128" s="3983"/>
      <c r="BP128" s="3983"/>
      <c r="BQ128" s="3094"/>
      <c r="BR128" s="3094"/>
      <c r="BS128" s="3094"/>
      <c r="BT128" s="3094"/>
      <c r="BU128" s="3983"/>
    </row>
    <row r="129" spans="1:73" ht="36" customHeight="1" x14ac:dyDescent="0.25">
      <c r="A129" s="2909"/>
      <c r="B129" s="2910"/>
      <c r="C129" s="279"/>
      <c r="D129" s="280"/>
      <c r="E129" s="4373"/>
      <c r="F129" s="4373"/>
      <c r="G129" s="2716"/>
      <c r="H129" s="2543"/>
      <c r="I129" s="2546"/>
      <c r="J129" s="2543"/>
      <c r="K129" s="2546"/>
      <c r="L129" s="2543"/>
      <c r="M129" s="2546"/>
      <c r="N129" s="2543"/>
      <c r="O129" s="2546"/>
      <c r="P129" s="2546"/>
      <c r="Q129" s="2546"/>
      <c r="R129" s="2543"/>
      <c r="S129" s="4444"/>
      <c r="T129" s="4442"/>
      <c r="U129" s="2930"/>
      <c r="V129" s="2936"/>
      <c r="W129" s="2930"/>
      <c r="X129" s="390">
        <v>48841979.460000001</v>
      </c>
      <c r="Y129" s="1040">
        <v>30091236.91</v>
      </c>
      <c r="Z129" s="347">
        <v>30091236.91</v>
      </c>
      <c r="AA129" s="271" t="s">
        <v>1485</v>
      </c>
      <c r="AB129" s="1041">
        <v>6</v>
      </c>
      <c r="AC129" s="1042" t="s">
        <v>1456</v>
      </c>
      <c r="AD129" s="4441"/>
      <c r="AE129" s="4441"/>
      <c r="AF129" s="4441"/>
      <c r="AG129" s="4441"/>
      <c r="AH129" s="4441"/>
      <c r="AI129" s="4441"/>
      <c r="AJ129" s="4441"/>
      <c r="AK129" s="4441"/>
      <c r="AL129" s="4441"/>
      <c r="AM129" s="4441"/>
      <c r="AN129" s="4441"/>
      <c r="AO129" s="4441"/>
      <c r="AP129" s="4441"/>
      <c r="AQ129" s="4441"/>
      <c r="AR129" s="4441"/>
      <c r="AS129" s="4441"/>
      <c r="AT129" s="4441"/>
      <c r="AU129" s="4441"/>
      <c r="AV129" s="4441"/>
      <c r="AW129" s="4441"/>
      <c r="AX129" s="4441"/>
      <c r="AY129" s="4441"/>
      <c r="AZ129" s="4441"/>
      <c r="BA129" s="4441"/>
      <c r="BB129" s="4441"/>
      <c r="BC129" s="4441"/>
      <c r="BD129" s="4441"/>
      <c r="BE129" s="4441"/>
      <c r="BF129" s="4441"/>
      <c r="BG129" s="4441"/>
      <c r="BH129" s="4441"/>
      <c r="BI129" s="4310"/>
      <c r="BJ129" s="3983"/>
      <c r="BK129" s="4447"/>
      <c r="BL129" s="4447"/>
      <c r="BM129" s="3933"/>
      <c r="BN129" s="3983"/>
      <c r="BO129" s="3983"/>
      <c r="BP129" s="3983"/>
      <c r="BQ129" s="3094"/>
      <c r="BR129" s="3094"/>
      <c r="BS129" s="3094"/>
      <c r="BT129" s="3094"/>
      <c r="BU129" s="3983"/>
    </row>
    <row r="130" spans="1:73" ht="36" customHeight="1" x14ac:dyDescent="0.25">
      <c r="A130" s="2909"/>
      <c r="B130" s="2910"/>
      <c r="C130" s="279"/>
      <c r="D130" s="280"/>
      <c r="E130" s="4373"/>
      <c r="F130" s="4373"/>
      <c r="G130" s="2716"/>
      <c r="H130" s="2543"/>
      <c r="I130" s="2546"/>
      <c r="J130" s="2543"/>
      <c r="K130" s="2546"/>
      <c r="L130" s="2543"/>
      <c r="M130" s="2546"/>
      <c r="N130" s="2543"/>
      <c r="O130" s="2546"/>
      <c r="P130" s="2546"/>
      <c r="Q130" s="2546"/>
      <c r="R130" s="2543"/>
      <c r="S130" s="4444"/>
      <c r="T130" s="4442"/>
      <c r="U130" s="2930"/>
      <c r="V130" s="2936"/>
      <c r="W130" s="2930"/>
      <c r="X130" s="390">
        <v>7462233.9100000039</v>
      </c>
      <c r="Y130" s="1040">
        <v>7462233.9100000001</v>
      </c>
      <c r="Z130" s="347">
        <v>7462233.9100000001</v>
      </c>
      <c r="AA130" s="271" t="s">
        <v>1486</v>
      </c>
      <c r="AB130" s="1043">
        <v>84</v>
      </c>
      <c r="AC130" s="1042" t="s">
        <v>1458</v>
      </c>
      <c r="AD130" s="4441"/>
      <c r="AE130" s="4441"/>
      <c r="AF130" s="4441"/>
      <c r="AG130" s="4441"/>
      <c r="AH130" s="4441"/>
      <c r="AI130" s="4441"/>
      <c r="AJ130" s="4441"/>
      <c r="AK130" s="4441"/>
      <c r="AL130" s="4441"/>
      <c r="AM130" s="4441"/>
      <c r="AN130" s="4441"/>
      <c r="AO130" s="4441"/>
      <c r="AP130" s="4441"/>
      <c r="AQ130" s="4441"/>
      <c r="AR130" s="4441"/>
      <c r="AS130" s="4441"/>
      <c r="AT130" s="4441"/>
      <c r="AU130" s="4441"/>
      <c r="AV130" s="4441"/>
      <c r="AW130" s="4441"/>
      <c r="AX130" s="4441"/>
      <c r="AY130" s="4441"/>
      <c r="AZ130" s="4441"/>
      <c r="BA130" s="4441"/>
      <c r="BB130" s="4441"/>
      <c r="BC130" s="4441"/>
      <c r="BD130" s="4441"/>
      <c r="BE130" s="4441"/>
      <c r="BF130" s="4441"/>
      <c r="BG130" s="4441"/>
      <c r="BH130" s="4441"/>
      <c r="BI130" s="4310"/>
      <c r="BJ130" s="3983"/>
      <c r="BK130" s="4447"/>
      <c r="BL130" s="4447"/>
      <c r="BM130" s="3933"/>
      <c r="BN130" s="3983"/>
      <c r="BO130" s="3983"/>
      <c r="BP130" s="3983"/>
      <c r="BQ130" s="3094"/>
      <c r="BR130" s="3094"/>
      <c r="BS130" s="3094"/>
      <c r="BT130" s="3094"/>
      <c r="BU130" s="3983"/>
    </row>
    <row r="131" spans="1:73" ht="36" customHeight="1" x14ac:dyDescent="0.25">
      <c r="A131" s="2909"/>
      <c r="B131" s="2910"/>
      <c r="C131" s="279"/>
      <c r="D131" s="280"/>
      <c r="E131" s="4373"/>
      <c r="F131" s="4373"/>
      <c r="G131" s="2716"/>
      <c r="H131" s="2543"/>
      <c r="I131" s="2546"/>
      <c r="J131" s="2543"/>
      <c r="K131" s="2546"/>
      <c r="L131" s="2543"/>
      <c r="M131" s="2546"/>
      <c r="N131" s="2543"/>
      <c r="O131" s="2546"/>
      <c r="P131" s="2546"/>
      <c r="Q131" s="2546"/>
      <c r="R131" s="2543"/>
      <c r="S131" s="4444"/>
      <c r="T131" s="4442"/>
      <c r="U131" s="2930"/>
      <c r="V131" s="2936"/>
      <c r="W131" s="2930"/>
      <c r="X131" s="390">
        <v>90857.4</v>
      </c>
      <c r="Y131" s="1044">
        <f>+X131</f>
        <v>90857.4</v>
      </c>
      <c r="Z131" s="995">
        <v>90857.4</v>
      </c>
      <c r="AA131" s="271" t="s">
        <v>1487</v>
      </c>
      <c r="AB131" s="1043">
        <v>202</v>
      </c>
      <c r="AC131" s="1042" t="s">
        <v>1460</v>
      </c>
      <c r="AD131" s="4441"/>
      <c r="AE131" s="4441"/>
      <c r="AF131" s="4441"/>
      <c r="AG131" s="4441"/>
      <c r="AH131" s="4441"/>
      <c r="AI131" s="4441"/>
      <c r="AJ131" s="4441"/>
      <c r="AK131" s="4441"/>
      <c r="AL131" s="4441"/>
      <c r="AM131" s="4441"/>
      <c r="AN131" s="4441"/>
      <c r="AO131" s="4441"/>
      <c r="AP131" s="4441"/>
      <c r="AQ131" s="4441"/>
      <c r="AR131" s="4441"/>
      <c r="AS131" s="4441"/>
      <c r="AT131" s="4441"/>
      <c r="AU131" s="4441"/>
      <c r="AV131" s="4441"/>
      <c r="AW131" s="4441"/>
      <c r="AX131" s="4441"/>
      <c r="AY131" s="4441"/>
      <c r="AZ131" s="4441"/>
      <c r="BA131" s="4441"/>
      <c r="BB131" s="4441"/>
      <c r="BC131" s="4441"/>
      <c r="BD131" s="4441"/>
      <c r="BE131" s="4441"/>
      <c r="BF131" s="4441"/>
      <c r="BG131" s="4441"/>
      <c r="BH131" s="4441"/>
      <c r="BI131" s="4310"/>
      <c r="BJ131" s="3983"/>
      <c r="BK131" s="4447"/>
      <c r="BL131" s="4447"/>
      <c r="BM131" s="3933"/>
      <c r="BN131" s="3983"/>
      <c r="BO131" s="3983"/>
      <c r="BP131" s="3983"/>
      <c r="BQ131" s="3094"/>
      <c r="BR131" s="3094"/>
      <c r="BS131" s="3094"/>
      <c r="BT131" s="3094"/>
      <c r="BU131" s="3983"/>
    </row>
    <row r="132" spans="1:73" ht="36" customHeight="1" x14ac:dyDescent="0.25">
      <c r="A132" s="2909"/>
      <c r="B132" s="2910"/>
      <c r="C132" s="279"/>
      <c r="D132" s="280"/>
      <c r="E132" s="4373"/>
      <c r="F132" s="4373"/>
      <c r="G132" s="2716"/>
      <c r="H132" s="2543"/>
      <c r="I132" s="2546"/>
      <c r="J132" s="2543"/>
      <c r="K132" s="2546"/>
      <c r="L132" s="2543"/>
      <c r="M132" s="2546"/>
      <c r="N132" s="2543"/>
      <c r="O132" s="2546"/>
      <c r="P132" s="2546"/>
      <c r="Q132" s="2546"/>
      <c r="R132" s="2543"/>
      <c r="S132" s="4444"/>
      <c r="T132" s="4442"/>
      <c r="U132" s="2930"/>
      <c r="V132" s="2936"/>
      <c r="W132" s="2930"/>
      <c r="X132" s="390">
        <v>28690491.449999999</v>
      </c>
      <c r="Y132" s="1040">
        <v>17121185.270000003</v>
      </c>
      <c r="Z132" s="347">
        <v>17121185.270000003</v>
      </c>
      <c r="AA132" s="271" t="s">
        <v>1488</v>
      </c>
      <c r="AB132" s="1041">
        <v>6</v>
      </c>
      <c r="AC132" s="1042" t="s">
        <v>1456</v>
      </c>
      <c r="AD132" s="4441"/>
      <c r="AE132" s="4441"/>
      <c r="AF132" s="4441"/>
      <c r="AG132" s="4441"/>
      <c r="AH132" s="4441"/>
      <c r="AI132" s="4441"/>
      <c r="AJ132" s="4441"/>
      <c r="AK132" s="4441"/>
      <c r="AL132" s="4441"/>
      <c r="AM132" s="4441"/>
      <c r="AN132" s="4441"/>
      <c r="AO132" s="4441"/>
      <c r="AP132" s="4441"/>
      <c r="AQ132" s="4441"/>
      <c r="AR132" s="4441"/>
      <c r="AS132" s="4441"/>
      <c r="AT132" s="4441"/>
      <c r="AU132" s="4441"/>
      <c r="AV132" s="4441"/>
      <c r="AW132" s="4441"/>
      <c r="AX132" s="4441"/>
      <c r="AY132" s="4441"/>
      <c r="AZ132" s="4441"/>
      <c r="BA132" s="4441"/>
      <c r="BB132" s="4441"/>
      <c r="BC132" s="4441"/>
      <c r="BD132" s="4441"/>
      <c r="BE132" s="4441"/>
      <c r="BF132" s="4441"/>
      <c r="BG132" s="4441"/>
      <c r="BH132" s="4441"/>
      <c r="BI132" s="4310"/>
      <c r="BJ132" s="3983"/>
      <c r="BK132" s="4447"/>
      <c r="BL132" s="4447"/>
      <c r="BM132" s="3933"/>
      <c r="BN132" s="3983"/>
      <c r="BO132" s="3983"/>
      <c r="BP132" s="3983"/>
      <c r="BQ132" s="3094"/>
      <c r="BR132" s="3094"/>
      <c r="BS132" s="3094"/>
      <c r="BT132" s="3094"/>
      <c r="BU132" s="3983"/>
    </row>
    <row r="133" spans="1:73" ht="36" customHeight="1" x14ac:dyDescent="0.25">
      <c r="A133" s="2909"/>
      <c r="B133" s="2910"/>
      <c r="C133" s="279"/>
      <c r="D133" s="280"/>
      <c r="E133" s="4373"/>
      <c r="F133" s="4373"/>
      <c r="G133" s="2716"/>
      <c r="H133" s="2543"/>
      <c r="I133" s="2546"/>
      <c r="J133" s="2543"/>
      <c r="K133" s="2546"/>
      <c r="L133" s="2543"/>
      <c r="M133" s="2546"/>
      <c r="N133" s="2543"/>
      <c r="O133" s="2546"/>
      <c r="P133" s="2546"/>
      <c r="Q133" s="2546"/>
      <c r="R133" s="2543"/>
      <c r="S133" s="4444"/>
      <c r="T133" s="4442"/>
      <c r="U133" s="2930"/>
      <c r="V133" s="2936"/>
      <c r="W133" s="2930"/>
      <c r="X133" s="390">
        <v>4422064.5399999991</v>
      </c>
      <c r="Y133" s="1040">
        <v>4422064.54</v>
      </c>
      <c r="Z133" s="347">
        <v>4422064.54</v>
      </c>
      <c r="AA133" s="271" t="s">
        <v>1489</v>
      </c>
      <c r="AB133" s="1043">
        <v>84</v>
      </c>
      <c r="AC133" s="1042" t="s">
        <v>1458</v>
      </c>
      <c r="AD133" s="4441"/>
      <c r="AE133" s="4441"/>
      <c r="AF133" s="4441"/>
      <c r="AG133" s="4441"/>
      <c r="AH133" s="4441"/>
      <c r="AI133" s="4441"/>
      <c r="AJ133" s="4441"/>
      <c r="AK133" s="4441"/>
      <c r="AL133" s="4441"/>
      <c r="AM133" s="4441"/>
      <c r="AN133" s="4441"/>
      <c r="AO133" s="4441"/>
      <c r="AP133" s="4441"/>
      <c r="AQ133" s="4441"/>
      <c r="AR133" s="4441"/>
      <c r="AS133" s="4441"/>
      <c r="AT133" s="4441"/>
      <c r="AU133" s="4441"/>
      <c r="AV133" s="4441"/>
      <c r="AW133" s="4441"/>
      <c r="AX133" s="4441"/>
      <c r="AY133" s="4441"/>
      <c r="AZ133" s="4441"/>
      <c r="BA133" s="4441"/>
      <c r="BB133" s="4441"/>
      <c r="BC133" s="4441"/>
      <c r="BD133" s="4441"/>
      <c r="BE133" s="4441"/>
      <c r="BF133" s="4441"/>
      <c r="BG133" s="4441"/>
      <c r="BH133" s="4441"/>
      <c r="BI133" s="4310"/>
      <c r="BJ133" s="3983"/>
      <c r="BK133" s="4447"/>
      <c r="BL133" s="4447"/>
      <c r="BM133" s="3933"/>
      <c r="BN133" s="3983"/>
      <c r="BO133" s="3983"/>
      <c r="BP133" s="3983"/>
      <c r="BQ133" s="3094"/>
      <c r="BR133" s="3094"/>
      <c r="BS133" s="3094"/>
      <c r="BT133" s="3094"/>
      <c r="BU133" s="3983"/>
    </row>
    <row r="134" spans="1:73" ht="36" customHeight="1" x14ac:dyDescent="0.25">
      <c r="A134" s="2909"/>
      <c r="B134" s="2910"/>
      <c r="C134" s="279"/>
      <c r="D134" s="280"/>
      <c r="E134" s="4373"/>
      <c r="F134" s="4373"/>
      <c r="G134" s="2716"/>
      <c r="H134" s="2543"/>
      <c r="I134" s="2546"/>
      <c r="J134" s="2543"/>
      <c r="K134" s="2546"/>
      <c r="L134" s="2543"/>
      <c r="M134" s="2546"/>
      <c r="N134" s="2543"/>
      <c r="O134" s="2546"/>
      <c r="P134" s="2546"/>
      <c r="Q134" s="2546"/>
      <c r="R134" s="2543"/>
      <c r="S134" s="4444"/>
      <c r="T134" s="4442"/>
      <c r="U134" s="2930"/>
      <c r="V134" s="2936"/>
      <c r="W134" s="2930"/>
      <c r="X134" s="390">
        <v>56245.06</v>
      </c>
      <c r="Y134" s="1044">
        <f>+X134</f>
        <v>56245.06</v>
      </c>
      <c r="Z134" s="995">
        <v>56245.06</v>
      </c>
      <c r="AA134" s="271" t="s">
        <v>1490</v>
      </c>
      <c r="AB134" s="1043">
        <v>202</v>
      </c>
      <c r="AC134" s="1042" t="s">
        <v>1460</v>
      </c>
      <c r="AD134" s="4441"/>
      <c r="AE134" s="4441"/>
      <c r="AF134" s="4441"/>
      <c r="AG134" s="4441"/>
      <c r="AH134" s="4441"/>
      <c r="AI134" s="4441"/>
      <c r="AJ134" s="4441"/>
      <c r="AK134" s="4441"/>
      <c r="AL134" s="4441"/>
      <c r="AM134" s="4441"/>
      <c r="AN134" s="4441"/>
      <c r="AO134" s="4441"/>
      <c r="AP134" s="4441"/>
      <c r="AQ134" s="4441"/>
      <c r="AR134" s="4441"/>
      <c r="AS134" s="4441"/>
      <c r="AT134" s="4441"/>
      <c r="AU134" s="4441"/>
      <c r="AV134" s="4441"/>
      <c r="AW134" s="4441"/>
      <c r="AX134" s="4441"/>
      <c r="AY134" s="4441"/>
      <c r="AZ134" s="4441"/>
      <c r="BA134" s="4441"/>
      <c r="BB134" s="4441"/>
      <c r="BC134" s="4441"/>
      <c r="BD134" s="4441"/>
      <c r="BE134" s="4441"/>
      <c r="BF134" s="4441"/>
      <c r="BG134" s="4441"/>
      <c r="BH134" s="4441"/>
      <c r="BI134" s="4310"/>
      <c r="BJ134" s="3983"/>
      <c r="BK134" s="4447"/>
      <c r="BL134" s="4447"/>
      <c r="BM134" s="3933"/>
      <c r="BN134" s="3983"/>
      <c r="BO134" s="3983"/>
      <c r="BP134" s="3983"/>
      <c r="BQ134" s="3094"/>
      <c r="BR134" s="3094"/>
      <c r="BS134" s="3094"/>
      <c r="BT134" s="3094"/>
      <c r="BU134" s="3983"/>
    </row>
    <row r="135" spans="1:73" ht="36" customHeight="1" x14ac:dyDescent="0.25">
      <c r="A135" s="2909"/>
      <c r="B135" s="2910"/>
      <c r="C135" s="279"/>
      <c r="D135" s="280"/>
      <c r="E135" s="4373"/>
      <c r="F135" s="4373"/>
      <c r="G135" s="2716"/>
      <c r="H135" s="2543"/>
      <c r="I135" s="2546"/>
      <c r="J135" s="2543"/>
      <c r="K135" s="2546"/>
      <c r="L135" s="2543"/>
      <c r="M135" s="2546"/>
      <c r="N135" s="2543"/>
      <c r="O135" s="2546"/>
      <c r="P135" s="2546"/>
      <c r="Q135" s="2546"/>
      <c r="R135" s="2543"/>
      <c r="S135" s="4444"/>
      <c r="T135" s="4442"/>
      <c r="U135" s="2930"/>
      <c r="V135" s="2936"/>
      <c r="W135" s="2930"/>
      <c r="X135" s="390">
        <v>68891918.120000005</v>
      </c>
      <c r="Y135" s="1040">
        <v>44611650.719999999</v>
      </c>
      <c r="Z135" s="347">
        <v>44611650.719999999</v>
      </c>
      <c r="AA135" s="271" t="s">
        <v>1491</v>
      </c>
      <c r="AB135" s="1041">
        <v>6</v>
      </c>
      <c r="AC135" s="1042" t="s">
        <v>1456</v>
      </c>
      <c r="AD135" s="4441"/>
      <c r="AE135" s="4441"/>
      <c r="AF135" s="4441"/>
      <c r="AG135" s="4441"/>
      <c r="AH135" s="4441"/>
      <c r="AI135" s="4441"/>
      <c r="AJ135" s="4441"/>
      <c r="AK135" s="4441"/>
      <c r="AL135" s="4441"/>
      <c r="AM135" s="4441"/>
      <c r="AN135" s="4441"/>
      <c r="AO135" s="4441"/>
      <c r="AP135" s="4441"/>
      <c r="AQ135" s="4441"/>
      <c r="AR135" s="4441"/>
      <c r="AS135" s="4441"/>
      <c r="AT135" s="4441"/>
      <c r="AU135" s="4441"/>
      <c r="AV135" s="4441"/>
      <c r="AW135" s="4441"/>
      <c r="AX135" s="4441"/>
      <c r="AY135" s="4441"/>
      <c r="AZ135" s="4441"/>
      <c r="BA135" s="4441"/>
      <c r="BB135" s="4441"/>
      <c r="BC135" s="4441"/>
      <c r="BD135" s="4441"/>
      <c r="BE135" s="4441"/>
      <c r="BF135" s="4441"/>
      <c r="BG135" s="4441"/>
      <c r="BH135" s="4441"/>
      <c r="BI135" s="4310"/>
      <c r="BJ135" s="3983"/>
      <c r="BK135" s="4447"/>
      <c r="BL135" s="4447"/>
      <c r="BM135" s="3933"/>
      <c r="BN135" s="3983"/>
      <c r="BO135" s="3983"/>
      <c r="BP135" s="3983"/>
      <c r="BQ135" s="3094"/>
      <c r="BR135" s="3094"/>
      <c r="BS135" s="3094"/>
      <c r="BT135" s="3094"/>
      <c r="BU135" s="3983"/>
    </row>
    <row r="136" spans="1:73" ht="45" customHeight="1" x14ac:dyDescent="0.25">
      <c r="A136" s="2909"/>
      <c r="B136" s="2910"/>
      <c r="C136" s="279"/>
      <c r="D136" s="280"/>
      <c r="E136" s="4373"/>
      <c r="F136" s="4373"/>
      <c r="G136" s="2716"/>
      <c r="H136" s="2543"/>
      <c r="I136" s="2546"/>
      <c r="J136" s="2543"/>
      <c r="K136" s="2546"/>
      <c r="L136" s="2543"/>
      <c r="M136" s="2546"/>
      <c r="N136" s="2543"/>
      <c r="O136" s="2546"/>
      <c r="P136" s="2546"/>
      <c r="Q136" s="2546"/>
      <c r="R136" s="2543"/>
      <c r="S136" s="4444"/>
      <c r="T136" s="4442"/>
      <c r="U136" s="2930"/>
      <c r="V136" s="2936"/>
      <c r="W136" s="2930"/>
      <c r="X136" s="390">
        <v>10502403.280000001</v>
      </c>
      <c r="Y136" s="1040">
        <v>10502403.279999999</v>
      </c>
      <c r="Z136" s="347">
        <v>10502403.279999999</v>
      </c>
      <c r="AA136" s="271" t="s">
        <v>1492</v>
      </c>
      <c r="AB136" s="1043">
        <v>84</v>
      </c>
      <c r="AC136" s="1042" t="s">
        <v>1458</v>
      </c>
      <c r="AD136" s="4441"/>
      <c r="AE136" s="4441"/>
      <c r="AF136" s="4441"/>
      <c r="AG136" s="4441"/>
      <c r="AH136" s="4441"/>
      <c r="AI136" s="4441"/>
      <c r="AJ136" s="4441"/>
      <c r="AK136" s="4441"/>
      <c r="AL136" s="4441"/>
      <c r="AM136" s="4441"/>
      <c r="AN136" s="4441"/>
      <c r="AO136" s="4441"/>
      <c r="AP136" s="4441"/>
      <c r="AQ136" s="4441"/>
      <c r="AR136" s="4441"/>
      <c r="AS136" s="4441"/>
      <c r="AT136" s="4441"/>
      <c r="AU136" s="4441"/>
      <c r="AV136" s="4441"/>
      <c r="AW136" s="4441"/>
      <c r="AX136" s="4441"/>
      <c r="AY136" s="4441"/>
      <c r="AZ136" s="4441"/>
      <c r="BA136" s="4441"/>
      <c r="BB136" s="4441"/>
      <c r="BC136" s="4441"/>
      <c r="BD136" s="4441"/>
      <c r="BE136" s="4441"/>
      <c r="BF136" s="4441"/>
      <c r="BG136" s="4441"/>
      <c r="BH136" s="4441"/>
      <c r="BI136" s="4310"/>
      <c r="BJ136" s="3983"/>
      <c r="BK136" s="4447"/>
      <c r="BL136" s="4447"/>
      <c r="BM136" s="3933"/>
      <c r="BN136" s="3983"/>
      <c r="BO136" s="3983"/>
      <c r="BP136" s="3983"/>
      <c r="BQ136" s="3094"/>
      <c r="BR136" s="3094"/>
      <c r="BS136" s="3094"/>
      <c r="BT136" s="3094"/>
      <c r="BU136" s="3983"/>
    </row>
    <row r="137" spans="1:73" ht="45" customHeight="1" x14ac:dyDescent="0.25">
      <c r="A137" s="2909"/>
      <c r="B137" s="2910"/>
      <c r="C137" s="279"/>
      <c r="D137" s="280"/>
      <c r="E137" s="4373"/>
      <c r="F137" s="4373"/>
      <c r="G137" s="2716"/>
      <c r="H137" s="2543"/>
      <c r="I137" s="2546"/>
      <c r="J137" s="2543"/>
      <c r="K137" s="2546"/>
      <c r="L137" s="2543"/>
      <c r="M137" s="2546"/>
      <c r="N137" s="2543"/>
      <c r="O137" s="2546"/>
      <c r="P137" s="2546"/>
      <c r="Q137" s="2546"/>
      <c r="R137" s="2543"/>
      <c r="S137" s="4444"/>
      <c r="T137" s="4442"/>
      <c r="U137" s="2930"/>
      <c r="V137" s="2936"/>
      <c r="W137" s="2930"/>
      <c r="X137" s="390">
        <v>164408.63</v>
      </c>
      <c r="Y137" s="1044">
        <f>+X137</f>
        <v>164408.63</v>
      </c>
      <c r="Z137" s="995">
        <v>164408.63</v>
      </c>
      <c r="AA137" s="271" t="s">
        <v>1493</v>
      </c>
      <c r="AB137" s="1043">
        <v>202</v>
      </c>
      <c r="AC137" s="1042" t="s">
        <v>1460</v>
      </c>
      <c r="AD137" s="4441"/>
      <c r="AE137" s="4441"/>
      <c r="AF137" s="4441"/>
      <c r="AG137" s="4441"/>
      <c r="AH137" s="4441"/>
      <c r="AI137" s="4441"/>
      <c r="AJ137" s="4441"/>
      <c r="AK137" s="4441"/>
      <c r="AL137" s="4441"/>
      <c r="AM137" s="4441"/>
      <c r="AN137" s="4441"/>
      <c r="AO137" s="4441"/>
      <c r="AP137" s="4441"/>
      <c r="AQ137" s="4441"/>
      <c r="AR137" s="4441"/>
      <c r="AS137" s="4441"/>
      <c r="AT137" s="4441"/>
      <c r="AU137" s="4441"/>
      <c r="AV137" s="4441"/>
      <c r="AW137" s="4441"/>
      <c r="AX137" s="4441"/>
      <c r="AY137" s="4441"/>
      <c r="AZ137" s="4441"/>
      <c r="BA137" s="4441"/>
      <c r="BB137" s="4441"/>
      <c r="BC137" s="4441"/>
      <c r="BD137" s="4441"/>
      <c r="BE137" s="4441"/>
      <c r="BF137" s="4441"/>
      <c r="BG137" s="4441"/>
      <c r="BH137" s="4441"/>
      <c r="BI137" s="4310"/>
      <c r="BJ137" s="3983"/>
      <c r="BK137" s="4447"/>
      <c r="BL137" s="4447"/>
      <c r="BM137" s="3933"/>
      <c r="BN137" s="3983"/>
      <c r="BO137" s="3983"/>
      <c r="BP137" s="3983"/>
      <c r="BQ137" s="3094"/>
      <c r="BR137" s="3094"/>
      <c r="BS137" s="3094"/>
      <c r="BT137" s="3094"/>
      <c r="BU137" s="3983"/>
    </row>
    <row r="138" spans="1:73" ht="45" customHeight="1" x14ac:dyDescent="0.25">
      <c r="A138" s="2909"/>
      <c r="B138" s="2910"/>
      <c r="C138" s="279"/>
      <c r="D138" s="280"/>
      <c r="E138" s="4373"/>
      <c r="F138" s="4373"/>
      <c r="G138" s="2716"/>
      <c r="H138" s="2543"/>
      <c r="I138" s="2546"/>
      <c r="J138" s="2543"/>
      <c r="K138" s="2546"/>
      <c r="L138" s="2543"/>
      <c r="M138" s="2546"/>
      <c r="N138" s="2543"/>
      <c r="O138" s="2546"/>
      <c r="P138" s="2546"/>
      <c r="Q138" s="2546"/>
      <c r="R138" s="2543"/>
      <c r="S138" s="4444"/>
      <c r="T138" s="4442"/>
      <c r="U138" s="2930"/>
      <c r="V138" s="2936"/>
      <c r="W138" s="2930" t="s">
        <v>1494</v>
      </c>
      <c r="X138" s="390">
        <v>566146094.99000001</v>
      </c>
      <c r="Y138" s="1040">
        <v>346454134.44</v>
      </c>
      <c r="Z138" s="347">
        <v>346454134.44</v>
      </c>
      <c r="AA138" s="271" t="s">
        <v>1455</v>
      </c>
      <c r="AB138" s="1041">
        <v>6</v>
      </c>
      <c r="AC138" s="1042" t="s">
        <v>1456</v>
      </c>
      <c r="AD138" s="4441"/>
      <c r="AE138" s="4441"/>
      <c r="AF138" s="4441"/>
      <c r="AG138" s="4441"/>
      <c r="AH138" s="4441"/>
      <c r="AI138" s="4441"/>
      <c r="AJ138" s="4441"/>
      <c r="AK138" s="4441"/>
      <c r="AL138" s="4441"/>
      <c r="AM138" s="4441"/>
      <c r="AN138" s="4441"/>
      <c r="AO138" s="4441"/>
      <c r="AP138" s="4441"/>
      <c r="AQ138" s="4441"/>
      <c r="AR138" s="4441"/>
      <c r="AS138" s="4441"/>
      <c r="AT138" s="4441"/>
      <c r="AU138" s="4441"/>
      <c r="AV138" s="4441"/>
      <c r="AW138" s="4441"/>
      <c r="AX138" s="4441"/>
      <c r="AY138" s="4441"/>
      <c r="AZ138" s="4441"/>
      <c r="BA138" s="4441"/>
      <c r="BB138" s="4441"/>
      <c r="BC138" s="4441"/>
      <c r="BD138" s="4441"/>
      <c r="BE138" s="4441"/>
      <c r="BF138" s="4441"/>
      <c r="BG138" s="4441"/>
      <c r="BH138" s="4441"/>
      <c r="BI138" s="4310"/>
      <c r="BJ138" s="3983"/>
      <c r="BK138" s="4447"/>
      <c r="BL138" s="4447"/>
      <c r="BM138" s="3933"/>
      <c r="BN138" s="3983"/>
      <c r="BO138" s="3983"/>
      <c r="BP138" s="3983"/>
      <c r="BQ138" s="3094"/>
      <c r="BR138" s="3094"/>
      <c r="BS138" s="3094"/>
      <c r="BT138" s="3094"/>
      <c r="BU138" s="3983"/>
    </row>
    <row r="139" spans="1:73" ht="45" customHeight="1" x14ac:dyDescent="0.25">
      <c r="A139" s="2909"/>
      <c r="B139" s="2910"/>
      <c r="C139" s="279"/>
      <c r="D139" s="280"/>
      <c r="E139" s="4373"/>
      <c r="F139" s="4373"/>
      <c r="G139" s="2716"/>
      <c r="H139" s="2543"/>
      <c r="I139" s="2546"/>
      <c r="J139" s="2543"/>
      <c r="K139" s="2546"/>
      <c r="L139" s="2543"/>
      <c r="M139" s="2546"/>
      <c r="N139" s="2543"/>
      <c r="O139" s="2546"/>
      <c r="P139" s="2546"/>
      <c r="Q139" s="2546"/>
      <c r="R139" s="2543"/>
      <c r="S139" s="4444"/>
      <c r="T139" s="4442"/>
      <c r="U139" s="2930"/>
      <c r="V139" s="2936"/>
      <c r="W139" s="2930"/>
      <c r="X139" s="390">
        <v>86298796.059999943</v>
      </c>
      <c r="Y139" s="1045">
        <v>86298796.060000002</v>
      </c>
      <c r="Z139" s="1002">
        <v>86298796.060000002</v>
      </c>
      <c r="AA139" s="271" t="s">
        <v>1457</v>
      </c>
      <c r="AB139" s="1043">
        <v>84</v>
      </c>
      <c r="AC139" s="1042" t="s">
        <v>1458</v>
      </c>
      <c r="AD139" s="4441"/>
      <c r="AE139" s="4441"/>
      <c r="AF139" s="4441"/>
      <c r="AG139" s="4441"/>
      <c r="AH139" s="4441"/>
      <c r="AI139" s="4441"/>
      <c r="AJ139" s="4441"/>
      <c r="AK139" s="4441"/>
      <c r="AL139" s="4441"/>
      <c r="AM139" s="4441"/>
      <c r="AN139" s="4441"/>
      <c r="AO139" s="4441"/>
      <c r="AP139" s="4441"/>
      <c r="AQ139" s="4441"/>
      <c r="AR139" s="4441"/>
      <c r="AS139" s="4441"/>
      <c r="AT139" s="4441"/>
      <c r="AU139" s="4441"/>
      <c r="AV139" s="4441"/>
      <c r="AW139" s="4441"/>
      <c r="AX139" s="4441"/>
      <c r="AY139" s="4441"/>
      <c r="AZ139" s="4441"/>
      <c r="BA139" s="4441"/>
      <c r="BB139" s="4441"/>
      <c r="BC139" s="4441"/>
      <c r="BD139" s="4441"/>
      <c r="BE139" s="4441"/>
      <c r="BF139" s="4441"/>
      <c r="BG139" s="4441"/>
      <c r="BH139" s="4441"/>
      <c r="BI139" s="4310"/>
      <c r="BJ139" s="3983"/>
      <c r="BK139" s="4447"/>
      <c r="BL139" s="4447"/>
      <c r="BM139" s="3933"/>
      <c r="BN139" s="3983"/>
      <c r="BO139" s="3983"/>
      <c r="BP139" s="3983"/>
      <c r="BQ139" s="3094"/>
      <c r="BR139" s="3094"/>
      <c r="BS139" s="3094"/>
      <c r="BT139" s="3094"/>
      <c r="BU139" s="3983"/>
    </row>
    <row r="140" spans="1:73" ht="45" customHeight="1" x14ac:dyDescent="0.25">
      <c r="A140" s="2909"/>
      <c r="B140" s="2910"/>
      <c r="C140" s="279"/>
      <c r="D140" s="280"/>
      <c r="E140" s="4373"/>
      <c r="F140" s="4373"/>
      <c r="G140" s="2716"/>
      <c r="H140" s="2543"/>
      <c r="I140" s="2546"/>
      <c r="J140" s="2543"/>
      <c r="K140" s="2546"/>
      <c r="L140" s="2543"/>
      <c r="M140" s="2546"/>
      <c r="N140" s="2543"/>
      <c r="O140" s="2546"/>
      <c r="P140" s="2546"/>
      <c r="Q140" s="2546"/>
      <c r="R140" s="2543"/>
      <c r="S140" s="4444"/>
      <c r="T140" s="4442"/>
      <c r="U140" s="2930"/>
      <c r="V140" s="2936"/>
      <c r="W140" s="2930"/>
      <c r="X140" s="390">
        <v>115326665</v>
      </c>
      <c r="Y140" s="1046">
        <v>115326655</v>
      </c>
      <c r="Z140" s="390">
        <v>115326655</v>
      </c>
      <c r="AA140" s="271" t="s">
        <v>1459</v>
      </c>
      <c r="AB140" s="1043">
        <v>202</v>
      </c>
      <c r="AC140" s="1042" t="s">
        <v>1460</v>
      </c>
      <c r="AD140" s="4441"/>
      <c r="AE140" s="4441"/>
      <c r="AF140" s="4441"/>
      <c r="AG140" s="4441"/>
      <c r="AH140" s="4441"/>
      <c r="AI140" s="4441"/>
      <c r="AJ140" s="4441"/>
      <c r="AK140" s="4441"/>
      <c r="AL140" s="4441"/>
      <c r="AM140" s="4441"/>
      <c r="AN140" s="4441"/>
      <c r="AO140" s="4441"/>
      <c r="AP140" s="4441"/>
      <c r="AQ140" s="4441"/>
      <c r="AR140" s="4441"/>
      <c r="AS140" s="4441"/>
      <c r="AT140" s="4441"/>
      <c r="AU140" s="4441"/>
      <c r="AV140" s="4441"/>
      <c r="AW140" s="4441"/>
      <c r="AX140" s="4441"/>
      <c r="AY140" s="4441"/>
      <c r="AZ140" s="4441"/>
      <c r="BA140" s="4441"/>
      <c r="BB140" s="4441"/>
      <c r="BC140" s="4441"/>
      <c r="BD140" s="4441"/>
      <c r="BE140" s="4441"/>
      <c r="BF140" s="4441"/>
      <c r="BG140" s="4441"/>
      <c r="BH140" s="4441"/>
      <c r="BI140" s="4310"/>
      <c r="BJ140" s="3983"/>
      <c r="BK140" s="4447"/>
      <c r="BL140" s="4447"/>
      <c r="BM140" s="3933"/>
      <c r="BN140" s="3983"/>
      <c r="BO140" s="3983"/>
      <c r="BP140" s="3983"/>
      <c r="BQ140" s="3094"/>
      <c r="BR140" s="3094"/>
      <c r="BS140" s="3094"/>
      <c r="BT140" s="3094"/>
      <c r="BU140" s="3983"/>
    </row>
    <row r="141" spans="1:73" ht="45" customHeight="1" x14ac:dyDescent="0.25">
      <c r="A141" s="2909"/>
      <c r="B141" s="2910"/>
      <c r="C141" s="279"/>
      <c r="D141" s="280"/>
      <c r="E141" s="4373"/>
      <c r="F141" s="4373"/>
      <c r="G141" s="2716"/>
      <c r="H141" s="2543"/>
      <c r="I141" s="2546"/>
      <c r="J141" s="2543"/>
      <c r="K141" s="2546"/>
      <c r="L141" s="2543"/>
      <c r="M141" s="2546"/>
      <c r="N141" s="2543"/>
      <c r="O141" s="2546"/>
      <c r="P141" s="2546"/>
      <c r="Q141" s="2546"/>
      <c r="R141" s="2543"/>
      <c r="S141" s="4444"/>
      <c r="T141" s="4442"/>
      <c r="U141" s="2930"/>
      <c r="V141" s="2936"/>
      <c r="W141" s="2930"/>
      <c r="X141" s="390">
        <v>647613993.74000001</v>
      </c>
      <c r="Y141" s="1040">
        <v>507729699.55999994</v>
      </c>
      <c r="Z141" s="347">
        <v>507729699.55999994</v>
      </c>
      <c r="AA141" s="271" t="s">
        <v>1461</v>
      </c>
      <c r="AB141" s="1041">
        <v>6</v>
      </c>
      <c r="AC141" s="1042" t="s">
        <v>1456</v>
      </c>
      <c r="AD141" s="4441"/>
      <c r="AE141" s="4441"/>
      <c r="AF141" s="4441"/>
      <c r="AG141" s="4441"/>
      <c r="AH141" s="4441"/>
      <c r="AI141" s="4441"/>
      <c r="AJ141" s="4441"/>
      <c r="AK141" s="4441"/>
      <c r="AL141" s="4441"/>
      <c r="AM141" s="4441"/>
      <c r="AN141" s="4441"/>
      <c r="AO141" s="4441"/>
      <c r="AP141" s="4441"/>
      <c r="AQ141" s="4441"/>
      <c r="AR141" s="4441"/>
      <c r="AS141" s="4441"/>
      <c r="AT141" s="4441"/>
      <c r="AU141" s="4441"/>
      <c r="AV141" s="4441"/>
      <c r="AW141" s="4441"/>
      <c r="AX141" s="4441"/>
      <c r="AY141" s="4441"/>
      <c r="AZ141" s="4441"/>
      <c r="BA141" s="4441"/>
      <c r="BB141" s="4441"/>
      <c r="BC141" s="4441"/>
      <c r="BD141" s="4441"/>
      <c r="BE141" s="4441"/>
      <c r="BF141" s="4441"/>
      <c r="BG141" s="4441"/>
      <c r="BH141" s="4441"/>
      <c r="BI141" s="4310"/>
      <c r="BJ141" s="3983"/>
      <c r="BK141" s="4447"/>
      <c r="BL141" s="4447"/>
      <c r="BM141" s="3933"/>
      <c r="BN141" s="3983"/>
      <c r="BO141" s="3983"/>
      <c r="BP141" s="3983"/>
      <c r="BQ141" s="3094"/>
      <c r="BR141" s="3094"/>
      <c r="BS141" s="3094"/>
      <c r="BT141" s="3094"/>
      <c r="BU141" s="3983"/>
    </row>
    <row r="142" spans="1:73" ht="45" customHeight="1" x14ac:dyDescent="0.25">
      <c r="A142" s="2909"/>
      <c r="B142" s="2910"/>
      <c r="C142" s="279"/>
      <c r="D142" s="280"/>
      <c r="E142" s="4373"/>
      <c r="F142" s="4373"/>
      <c r="G142" s="2716"/>
      <c r="H142" s="2543"/>
      <c r="I142" s="2546"/>
      <c r="J142" s="2543"/>
      <c r="K142" s="2546"/>
      <c r="L142" s="2543"/>
      <c r="M142" s="2546"/>
      <c r="N142" s="2543"/>
      <c r="O142" s="2546"/>
      <c r="P142" s="2546"/>
      <c r="Q142" s="2546"/>
      <c r="R142" s="2543"/>
      <c r="S142" s="4444"/>
      <c r="T142" s="4442"/>
      <c r="U142" s="2930"/>
      <c r="V142" s="2936"/>
      <c r="W142" s="2930"/>
      <c r="X142" s="390">
        <v>102024354.47000003</v>
      </c>
      <c r="Y142" s="1040">
        <v>102024354.47</v>
      </c>
      <c r="Z142" s="347">
        <v>102024354.47</v>
      </c>
      <c r="AA142" s="271" t="s">
        <v>1462</v>
      </c>
      <c r="AB142" s="1043">
        <v>84</v>
      </c>
      <c r="AC142" s="1042" t="s">
        <v>1458</v>
      </c>
      <c r="AD142" s="4441"/>
      <c r="AE142" s="4441"/>
      <c r="AF142" s="4441"/>
      <c r="AG142" s="4441"/>
      <c r="AH142" s="4441"/>
      <c r="AI142" s="4441"/>
      <c r="AJ142" s="4441"/>
      <c r="AK142" s="4441"/>
      <c r="AL142" s="4441"/>
      <c r="AM142" s="4441"/>
      <c r="AN142" s="4441"/>
      <c r="AO142" s="4441"/>
      <c r="AP142" s="4441"/>
      <c r="AQ142" s="4441"/>
      <c r="AR142" s="4441"/>
      <c r="AS142" s="4441"/>
      <c r="AT142" s="4441"/>
      <c r="AU142" s="4441"/>
      <c r="AV142" s="4441"/>
      <c r="AW142" s="4441"/>
      <c r="AX142" s="4441"/>
      <c r="AY142" s="4441"/>
      <c r="AZ142" s="4441"/>
      <c r="BA142" s="4441"/>
      <c r="BB142" s="4441"/>
      <c r="BC142" s="4441"/>
      <c r="BD142" s="4441"/>
      <c r="BE142" s="4441"/>
      <c r="BF142" s="4441"/>
      <c r="BG142" s="4441"/>
      <c r="BH142" s="4441"/>
      <c r="BI142" s="4310"/>
      <c r="BJ142" s="3983"/>
      <c r="BK142" s="4447"/>
      <c r="BL142" s="4447"/>
      <c r="BM142" s="3933"/>
      <c r="BN142" s="3983"/>
      <c r="BO142" s="3983"/>
      <c r="BP142" s="3983"/>
      <c r="BQ142" s="3094"/>
      <c r="BR142" s="3094"/>
      <c r="BS142" s="3094"/>
      <c r="BT142" s="3094"/>
      <c r="BU142" s="3983"/>
    </row>
    <row r="143" spans="1:73" ht="45" customHeight="1" x14ac:dyDescent="0.25">
      <c r="A143" s="2909"/>
      <c r="B143" s="2910"/>
      <c r="C143" s="279"/>
      <c r="D143" s="280"/>
      <c r="E143" s="4373"/>
      <c r="F143" s="4373"/>
      <c r="G143" s="2716"/>
      <c r="H143" s="2543"/>
      <c r="I143" s="2546"/>
      <c r="J143" s="2543"/>
      <c r="K143" s="2546"/>
      <c r="L143" s="2543"/>
      <c r="M143" s="2546"/>
      <c r="N143" s="2543"/>
      <c r="O143" s="2546"/>
      <c r="P143" s="2546"/>
      <c r="Q143" s="2546"/>
      <c r="R143" s="2543"/>
      <c r="S143" s="4444"/>
      <c r="T143" s="4442"/>
      <c r="U143" s="2930"/>
      <c r="V143" s="2936"/>
      <c r="W143" s="2930"/>
      <c r="X143" s="390">
        <v>208494494.78999999</v>
      </c>
      <c r="Y143" s="1046">
        <f>+X143</f>
        <v>208494494.78999999</v>
      </c>
      <c r="Z143" s="390">
        <v>208494494.78999999</v>
      </c>
      <c r="AA143" s="271" t="s">
        <v>1463</v>
      </c>
      <c r="AB143" s="1043">
        <v>202</v>
      </c>
      <c r="AC143" s="1042" t="s">
        <v>1460</v>
      </c>
      <c r="AD143" s="4441"/>
      <c r="AE143" s="4441"/>
      <c r="AF143" s="4441"/>
      <c r="AG143" s="4441"/>
      <c r="AH143" s="4441"/>
      <c r="AI143" s="4441"/>
      <c r="AJ143" s="4441"/>
      <c r="AK143" s="4441"/>
      <c r="AL143" s="4441"/>
      <c r="AM143" s="4441"/>
      <c r="AN143" s="4441"/>
      <c r="AO143" s="4441"/>
      <c r="AP143" s="4441"/>
      <c r="AQ143" s="4441"/>
      <c r="AR143" s="4441"/>
      <c r="AS143" s="4441"/>
      <c r="AT143" s="4441"/>
      <c r="AU143" s="4441"/>
      <c r="AV143" s="4441"/>
      <c r="AW143" s="4441"/>
      <c r="AX143" s="4441"/>
      <c r="AY143" s="4441"/>
      <c r="AZ143" s="4441"/>
      <c r="BA143" s="4441"/>
      <c r="BB143" s="4441"/>
      <c r="BC143" s="4441"/>
      <c r="BD143" s="4441"/>
      <c r="BE143" s="4441"/>
      <c r="BF143" s="4441"/>
      <c r="BG143" s="4441"/>
      <c r="BH143" s="4441"/>
      <c r="BI143" s="4310"/>
      <c r="BJ143" s="3983"/>
      <c r="BK143" s="4447"/>
      <c r="BL143" s="4447"/>
      <c r="BM143" s="3933"/>
      <c r="BN143" s="3983"/>
      <c r="BO143" s="3983"/>
      <c r="BP143" s="3983"/>
      <c r="BQ143" s="3094"/>
      <c r="BR143" s="3094"/>
      <c r="BS143" s="3094"/>
      <c r="BT143" s="3094"/>
      <c r="BU143" s="3983"/>
    </row>
    <row r="144" spans="1:73" ht="45" customHeight="1" x14ac:dyDescent="0.25">
      <c r="A144" s="2909"/>
      <c r="B144" s="2910"/>
      <c r="C144" s="279"/>
      <c r="D144" s="280"/>
      <c r="E144" s="4373"/>
      <c r="F144" s="4373"/>
      <c r="G144" s="2716"/>
      <c r="H144" s="2543"/>
      <c r="I144" s="2546"/>
      <c r="J144" s="2543"/>
      <c r="K144" s="2546"/>
      <c r="L144" s="2543"/>
      <c r="M144" s="2546"/>
      <c r="N144" s="2543"/>
      <c r="O144" s="2546"/>
      <c r="P144" s="2546"/>
      <c r="Q144" s="2546"/>
      <c r="R144" s="2543"/>
      <c r="S144" s="4444"/>
      <c r="T144" s="4442"/>
      <c r="U144" s="2930"/>
      <c r="V144" s="2936"/>
      <c r="W144" s="2930"/>
      <c r="X144" s="390">
        <v>77621028.480000004</v>
      </c>
      <c r="Y144" s="1040">
        <v>35797803.109999999</v>
      </c>
      <c r="Z144" s="347">
        <v>35797803.109999999</v>
      </c>
      <c r="AA144" s="271" t="s">
        <v>1467</v>
      </c>
      <c r="AB144" s="1041">
        <v>6</v>
      </c>
      <c r="AC144" s="1042" t="s">
        <v>1456</v>
      </c>
      <c r="AD144" s="4441"/>
      <c r="AE144" s="4441"/>
      <c r="AF144" s="4441"/>
      <c r="AG144" s="4441"/>
      <c r="AH144" s="4441"/>
      <c r="AI144" s="4441"/>
      <c r="AJ144" s="4441"/>
      <c r="AK144" s="4441"/>
      <c r="AL144" s="4441"/>
      <c r="AM144" s="4441"/>
      <c r="AN144" s="4441"/>
      <c r="AO144" s="4441"/>
      <c r="AP144" s="4441"/>
      <c r="AQ144" s="4441"/>
      <c r="AR144" s="4441"/>
      <c r="AS144" s="4441"/>
      <c r="AT144" s="4441"/>
      <c r="AU144" s="4441"/>
      <c r="AV144" s="4441"/>
      <c r="AW144" s="4441"/>
      <c r="AX144" s="4441"/>
      <c r="AY144" s="4441"/>
      <c r="AZ144" s="4441"/>
      <c r="BA144" s="4441"/>
      <c r="BB144" s="4441"/>
      <c r="BC144" s="4441"/>
      <c r="BD144" s="4441"/>
      <c r="BE144" s="4441"/>
      <c r="BF144" s="4441"/>
      <c r="BG144" s="4441"/>
      <c r="BH144" s="4441"/>
      <c r="BI144" s="4310"/>
      <c r="BJ144" s="3983"/>
      <c r="BK144" s="4447"/>
      <c r="BL144" s="4447"/>
      <c r="BM144" s="3933"/>
      <c r="BN144" s="3983"/>
      <c r="BO144" s="3983"/>
      <c r="BP144" s="3983"/>
      <c r="BQ144" s="3094"/>
      <c r="BR144" s="3094"/>
      <c r="BS144" s="3094"/>
      <c r="BT144" s="3094"/>
      <c r="BU144" s="3983"/>
    </row>
    <row r="145" spans="1:93" ht="45" customHeight="1" x14ac:dyDescent="0.25">
      <c r="A145" s="2909"/>
      <c r="B145" s="2910"/>
      <c r="C145" s="279"/>
      <c r="D145" s="280"/>
      <c r="E145" s="4373"/>
      <c r="F145" s="4373"/>
      <c r="G145" s="2716"/>
      <c r="H145" s="2543"/>
      <c r="I145" s="2546"/>
      <c r="J145" s="2543"/>
      <c r="K145" s="2546"/>
      <c r="L145" s="2543"/>
      <c r="M145" s="2546"/>
      <c r="N145" s="2543"/>
      <c r="O145" s="2546"/>
      <c r="P145" s="2546"/>
      <c r="Q145" s="2546"/>
      <c r="R145" s="2543"/>
      <c r="S145" s="4444"/>
      <c r="T145" s="4442"/>
      <c r="U145" s="2930"/>
      <c r="V145" s="2936"/>
      <c r="W145" s="2930"/>
      <c r="X145" s="390">
        <v>11890056.349999994</v>
      </c>
      <c r="Y145" s="1040">
        <v>11890056.35</v>
      </c>
      <c r="Z145" s="347">
        <v>11890056.35</v>
      </c>
      <c r="AA145" s="271" t="s">
        <v>1468</v>
      </c>
      <c r="AB145" s="1043">
        <v>84</v>
      </c>
      <c r="AC145" s="1042" t="s">
        <v>1458</v>
      </c>
      <c r="AD145" s="4441"/>
      <c r="AE145" s="4441"/>
      <c r="AF145" s="4441"/>
      <c r="AG145" s="4441"/>
      <c r="AH145" s="4441"/>
      <c r="AI145" s="4441"/>
      <c r="AJ145" s="4441"/>
      <c r="AK145" s="4441"/>
      <c r="AL145" s="4441"/>
      <c r="AM145" s="4441"/>
      <c r="AN145" s="4441"/>
      <c r="AO145" s="4441"/>
      <c r="AP145" s="4441"/>
      <c r="AQ145" s="4441"/>
      <c r="AR145" s="4441"/>
      <c r="AS145" s="4441"/>
      <c r="AT145" s="4441"/>
      <c r="AU145" s="4441"/>
      <c r="AV145" s="4441"/>
      <c r="AW145" s="4441"/>
      <c r="AX145" s="4441"/>
      <c r="AY145" s="4441"/>
      <c r="AZ145" s="4441"/>
      <c r="BA145" s="4441"/>
      <c r="BB145" s="4441"/>
      <c r="BC145" s="4441"/>
      <c r="BD145" s="4441"/>
      <c r="BE145" s="4441"/>
      <c r="BF145" s="4441"/>
      <c r="BG145" s="4441"/>
      <c r="BH145" s="4441"/>
      <c r="BI145" s="4310"/>
      <c r="BJ145" s="3983"/>
      <c r="BK145" s="4447"/>
      <c r="BL145" s="4447"/>
      <c r="BM145" s="3933"/>
      <c r="BN145" s="3983"/>
      <c r="BO145" s="3983"/>
      <c r="BP145" s="3983"/>
      <c r="BQ145" s="3094"/>
      <c r="BR145" s="3094"/>
      <c r="BS145" s="3094"/>
      <c r="BT145" s="3094"/>
      <c r="BU145" s="3983"/>
    </row>
    <row r="146" spans="1:93" ht="45" customHeight="1" x14ac:dyDescent="0.25">
      <c r="A146" s="2909"/>
      <c r="B146" s="2910"/>
      <c r="C146" s="279"/>
      <c r="D146" s="280"/>
      <c r="E146" s="4373"/>
      <c r="F146" s="4373"/>
      <c r="G146" s="2716"/>
      <c r="H146" s="2543"/>
      <c r="I146" s="2546"/>
      <c r="J146" s="2543"/>
      <c r="K146" s="2546"/>
      <c r="L146" s="2543"/>
      <c r="M146" s="2546"/>
      <c r="N146" s="2543"/>
      <c r="O146" s="2546"/>
      <c r="P146" s="2546"/>
      <c r="Q146" s="2546"/>
      <c r="R146" s="2543"/>
      <c r="S146" s="4444"/>
      <c r="T146" s="4442"/>
      <c r="U146" s="2930"/>
      <c r="V146" s="2936"/>
      <c r="W146" s="2930"/>
      <c r="X146" s="390">
        <v>13597467.050000001</v>
      </c>
      <c r="Y146" s="1046">
        <f>+X146</f>
        <v>13597467.050000001</v>
      </c>
      <c r="Z146" s="390">
        <v>13597467.050000001</v>
      </c>
      <c r="AA146" s="271" t="s">
        <v>1469</v>
      </c>
      <c r="AB146" s="1043">
        <v>202</v>
      </c>
      <c r="AC146" s="1042" t="s">
        <v>1460</v>
      </c>
      <c r="AD146" s="4441"/>
      <c r="AE146" s="4441"/>
      <c r="AF146" s="4441"/>
      <c r="AG146" s="4441"/>
      <c r="AH146" s="4441"/>
      <c r="AI146" s="4441"/>
      <c r="AJ146" s="4441"/>
      <c r="AK146" s="4441"/>
      <c r="AL146" s="4441"/>
      <c r="AM146" s="4441"/>
      <c r="AN146" s="4441"/>
      <c r="AO146" s="4441"/>
      <c r="AP146" s="4441"/>
      <c r="AQ146" s="4441"/>
      <c r="AR146" s="4441"/>
      <c r="AS146" s="4441"/>
      <c r="AT146" s="4441"/>
      <c r="AU146" s="4441"/>
      <c r="AV146" s="4441"/>
      <c r="AW146" s="4441"/>
      <c r="AX146" s="4441"/>
      <c r="AY146" s="4441"/>
      <c r="AZ146" s="4441"/>
      <c r="BA146" s="4441"/>
      <c r="BB146" s="4441"/>
      <c r="BC146" s="4441"/>
      <c r="BD146" s="4441"/>
      <c r="BE146" s="4441"/>
      <c r="BF146" s="4441"/>
      <c r="BG146" s="4441"/>
      <c r="BH146" s="4441"/>
      <c r="BI146" s="4310"/>
      <c r="BJ146" s="3983"/>
      <c r="BK146" s="4447"/>
      <c r="BL146" s="4447"/>
      <c r="BM146" s="3933"/>
      <c r="BN146" s="3983"/>
      <c r="BO146" s="3983"/>
      <c r="BP146" s="3983"/>
      <c r="BQ146" s="3094"/>
      <c r="BR146" s="3094"/>
      <c r="BS146" s="3094"/>
      <c r="BT146" s="3094"/>
      <c r="BU146" s="3983"/>
    </row>
    <row r="147" spans="1:93" ht="45" customHeight="1" x14ac:dyDescent="0.25">
      <c r="A147" s="2909"/>
      <c r="B147" s="2910"/>
      <c r="C147" s="279"/>
      <c r="D147" s="280"/>
      <c r="E147" s="4373"/>
      <c r="F147" s="4373"/>
      <c r="G147" s="2716"/>
      <c r="H147" s="2543"/>
      <c r="I147" s="2546"/>
      <c r="J147" s="2543"/>
      <c r="K147" s="2546"/>
      <c r="L147" s="2543"/>
      <c r="M147" s="2546"/>
      <c r="N147" s="2543"/>
      <c r="O147" s="2546"/>
      <c r="P147" s="2546"/>
      <c r="Q147" s="2546"/>
      <c r="R147" s="2543"/>
      <c r="S147" s="4444"/>
      <c r="T147" s="4442"/>
      <c r="U147" s="2930"/>
      <c r="V147" s="2936"/>
      <c r="W147" s="2930"/>
      <c r="X147" s="390">
        <v>137635783.34</v>
      </c>
      <c r="Y147" s="1040">
        <v>83818566.920000002</v>
      </c>
      <c r="Z147" s="347">
        <v>83818566.920000002</v>
      </c>
      <c r="AA147" s="271" t="s">
        <v>1473</v>
      </c>
      <c r="AB147" s="1041">
        <v>6</v>
      </c>
      <c r="AC147" s="1042" t="s">
        <v>1456</v>
      </c>
      <c r="AD147" s="4441"/>
      <c r="AE147" s="4441"/>
      <c r="AF147" s="4441"/>
      <c r="AG147" s="4441"/>
      <c r="AH147" s="4441"/>
      <c r="AI147" s="4441"/>
      <c r="AJ147" s="4441"/>
      <c r="AK147" s="4441"/>
      <c r="AL147" s="4441"/>
      <c r="AM147" s="4441"/>
      <c r="AN147" s="4441"/>
      <c r="AO147" s="4441"/>
      <c r="AP147" s="4441"/>
      <c r="AQ147" s="4441"/>
      <c r="AR147" s="4441"/>
      <c r="AS147" s="4441"/>
      <c r="AT147" s="4441"/>
      <c r="AU147" s="4441"/>
      <c r="AV147" s="4441"/>
      <c r="AW147" s="4441"/>
      <c r="AX147" s="4441"/>
      <c r="AY147" s="4441"/>
      <c r="AZ147" s="4441"/>
      <c r="BA147" s="4441"/>
      <c r="BB147" s="4441"/>
      <c r="BC147" s="4441"/>
      <c r="BD147" s="4441"/>
      <c r="BE147" s="4441"/>
      <c r="BF147" s="4441"/>
      <c r="BG147" s="4441"/>
      <c r="BH147" s="4441"/>
      <c r="BI147" s="4310"/>
      <c r="BJ147" s="3983"/>
      <c r="BK147" s="4447"/>
      <c r="BL147" s="4447"/>
      <c r="BM147" s="3933"/>
      <c r="BN147" s="3983"/>
      <c r="BO147" s="3983"/>
      <c r="BP147" s="3983"/>
      <c r="BQ147" s="3094"/>
      <c r="BR147" s="3094"/>
      <c r="BS147" s="3094"/>
      <c r="BT147" s="3094"/>
      <c r="BU147" s="3983"/>
    </row>
    <row r="148" spans="1:93" ht="45" customHeight="1" x14ac:dyDescent="0.25">
      <c r="A148" s="2909"/>
      <c r="B148" s="2910"/>
      <c r="C148" s="279"/>
      <c r="D148" s="280"/>
      <c r="E148" s="4373"/>
      <c r="F148" s="4373"/>
      <c r="G148" s="2716"/>
      <c r="H148" s="2543"/>
      <c r="I148" s="2546"/>
      <c r="J148" s="2543"/>
      <c r="K148" s="2546"/>
      <c r="L148" s="2543"/>
      <c r="M148" s="2546"/>
      <c r="N148" s="2543"/>
      <c r="O148" s="2546"/>
      <c r="P148" s="2546"/>
      <c r="Q148" s="2546"/>
      <c r="R148" s="2543"/>
      <c r="S148" s="4444"/>
      <c r="T148" s="4442"/>
      <c r="U148" s="2930"/>
      <c r="V148" s="2936"/>
      <c r="W148" s="2930"/>
      <c r="X148" s="390">
        <v>21095261.25999999</v>
      </c>
      <c r="Y148" s="1040">
        <v>21095261.260000002</v>
      </c>
      <c r="Z148" s="347">
        <v>21095261.260000002</v>
      </c>
      <c r="AA148" s="271" t="s">
        <v>1474</v>
      </c>
      <c r="AB148" s="1043">
        <v>84</v>
      </c>
      <c r="AC148" s="1042" t="s">
        <v>1458</v>
      </c>
      <c r="AD148" s="4441"/>
      <c r="AE148" s="4441"/>
      <c r="AF148" s="4441"/>
      <c r="AG148" s="4441"/>
      <c r="AH148" s="4441"/>
      <c r="AI148" s="4441"/>
      <c r="AJ148" s="4441"/>
      <c r="AK148" s="4441"/>
      <c r="AL148" s="4441"/>
      <c r="AM148" s="4441"/>
      <c r="AN148" s="4441"/>
      <c r="AO148" s="4441"/>
      <c r="AP148" s="4441"/>
      <c r="AQ148" s="4441"/>
      <c r="AR148" s="4441"/>
      <c r="AS148" s="4441"/>
      <c r="AT148" s="4441"/>
      <c r="AU148" s="4441"/>
      <c r="AV148" s="4441"/>
      <c r="AW148" s="4441"/>
      <c r="AX148" s="4441"/>
      <c r="AY148" s="4441"/>
      <c r="AZ148" s="4441"/>
      <c r="BA148" s="4441"/>
      <c r="BB148" s="4441"/>
      <c r="BC148" s="4441"/>
      <c r="BD148" s="4441"/>
      <c r="BE148" s="4441"/>
      <c r="BF148" s="4441"/>
      <c r="BG148" s="4441"/>
      <c r="BH148" s="4441"/>
      <c r="BI148" s="4310"/>
      <c r="BJ148" s="3983"/>
      <c r="BK148" s="4447"/>
      <c r="BL148" s="4447"/>
      <c r="BM148" s="3933"/>
      <c r="BN148" s="3983"/>
      <c r="BO148" s="3983"/>
      <c r="BP148" s="3983"/>
      <c r="BQ148" s="3094"/>
      <c r="BR148" s="3094"/>
      <c r="BS148" s="3094"/>
      <c r="BT148" s="3094"/>
      <c r="BU148" s="3983"/>
    </row>
    <row r="149" spans="1:93" ht="45" customHeight="1" x14ac:dyDescent="0.25">
      <c r="A149" s="2909"/>
      <c r="B149" s="2910"/>
      <c r="C149" s="279"/>
      <c r="D149" s="280"/>
      <c r="E149" s="4373"/>
      <c r="F149" s="4373"/>
      <c r="G149" s="2716"/>
      <c r="H149" s="2543"/>
      <c r="I149" s="2546"/>
      <c r="J149" s="2543"/>
      <c r="K149" s="2546"/>
      <c r="L149" s="2543"/>
      <c r="M149" s="2546"/>
      <c r="N149" s="2543"/>
      <c r="O149" s="2546"/>
      <c r="P149" s="2546"/>
      <c r="Q149" s="2546"/>
      <c r="R149" s="2543"/>
      <c r="S149" s="4444"/>
      <c r="T149" s="4442"/>
      <c r="U149" s="2930"/>
      <c r="V149" s="2936"/>
      <c r="W149" s="2930"/>
      <c r="X149" s="390">
        <v>27698544</v>
      </c>
      <c r="Y149" s="1046">
        <f>+X149</f>
        <v>27698544</v>
      </c>
      <c r="Z149" s="390">
        <v>27698544</v>
      </c>
      <c r="AA149" s="271" t="s">
        <v>1475</v>
      </c>
      <c r="AB149" s="1043">
        <v>202</v>
      </c>
      <c r="AC149" s="1042" t="s">
        <v>1460</v>
      </c>
      <c r="AD149" s="4441"/>
      <c r="AE149" s="4441"/>
      <c r="AF149" s="4441"/>
      <c r="AG149" s="4441"/>
      <c r="AH149" s="4441"/>
      <c r="AI149" s="4441"/>
      <c r="AJ149" s="4441"/>
      <c r="AK149" s="4441"/>
      <c r="AL149" s="4441"/>
      <c r="AM149" s="4441"/>
      <c r="AN149" s="4441"/>
      <c r="AO149" s="4441"/>
      <c r="AP149" s="4441"/>
      <c r="AQ149" s="4441"/>
      <c r="AR149" s="4441"/>
      <c r="AS149" s="4441"/>
      <c r="AT149" s="4441"/>
      <c r="AU149" s="4441"/>
      <c r="AV149" s="4441"/>
      <c r="AW149" s="4441"/>
      <c r="AX149" s="4441"/>
      <c r="AY149" s="4441"/>
      <c r="AZ149" s="4441"/>
      <c r="BA149" s="4441"/>
      <c r="BB149" s="4441"/>
      <c r="BC149" s="4441"/>
      <c r="BD149" s="4441"/>
      <c r="BE149" s="4441"/>
      <c r="BF149" s="4441"/>
      <c r="BG149" s="4441"/>
      <c r="BH149" s="4441"/>
      <c r="BI149" s="4310"/>
      <c r="BJ149" s="3983"/>
      <c r="BK149" s="4447"/>
      <c r="BL149" s="4447"/>
      <c r="BM149" s="3933"/>
      <c r="BN149" s="3983"/>
      <c r="BO149" s="3983"/>
      <c r="BP149" s="3983"/>
      <c r="BQ149" s="3094"/>
      <c r="BR149" s="3094"/>
      <c r="BS149" s="3094"/>
      <c r="BT149" s="3094"/>
      <c r="BU149" s="3983"/>
    </row>
    <row r="150" spans="1:93" ht="45" customHeight="1" x14ac:dyDescent="0.25">
      <c r="A150" s="2909"/>
      <c r="B150" s="2910"/>
      <c r="C150" s="279"/>
      <c r="D150" s="280"/>
      <c r="E150" s="4373"/>
      <c r="F150" s="4373"/>
      <c r="G150" s="2716"/>
      <c r="H150" s="2543"/>
      <c r="I150" s="2546"/>
      <c r="J150" s="2543"/>
      <c r="K150" s="2546"/>
      <c r="L150" s="2543"/>
      <c r="M150" s="2546"/>
      <c r="N150" s="2543"/>
      <c r="O150" s="2546"/>
      <c r="P150" s="2546"/>
      <c r="Q150" s="2546"/>
      <c r="R150" s="2543"/>
      <c r="S150" s="4444"/>
      <c r="T150" s="4442"/>
      <c r="U150" s="2930"/>
      <c r="V150" s="2936"/>
      <c r="W150" s="2930"/>
      <c r="X150" s="390">
        <v>288665881.10000002</v>
      </c>
      <c r="Y150" s="1040">
        <v>160529388.56</v>
      </c>
      <c r="Z150" s="347">
        <v>160529388.56</v>
      </c>
      <c r="AA150" s="271" t="s">
        <v>1476</v>
      </c>
      <c r="AB150" s="1041">
        <v>6</v>
      </c>
      <c r="AC150" s="1042" t="s">
        <v>1456</v>
      </c>
      <c r="AD150" s="4441"/>
      <c r="AE150" s="4441"/>
      <c r="AF150" s="4441"/>
      <c r="AG150" s="4441"/>
      <c r="AH150" s="4441"/>
      <c r="AI150" s="4441"/>
      <c r="AJ150" s="4441"/>
      <c r="AK150" s="4441"/>
      <c r="AL150" s="4441"/>
      <c r="AM150" s="4441"/>
      <c r="AN150" s="4441"/>
      <c r="AO150" s="4441"/>
      <c r="AP150" s="4441"/>
      <c r="AQ150" s="4441"/>
      <c r="AR150" s="4441"/>
      <c r="AS150" s="4441"/>
      <c r="AT150" s="4441"/>
      <c r="AU150" s="4441"/>
      <c r="AV150" s="4441"/>
      <c r="AW150" s="4441"/>
      <c r="AX150" s="4441"/>
      <c r="AY150" s="4441"/>
      <c r="AZ150" s="4441"/>
      <c r="BA150" s="4441"/>
      <c r="BB150" s="4441"/>
      <c r="BC150" s="4441"/>
      <c r="BD150" s="4441"/>
      <c r="BE150" s="4441"/>
      <c r="BF150" s="4441"/>
      <c r="BG150" s="4441"/>
      <c r="BH150" s="4441"/>
      <c r="BI150" s="4310"/>
      <c r="BJ150" s="3983"/>
      <c r="BK150" s="4447"/>
      <c r="BL150" s="4447"/>
      <c r="BM150" s="3933"/>
      <c r="BN150" s="3983"/>
      <c r="BO150" s="3983"/>
      <c r="BP150" s="3983"/>
      <c r="BQ150" s="3094"/>
      <c r="BR150" s="3094"/>
      <c r="BS150" s="3094"/>
      <c r="BT150" s="3094"/>
      <c r="BU150" s="3983"/>
    </row>
    <row r="151" spans="1:93" ht="45" customHeight="1" x14ac:dyDescent="0.25">
      <c r="A151" s="2909"/>
      <c r="B151" s="2910"/>
      <c r="C151" s="279"/>
      <c r="D151" s="280"/>
      <c r="E151" s="4373"/>
      <c r="F151" s="4373"/>
      <c r="G151" s="2716"/>
      <c r="H151" s="2543"/>
      <c r="I151" s="2546"/>
      <c r="J151" s="2543"/>
      <c r="K151" s="2546"/>
      <c r="L151" s="2543"/>
      <c r="M151" s="2546"/>
      <c r="N151" s="2543"/>
      <c r="O151" s="2546"/>
      <c r="P151" s="2546"/>
      <c r="Q151" s="2546"/>
      <c r="R151" s="2543"/>
      <c r="S151" s="4444"/>
      <c r="T151" s="4442"/>
      <c r="U151" s="2930"/>
      <c r="V151" s="2936"/>
      <c r="W151" s="2930"/>
      <c r="X151" s="390">
        <v>44108273.540000021</v>
      </c>
      <c r="Y151" s="1040">
        <v>44108273.539999999</v>
      </c>
      <c r="Z151" s="347">
        <v>44108273.539999999</v>
      </c>
      <c r="AA151" s="271" t="s">
        <v>1477</v>
      </c>
      <c r="AB151" s="1043">
        <v>84</v>
      </c>
      <c r="AC151" s="1042" t="s">
        <v>1458</v>
      </c>
      <c r="AD151" s="4441"/>
      <c r="AE151" s="4441"/>
      <c r="AF151" s="4441"/>
      <c r="AG151" s="4441"/>
      <c r="AH151" s="4441"/>
      <c r="AI151" s="4441"/>
      <c r="AJ151" s="4441"/>
      <c r="AK151" s="4441"/>
      <c r="AL151" s="4441"/>
      <c r="AM151" s="4441"/>
      <c r="AN151" s="4441"/>
      <c r="AO151" s="4441"/>
      <c r="AP151" s="4441"/>
      <c r="AQ151" s="4441"/>
      <c r="AR151" s="4441"/>
      <c r="AS151" s="4441"/>
      <c r="AT151" s="4441"/>
      <c r="AU151" s="4441"/>
      <c r="AV151" s="4441"/>
      <c r="AW151" s="4441"/>
      <c r="AX151" s="4441"/>
      <c r="AY151" s="4441"/>
      <c r="AZ151" s="4441"/>
      <c r="BA151" s="4441"/>
      <c r="BB151" s="4441"/>
      <c r="BC151" s="4441"/>
      <c r="BD151" s="4441"/>
      <c r="BE151" s="4441"/>
      <c r="BF151" s="4441"/>
      <c r="BG151" s="4441"/>
      <c r="BH151" s="4441"/>
      <c r="BI151" s="4310"/>
      <c r="BJ151" s="3983"/>
      <c r="BK151" s="4447"/>
      <c r="BL151" s="4447"/>
      <c r="BM151" s="3933"/>
      <c r="BN151" s="3983"/>
      <c r="BO151" s="3983"/>
      <c r="BP151" s="3983"/>
      <c r="BQ151" s="3094"/>
      <c r="BR151" s="3094"/>
      <c r="BS151" s="3094"/>
      <c r="BT151" s="3094"/>
      <c r="BU151" s="3983"/>
    </row>
    <row r="152" spans="1:93" ht="45" customHeight="1" x14ac:dyDescent="0.25">
      <c r="A152" s="2909"/>
      <c r="B152" s="2910"/>
      <c r="C152" s="279"/>
      <c r="D152" s="280"/>
      <c r="E152" s="4373"/>
      <c r="F152" s="4373"/>
      <c r="G152" s="2716"/>
      <c r="H152" s="2543"/>
      <c r="I152" s="2546"/>
      <c r="J152" s="2543"/>
      <c r="K152" s="2546"/>
      <c r="L152" s="2543"/>
      <c r="M152" s="2546"/>
      <c r="N152" s="2543"/>
      <c r="O152" s="2546"/>
      <c r="P152" s="2546"/>
      <c r="Q152" s="2546"/>
      <c r="R152" s="2543"/>
      <c r="S152" s="4444"/>
      <c r="T152" s="4442"/>
      <c r="U152" s="2930"/>
      <c r="V152" s="2936"/>
      <c r="W152" s="2930"/>
      <c r="X152" s="390">
        <v>35252692.359999999</v>
      </c>
      <c r="Y152" s="1046">
        <f>+X152</f>
        <v>35252692.359999999</v>
      </c>
      <c r="Z152" s="390">
        <v>35252692.359999999</v>
      </c>
      <c r="AA152" s="271" t="s">
        <v>1478</v>
      </c>
      <c r="AB152" s="1043">
        <v>202</v>
      </c>
      <c r="AC152" s="1042" t="s">
        <v>1460</v>
      </c>
      <c r="AD152" s="4441"/>
      <c r="AE152" s="4441"/>
      <c r="AF152" s="4441"/>
      <c r="AG152" s="4441"/>
      <c r="AH152" s="4441"/>
      <c r="AI152" s="4441"/>
      <c r="AJ152" s="4441"/>
      <c r="AK152" s="4441"/>
      <c r="AL152" s="4441"/>
      <c r="AM152" s="4441"/>
      <c r="AN152" s="4441"/>
      <c r="AO152" s="4441"/>
      <c r="AP152" s="4441"/>
      <c r="AQ152" s="4441"/>
      <c r="AR152" s="4441"/>
      <c r="AS152" s="4441"/>
      <c r="AT152" s="4441"/>
      <c r="AU152" s="4441"/>
      <c r="AV152" s="4441"/>
      <c r="AW152" s="4441"/>
      <c r="AX152" s="4441"/>
      <c r="AY152" s="4441"/>
      <c r="AZ152" s="4441"/>
      <c r="BA152" s="4441"/>
      <c r="BB152" s="4441"/>
      <c r="BC152" s="4441"/>
      <c r="BD152" s="4441"/>
      <c r="BE152" s="4441"/>
      <c r="BF152" s="4441"/>
      <c r="BG152" s="4441"/>
      <c r="BH152" s="4441"/>
      <c r="BI152" s="4310"/>
      <c r="BJ152" s="3983"/>
      <c r="BK152" s="4447"/>
      <c r="BL152" s="4447"/>
      <c r="BM152" s="3933"/>
      <c r="BN152" s="3983"/>
      <c r="BO152" s="3983"/>
      <c r="BP152" s="3983"/>
      <c r="BQ152" s="3094"/>
      <c r="BR152" s="3094"/>
      <c r="BS152" s="3094"/>
      <c r="BT152" s="3094"/>
      <c r="BU152" s="3983"/>
    </row>
    <row r="153" spans="1:93" ht="45" customHeight="1" x14ac:dyDescent="0.25">
      <c r="A153" s="2909"/>
      <c r="B153" s="2910"/>
      <c r="C153" s="279"/>
      <c r="D153" s="280"/>
      <c r="E153" s="4373"/>
      <c r="F153" s="4373"/>
      <c r="G153" s="2716"/>
      <c r="H153" s="2543"/>
      <c r="I153" s="2546"/>
      <c r="J153" s="2543"/>
      <c r="K153" s="2546"/>
      <c r="L153" s="2543"/>
      <c r="M153" s="2546"/>
      <c r="N153" s="2543"/>
      <c r="O153" s="2546"/>
      <c r="P153" s="2546"/>
      <c r="Q153" s="2546"/>
      <c r="R153" s="2543"/>
      <c r="S153" s="4444"/>
      <c r="T153" s="4442"/>
      <c r="U153" s="2930"/>
      <c r="V153" s="2936"/>
      <c r="W153" s="2930"/>
      <c r="X153" s="390">
        <v>125521066.79000001</v>
      </c>
      <c r="Y153" s="1040">
        <v>70972214.699999988</v>
      </c>
      <c r="Z153" s="347">
        <v>70972214.699999988</v>
      </c>
      <c r="AA153" s="271" t="s">
        <v>1485</v>
      </c>
      <c r="AB153" s="1041">
        <v>6</v>
      </c>
      <c r="AC153" s="1042" t="s">
        <v>1456</v>
      </c>
      <c r="AD153" s="4441"/>
      <c r="AE153" s="4441"/>
      <c r="AF153" s="4441"/>
      <c r="AG153" s="4441"/>
      <c r="AH153" s="4441"/>
      <c r="AI153" s="4441"/>
      <c r="AJ153" s="4441"/>
      <c r="AK153" s="4441"/>
      <c r="AL153" s="4441"/>
      <c r="AM153" s="4441"/>
      <c r="AN153" s="4441"/>
      <c r="AO153" s="4441"/>
      <c r="AP153" s="4441"/>
      <c r="AQ153" s="4441"/>
      <c r="AR153" s="4441"/>
      <c r="AS153" s="4441"/>
      <c r="AT153" s="4441"/>
      <c r="AU153" s="4441"/>
      <c r="AV153" s="4441"/>
      <c r="AW153" s="4441"/>
      <c r="AX153" s="4441"/>
      <c r="AY153" s="4441"/>
      <c r="AZ153" s="4441"/>
      <c r="BA153" s="4441"/>
      <c r="BB153" s="4441"/>
      <c r="BC153" s="4441"/>
      <c r="BD153" s="4441"/>
      <c r="BE153" s="4441"/>
      <c r="BF153" s="4441"/>
      <c r="BG153" s="4441"/>
      <c r="BH153" s="4441"/>
      <c r="BI153" s="4310"/>
      <c r="BJ153" s="3983"/>
      <c r="BK153" s="4447"/>
      <c r="BL153" s="4447"/>
      <c r="BM153" s="3933"/>
      <c r="BN153" s="3983"/>
      <c r="BO153" s="3983"/>
      <c r="BP153" s="3983"/>
      <c r="BQ153" s="3094"/>
      <c r="BR153" s="3094"/>
      <c r="BS153" s="3094"/>
      <c r="BT153" s="3094"/>
      <c r="BU153" s="3983"/>
    </row>
    <row r="154" spans="1:93" ht="45" customHeight="1" x14ac:dyDescent="0.25">
      <c r="A154" s="2909"/>
      <c r="B154" s="2910"/>
      <c r="C154" s="279"/>
      <c r="D154" s="280"/>
      <c r="E154" s="4373"/>
      <c r="F154" s="4373"/>
      <c r="G154" s="2716"/>
      <c r="H154" s="2543"/>
      <c r="I154" s="2546"/>
      <c r="J154" s="2543"/>
      <c r="K154" s="2546"/>
      <c r="L154" s="2543"/>
      <c r="M154" s="2546"/>
      <c r="N154" s="2543"/>
      <c r="O154" s="2546"/>
      <c r="P154" s="2546"/>
      <c r="Q154" s="2546"/>
      <c r="R154" s="2543"/>
      <c r="S154" s="4444"/>
      <c r="T154" s="4442"/>
      <c r="U154" s="2930"/>
      <c r="V154" s="2936"/>
      <c r="W154" s="2930"/>
      <c r="X154" s="390">
        <v>19177510.239999995</v>
      </c>
      <c r="Y154" s="1040">
        <v>19177510.239999998</v>
      </c>
      <c r="Z154" s="347">
        <v>19177510.239999998</v>
      </c>
      <c r="AA154" s="271" t="s">
        <v>1486</v>
      </c>
      <c r="AB154" s="1043">
        <v>84</v>
      </c>
      <c r="AC154" s="1042" t="s">
        <v>1458</v>
      </c>
      <c r="AD154" s="4441"/>
      <c r="AE154" s="4441"/>
      <c r="AF154" s="4441"/>
      <c r="AG154" s="4441"/>
      <c r="AH154" s="4441"/>
      <c r="AI154" s="4441"/>
      <c r="AJ154" s="4441"/>
      <c r="AK154" s="4441"/>
      <c r="AL154" s="4441"/>
      <c r="AM154" s="4441"/>
      <c r="AN154" s="4441"/>
      <c r="AO154" s="4441"/>
      <c r="AP154" s="4441"/>
      <c r="AQ154" s="4441"/>
      <c r="AR154" s="4441"/>
      <c r="AS154" s="4441"/>
      <c r="AT154" s="4441"/>
      <c r="AU154" s="4441"/>
      <c r="AV154" s="4441"/>
      <c r="AW154" s="4441"/>
      <c r="AX154" s="4441"/>
      <c r="AY154" s="4441"/>
      <c r="AZ154" s="4441"/>
      <c r="BA154" s="4441"/>
      <c r="BB154" s="4441"/>
      <c r="BC154" s="4441"/>
      <c r="BD154" s="4441"/>
      <c r="BE154" s="4441"/>
      <c r="BF154" s="4441"/>
      <c r="BG154" s="4441"/>
      <c r="BH154" s="4441"/>
      <c r="BI154" s="4310"/>
      <c r="BJ154" s="3983"/>
      <c r="BK154" s="4447"/>
      <c r="BL154" s="4447"/>
      <c r="BM154" s="3933"/>
      <c r="BN154" s="3983"/>
      <c r="BO154" s="3983"/>
      <c r="BP154" s="3983"/>
      <c r="BQ154" s="3094"/>
      <c r="BR154" s="3094"/>
      <c r="BS154" s="3094"/>
      <c r="BT154" s="3094"/>
      <c r="BU154" s="3983"/>
    </row>
    <row r="155" spans="1:93" ht="45" customHeight="1" x14ac:dyDescent="0.25">
      <c r="A155" s="2909"/>
      <c r="B155" s="2910"/>
      <c r="C155" s="279"/>
      <c r="D155" s="280"/>
      <c r="E155" s="4373"/>
      <c r="F155" s="4373"/>
      <c r="G155" s="2716"/>
      <c r="H155" s="2543"/>
      <c r="I155" s="2546"/>
      <c r="J155" s="2543"/>
      <c r="K155" s="2546"/>
      <c r="L155" s="2543"/>
      <c r="M155" s="2546"/>
      <c r="N155" s="2543"/>
      <c r="O155" s="2546"/>
      <c r="P155" s="2546"/>
      <c r="Q155" s="2546"/>
      <c r="R155" s="2543"/>
      <c r="S155" s="4444"/>
      <c r="T155" s="4442"/>
      <c r="U155" s="2930"/>
      <c r="V155" s="2936"/>
      <c r="W155" s="2930"/>
      <c r="X155" s="390">
        <v>22662445.09</v>
      </c>
      <c r="Y155" s="1046">
        <f>+X155</f>
        <v>22662445.09</v>
      </c>
      <c r="Z155" s="390">
        <v>22662445.09</v>
      </c>
      <c r="AA155" s="271" t="s">
        <v>1487</v>
      </c>
      <c r="AB155" s="1043">
        <v>202</v>
      </c>
      <c r="AC155" s="1042" t="s">
        <v>1460</v>
      </c>
      <c r="AD155" s="4441"/>
      <c r="AE155" s="4441"/>
      <c r="AF155" s="4441"/>
      <c r="AG155" s="4441"/>
      <c r="AH155" s="4441"/>
      <c r="AI155" s="4441"/>
      <c r="AJ155" s="4441"/>
      <c r="AK155" s="4441"/>
      <c r="AL155" s="4441"/>
      <c r="AM155" s="4441"/>
      <c r="AN155" s="4441"/>
      <c r="AO155" s="4441"/>
      <c r="AP155" s="4441"/>
      <c r="AQ155" s="4441"/>
      <c r="AR155" s="4441"/>
      <c r="AS155" s="4441"/>
      <c r="AT155" s="4441"/>
      <c r="AU155" s="4441"/>
      <c r="AV155" s="4441"/>
      <c r="AW155" s="4441"/>
      <c r="AX155" s="4441"/>
      <c r="AY155" s="4441"/>
      <c r="AZ155" s="4441"/>
      <c r="BA155" s="4441"/>
      <c r="BB155" s="4441"/>
      <c r="BC155" s="4441"/>
      <c r="BD155" s="4441"/>
      <c r="BE155" s="4441"/>
      <c r="BF155" s="4441"/>
      <c r="BG155" s="4441"/>
      <c r="BH155" s="4441"/>
      <c r="BI155" s="4310"/>
      <c r="BJ155" s="3983"/>
      <c r="BK155" s="4447"/>
      <c r="BL155" s="4447"/>
      <c r="BM155" s="3933"/>
      <c r="BN155" s="3983"/>
      <c r="BO155" s="3983"/>
      <c r="BP155" s="3983"/>
      <c r="BQ155" s="3094"/>
      <c r="BR155" s="3094"/>
      <c r="BS155" s="3094"/>
      <c r="BT155" s="3094"/>
      <c r="BU155" s="3983"/>
    </row>
    <row r="156" spans="1:93" ht="45" customHeight="1" x14ac:dyDescent="0.25">
      <c r="A156" s="2909"/>
      <c r="B156" s="2910"/>
      <c r="C156" s="279"/>
      <c r="D156" s="280"/>
      <c r="E156" s="4373"/>
      <c r="F156" s="4373"/>
      <c r="G156" s="2716"/>
      <c r="H156" s="2543"/>
      <c r="I156" s="2546"/>
      <c r="J156" s="2543"/>
      <c r="K156" s="2546"/>
      <c r="L156" s="2543"/>
      <c r="M156" s="2546"/>
      <c r="N156" s="2543"/>
      <c r="O156" s="2546"/>
      <c r="P156" s="2546"/>
      <c r="Q156" s="2546"/>
      <c r="R156" s="2543"/>
      <c r="S156" s="4444"/>
      <c r="T156" s="4442"/>
      <c r="U156" s="2930"/>
      <c r="V156" s="2936"/>
      <c r="W156" s="2930"/>
      <c r="X156" s="390">
        <v>628987208.72000003</v>
      </c>
      <c r="Y156" s="1040">
        <v>380993485.98000002</v>
      </c>
      <c r="Z156" s="347">
        <v>380993485.98000002</v>
      </c>
      <c r="AA156" s="273" t="s">
        <v>1491</v>
      </c>
      <c r="AB156" s="1047">
        <v>6</v>
      </c>
      <c r="AC156" s="1048" t="s">
        <v>1456</v>
      </c>
      <c r="AD156" s="4441"/>
      <c r="AE156" s="4441"/>
      <c r="AF156" s="4441"/>
      <c r="AG156" s="4441"/>
      <c r="AH156" s="4441"/>
      <c r="AI156" s="4441"/>
      <c r="AJ156" s="4441"/>
      <c r="AK156" s="4441"/>
      <c r="AL156" s="4441"/>
      <c r="AM156" s="4441"/>
      <c r="AN156" s="4441"/>
      <c r="AO156" s="4441"/>
      <c r="AP156" s="4441"/>
      <c r="AQ156" s="4441"/>
      <c r="AR156" s="4441"/>
      <c r="AS156" s="4441"/>
      <c r="AT156" s="4441"/>
      <c r="AU156" s="4441"/>
      <c r="AV156" s="4441"/>
      <c r="AW156" s="4441"/>
      <c r="AX156" s="4441"/>
      <c r="AY156" s="4441"/>
      <c r="AZ156" s="4441"/>
      <c r="BA156" s="4441"/>
      <c r="BB156" s="4441"/>
      <c r="BC156" s="4441"/>
      <c r="BD156" s="4441"/>
      <c r="BE156" s="4441"/>
      <c r="BF156" s="4441"/>
      <c r="BG156" s="4441"/>
      <c r="BH156" s="4441"/>
      <c r="BI156" s="4310"/>
      <c r="BJ156" s="3983"/>
      <c r="BK156" s="4447"/>
      <c r="BL156" s="4447"/>
      <c r="BM156" s="3933"/>
      <c r="BN156" s="3983"/>
      <c r="BO156" s="3983"/>
      <c r="BP156" s="3983"/>
      <c r="BQ156" s="3094"/>
      <c r="BR156" s="3094"/>
      <c r="BS156" s="3094"/>
      <c r="BT156" s="3094"/>
      <c r="BU156" s="3983"/>
    </row>
    <row r="157" spans="1:93" ht="57" customHeight="1" x14ac:dyDescent="0.25">
      <c r="A157" s="2911"/>
      <c r="B157" s="2910"/>
      <c r="C157" s="279"/>
      <c r="D157" s="280"/>
      <c r="E157" s="4373"/>
      <c r="F157" s="4373"/>
      <c r="G157" s="2716"/>
      <c r="H157" s="2543"/>
      <c r="I157" s="2546"/>
      <c r="J157" s="2543"/>
      <c r="K157" s="2546"/>
      <c r="L157" s="2543"/>
      <c r="M157" s="2546"/>
      <c r="N157" s="2543"/>
      <c r="O157" s="2546"/>
      <c r="P157" s="2546"/>
      <c r="Q157" s="2546"/>
      <c r="R157" s="2543"/>
      <c r="S157" s="4444"/>
      <c r="T157" s="4442"/>
      <c r="U157" s="2930"/>
      <c r="V157" s="2936"/>
      <c r="W157" s="2930"/>
      <c r="X157" s="390">
        <v>95887551.190000057</v>
      </c>
      <c r="Y157" s="1040">
        <v>95887551.189999998</v>
      </c>
      <c r="Z157" s="347">
        <v>95887551.189999998</v>
      </c>
      <c r="AA157" s="1049" t="s">
        <v>1492</v>
      </c>
      <c r="AB157" s="714">
        <v>84</v>
      </c>
      <c r="AC157" s="1042" t="s">
        <v>1458</v>
      </c>
      <c r="AD157" s="4441"/>
      <c r="AE157" s="4441"/>
      <c r="AF157" s="4441"/>
      <c r="AG157" s="4441"/>
      <c r="AH157" s="4441"/>
      <c r="AI157" s="4441"/>
      <c r="AJ157" s="4441"/>
      <c r="AK157" s="4441"/>
      <c r="AL157" s="4441"/>
      <c r="AM157" s="4441"/>
      <c r="AN157" s="4441"/>
      <c r="AO157" s="4441"/>
      <c r="AP157" s="4441"/>
      <c r="AQ157" s="4441"/>
      <c r="AR157" s="4441"/>
      <c r="AS157" s="4441"/>
      <c r="AT157" s="4441"/>
      <c r="AU157" s="4441"/>
      <c r="AV157" s="4441"/>
      <c r="AW157" s="4441"/>
      <c r="AX157" s="4441"/>
      <c r="AY157" s="4441"/>
      <c r="AZ157" s="4441"/>
      <c r="BA157" s="4441"/>
      <c r="BB157" s="4441"/>
      <c r="BC157" s="4441"/>
      <c r="BD157" s="4441"/>
      <c r="BE157" s="4441"/>
      <c r="BF157" s="4441"/>
      <c r="BG157" s="4441"/>
      <c r="BH157" s="4441"/>
      <c r="BI157" s="4310"/>
      <c r="BJ157" s="3983"/>
      <c r="BK157" s="4447"/>
      <c r="BL157" s="4447"/>
      <c r="BM157" s="3933"/>
      <c r="BN157" s="3983"/>
      <c r="BO157" s="3983"/>
      <c r="BP157" s="3983"/>
      <c r="BQ157" s="3094"/>
      <c r="BR157" s="3094"/>
      <c r="BS157" s="3094"/>
      <c r="BT157" s="3094"/>
      <c r="BU157" s="3983"/>
    </row>
    <row r="158" spans="1:93" ht="57" customHeight="1" x14ac:dyDescent="0.25">
      <c r="A158" s="743"/>
      <c r="B158" s="746"/>
      <c r="C158" s="975"/>
      <c r="D158" s="931"/>
      <c r="E158" s="4418"/>
      <c r="F158" s="4418"/>
      <c r="G158" s="2717"/>
      <c r="H158" s="2543"/>
      <c r="I158" s="2546"/>
      <c r="J158" s="2543"/>
      <c r="K158" s="2546"/>
      <c r="L158" s="2543"/>
      <c r="M158" s="2546"/>
      <c r="N158" s="2543"/>
      <c r="O158" s="2546"/>
      <c r="P158" s="2546"/>
      <c r="Q158" s="2546"/>
      <c r="R158" s="2543"/>
      <c r="S158" s="4444"/>
      <c r="T158" s="4442"/>
      <c r="U158" s="2930"/>
      <c r="V158" s="2936"/>
      <c r="W158" s="2930"/>
      <c r="X158" s="390">
        <v>125902472.70999999</v>
      </c>
      <c r="Y158" s="1046">
        <f>+X158</f>
        <v>125902472.70999999</v>
      </c>
      <c r="Z158" s="390">
        <v>125902472.70999999</v>
      </c>
      <c r="AA158" s="691" t="s">
        <v>1493</v>
      </c>
      <c r="AB158" s="714">
        <v>202</v>
      </c>
      <c r="AC158" s="1042" t="s">
        <v>1460</v>
      </c>
      <c r="AD158" s="4441"/>
      <c r="AE158" s="4441"/>
      <c r="AF158" s="4441"/>
      <c r="AG158" s="4441"/>
      <c r="AH158" s="4441"/>
      <c r="AI158" s="4441"/>
      <c r="AJ158" s="4441"/>
      <c r="AK158" s="4441"/>
      <c r="AL158" s="4441"/>
      <c r="AM158" s="4441"/>
      <c r="AN158" s="4441"/>
      <c r="AO158" s="4441"/>
      <c r="AP158" s="4441"/>
      <c r="AQ158" s="4441"/>
      <c r="AR158" s="4441"/>
      <c r="AS158" s="4441"/>
      <c r="AT158" s="4441"/>
      <c r="AU158" s="4441"/>
      <c r="AV158" s="4441"/>
      <c r="AW158" s="4441"/>
      <c r="AX158" s="4441"/>
      <c r="AY158" s="4441"/>
      <c r="AZ158" s="4441"/>
      <c r="BA158" s="4441"/>
      <c r="BB158" s="4441"/>
      <c r="BC158" s="4441"/>
      <c r="BD158" s="4441"/>
      <c r="BE158" s="4441"/>
      <c r="BF158" s="4441"/>
      <c r="BG158" s="4441"/>
      <c r="BH158" s="4441"/>
      <c r="BI158" s="4310"/>
      <c r="BJ158" s="3983"/>
      <c r="BK158" s="4447"/>
      <c r="BL158" s="4447"/>
      <c r="BM158" s="3933"/>
      <c r="BN158" s="3983"/>
      <c r="BO158" s="3983"/>
      <c r="BP158" s="3983"/>
      <c r="BQ158" s="3094"/>
      <c r="BR158" s="3094"/>
      <c r="BS158" s="3094"/>
      <c r="BT158" s="3094"/>
      <c r="BU158" s="3983"/>
    </row>
    <row r="159" spans="1:93" ht="27" customHeight="1" x14ac:dyDescent="0.25">
      <c r="A159" s="1050">
        <v>2</v>
      </c>
      <c r="B159" s="4445" t="s">
        <v>718</v>
      </c>
      <c r="C159" s="3863"/>
      <c r="D159" s="3863"/>
      <c r="E159" s="3863"/>
      <c r="F159" s="3863"/>
      <c r="G159" s="4446"/>
      <c r="H159" s="778"/>
      <c r="I159" s="778"/>
      <c r="J159" s="778"/>
      <c r="K159" s="1051"/>
      <c r="L159" s="1051"/>
      <c r="M159" s="1051"/>
      <c r="N159" s="1052"/>
      <c r="O159" s="1051"/>
      <c r="P159" s="1051"/>
      <c r="Q159" s="1051"/>
      <c r="R159" s="1052"/>
      <c r="S159" s="1053"/>
      <c r="T159" s="1053"/>
      <c r="U159" s="1053"/>
      <c r="V159" s="1053"/>
      <c r="W159" s="1053"/>
      <c r="X159" s="1053"/>
      <c r="Y159" s="1053"/>
      <c r="Z159" s="1053"/>
      <c r="AA159" s="1053"/>
      <c r="AB159" s="1053"/>
      <c r="AC159" s="1053"/>
      <c r="AD159" s="1053"/>
      <c r="AE159" s="1053"/>
      <c r="AF159" s="1053"/>
      <c r="AG159" s="1054"/>
      <c r="AH159" s="1054"/>
      <c r="AI159" s="1054"/>
      <c r="AJ159" s="1054"/>
      <c r="AK159" s="1054"/>
      <c r="AL159" s="1054"/>
      <c r="AM159" s="1054"/>
      <c r="AN159" s="1054"/>
      <c r="AO159" s="1054"/>
      <c r="AP159" s="1054"/>
      <c r="AQ159" s="1054"/>
      <c r="AR159" s="1054"/>
      <c r="AS159" s="1054"/>
      <c r="AT159" s="1054"/>
      <c r="AU159" s="1054"/>
      <c r="AV159" s="1054"/>
      <c r="AW159" s="1054"/>
      <c r="AX159" s="1054"/>
      <c r="AY159" s="1054"/>
      <c r="AZ159" s="1054"/>
      <c r="BA159" s="1054"/>
      <c r="BB159" s="1054"/>
      <c r="BC159" s="1054"/>
      <c r="BD159" s="1054"/>
      <c r="BE159" s="1054"/>
      <c r="BF159" s="1054"/>
      <c r="BG159" s="1054"/>
      <c r="BH159" s="1054"/>
      <c r="BI159" s="1034"/>
      <c r="BJ159" s="1034"/>
      <c r="BK159" s="1055"/>
      <c r="BL159" s="1055"/>
      <c r="BM159" s="1051"/>
      <c r="BN159" s="1051"/>
      <c r="BO159" s="1051"/>
      <c r="BP159" s="1051"/>
      <c r="BQ159" s="1056"/>
      <c r="BR159" s="1056"/>
      <c r="BS159" s="1056"/>
      <c r="BT159" s="1056"/>
      <c r="BU159" s="1057"/>
      <c r="BV159" s="4"/>
      <c r="BW159" s="4"/>
      <c r="BX159" s="4"/>
      <c r="BY159" s="4"/>
      <c r="BZ159" s="4"/>
      <c r="CA159" s="4"/>
      <c r="CB159" s="4"/>
      <c r="CC159" s="4"/>
      <c r="CD159" s="4"/>
      <c r="CE159" s="4"/>
      <c r="CF159" s="4"/>
      <c r="CG159" s="4"/>
      <c r="CH159" s="4"/>
      <c r="CI159" s="4"/>
      <c r="CJ159" s="4"/>
      <c r="CK159" s="4"/>
      <c r="CL159" s="4"/>
      <c r="CM159" s="4"/>
      <c r="CN159" s="4"/>
      <c r="CO159" s="4"/>
    </row>
    <row r="160" spans="1:93" ht="27" customHeight="1" x14ac:dyDescent="0.25">
      <c r="A160" s="849"/>
      <c r="B160" s="701"/>
      <c r="C160" s="1058">
        <v>17</v>
      </c>
      <c r="D160" s="3619" t="s">
        <v>1495</v>
      </c>
      <c r="E160" s="3620"/>
      <c r="F160" s="3620"/>
      <c r="G160" s="3620"/>
      <c r="H160" s="3620"/>
      <c r="I160" s="3620"/>
      <c r="J160" s="3620"/>
      <c r="K160" s="1059"/>
      <c r="L160" s="1059"/>
      <c r="M160" s="1059"/>
      <c r="N160" s="1060"/>
      <c r="O160" s="1059"/>
      <c r="P160" s="1059"/>
      <c r="Q160" s="1059"/>
      <c r="R160" s="1060"/>
      <c r="S160" s="1061"/>
      <c r="T160" s="1061"/>
      <c r="U160" s="1061"/>
      <c r="V160" s="1061"/>
      <c r="W160" s="1061"/>
      <c r="X160" s="1061"/>
      <c r="Y160" s="1061"/>
      <c r="Z160" s="1061"/>
      <c r="AA160" s="1061"/>
      <c r="AB160" s="1061"/>
      <c r="AC160" s="1061"/>
      <c r="AD160" s="1061"/>
      <c r="AE160" s="1061"/>
      <c r="AF160" s="1061"/>
      <c r="AG160" s="1059"/>
      <c r="AH160" s="1059"/>
      <c r="AI160" s="1059"/>
      <c r="AJ160" s="1059"/>
      <c r="AK160" s="1059"/>
      <c r="AL160" s="1059"/>
      <c r="AM160" s="1059"/>
      <c r="AN160" s="1059"/>
      <c r="AO160" s="1059"/>
      <c r="AP160" s="1059"/>
      <c r="AQ160" s="1059"/>
      <c r="AR160" s="1059"/>
      <c r="AS160" s="1059"/>
      <c r="AT160" s="1059"/>
      <c r="AU160" s="1059"/>
      <c r="AV160" s="1059"/>
      <c r="AW160" s="1059"/>
      <c r="AX160" s="1059"/>
      <c r="AY160" s="1059"/>
      <c r="AZ160" s="1059"/>
      <c r="BA160" s="1059"/>
      <c r="BB160" s="1059"/>
      <c r="BC160" s="1059"/>
      <c r="BD160" s="1059"/>
      <c r="BE160" s="1059"/>
      <c r="BF160" s="1059"/>
      <c r="BG160" s="1059"/>
      <c r="BH160" s="1062"/>
      <c r="BI160" s="674"/>
      <c r="BJ160" s="674"/>
      <c r="BK160" s="1063"/>
      <c r="BL160" s="1063"/>
      <c r="BM160" s="1059"/>
      <c r="BN160" s="1059"/>
      <c r="BO160" s="1059"/>
      <c r="BP160" s="1059"/>
      <c r="BQ160" s="1064"/>
      <c r="BR160" s="1064"/>
      <c r="BS160" s="1064"/>
      <c r="BT160" s="1064"/>
      <c r="BU160" s="1065"/>
    </row>
    <row r="161" spans="1:93" s="4" customFormat="1" ht="27" customHeight="1" x14ac:dyDescent="0.25">
      <c r="A161" s="279"/>
      <c r="B161" s="975"/>
      <c r="C161" s="849"/>
      <c r="D161" s="1066"/>
      <c r="E161" s="283">
        <v>1702</v>
      </c>
      <c r="F161" s="753" t="s">
        <v>1496</v>
      </c>
      <c r="G161" s="754"/>
      <c r="H161" s="754"/>
      <c r="I161" s="754"/>
      <c r="J161" s="754"/>
      <c r="K161" s="754"/>
      <c r="L161" s="754"/>
      <c r="M161" s="1027"/>
      <c r="N161" s="1028"/>
      <c r="O161" s="262"/>
      <c r="P161" s="262"/>
      <c r="Q161" s="262"/>
      <c r="R161" s="264"/>
      <c r="S161" s="947"/>
      <c r="T161" s="947"/>
      <c r="U161" s="947"/>
      <c r="V161" s="947"/>
      <c r="W161" s="947"/>
      <c r="X161" s="947"/>
      <c r="Y161" s="947"/>
      <c r="Z161" s="947"/>
      <c r="AA161" s="947"/>
      <c r="AB161" s="947"/>
      <c r="AC161" s="947"/>
      <c r="AD161" s="947"/>
      <c r="AE161" s="947"/>
      <c r="AF161" s="947"/>
      <c r="AG161" s="794"/>
      <c r="AH161" s="794"/>
      <c r="AI161" s="794"/>
      <c r="AJ161" s="794"/>
      <c r="AK161" s="794"/>
      <c r="AL161" s="794"/>
      <c r="AM161" s="794"/>
      <c r="AN161" s="794"/>
      <c r="AO161" s="794"/>
      <c r="AP161" s="794"/>
      <c r="AQ161" s="794"/>
      <c r="AR161" s="794"/>
      <c r="AS161" s="794"/>
      <c r="AT161" s="794"/>
      <c r="AU161" s="794"/>
      <c r="AV161" s="794"/>
      <c r="AW161" s="794"/>
      <c r="AX161" s="794"/>
      <c r="AY161" s="794"/>
      <c r="AZ161" s="794"/>
      <c r="BA161" s="794"/>
      <c r="BB161" s="794"/>
      <c r="BC161" s="794"/>
      <c r="BD161" s="794"/>
      <c r="BE161" s="794"/>
      <c r="BF161" s="794"/>
      <c r="BG161" s="794"/>
      <c r="BH161" s="794"/>
      <c r="BI161" s="950"/>
      <c r="BJ161" s="950"/>
      <c r="BK161" s="951"/>
      <c r="BL161" s="951"/>
      <c r="BM161" s="794"/>
      <c r="BN161" s="794"/>
      <c r="BO161" s="794"/>
      <c r="BP161" s="794"/>
      <c r="BQ161" s="952"/>
      <c r="BR161" s="952"/>
      <c r="BS161" s="952"/>
      <c r="BT161" s="952"/>
      <c r="BU161" s="863"/>
    </row>
    <row r="162" spans="1:93" s="4" customFormat="1" ht="105.75" customHeight="1" x14ac:dyDescent="0.25">
      <c r="A162" s="279"/>
      <c r="B162" s="975"/>
      <c r="C162" s="279"/>
      <c r="D162" s="280"/>
      <c r="E162" s="4373"/>
      <c r="F162" s="4373"/>
      <c r="G162" s="3982">
        <v>1702011</v>
      </c>
      <c r="H162" s="4421" t="s">
        <v>1497</v>
      </c>
      <c r="I162" s="3982">
        <v>1702011</v>
      </c>
      <c r="J162" s="4421" t="s">
        <v>1497</v>
      </c>
      <c r="K162" s="2755" t="s">
        <v>1498</v>
      </c>
      <c r="L162" s="2993" t="s">
        <v>1499</v>
      </c>
      <c r="M162" s="2755" t="s">
        <v>1498</v>
      </c>
      <c r="N162" s="2993" t="s">
        <v>1499</v>
      </c>
      <c r="O162" s="2755">
        <v>4</v>
      </c>
      <c r="P162" s="2755">
        <v>4</v>
      </c>
      <c r="Q162" s="2755" t="s">
        <v>1500</v>
      </c>
      <c r="R162" s="2993" t="s">
        <v>1501</v>
      </c>
      <c r="S162" s="3903">
        <f>SUM(X162:X163)/T162</f>
        <v>1</v>
      </c>
      <c r="T162" s="4320">
        <f>SUM(X162:X163)</f>
        <v>18000000</v>
      </c>
      <c r="U162" s="2993" t="s">
        <v>1502</v>
      </c>
      <c r="V162" s="3022" t="s">
        <v>1503</v>
      </c>
      <c r="W162" s="736" t="s">
        <v>1504</v>
      </c>
      <c r="X162" s="417">
        <v>10000000</v>
      </c>
      <c r="Y162" s="749">
        <v>10000000</v>
      </c>
      <c r="Z162" s="749">
        <v>10000000</v>
      </c>
      <c r="AA162" s="533" t="s">
        <v>1505</v>
      </c>
      <c r="AB162" s="4448">
        <v>20</v>
      </c>
      <c r="AC162" s="2965" t="s">
        <v>422</v>
      </c>
      <c r="AD162" s="2526">
        <v>1000</v>
      </c>
      <c r="AE162" s="2569">
        <v>625</v>
      </c>
      <c r="AF162" s="2569" t="s">
        <v>153</v>
      </c>
      <c r="AG162" s="2569">
        <v>109</v>
      </c>
      <c r="AH162" s="2569" t="s">
        <v>153</v>
      </c>
      <c r="AI162" s="2569"/>
      <c r="AJ162" s="2569" t="s">
        <v>153</v>
      </c>
      <c r="AK162" s="2569">
        <v>34</v>
      </c>
      <c r="AL162" s="2569">
        <v>1000</v>
      </c>
      <c r="AM162" s="2569">
        <v>451</v>
      </c>
      <c r="AN162" s="2978"/>
      <c r="AO162" s="2569">
        <v>115</v>
      </c>
      <c r="AP162" s="2978"/>
      <c r="AQ162" s="2569">
        <v>3</v>
      </c>
      <c r="AR162" s="2978"/>
      <c r="AS162" s="2569">
        <v>9</v>
      </c>
      <c r="AT162" s="2978"/>
      <c r="AU162" s="2569">
        <v>1</v>
      </c>
      <c r="AV162" s="2978"/>
      <c r="AW162" s="2569"/>
      <c r="AX162" s="2978"/>
      <c r="AY162" s="2569"/>
      <c r="AZ162" s="2978"/>
      <c r="BA162" s="2569"/>
      <c r="BB162" s="2978"/>
      <c r="BC162" s="2569">
        <v>8</v>
      </c>
      <c r="BD162" s="2978"/>
      <c r="BE162" s="2569">
        <v>18</v>
      </c>
      <c r="BF162" s="2978"/>
      <c r="BG162" s="2569">
        <v>32</v>
      </c>
      <c r="BH162" s="2978">
        <v>1000</v>
      </c>
      <c r="BI162" s="4318">
        <v>580</v>
      </c>
      <c r="BJ162" s="4318">
        <v>2</v>
      </c>
      <c r="BK162" s="4450">
        <f>+Y162+Y163</f>
        <v>17310000</v>
      </c>
      <c r="BL162" s="4450">
        <f>+Z162+Z163</f>
        <v>17310000</v>
      </c>
      <c r="BM162" s="4451">
        <f>BL162/BK162</f>
        <v>1</v>
      </c>
      <c r="BN162" s="2875">
        <v>20</v>
      </c>
      <c r="BO162" s="2875" t="s">
        <v>422</v>
      </c>
      <c r="BP162" s="2978" t="s">
        <v>1506</v>
      </c>
      <c r="BQ162" s="3914">
        <v>44197</v>
      </c>
      <c r="BR162" s="3914">
        <v>44257</v>
      </c>
      <c r="BS162" s="3914">
        <v>44561</v>
      </c>
      <c r="BT162" s="3914">
        <v>44376</v>
      </c>
      <c r="BU162" s="2978" t="s">
        <v>1506</v>
      </c>
    </row>
    <row r="163" spans="1:93" s="4" customFormat="1" ht="108.75" customHeight="1" x14ac:dyDescent="0.25">
      <c r="A163" s="279"/>
      <c r="B163" s="975"/>
      <c r="C163" s="930"/>
      <c r="D163" s="280"/>
      <c r="E163" s="4373"/>
      <c r="F163" s="4373"/>
      <c r="G163" s="4293"/>
      <c r="H163" s="4421"/>
      <c r="I163" s="4293"/>
      <c r="J163" s="4421"/>
      <c r="K163" s="2755"/>
      <c r="L163" s="2993"/>
      <c r="M163" s="2755"/>
      <c r="N163" s="2993"/>
      <c r="O163" s="2755"/>
      <c r="P163" s="2755"/>
      <c r="Q163" s="2755"/>
      <c r="R163" s="2993"/>
      <c r="S163" s="3903"/>
      <c r="T163" s="4320"/>
      <c r="U163" s="2993"/>
      <c r="V163" s="3022"/>
      <c r="W163" s="735" t="s">
        <v>1507</v>
      </c>
      <c r="X163" s="927">
        <v>8000000</v>
      </c>
      <c r="Y163" s="928">
        <v>7310000</v>
      </c>
      <c r="Z163" s="749">
        <v>7310000</v>
      </c>
      <c r="AA163" s="533" t="s">
        <v>1505</v>
      </c>
      <c r="AB163" s="4448"/>
      <c r="AC163" s="2965"/>
      <c r="AD163" s="2526"/>
      <c r="AE163" s="2569"/>
      <c r="AF163" s="2569"/>
      <c r="AG163" s="2569"/>
      <c r="AH163" s="2569"/>
      <c r="AI163" s="2569"/>
      <c r="AJ163" s="2569"/>
      <c r="AK163" s="2569"/>
      <c r="AL163" s="2569"/>
      <c r="AM163" s="2569"/>
      <c r="AN163" s="2978"/>
      <c r="AO163" s="2569"/>
      <c r="AP163" s="2978"/>
      <c r="AQ163" s="2569"/>
      <c r="AR163" s="2978"/>
      <c r="AS163" s="2569"/>
      <c r="AT163" s="2978"/>
      <c r="AU163" s="2569"/>
      <c r="AV163" s="2978"/>
      <c r="AW163" s="2569"/>
      <c r="AX163" s="2978"/>
      <c r="AY163" s="2569"/>
      <c r="AZ163" s="2978"/>
      <c r="BA163" s="2569"/>
      <c r="BB163" s="2978"/>
      <c r="BC163" s="2569"/>
      <c r="BD163" s="2978"/>
      <c r="BE163" s="2569"/>
      <c r="BF163" s="2978"/>
      <c r="BG163" s="2569"/>
      <c r="BH163" s="2978"/>
      <c r="BI163" s="4318"/>
      <c r="BJ163" s="4318"/>
      <c r="BK163" s="4450"/>
      <c r="BL163" s="4450"/>
      <c r="BM163" s="4451"/>
      <c r="BN163" s="2875"/>
      <c r="BO163" s="2875"/>
      <c r="BP163" s="2978"/>
      <c r="BQ163" s="3914"/>
      <c r="BR163" s="3914"/>
      <c r="BS163" s="3914"/>
      <c r="BT163" s="3914"/>
      <c r="BU163" s="2978"/>
    </row>
    <row r="164" spans="1:93" s="4" customFormat="1" ht="27.75" customHeight="1" x14ac:dyDescent="0.25">
      <c r="A164" s="279"/>
      <c r="B164" s="975"/>
      <c r="C164" s="1067">
        <v>36</v>
      </c>
      <c r="D164" s="1068" t="s">
        <v>1508</v>
      </c>
      <c r="E164" s="1069"/>
      <c r="F164" s="1069"/>
      <c r="G164" s="1069"/>
      <c r="H164" s="1070"/>
      <c r="I164" s="1069"/>
      <c r="J164" s="1071"/>
      <c r="K164" s="606"/>
      <c r="L164" s="1071"/>
      <c r="M164" s="606"/>
      <c r="N164" s="1071"/>
      <c r="O164" s="606"/>
      <c r="P164" s="606"/>
      <c r="Q164" s="606"/>
      <c r="R164" s="1071"/>
      <c r="S164" s="964"/>
      <c r="T164" s="965"/>
      <c r="U164" s="1071"/>
      <c r="V164" s="1072"/>
      <c r="W164" s="1071"/>
      <c r="X164" s="1071"/>
      <c r="Y164" s="1071"/>
      <c r="Z164" s="1071"/>
      <c r="AA164" s="941"/>
      <c r="AB164" s="853"/>
      <c r="AC164" s="495"/>
      <c r="AD164" s="967"/>
      <c r="AE164" s="967"/>
      <c r="AF164" s="967"/>
      <c r="AG164" s="967"/>
      <c r="AH164" s="967"/>
      <c r="AI164" s="967"/>
      <c r="AJ164" s="967"/>
      <c r="AK164" s="967"/>
      <c r="AL164" s="967"/>
      <c r="AM164" s="967"/>
      <c r="AN164" s="853"/>
      <c r="AO164" s="853"/>
      <c r="AP164" s="853"/>
      <c r="AQ164" s="853"/>
      <c r="AR164" s="853"/>
      <c r="AS164" s="853"/>
      <c r="AT164" s="853"/>
      <c r="AU164" s="853"/>
      <c r="AV164" s="853"/>
      <c r="AW164" s="853"/>
      <c r="AX164" s="853"/>
      <c r="AY164" s="853"/>
      <c r="AZ164" s="853"/>
      <c r="BA164" s="853"/>
      <c r="BB164" s="853"/>
      <c r="BC164" s="853"/>
      <c r="BD164" s="853"/>
      <c r="BE164" s="853"/>
      <c r="BF164" s="853"/>
      <c r="BG164" s="853"/>
      <c r="BH164" s="853"/>
      <c r="BI164" s="968"/>
      <c r="BJ164" s="968"/>
      <c r="BK164" s="969"/>
      <c r="BL164" s="969"/>
      <c r="BM164" s="853"/>
      <c r="BN164" s="853"/>
      <c r="BO164" s="853"/>
      <c r="BP164" s="853"/>
      <c r="BQ164" s="1073"/>
      <c r="BR164" s="1073"/>
      <c r="BS164" s="1073"/>
      <c r="BT164" s="1073"/>
      <c r="BU164" s="859"/>
    </row>
    <row r="165" spans="1:93" s="4" customFormat="1" ht="27" customHeight="1" x14ac:dyDescent="0.25">
      <c r="A165" s="279"/>
      <c r="B165" s="975"/>
      <c r="C165" s="849"/>
      <c r="D165" s="1066"/>
      <c r="E165" s="1074">
        <v>3604</v>
      </c>
      <c r="F165" s="973" t="s">
        <v>1509</v>
      </c>
      <c r="G165" s="974"/>
      <c r="H165" s="1026"/>
      <c r="I165" s="974"/>
      <c r="J165" s="1026"/>
      <c r="K165" s="974"/>
      <c r="L165" s="1026"/>
      <c r="M165" s="974"/>
      <c r="N165" s="1026"/>
      <c r="O165" s="262"/>
      <c r="P165" s="262"/>
      <c r="Q165" s="262"/>
      <c r="R165" s="264"/>
      <c r="S165" s="947"/>
      <c r="T165" s="948"/>
      <c r="U165" s="1006"/>
      <c r="V165" s="1006"/>
      <c r="W165" s="1006"/>
      <c r="X165" s="1006"/>
      <c r="Y165" s="1006"/>
      <c r="Z165" s="1006"/>
      <c r="AA165" s="1075"/>
      <c r="AB165" s="91"/>
      <c r="AC165" s="190"/>
      <c r="AD165" s="794"/>
      <c r="AE165" s="794"/>
      <c r="AF165" s="794"/>
      <c r="AG165" s="794"/>
      <c r="AH165" s="794"/>
      <c r="AI165" s="794"/>
      <c r="AJ165" s="794"/>
      <c r="AK165" s="794"/>
      <c r="AL165" s="794"/>
      <c r="AM165" s="794"/>
      <c r="AN165" s="794"/>
      <c r="AO165" s="794"/>
      <c r="AP165" s="794"/>
      <c r="AQ165" s="794"/>
      <c r="AR165" s="794"/>
      <c r="AS165" s="794"/>
      <c r="AT165" s="794"/>
      <c r="AU165" s="794"/>
      <c r="AV165" s="794"/>
      <c r="AW165" s="794"/>
      <c r="AX165" s="794"/>
      <c r="AY165" s="794"/>
      <c r="AZ165" s="794"/>
      <c r="BA165" s="794"/>
      <c r="BB165" s="794"/>
      <c r="BC165" s="794"/>
      <c r="BD165" s="794"/>
      <c r="BE165" s="794"/>
      <c r="BF165" s="794"/>
      <c r="BG165" s="794"/>
      <c r="BH165" s="794"/>
      <c r="BI165" s="950"/>
      <c r="BJ165" s="950"/>
      <c r="BK165" s="951"/>
      <c r="BL165" s="951"/>
      <c r="BM165" s="794"/>
      <c r="BN165" s="794"/>
      <c r="BO165" s="794"/>
      <c r="BP165" s="794"/>
      <c r="BQ165" s="952"/>
      <c r="BR165" s="952"/>
      <c r="BS165" s="952"/>
      <c r="BT165" s="952"/>
      <c r="BU165" s="863"/>
    </row>
    <row r="166" spans="1:93" s="4" customFormat="1" ht="66.75" customHeight="1" x14ac:dyDescent="0.25">
      <c r="A166" s="279"/>
      <c r="B166" s="975"/>
      <c r="C166" s="279"/>
      <c r="D166" s="280"/>
      <c r="E166" s="4373"/>
      <c r="F166" s="4373"/>
      <c r="G166" s="3982">
        <v>3604006</v>
      </c>
      <c r="H166" s="4338" t="s">
        <v>1510</v>
      </c>
      <c r="I166" s="3982">
        <v>3604006</v>
      </c>
      <c r="J166" s="4338" t="s">
        <v>1510</v>
      </c>
      <c r="K166" s="3873" t="s">
        <v>1511</v>
      </c>
      <c r="L166" s="2993" t="s">
        <v>277</v>
      </c>
      <c r="M166" s="3873" t="s">
        <v>1511</v>
      </c>
      <c r="N166" s="2993" t="s">
        <v>277</v>
      </c>
      <c r="O166" s="2755">
        <v>200</v>
      </c>
      <c r="P166" s="2755">
        <v>200</v>
      </c>
      <c r="Q166" s="2755" t="s">
        <v>1512</v>
      </c>
      <c r="R166" s="2993" t="s">
        <v>1513</v>
      </c>
      <c r="S166" s="3903">
        <f>SUM(X166:X170)/T166</f>
        <v>1</v>
      </c>
      <c r="T166" s="4320">
        <f>SUM(X166:X170)</f>
        <v>38195000</v>
      </c>
      <c r="U166" s="2993" t="s">
        <v>1514</v>
      </c>
      <c r="V166" s="2993" t="s">
        <v>1263</v>
      </c>
      <c r="W166" s="4452" t="s">
        <v>1515</v>
      </c>
      <c r="X166" s="417">
        <v>1000000</v>
      </c>
      <c r="Y166" s="749">
        <v>1000000</v>
      </c>
      <c r="Z166" s="749">
        <v>1000000</v>
      </c>
      <c r="AA166" s="976" t="s">
        <v>1516</v>
      </c>
      <c r="AB166" s="977">
        <v>20</v>
      </c>
      <c r="AC166" s="714" t="s">
        <v>422</v>
      </c>
      <c r="AD166" s="2875">
        <v>104</v>
      </c>
      <c r="AE166" s="3917">
        <v>743</v>
      </c>
      <c r="AF166" s="4318">
        <v>96</v>
      </c>
      <c r="AG166" s="3917">
        <v>501</v>
      </c>
      <c r="AH166" s="4318">
        <v>25</v>
      </c>
      <c r="AI166" s="3917">
        <v>378</v>
      </c>
      <c r="AJ166" s="4318">
        <v>50</v>
      </c>
      <c r="AK166" s="3917">
        <v>146</v>
      </c>
      <c r="AL166" s="4318">
        <v>125</v>
      </c>
      <c r="AM166" s="3917">
        <v>624</v>
      </c>
      <c r="AN166" s="3917"/>
      <c r="AO166" s="3917">
        <v>96</v>
      </c>
      <c r="AP166" s="3917"/>
      <c r="AQ166" s="3917">
        <v>5</v>
      </c>
      <c r="AR166" s="3917"/>
      <c r="AS166" s="3917">
        <v>1</v>
      </c>
      <c r="AT166" s="3917"/>
      <c r="AU166" s="3917"/>
      <c r="AV166" s="3917"/>
      <c r="AW166" s="3917">
        <v>1</v>
      </c>
      <c r="AX166" s="3917"/>
      <c r="AY166" s="3917"/>
      <c r="AZ166" s="3917"/>
      <c r="BA166" s="3917"/>
      <c r="BB166" s="3917"/>
      <c r="BC166" s="3917">
        <v>5</v>
      </c>
      <c r="BD166" s="3917"/>
      <c r="BE166" s="3917">
        <v>10</v>
      </c>
      <c r="BF166" s="3917"/>
      <c r="BG166" s="3917">
        <v>2</v>
      </c>
      <c r="BH166" s="3917">
        <v>200</v>
      </c>
      <c r="BI166" s="3917">
        <v>1244</v>
      </c>
      <c r="BJ166" s="3917">
        <v>3</v>
      </c>
      <c r="BK166" s="4381">
        <f>SUM(Y166:Y170)</f>
        <v>37695000</v>
      </c>
      <c r="BL166" s="4381">
        <f>SUM(Z166:Z170)</f>
        <v>37695000</v>
      </c>
      <c r="BM166" s="3042">
        <f>BL166/BK166</f>
        <v>1</v>
      </c>
      <c r="BN166" s="2978">
        <v>20</v>
      </c>
      <c r="BO166" s="2978" t="s">
        <v>422</v>
      </c>
      <c r="BP166" s="2978" t="s">
        <v>1226</v>
      </c>
      <c r="BQ166" s="3914">
        <v>44197</v>
      </c>
      <c r="BR166" s="3914">
        <v>44259</v>
      </c>
      <c r="BS166" s="3914">
        <v>44561</v>
      </c>
      <c r="BT166" s="3914">
        <v>44378</v>
      </c>
      <c r="BU166" s="2978" t="s">
        <v>1226</v>
      </c>
    </row>
    <row r="167" spans="1:93" s="4" customFormat="1" ht="66.75" customHeight="1" x14ac:dyDescent="0.25">
      <c r="A167" s="279"/>
      <c r="B167" s="975"/>
      <c r="C167" s="279"/>
      <c r="D167" s="280"/>
      <c r="E167" s="4373"/>
      <c r="F167" s="4373"/>
      <c r="G167" s="3982"/>
      <c r="H167" s="4338"/>
      <c r="I167" s="3982"/>
      <c r="J167" s="4338"/>
      <c r="K167" s="3873"/>
      <c r="L167" s="2993"/>
      <c r="M167" s="3873"/>
      <c r="N167" s="2993"/>
      <c r="O167" s="2755"/>
      <c r="P167" s="2755"/>
      <c r="Q167" s="2755"/>
      <c r="R167" s="2993"/>
      <c r="S167" s="3903"/>
      <c r="T167" s="4320"/>
      <c r="U167" s="2993"/>
      <c r="V167" s="2993"/>
      <c r="W167" s="4221"/>
      <c r="X167" s="417">
        <v>20195000</v>
      </c>
      <c r="Y167" s="749">
        <f>+X167</f>
        <v>20195000</v>
      </c>
      <c r="Z167" s="749">
        <f>+Y167</f>
        <v>20195000</v>
      </c>
      <c r="AA167" s="976" t="s">
        <v>1517</v>
      </c>
      <c r="AB167" s="977">
        <v>88</v>
      </c>
      <c r="AC167" s="714" t="s">
        <v>1228</v>
      </c>
      <c r="AD167" s="2875"/>
      <c r="AE167" s="3917"/>
      <c r="AF167" s="4318"/>
      <c r="AG167" s="3917"/>
      <c r="AH167" s="4318"/>
      <c r="AI167" s="3917"/>
      <c r="AJ167" s="4318"/>
      <c r="AK167" s="3917"/>
      <c r="AL167" s="4318"/>
      <c r="AM167" s="3917"/>
      <c r="AN167" s="3917"/>
      <c r="AO167" s="3917"/>
      <c r="AP167" s="3917"/>
      <c r="AQ167" s="3917"/>
      <c r="AR167" s="3917"/>
      <c r="AS167" s="3917"/>
      <c r="AT167" s="3917"/>
      <c r="AU167" s="3917"/>
      <c r="AV167" s="3917"/>
      <c r="AW167" s="3917"/>
      <c r="AX167" s="3917"/>
      <c r="AY167" s="3917"/>
      <c r="AZ167" s="3917"/>
      <c r="BA167" s="3917"/>
      <c r="BB167" s="3917"/>
      <c r="BC167" s="3917"/>
      <c r="BD167" s="3917"/>
      <c r="BE167" s="3917"/>
      <c r="BF167" s="3917"/>
      <c r="BG167" s="3917"/>
      <c r="BH167" s="3917"/>
      <c r="BI167" s="3917"/>
      <c r="BJ167" s="3917"/>
      <c r="BK167" s="4381"/>
      <c r="BL167" s="4381"/>
      <c r="BM167" s="3042"/>
      <c r="BN167" s="2978"/>
      <c r="BO167" s="2978"/>
      <c r="BP167" s="2978"/>
      <c r="BQ167" s="3914"/>
      <c r="BR167" s="3914"/>
      <c r="BS167" s="3914"/>
      <c r="BT167" s="3914"/>
      <c r="BU167" s="2978"/>
    </row>
    <row r="168" spans="1:93" s="4" customFormat="1" ht="100.5" customHeight="1" x14ac:dyDescent="0.25">
      <c r="A168" s="279"/>
      <c r="B168" s="975"/>
      <c r="C168" s="279"/>
      <c r="D168" s="280"/>
      <c r="E168" s="4373"/>
      <c r="F168" s="4373"/>
      <c r="G168" s="3982"/>
      <c r="H168" s="4408"/>
      <c r="I168" s="3982"/>
      <c r="J168" s="4408"/>
      <c r="K168" s="3873"/>
      <c r="L168" s="2993"/>
      <c r="M168" s="3873"/>
      <c r="N168" s="2993"/>
      <c r="O168" s="2755"/>
      <c r="P168" s="2755"/>
      <c r="Q168" s="2755"/>
      <c r="R168" s="2993"/>
      <c r="S168" s="3903"/>
      <c r="T168" s="4320"/>
      <c r="U168" s="2993"/>
      <c r="V168" s="2993"/>
      <c r="W168" s="736" t="s">
        <v>1518</v>
      </c>
      <c r="X168" s="417">
        <v>6000000</v>
      </c>
      <c r="Y168" s="750">
        <f>+X168</f>
        <v>6000000</v>
      </c>
      <c r="Z168" s="750">
        <f>+Y168</f>
        <v>6000000</v>
      </c>
      <c r="AA168" s="976" t="s">
        <v>1516</v>
      </c>
      <c r="AB168" s="977">
        <v>20</v>
      </c>
      <c r="AC168" s="714" t="s">
        <v>422</v>
      </c>
      <c r="AD168" s="2875"/>
      <c r="AE168" s="3917"/>
      <c r="AF168" s="4318"/>
      <c r="AG168" s="3917"/>
      <c r="AH168" s="4318"/>
      <c r="AI168" s="3917"/>
      <c r="AJ168" s="4318"/>
      <c r="AK168" s="3917"/>
      <c r="AL168" s="4318"/>
      <c r="AM168" s="3917"/>
      <c r="AN168" s="3917"/>
      <c r="AO168" s="3917"/>
      <c r="AP168" s="3917"/>
      <c r="AQ168" s="3917"/>
      <c r="AR168" s="3917"/>
      <c r="AS168" s="3917"/>
      <c r="AT168" s="3917"/>
      <c r="AU168" s="3917"/>
      <c r="AV168" s="3917"/>
      <c r="AW168" s="3917"/>
      <c r="AX168" s="3917"/>
      <c r="AY168" s="3917"/>
      <c r="AZ168" s="3917"/>
      <c r="BA168" s="3917"/>
      <c r="BB168" s="3917"/>
      <c r="BC168" s="3917"/>
      <c r="BD168" s="3917"/>
      <c r="BE168" s="3917"/>
      <c r="BF168" s="3917"/>
      <c r="BG168" s="3917"/>
      <c r="BH168" s="3917"/>
      <c r="BI168" s="3917"/>
      <c r="BJ168" s="3917"/>
      <c r="BK168" s="4381"/>
      <c r="BL168" s="4381"/>
      <c r="BM168" s="3042"/>
      <c r="BN168" s="2978"/>
      <c r="BO168" s="2978"/>
      <c r="BP168" s="2978"/>
      <c r="BQ168" s="3914"/>
      <c r="BR168" s="3914"/>
      <c r="BS168" s="3914"/>
      <c r="BT168" s="3914"/>
      <c r="BU168" s="2978"/>
    </row>
    <row r="169" spans="1:93" s="4" customFormat="1" ht="77.25" customHeight="1" x14ac:dyDescent="0.25">
      <c r="A169" s="279"/>
      <c r="B169" s="975"/>
      <c r="C169" s="279"/>
      <c r="D169" s="280"/>
      <c r="E169" s="4373"/>
      <c r="F169" s="4373"/>
      <c r="G169" s="3982"/>
      <c r="H169" s="4408"/>
      <c r="I169" s="3982"/>
      <c r="J169" s="4408"/>
      <c r="K169" s="3873"/>
      <c r="L169" s="2993"/>
      <c r="M169" s="3873"/>
      <c r="N169" s="2993"/>
      <c r="O169" s="2755"/>
      <c r="P169" s="2755"/>
      <c r="Q169" s="2755"/>
      <c r="R169" s="2993"/>
      <c r="S169" s="3903"/>
      <c r="T169" s="4320"/>
      <c r="U169" s="2993"/>
      <c r="V169" s="2993"/>
      <c r="W169" s="736" t="s">
        <v>1519</v>
      </c>
      <c r="X169" s="417">
        <v>2000000</v>
      </c>
      <c r="Y169" s="750">
        <v>1500000</v>
      </c>
      <c r="Z169" s="750">
        <v>1500000</v>
      </c>
      <c r="AA169" s="976" t="s">
        <v>1516</v>
      </c>
      <c r="AB169" s="977">
        <v>20</v>
      </c>
      <c r="AC169" s="714" t="s">
        <v>422</v>
      </c>
      <c r="AD169" s="2875"/>
      <c r="AE169" s="3917"/>
      <c r="AF169" s="4318"/>
      <c r="AG169" s="3917"/>
      <c r="AH169" s="4318"/>
      <c r="AI169" s="3917"/>
      <c r="AJ169" s="4318"/>
      <c r="AK169" s="3917"/>
      <c r="AL169" s="4318"/>
      <c r="AM169" s="3917"/>
      <c r="AN169" s="3917"/>
      <c r="AO169" s="3917"/>
      <c r="AP169" s="3917"/>
      <c r="AQ169" s="3917"/>
      <c r="AR169" s="3917"/>
      <c r="AS169" s="3917"/>
      <c r="AT169" s="3917"/>
      <c r="AU169" s="3917"/>
      <c r="AV169" s="3917"/>
      <c r="AW169" s="3917"/>
      <c r="AX169" s="3917"/>
      <c r="AY169" s="3917"/>
      <c r="AZ169" s="3917"/>
      <c r="BA169" s="3917"/>
      <c r="BB169" s="3917"/>
      <c r="BC169" s="3917"/>
      <c r="BD169" s="3917"/>
      <c r="BE169" s="3917"/>
      <c r="BF169" s="3917"/>
      <c r="BG169" s="3917"/>
      <c r="BH169" s="3917"/>
      <c r="BI169" s="3917"/>
      <c r="BJ169" s="3917"/>
      <c r="BK169" s="4381"/>
      <c r="BL169" s="4381"/>
      <c r="BM169" s="3042"/>
      <c r="BN169" s="2978"/>
      <c r="BO169" s="2978"/>
      <c r="BP169" s="2978"/>
      <c r="BQ169" s="3914"/>
      <c r="BR169" s="3914"/>
      <c r="BS169" s="3914"/>
      <c r="BT169" s="3914"/>
      <c r="BU169" s="2978"/>
    </row>
    <row r="170" spans="1:93" s="4" customFormat="1" ht="45.75" customHeight="1" x14ac:dyDescent="0.25">
      <c r="A170" s="930"/>
      <c r="B170" s="975"/>
      <c r="C170" s="279"/>
      <c r="D170" s="280"/>
      <c r="E170" s="4373"/>
      <c r="F170" s="4373"/>
      <c r="G170" s="4293"/>
      <c r="H170" s="4449"/>
      <c r="I170" s="4293"/>
      <c r="J170" s="4449"/>
      <c r="K170" s="3873"/>
      <c r="L170" s="2993"/>
      <c r="M170" s="3873"/>
      <c r="N170" s="2993"/>
      <c r="O170" s="2755"/>
      <c r="P170" s="2755"/>
      <c r="Q170" s="2755"/>
      <c r="R170" s="2993"/>
      <c r="S170" s="3903"/>
      <c r="T170" s="4320"/>
      <c r="U170" s="2993"/>
      <c r="V170" s="2993"/>
      <c r="W170" s="735" t="s">
        <v>1520</v>
      </c>
      <c r="X170" s="927">
        <v>9000000</v>
      </c>
      <c r="Y170" s="928">
        <f>+X170</f>
        <v>9000000</v>
      </c>
      <c r="Z170" s="928">
        <f>+Y170</f>
        <v>9000000</v>
      </c>
      <c r="AA170" s="976" t="s">
        <v>1516</v>
      </c>
      <c r="AB170" s="977">
        <v>20</v>
      </c>
      <c r="AC170" s="714" t="s">
        <v>422</v>
      </c>
      <c r="AD170" s="2875"/>
      <c r="AE170" s="3917"/>
      <c r="AF170" s="4318"/>
      <c r="AG170" s="3917"/>
      <c r="AH170" s="4318"/>
      <c r="AI170" s="3917"/>
      <c r="AJ170" s="4318"/>
      <c r="AK170" s="3917"/>
      <c r="AL170" s="4318"/>
      <c r="AM170" s="3917"/>
      <c r="AN170" s="3917"/>
      <c r="AO170" s="3917"/>
      <c r="AP170" s="3917"/>
      <c r="AQ170" s="3917"/>
      <c r="AR170" s="3917"/>
      <c r="AS170" s="3917"/>
      <c r="AT170" s="3917"/>
      <c r="AU170" s="3917"/>
      <c r="AV170" s="3917"/>
      <c r="AW170" s="3917"/>
      <c r="AX170" s="3917"/>
      <c r="AY170" s="3917"/>
      <c r="AZ170" s="3917"/>
      <c r="BA170" s="3917"/>
      <c r="BB170" s="3917"/>
      <c r="BC170" s="3917"/>
      <c r="BD170" s="3917"/>
      <c r="BE170" s="3917"/>
      <c r="BF170" s="3917"/>
      <c r="BG170" s="3917"/>
      <c r="BH170" s="3917"/>
      <c r="BI170" s="3917"/>
      <c r="BJ170" s="3917"/>
      <c r="BK170" s="4381"/>
      <c r="BL170" s="4381"/>
      <c r="BM170" s="3042"/>
      <c r="BN170" s="2978"/>
      <c r="BO170" s="2978"/>
      <c r="BP170" s="2978"/>
      <c r="BQ170" s="3914"/>
      <c r="BR170" s="3914"/>
      <c r="BS170" s="3914"/>
      <c r="BT170" s="3914"/>
      <c r="BU170" s="2978"/>
    </row>
    <row r="171" spans="1:93" ht="24.75" customHeight="1" x14ac:dyDescent="0.25">
      <c r="A171" s="517">
        <v>4</v>
      </c>
      <c r="B171" s="4445" t="s">
        <v>1521</v>
      </c>
      <c r="C171" s="3863"/>
      <c r="D171" s="3863"/>
      <c r="E171" s="3863"/>
      <c r="F171" s="3863"/>
      <c r="G171" s="3863"/>
      <c r="H171" s="247"/>
      <c r="I171" s="1054"/>
      <c r="J171" s="1076"/>
      <c r="K171" s="1054"/>
      <c r="L171" s="1076"/>
      <c r="M171" s="1054"/>
      <c r="N171" s="1076"/>
      <c r="O171" s="1054"/>
      <c r="P171" s="1054"/>
      <c r="Q171" s="1054"/>
      <c r="R171" s="1076"/>
      <c r="S171" s="1077"/>
      <c r="T171" s="1078"/>
      <c r="U171" s="1076"/>
      <c r="V171" s="1076"/>
      <c r="W171" s="1076"/>
      <c r="X171" s="1076"/>
      <c r="Y171" s="1076"/>
      <c r="Z171" s="1076"/>
      <c r="AA171" s="1051"/>
      <c r="AB171" s="1079"/>
      <c r="AC171" s="166"/>
      <c r="AD171" s="1054"/>
      <c r="AE171" s="1054"/>
      <c r="AF171" s="1054"/>
      <c r="AG171" s="1054"/>
      <c r="AH171" s="1054"/>
      <c r="AI171" s="1054"/>
      <c r="AJ171" s="1054"/>
      <c r="AK171" s="1054"/>
      <c r="AL171" s="1054"/>
      <c r="AM171" s="1054"/>
      <c r="AN171" s="1054"/>
      <c r="AO171" s="1054"/>
      <c r="AP171" s="1054"/>
      <c r="AQ171" s="1054"/>
      <c r="AR171" s="1054"/>
      <c r="AS171" s="1054"/>
      <c r="AT171" s="1054"/>
      <c r="AU171" s="1054"/>
      <c r="AV171" s="1054"/>
      <c r="AW171" s="1054"/>
      <c r="AX171" s="1054"/>
      <c r="AY171" s="1054"/>
      <c r="AZ171" s="1054"/>
      <c r="BA171" s="1054"/>
      <c r="BB171" s="1054"/>
      <c r="BC171" s="1054"/>
      <c r="BD171" s="1054"/>
      <c r="BE171" s="1054"/>
      <c r="BF171" s="1054"/>
      <c r="BG171" s="1054"/>
      <c r="BH171" s="1054"/>
      <c r="BI171" s="950"/>
      <c r="BJ171" s="950"/>
      <c r="BK171" s="1080"/>
      <c r="BL171" s="1080"/>
      <c r="BM171" s="1054"/>
      <c r="BN171" s="1054"/>
      <c r="BO171" s="1054"/>
      <c r="BP171" s="1054"/>
      <c r="BQ171" s="1081"/>
      <c r="BR171" s="1081"/>
      <c r="BS171" s="1081"/>
      <c r="BT171" s="1081"/>
      <c r="BU171" s="1082"/>
      <c r="BV171" s="4"/>
      <c r="BW171" s="4"/>
      <c r="BX171" s="4"/>
      <c r="BY171" s="4"/>
      <c r="BZ171" s="4"/>
      <c r="CA171" s="4"/>
      <c r="CB171" s="4"/>
      <c r="CC171" s="4"/>
      <c r="CD171" s="4"/>
      <c r="CE171" s="4"/>
      <c r="CF171" s="4"/>
      <c r="CG171" s="4"/>
      <c r="CH171" s="4"/>
      <c r="CI171" s="4"/>
      <c r="CJ171" s="4"/>
      <c r="CK171" s="4"/>
      <c r="CL171" s="4"/>
      <c r="CM171" s="4"/>
      <c r="CN171" s="4"/>
      <c r="CO171" s="4"/>
    </row>
    <row r="172" spans="1:93" ht="24.75" customHeight="1" x14ac:dyDescent="0.25">
      <c r="A172" s="849"/>
      <c r="B172" s="701"/>
      <c r="C172" s="176">
        <v>45</v>
      </c>
      <c r="D172" s="3619" t="s">
        <v>1522</v>
      </c>
      <c r="E172" s="4453"/>
      <c r="F172" s="3620"/>
      <c r="G172" s="3620"/>
      <c r="H172" s="1083"/>
      <c r="I172" s="1059"/>
      <c r="J172" s="1060"/>
      <c r="K172" s="1059"/>
      <c r="L172" s="1060"/>
      <c r="M172" s="1059"/>
      <c r="N172" s="1060"/>
      <c r="O172" s="1059"/>
      <c r="P172" s="1059"/>
      <c r="Q172" s="1059"/>
      <c r="R172" s="1060"/>
      <c r="S172" s="1061"/>
      <c r="T172" s="1084"/>
      <c r="U172" s="1060"/>
      <c r="V172" s="1060"/>
      <c r="W172" s="1060"/>
      <c r="X172" s="1060"/>
      <c r="Y172" s="1060"/>
      <c r="Z172" s="1060"/>
      <c r="AA172" s="1059"/>
      <c r="AB172" s="1085"/>
      <c r="AC172" s="179"/>
      <c r="AD172" s="1059"/>
      <c r="AE172" s="1059"/>
      <c r="AF172" s="1059"/>
      <c r="AG172" s="1059"/>
      <c r="AH172" s="1059"/>
      <c r="AI172" s="1059"/>
      <c r="AJ172" s="1059"/>
      <c r="AK172" s="1059"/>
      <c r="AL172" s="1059"/>
      <c r="AM172" s="1059"/>
      <c r="AN172" s="1059"/>
      <c r="AO172" s="1059"/>
      <c r="AP172" s="1059"/>
      <c r="AQ172" s="1059"/>
      <c r="AR172" s="1059"/>
      <c r="AS172" s="1059"/>
      <c r="AT172" s="1059"/>
      <c r="AU172" s="1059"/>
      <c r="AV172" s="1059"/>
      <c r="AW172" s="1059"/>
      <c r="AX172" s="1059"/>
      <c r="AY172" s="1059"/>
      <c r="AZ172" s="1059"/>
      <c r="BA172" s="1059"/>
      <c r="BB172" s="1059"/>
      <c r="BC172" s="1059"/>
      <c r="BD172" s="1059"/>
      <c r="BE172" s="1059"/>
      <c r="BF172" s="1059"/>
      <c r="BG172" s="1059"/>
      <c r="BH172" s="1059"/>
      <c r="BI172" s="674"/>
      <c r="BJ172" s="674"/>
      <c r="BK172" s="1063"/>
      <c r="BL172" s="1063"/>
      <c r="BM172" s="1059"/>
      <c r="BN172" s="1059"/>
      <c r="BO172" s="1059"/>
      <c r="BP172" s="1059"/>
      <c r="BQ172" s="1064"/>
      <c r="BR172" s="1064"/>
      <c r="BS172" s="1064"/>
      <c r="BT172" s="1064"/>
      <c r="BU172" s="1065"/>
    </row>
    <row r="173" spans="1:93" s="4" customFormat="1" ht="27" customHeight="1" x14ac:dyDescent="0.25">
      <c r="A173" s="279"/>
      <c r="B173" s="975"/>
      <c r="C173" s="849"/>
      <c r="D173" s="1066"/>
      <c r="E173" s="1086">
        <v>4502</v>
      </c>
      <c r="F173" s="753" t="s">
        <v>245</v>
      </c>
      <c r="G173" s="754"/>
      <c r="H173" s="1087"/>
      <c r="I173" s="1088"/>
      <c r="J173" s="1087"/>
      <c r="K173" s="1027"/>
      <c r="L173" s="1028"/>
      <c r="M173" s="262"/>
      <c r="N173" s="1089"/>
      <c r="O173" s="262"/>
      <c r="P173" s="262"/>
      <c r="Q173" s="262"/>
      <c r="R173" s="264"/>
      <c r="S173" s="262"/>
      <c r="T173" s="1090"/>
      <c r="U173" s="1006"/>
      <c r="V173" s="1006"/>
      <c r="W173" s="1006"/>
      <c r="X173" s="1006"/>
      <c r="Y173" s="1006"/>
      <c r="Z173" s="1006"/>
      <c r="AA173" s="1075"/>
      <c r="AB173" s="949"/>
      <c r="AC173" s="190"/>
      <c r="AD173" s="794"/>
      <c r="AE173" s="794"/>
      <c r="AF173" s="794"/>
      <c r="AG173" s="794"/>
      <c r="AH173" s="794"/>
      <c r="AI173" s="794"/>
      <c r="AJ173" s="794"/>
      <c r="AK173" s="794"/>
      <c r="AL173" s="794"/>
      <c r="AM173" s="794"/>
      <c r="AN173" s="794"/>
      <c r="AO173" s="794"/>
      <c r="AP173" s="794"/>
      <c r="AQ173" s="794"/>
      <c r="AR173" s="794"/>
      <c r="AS173" s="794"/>
      <c r="AT173" s="794"/>
      <c r="AU173" s="794"/>
      <c r="AV173" s="794"/>
      <c r="AW173" s="794"/>
      <c r="AX173" s="794"/>
      <c r="AY173" s="794"/>
      <c r="AZ173" s="794"/>
      <c r="BA173" s="794"/>
      <c r="BB173" s="794"/>
      <c r="BC173" s="794"/>
      <c r="BD173" s="794"/>
      <c r="BE173" s="794"/>
      <c r="BF173" s="794"/>
      <c r="BG173" s="794"/>
      <c r="BH173" s="794"/>
      <c r="BI173" s="950"/>
      <c r="BJ173" s="950"/>
      <c r="BK173" s="951"/>
      <c r="BL173" s="951"/>
      <c r="BM173" s="794"/>
      <c r="BN173" s="794"/>
      <c r="BO173" s="794"/>
      <c r="BP173" s="794"/>
      <c r="BQ173" s="952"/>
      <c r="BR173" s="952"/>
      <c r="BS173" s="952"/>
      <c r="BT173" s="952"/>
      <c r="BU173" s="863"/>
    </row>
    <row r="174" spans="1:93" s="4" customFormat="1" ht="239.25" customHeight="1" x14ac:dyDescent="0.25">
      <c r="A174" s="279"/>
      <c r="B174" s="975"/>
      <c r="C174" s="279"/>
      <c r="D174" s="280"/>
      <c r="E174" s="10"/>
      <c r="F174" s="1091"/>
      <c r="G174" s="723">
        <v>4502001</v>
      </c>
      <c r="H174" s="728" t="s">
        <v>247</v>
      </c>
      <c r="I174" s="723">
        <v>4502001</v>
      </c>
      <c r="J174" s="728" t="s">
        <v>247</v>
      </c>
      <c r="K174" s="723" t="s">
        <v>1523</v>
      </c>
      <c r="L174" s="728" t="s">
        <v>1524</v>
      </c>
      <c r="M174" s="723">
        <v>450200108</v>
      </c>
      <c r="N174" s="728" t="s">
        <v>1525</v>
      </c>
      <c r="O174" s="723">
        <v>1</v>
      </c>
      <c r="P174" s="723">
        <v>1</v>
      </c>
      <c r="Q174" s="723" t="s">
        <v>1526</v>
      </c>
      <c r="R174" s="728" t="s">
        <v>1527</v>
      </c>
      <c r="S174" s="955">
        <f>X174/T174</f>
        <v>1</v>
      </c>
      <c r="T174" s="956">
        <f>SUM(X174)</f>
        <v>18000000</v>
      </c>
      <c r="U174" s="728" t="s">
        <v>1528</v>
      </c>
      <c r="V174" s="738" t="s">
        <v>1263</v>
      </c>
      <c r="W174" s="736" t="s">
        <v>1529</v>
      </c>
      <c r="X174" s="417">
        <v>18000000</v>
      </c>
      <c r="Y174" s="749">
        <v>16863999</v>
      </c>
      <c r="Z174" s="749">
        <f>+Y174</f>
        <v>16863999</v>
      </c>
      <c r="AA174" s="533" t="s">
        <v>1530</v>
      </c>
      <c r="AB174" s="958">
        <v>20</v>
      </c>
      <c r="AC174" s="713" t="s">
        <v>422</v>
      </c>
      <c r="AD174" s="734">
        <v>400</v>
      </c>
      <c r="AE174" s="734">
        <v>400</v>
      </c>
      <c r="AF174" s="734"/>
      <c r="AG174" s="734"/>
      <c r="AH174" s="734"/>
      <c r="AI174" s="734"/>
      <c r="AJ174" s="734"/>
      <c r="AK174" s="734"/>
      <c r="AL174" s="734">
        <v>400</v>
      </c>
      <c r="AM174" s="734">
        <v>400</v>
      </c>
      <c r="AN174" s="734"/>
      <c r="AO174" s="734"/>
      <c r="AP174" s="734"/>
      <c r="AQ174" s="734"/>
      <c r="AR174" s="734"/>
      <c r="AS174" s="734"/>
      <c r="AT174" s="734"/>
      <c r="AU174" s="734"/>
      <c r="AV174" s="734"/>
      <c r="AW174" s="734"/>
      <c r="AX174" s="734"/>
      <c r="AY174" s="734"/>
      <c r="AZ174" s="734"/>
      <c r="BA174" s="734"/>
      <c r="BB174" s="734"/>
      <c r="BC174" s="734"/>
      <c r="BD174" s="734"/>
      <c r="BE174" s="734"/>
      <c r="BF174" s="734"/>
      <c r="BG174" s="734"/>
      <c r="BH174" s="734">
        <v>400</v>
      </c>
      <c r="BI174" s="961">
        <v>400</v>
      </c>
      <c r="BJ174" s="961">
        <v>4</v>
      </c>
      <c r="BK174" s="1092">
        <f>SUM(Y174)</f>
        <v>16863999</v>
      </c>
      <c r="BL174" s="1092">
        <f>SUM(Z174)</f>
        <v>16863999</v>
      </c>
      <c r="BM174" s="726">
        <f>BL174/BK174</f>
        <v>1</v>
      </c>
      <c r="BN174" s="734"/>
      <c r="BO174" s="734"/>
      <c r="BP174" s="734" t="s">
        <v>1531</v>
      </c>
      <c r="BQ174" s="717">
        <v>44197</v>
      </c>
      <c r="BR174" s="717"/>
      <c r="BS174" s="717">
        <v>44561</v>
      </c>
      <c r="BT174" s="717"/>
      <c r="BU174" s="963" t="s">
        <v>1531</v>
      </c>
    </row>
    <row r="175" spans="1:93" s="4" customFormat="1" ht="57.75" customHeight="1" x14ac:dyDescent="0.25">
      <c r="A175" s="279"/>
      <c r="B175" s="975"/>
      <c r="C175" s="279"/>
      <c r="D175" s="280"/>
      <c r="E175" s="10"/>
      <c r="F175" s="10"/>
      <c r="G175" s="3982" t="s">
        <v>20</v>
      </c>
      <c r="H175" s="4119" t="s">
        <v>1532</v>
      </c>
      <c r="I175" s="3982">
        <v>4502038</v>
      </c>
      <c r="J175" s="4119" t="s">
        <v>1533</v>
      </c>
      <c r="K175" s="3982" t="s">
        <v>20</v>
      </c>
      <c r="L175" s="4119" t="s">
        <v>1534</v>
      </c>
      <c r="M175" s="3982">
        <v>450203800</v>
      </c>
      <c r="N175" s="4119" t="s">
        <v>1535</v>
      </c>
      <c r="O175" s="3982">
        <v>1</v>
      </c>
      <c r="P175" s="3982">
        <v>1</v>
      </c>
      <c r="Q175" s="3982" t="s">
        <v>1536</v>
      </c>
      <c r="R175" s="4119" t="s">
        <v>1537</v>
      </c>
      <c r="S175" s="4406">
        <f>SUM(X175:X180)/T175</f>
        <v>1</v>
      </c>
      <c r="T175" s="4305">
        <f>SUM(X175:X180)</f>
        <v>77000000</v>
      </c>
      <c r="U175" s="4119" t="s">
        <v>1538</v>
      </c>
      <c r="V175" s="4119" t="s">
        <v>1539</v>
      </c>
      <c r="W175" s="1093" t="s">
        <v>1540</v>
      </c>
      <c r="X175" s="1002">
        <v>29690000</v>
      </c>
      <c r="Y175" s="1025">
        <v>29690000</v>
      </c>
      <c r="Z175" s="1025">
        <f>+Y175</f>
        <v>29690000</v>
      </c>
      <c r="AA175" s="533" t="s">
        <v>1541</v>
      </c>
      <c r="AB175" s="3981">
        <v>20</v>
      </c>
      <c r="AC175" s="2965" t="s">
        <v>422</v>
      </c>
      <c r="AD175" s="2488">
        <v>3200</v>
      </c>
      <c r="AE175" s="2488">
        <v>1559</v>
      </c>
      <c r="AF175" s="4414" t="s">
        <v>153</v>
      </c>
      <c r="AG175" s="2488">
        <v>172</v>
      </c>
      <c r="AH175" s="4402">
        <v>500</v>
      </c>
      <c r="AI175" s="2488">
        <v>154</v>
      </c>
      <c r="AJ175" s="4414">
        <v>1500</v>
      </c>
      <c r="AK175" s="2488"/>
      <c r="AL175" s="4402">
        <v>900</v>
      </c>
      <c r="AM175" s="2488">
        <v>1332</v>
      </c>
      <c r="AN175" s="4414">
        <v>235</v>
      </c>
      <c r="AO175" s="2488">
        <v>187</v>
      </c>
      <c r="AP175" s="4402">
        <v>15</v>
      </c>
      <c r="AQ175" s="2488">
        <v>23</v>
      </c>
      <c r="AR175" s="4414">
        <v>15</v>
      </c>
      <c r="AS175" s="2488">
        <v>21</v>
      </c>
      <c r="AT175" s="4402" t="s">
        <v>153</v>
      </c>
      <c r="AU175" s="2488"/>
      <c r="AV175" s="4414" t="s">
        <v>153</v>
      </c>
      <c r="AW175" s="2488">
        <v>3</v>
      </c>
      <c r="AX175" s="4402" t="s">
        <v>153</v>
      </c>
      <c r="AY175" s="2488"/>
      <c r="AZ175" s="4414" t="s">
        <v>153</v>
      </c>
      <c r="BA175" s="2488"/>
      <c r="BB175" s="4402">
        <v>10</v>
      </c>
      <c r="BC175" s="2488">
        <v>57</v>
      </c>
      <c r="BD175" s="4414">
        <v>15</v>
      </c>
      <c r="BE175" s="2488">
        <v>26</v>
      </c>
      <c r="BF175" s="4402">
        <v>10</v>
      </c>
      <c r="BG175" s="2488">
        <v>70</v>
      </c>
      <c r="BH175" s="4412">
        <v>3200</v>
      </c>
      <c r="BI175" s="4310">
        <v>1559</v>
      </c>
      <c r="BJ175" s="4310">
        <v>15</v>
      </c>
      <c r="BK175" s="4398">
        <f>SUM(Y175:Y180)</f>
        <v>73301546</v>
      </c>
      <c r="BL175" s="4398">
        <f>SUM(Z175:Z180)</f>
        <v>73301546</v>
      </c>
      <c r="BM175" s="4317">
        <f>BL175/BK175</f>
        <v>1</v>
      </c>
      <c r="BN175" s="4310">
        <v>20</v>
      </c>
      <c r="BO175" s="4310" t="s">
        <v>422</v>
      </c>
      <c r="BP175" s="4310" t="s">
        <v>1531</v>
      </c>
      <c r="BQ175" s="4348">
        <v>44197</v>
      </c>
      <c r="BR175" s="4348"/>
      <c r="BS175" s="4454">
        <v>44561</v>
      </c>
      <c r="BT175" s="4454"/>
      <c r="BU175" s="2702" t="s">
        <v>1531</v>
      </c>
    </row>
    <row r="176" spans="1:93" s="4" customFormat="1" ht="73.5" customHeight="1" x14ac:dyDescent="0.25">
      <c r="A176" s="279"/>
      <c r="B176" s="975"/>
      <c r="C176" s="279"/>
      <c r="D176" s="280"/>
      <c r="E176" s="10"/>
      <c r="F176" s="10"/>
      <c r="G176" s="3982"/>
      <c r="H176" s="4119"/>
      <c r="I176" s="3982"/>
      <c r="J176" s="4119"/>
      <c r="K176" s="3982"/>
      <c r="L176" s="4119"/>
      <c r="M176" s="3982"/>
      <c r="N176" s="4119"/>
      <c r="O176" s="3982"/>
      <c r="P176" s="3982"/>
      <c r="Q176" s="3982"/>
      <c r="R176" s="4119"/>
      <c r="S176" s="4406"/>
      <c r="T176" s="4305"/>
      <c r="U176" s="4119"/>
      <c r="V176" s="4119"/>
      <c r="W176" s="1093" t="s">
        <v>1542</v>
      </c>
      <c r="X176" s="1002">
        <v>15400000</v>
      </c>
      <c r="Y176" s="1025">
        <v>15260000</v>
      </c>
      <c r="Z176" s="1025">
        <v>15260000</v>
      </c>
      <c r="AA176" s="533" t="s">
        <v>1541</v>
      </c>
      <c r="AB176" s="3981"/>
      <c r="AC176" s="2965"/>
      <c r="AD176" s="2488"/>
      <c r="AE176" s="2488"/>
      <c r="AF176" s="4414"/>
      <c r="AG176" s="2488"/>
      <c r="AH176" s="4402"/>
      <c r="AI176" s="2488"/>
      <c r="AJ176" s="4414"/>
      <c r="AK176" s="2488"/>
      <c r="AL176" s="4402"/>
      <c r="AM176" s="2488"/>
      <c r="AN176" s="4414"/>
      <c r="AO176" s="2488"/>
      <c r="AP176" s="4402"/>
      <c r="AQ176" s="2488"/>
      <c r="AR176" s="4414"/>
      <c r="AS176" s="2488"/>
      <c r="AT176" s="4402"/>
      <c r="AU176" s="2488"/>
      <c r="AV176" s="4414"/>
      <c r="AW176" s="2488"/>
      <c r="AX176" s="4402"/>
      <c r="AY176" s="2488"/>
      <c r="AZ176" s="4414"/>
      <c r="BA176" s="2488"/>
      <c r="BB176" s="4402"/>
      <c r="BC176" s="2488"/>
      <c r="BD176" s="4414"/>
      <c r="BE176" s="2488"/>
      <c r="BF176" s="4402"/>
      <c r="BG176" s="2488"/>
      <c r="BH176" s="4412"/>
      <c r="BI176" s="4310"/>
      <c r="BJ176" s="4310"/>
      <c r="BK176" s="4398"/>
      <c r="BL176" s="4398"/>
      <c r="BM176" s="4317"/>
      <c r="BN176" s="4310"/>
      <c r="BO176" s="4310"/>
      <c r="BP176" s="4310"/>
      <c r="BQ176" s="4348"/>
      <c r="BR176" s="4348"/>
      <c r="BS176" s="4454"/>
      <c r="BT176" s="4454"/>
      <c r="BU176" s="2702"/>
    </row>
    <row r="177" spans="1:73" s="4" customFormat="1" ht="42" customHeight="1" x14ac:dyDescent="0.25">
      <c r="A177" s="279"/>
      <c r="B177" s="975"/>
      <c r="C177" s="279"/>
      <c r="D177" s="280"/>
      <c r="E177" s="10"/>
      <c r="F177" s="10"/>
      <c r="G177" s="3982"/>
      <c r="H177" s="4119"/>
      <c r="I177" s="3982"/>
      <c r="J177" s="4119"/>
      <c r="K177" s="3982"/>
      <c r="L177" s="4119"/>
      <c r="M177" s="3982"/>
      <c r="N177" s="4119"/>
      <c r="O177" s="3982"/>
      <c r="P177" s="3982"/>
      <c r="Q177" s="3982"/>
      <c r="R177" s="4119"/>
      <c r="S177" s="4406"/>
      <c r="T177" s="4305"/>
      <c r="U177" s="4119"/>
      <c r="V177" s="4119"/>
      <c r="W177" s="1093" t="s">
        <v>1202</v>
      </c>
      <c r="X177" s="1002">
        <v>2400000</v>
      </c>
      <c r="Y177" s="995">
        <v>1598346</v>
      </c>
      <c r="Z177" s="1025">
        <f>+Y177</f>
        <v>1598346</v>
      </c>
      <c r="AA177" s="533" t="s">
        <v>1543</v>
      </c>
      <c r="AB177" s="3981"/>
      <c r="AC177" s="2965"/>
      <c r="AD177" s="2488"/>
      <c r="AE177" s="2488"/>
      <c r="AF177" s="4414"/>
      <c r="AG177" s="2488"/>
      <c r="AH177" s="4402"/>
      <c r="AI177" s="2488"/>
      <c r="AJ177" s="4414"/>
      <c r="AK177" s="2488"/>
      <c r="AL177" s="4402"/>
      <c r="AM177" s="2488"/>
      <c r="AN177" s="4414"/>
      <c r="AO177" s="2488"/>
      <c r="AP177" s="4402"/>
      <c r="AQ177" s="2488"/>
      <c r="AR177" s="4414"/>
      <c r="AS177" s="2488"/>
      <c r="AT177" s="4402"/>
      <c r="AU177" s="2488"/>
      <c r="AV177" s="4414"/>
      <c r="AW177" s="2488"/>
      <c r="AX177" s="4402"/>
      <c r="AY177" s="2488"/>
      <c r="AZ177" s="4414"/>
      <c r="BA177" s="2488"/>
      <c r="BB177" s="4402"/>
      <c r="BC177" s="2488"/>
      <c r="BD177" s="4414"/>
      <c r="BE177" s="2488"/>
      <c r="BF177" s="4402"/>
      <c r="BG177" s="2488"/>
      <c r="BH177" s="4412"/>
      <c r="BI177" s="4310"/>
      <c r="BJ177" s="4310"/>
      <c r="BK177" s="4398"/>
      <c r="BL177" s="4398"/>
      <c r="BM177" s="4317"/>
      <c r="BN177" s="4310"/>
      <c r="BO177" s="4310"/>
      <c r="BP177" s="4310"/>
      <c r="BQ177" s="4348"/>
      <c r="BR177" s="4348"/>
      <c r="BS177" s="4454"/>
      <c r="BT177" s="4454"/>
      <c r="BU177" s="2702"/>
    </row>
    <row r="178" spans="1:73" s="4" customFormat="1" ht="55.5" customHeight="1" x14ac:dyDescent="0.25">
      <c r="A178" s="279"/>
      <c r="B178" s="975"/>
      <c r="C178" s="279"/>
      <c r="D178" s="280"/>
      <c r="E178" s="10"/>
      <c r="F178" s="10"/>
      <c r="G178" s="3982"/>
      <c r="H178" s="4119"/>
      <c r="I178" s="3982"/>
      <c r="J178" s="4119"/>
      <c r="K178" s="3982"/>
      <c r="L178" s="4119"/>
      <c r="M178" s="3982"/>
      <c r="N178" s="4119"/>
      <c r="O178" s="3982"/>
      <c r="P178" s="3982"/>
      <c r="Q178" s="3982"/>
      <c r="R178" s="4119"/>
      <c r="S178" s="4406"/>
      <c r="T178" s="4305"/>
      <c r="U178" s="4119"/>
      <c r="V178" s="4119"/>
      <c r="W178" s="1093" t="s">
        <v>1544</v>
      </c>
      <c r="X178" s="1002">
        <v>24510000</v>
      </c>
      <c r="Y178" s="1025">
        <v>22000000</v>
      </c>
      <c r="Z178" s="1025">
        <v>22000000</v>
      </c>
      <c r="AA178" s="533" t="s">
        <v>1541</v>
      </c>
      <c r="AB178" s="3981"/>
      <c r="AC178" s="2965"/>
      <c r="AD178" s="2488"/>
      <c r="AE178" s="2488"/>
      <c r="AF178" s="4414"/>
      <c r="AG178" s="2488"/>
      <c r="AH178" s="4402"/>
      <c r="AI178" s="2488"/>
      <c r="AJ178" s="4414"/>
      <c r="AK178" s="2488"/>
      <c r="AL178" s="4402"/>
      <c r="AM178" s="2488"/>
      <c r="AN178" s="4414"/>
      <c r="AO178" s="2488"/>
      <c r="AP178" s="4402"/>
      <c r="AQ178" s="2488"/>
      <c r="AR178" s="4414"/>
      <c r="AS178" s="2488"/>
      <c r="AT178" s="4402"/>
      <c r="AU178" s="2488"/>
      <c r="AV178" s="4414"/>
      <c r="AW178" s="2488"/>
      <c r="AX178" s="4402"/>
      <c r="AY178" s="2488"/>
      <c r="AZ178" s="4414"/>
      <c r="BA178" s="2488"/>
      <c r="BB178" s="4402"/>
      <c r="BC178" s="2488"/>
      <c r="BD178" s="4414"/>
      <c r="BE178" s="2488"/>
      <c r="BF178" s="4402"/>
      <c r="BG178" s="2488"/>
      <c r="BH178" s="4412"/>
      <c r="BI178" s="4310"/>
      <c r="BJ178" s="4310"/>
      <c r="BK178" s="4398"/>
      <c r="BL178" s="4398"/>
      <c r="BM178" s="4317"/>
      <c r="BN178" s="4310"/>
      <c r="BO178" s="4310"/>
      <c r="BP178" s="4310"/>
      <c r="BQ178" s="4348"/>
      <c r="BR178" s="4348"/>
      <c r="BS178" s="4454"/>
      <c r="BT178" s="4454"/>
      <c r="BU178" s="2702"/>
    </row>
    <row r="179" spans="1:73" s="4" customFormat="1" ht="61.5" customHeight="1" x14ac:dyDescent="0.25">
      <c r="A179" s="279"/>
      <c r="B179" s="975"/>
      <c r="C179" s="279"/>
      <c r="D179" s="280"/>
      <c r="E179" s="10"/>
      <c r="F179" s="10"/>
      <c r="G179" s="3982"/>
      <c r="H179" s="4119"/>
      <c r="I179" s="3982"/>
      <c r="J179" s="4119"/>
      <c r="K179" s="3982"/>
      <c r="L179" s="4119"/>
      <c r="M179" s="3982"/>
      <c r="N179" s="4119"/>
      <c r="O179" s="3982"/>
      <c r="P179" s="3982"/>
      <c r="Q179" s="3982"/>
      <c r="R179" s="4119"/>
      <c r="S179" s="4406"/>
      <c r="T179" s="4305"/>
      <c r="U179" s="4119"/>
      <c r="V179" s="4119"/>
      <c r="W179" s="1093" t="s">
        <v>1545</v>
      </c>
      <c r="X179" s="1002">
        <v>0</v>
      </c>
      <c r="Y179" s="1025"/>
      <c r="Z179" s="1025"/>
      <c r="AA179" s="533" t="s">
        <v>1541</v>
      </c>
      <c r="AB179" s="3981"/>
      <c r="AC179" s="2965"/>
      <c r="AD179" s="2488"/>
      <c r="AE179" s="2488"/>
      <c r="AF179" s="4414"/>
      <c r="AG179" s="2488"/>
      <c r="AH179" s="4402"/>
      <c r="AI179" s="2488"/>
      <c r="AJ179" s="4414"/>
      <c r="AK179" s="2488"/>
      <c r="AL179" s="4402"/>
      <c r="AM179" s="2488"/>
      <c r="AN179" s="4414"/>
      <c r="AO179" s="2488"/>
      <c r="AP179" s="4402"/>
      <c r="AQ179" s="2488"/>
      <c r="AR179" s="4414"/>
      <c r="AS179" s="2488"/>
      <c r="AT179" s="4402"/>
      <c r="AU179" s="2488"/>
      <c r="AV179" s="4414"/>
      <c r="AW179" s="2488"/>
      <c r="AX179" s="4402"/>
      <c r="AY179" s="2488"/>
      <c r="AZ179" s="4414"/>
      <c r="BA179" s="2488"/>
      <c r="BB179" s="4402"/>
      <c r="BC179" s="2488"/>
      <c r="BD179" s="4414"/>
      <c r="BE179" s="2488"/>
      <c r="BF179" s="4402"/>
      <c r="BG179" s="2488"/>
      <c r="BH179" s="4412"/>
      <c r="BI179" s="4310"/>
      <c r="BJ179" s="4310"/>
      <c r="BK179" s="4398"/>
      <c r="BL179" s="4398"/>
      <c r="BM179" s="4317"/>
      <c r="BN179" s="4310"/>
      <c r="BO179" s="4310"/>
      <c r="BP179" s="4310"/>
      <c r="BQ179" s="4348"/>
      <c r="BR179" s="4348"/>
      <c r="BS179" s="4454"/>
      <c r="BT179" s="4454"/>
      <c r="BU179" s="2702"/>
    </row>
    <row r="180" spans="1:73" s="4" customFormat="1" ht="47.25" customHeight="1" x14ac:dyDescent="0.25">
      <c r="A180" s="279"/>
      <c r="B180" s="975"/>
      <c r="C180" s="279"/>
      <c r="D180" s="280"/>
      <c r="E180" s="10"/>
      <c r="F180" s="10"/>
      <c r="G180" s="3982"/>
      <c r="H180" s="4119"/>
      <c r="I180" s="3982"/>
      <c r="J180" s="4119"/>
      <c r="K180" s="3982"/>
      <c r="L180" s="4119"/>
      <c r="M180" s="3982"/>
      <c r="N180" s="4119"/>
      <c r="O180" s="3982"/>
      <c r="P180" s="3982"/>
      <c r="Q180" s="3982"/>
      <c r="R180" s="4119"/>
      <c r="S180" s="4406"/>
      <c r="T180" s="4305"/>
      <c r="U180" s="4119"/>
      <c r="V180" s="4119"/>
      <c r="W180" s="1094" t="s">
        <v>1204</v>
      </c>
      <c r="X180" s="990">
        <v>5000000</v>
      </c>
      <c r="Y180" s="1025">
        <v>4753200</v>
      </c>
      <c r="Z180" s="1025">
        <f>+Y180</f>
        <v>4753200</v>
      </c>
      <c r="AA180" s="533" t="s">
        <v>1546</v>
      </c>
      <c r="AB180" s="3981"/>
      <c r="AC180" s="2965"/>
      <c r="AD180" s="2488"/>
      <c r="AE180" s="2488"/>
      <c r="AF180" s="4414"/>
      <c r="AG180" s="2488"/>
      <c r="AH180" s="4402"/>
      <c r="AI180" s="2488"/>
      <c r="AJ180" s="4414"/>
      <c r="AK180" s="2488"/>
      <c r="AL180" s="4402"/>
      <c r="AM180" s="2488"/>
      <c r="AN180" s="4414"/>
      <c r="AO180" s="2488"/>
      <c r="AP180" s="4402"/>
      <c r="AQ180" s="2488"/>
      <c r="AR180" s="4414"/>
      <c r="AS180" s="2488"/>
      <c r="AT180" s="4402"/>
      <c r="AU180" s="2488"/>
      <c r="AV180" s="4414"/>
      <c r="AW180" s="2488"/>
      <c r="AX180" s="4402"/>
      <c r="AY180" s="2488"/>
      <c r="AZ180" s="4414"/>
      <c r="BA180" s="2488"/>
      <c r="BB180" s="4402"/>
      <c r="BC180" s="2488"/>
      <c r="BD180" s="4414"/>
      <c r="BE180" s="2488"/>
      <c r="BF180" s="4402"/>
      <c r="BG180" s="2488"/>
      <c r="BH180" s="4412"/>
      <c r="BI180" s="4310"/>
      <c r="BJ180" s="4310"/>
      <c r="BK180" s="4398"/>
      <c r="BL180" s="4398"/>
      <c r="BM180" s="4317"/>
      <c r="BN180" s="4310"/>
      <c r="BO180" s="4310"/>
      <c r="BP180" s="4310"/>
      <c r="BQ180" s="4348"/>
      <c r="BR180" s="4348"/>
      <c r="BS180" s="4454"/>
      <c r="BT180" s="4454"/>
      <c r="BU180" s="2702"/>
    </row>
    <row r="181" spans="1:73" ht="61.5" customHeight="1" x14ac:dyDescent="0.25">
      <c r="A181" s="279"/>
      <c r="B181" s="975"/>
      <c r="C181" s="279"/>
      <c r="D181" s="280"/>
      <c r="E181" s="573"/>
      <c r="F181" s="573"/>
      <c r="G181" s="2693" t="s">
        <v>20</v>
      </c>
      <c r="H181" s="2513" t="s">
        <v>1547</v>
      </c>
      <c r="I181" s="2693">
        <v>4502038</v>
      </c>
      <c r="J181" s="2513" t="s">
        <v>1533</v>
      </c>
      <c r="K181" s="2693" t="s">
        <v>20</v>
      </c>
      <c r="L181" s="2513" t="s">
        <v>1548</v>
      </c>
      <c r="M181" s="2693">
        <v>450203800</v>
      </c>
      <c r="N181" s="2513" t="s">
        <v>1549</v>
      </c>
      <c r="O181" s="2693">
        <v>1</v>
      </c>
      <c r="P181" s="2693">
        <v>1</v>
      </c>
      <c r="Q181" s="4337" t="s">
        <v>1550</v>
      </c>
      <c r="R181" s="4150" t="s">
        <v>1551</v>
      </c>
      <c r="S181" s="4384">
        <f>SUM(X181:X187)/T181</f>
        <v>1</v>
      </c>
      <c r="T181" s="4459">
        <f>SUM(X181:X187)</f>
        <v>90000000</v>
      </c>
      <c r="U181" s="4458" t="s">
        <v>1552</v>
      </c>
      <c r="V181" s="4342" t="s">
        <v>1553</v>
      </c>
      <c r="W181" s="820" t="s">
        <v>1554</v>
      </c>
      <c r="X181" s="417">
        <v>22270000</v>
      </c>
      <c r="Y181" s="1025">
        <v>22270000</v>
      </c>
      <c r="Z181" s="1025">
        <f>+Y181</f>
        <v>22270000</v>
      </c>
      <c r="AA181" s="533" t="s">
        <v>1555</v>
      </c>
      <c r="AB181" s="3992">
        <v>20</v>
      </c>
      <c r="AC181" s="3983" t="s">
        <v>422</v>
      </c>
      <c r="AD181" s="4413">
        <v>121</v>
      </c>
      <c r="AE181" s="4456">
        <v>813</v>
      </c>
      <c r="AF181" s="4413">
        <v>176</v>
      </c>
      <c r="AG181" s="4456">
        <v>762</v>
      </c>
      <c r="AH181" s="4413" t="s">
        <v>153</v>
      </c>
      <c r="AI181" s="4456">
        <v>6</v>
      </c>
      <c r="AJ181" s="4413">
        <v>171</v>
      </c>
      <c r="AK181" s="4456">
        <v>232</v>
      </c>
      <c r="AL181" s="4413">
        <v>121</v>
      </c>
      <c r="AM181" s="4456">
        <v>1000</v>
      </c>
      <c r="AN181" s="4413">
        <v>5</v>
      </c>
      <c r="AO181" s="4456">
        <v>340</v>
      </c>
      <c r="AP181" s="4413" t="s">
        <v>153</v>
      </c>
      <c r="AQ181" s="4456"/>
      <c r="AR181" s="4411"/>
      <c r="AS181" s="4456"/>
      <c r="AT181" s="4411"/>
      <c r="AU181" s="4456"/>
      <c r="AV181" s="4411"/>
      <c r="AW181" s="4456"/>
      <c r="AX181" s="4411"/>
      <c r="AY181" s="4456"/>
      <c r="AZ181" s="4411"/>
      <c r="BA181" s="4456"/>
      <c r="BB181" s="4411"/>
      <c r="BC181" s="4456"/>
      <c r="BD181" s="4411"/>
      <c r="BE181" s="4456"/>
      <c r="BF181" s="4411"/>
      <c r="BG181" s="4456"/>
      <c r="BH181" s="4411">
        <v>297</v>
      </c>
      <c r="BI181" s="4461">
        <v>1575</v>
      </c>
      <c r="BJ181" s="4461">
        <v>12</v>
      </c>
      <c r="BK181" s="4464">
        <f>SUM(Y181:Y187)</f>
        <v>87541000</v>
      </c>
      <c r="BL181" s="4464">
        <f>SUM(Z181:Z187)</f>
        <v>87541000</v>
      </c>
      <c r="BM181" s="4467">
        <f>BL181/BK181</f>
        <v>1</v>
      </c>
      <c r="BN181" s="4461">
        <v>20</v>
      </c>
      <c r="BO181" s="4461" t="s">
        <v>422</v>
      </c>
      <c r="BP181" s="4461" t="s">
        <v>1531</v>
      </c>
      <c r="BQ181" s="4463">
        <v>44197</v>
      </c>
      <c r="BR181" s="4463">
        <v>44256</v>
      </c>
      <c r="BS181" s="4463">
        <v>44561</v>
      </c>
      <c r="BT181" s="4463">
        <v>44408</v>
      </c>
      <c r="BU181" s="4336" t="s">
        <v>1531</v>
      </c>
    </row>
    <row r="182" spans="1:73" ht="61.5" customHeight="1" x14ac:dyDescent="0.25">
      <c r="A182" s="279"/>
      <c r="B182" s="975"/>
      <c r="C182" s="279"/>
      <c r="D182" s="280"/>
      <c r="E182" s="573"/>
      <c r="F182" s="573"/>
      <c r="G182" s="2697"/>
      <c r="H182" s="2514"/>
      <c r="I182" s="2697"/>
      <c r="J182" s="2514"/>
      <c r="K182" s="2697"/>
      <c r="L182" s="2514"/>
      <c r="M182" s="2697"/>
      <c r="N182" s="2514"/>
      <c r="O182" s="2697"/>
      <c r="P182" s="2697"/>
      <c r="Q182" s="3982"/>
      <c r="R182" s="4119"/>
      <c r="S182" s="4406"/>
      <c r="T182" s="4305"/>
      <c r="U182" s="4458"/>
      <c r="V182" s="4306"/>
      <c r="W182" s="820" t="s">
        <v>1556</v>
      </c>
      <c r="X182" s="417">
        <v>15000000</v>
      </c>
      <c r="Y182" s="1025">
        <v>15000000</v>
      </c>
      <c r="Z182" s="1025">
        <f>+Y182</f>
        <v>15000000</v>
      </c>
      <c r="AA182" s="533" t="s">
        <v>1555</v>
      </c>
      <c r="AB182" s="3981"/>
      <c r="AC182" s="3983"/>
      <c r="AD182" s="4414"/>
      <c r="AE182" s="4457"/>
      <c r="AF182" s="4414"/>
      <c r="AG182" s="4457"/>
      <c r="AH182" s="4414"/>
      <c r="AI182" s="4457"/>
      <c r="AJ182" s="4414"/>
      <c r="AK182" s="4457"/>
      <c r="AL182" s="4414"/>
      <c r="AM182" s="4457"/>
      <c r="AN182" s="4414"/>
      <c r="AO182" s="4457"/>
      <c r="AP182" s="4414"/>
      <c r="AQ182" s="4457"/>
      <c r="AR182" s="4412"/>
      <c r="AS182" s="4457"/>
      <c r="AT182" s="4412"/>
      <c r="AU182" s="4457"/>
      <c r="AV182" s="4412"/>
      <c r="AW182" s="4457"/>
      <c r="AX182" s="4412"/>
      <c r="AY182" s="4457"/>
      <c r="AZ182" s="4412"/>
      <c r="BA182" s="4457"/>
      <c r="BB182" s="4412"/>
      <c r="BC182" s="4457"/>
      <c r="BD182" s="4412"/>
      <c r="BE182" s="4457"/>
      <c r="BF182" s="4412"/>
      <c r="BG182" s="4457"/>
      <c r="BH182" s="4412"/>
      <c r="BI182" s="4462"/>
      <c r="BJ182" s="4462"/>
      <c r="BK182" s="4465"/>
      <c r="BL182" s="4465"/>
      <c r="BM182" s="4468"/>
      <c r="BN182" s="4462"/>
      <c r="BO182" s="4462"/>
      <c r="BP182" s="4462"/>
      <c r="BQ182" s="4330"/>
      <c r="BR182" s="4330"/>
      <c r="BS182" s="4330"/>
      <c r="BT182" s="4330"/>
      <c r="BU182" s="3948"/>
    </row>
    <row r="183" spans="1:73" ht="61.5" customHeight="1" x14ac:dyDescent="0.25">
      <c r="A183" s="279"/>
      <c r="B183" s="975"/>
      <c r="C183" s="279"/>
      <c r="D183" s="280"/>
      <c r="E183" s="573"/>
      <c r="F183" s="573"/>
      <c r="G183" s="2697"/>
      <c r="H183" s="2514"/>
      <c r="I183" s="2697"/>
      <c r="J183" s="2514"/>
      <c r="K183" s="2697"/>
      <c r="L183" s="2514"/>
      <c r="M183" s="2697"/>
      <c r="N183" s="2514"/>
      <c r="O183" s="2697"/>
      <c r="P183" s="2697"/>
      <c r="Q183" s="3982"/>
      <c r="R183" s="4119"/>
      <c r="S183" s="4406"/>
      <c r="T183" s="4305"/>
      <c r="U183" s="4458"/>
      <c r="V183" s="4306"/>
      <c r="W183" s="820" t="s">
        <v>1557</v>
      </c>
      <c r="X183" s="417">
        <v>18730000</v>
      </c>
      <c r="Y183" s="1025">
        <v>18730000</v>
      </c>
      <c r="Z183" s="1025">
        <f>+Y183</f>
        <v>18730000</v>
      </c>
      <c r="AA183" s="533" t="s">
        <v>1555</v>
      </c>
      <c r="AB183" s="3981"/>
      <c r="AC183" s="3983"/>
      <c r="AD183" s="4414"/>
      <c r="AE183" s="4457"/>
      <c r="AF183" s="4414"/>
      <c r="AG183" s="4457"/>
      <c r="AH183" s="4414"/>
      <c r="AI183" s="4457"/>
      <c r="AJ183" s="4414"/>
      <c r="AK183" s="4457"/>
      <c r="AL183" s="4414"/>
      <c r="AM183" s="4457"/>
      <c r="AN183" s="4414"/>
      <c r="AO183" s="4457"/>
      <c r="AP183" s="4414"/>
      <c r="AQ183" s="4457"/>
      <c r="AR183" s="4412"/>
      <c r="AS183" s="4457"/>
      <c r="AT183" s="4412"/>
      <c r="AU183" s="4457"/>
      <c r="AV183" s="4412"/>
      <c r="AW183" s="4457"/>
      <c r="AX183" s="4412"/>
      <c r="AY183" s="4457"/>
      <c r="AZ183" s="4412"/>
      <c r="BA183" s="4457"/>
      <c r="BB183" s="4412"/>
      <c r="BC183" s="4457"/>
      <c r="BD183" s="4412"/>
      <c r="BE183" s="4457"/>
      <c r="BF183" s="4412"/>
      <c r="BG183" s="4457"/>
      <c r="BH183" s="4412"/>
      <c r="BI183" s="4462"/>
      <c r="BJ183" s="4462"/>
      <c r="BK183" s="4465"/>
      <c r="BL183" s="4465"/>
      <c r="BM183" s="4468"/>
      <c r="BN183" s="4462"/>
      <c r="BO183" s="4462"/>
      <c r="BP183" s="4462"/>
      <c r="BQ183" s="4330"/>
      <c r="BR183" s="4330"/>
      <c r="BS183" s="4330"/>
      <c r="BT183" s="4330"/>
      <c r="BU183" s="3948"/>
    </row>
    <row r="184" spans="1:73" ht="81.75" customHeight="1" x14ac:dyDescent="0.25">
      <c r="A184" s="279"/>
      <c r="B184" s="975"/>
      <c r="C184" s="279"/>
      <c r="D184" s="280"/>
      <c r="E184" s="573"/>
      <c r="F184" s="573"/>
      <c r="G184" s="2697"/>
      <c r="H184" s="2514"/>
      <c r="I184" s="2697"/>
      <c r="J184" s="2514"/>
      <c r="K184" s="2697"/>
      <c r="L184" s="2514"/>
      <c r="M184" s="2697"/>
      <c r="N184" s="2514"/>
      <c r="O184" s="2697"/>
      <c r="P184" s="2697"/>
      <c r="Q184" s="3982"/>
      <c r="R184" s="4119"/>
      <c r="S184" s="4406"/>
      <c r="T184" s="4305"/>
      <c r="U184" s="4458"/>
      <c r="V184" s="4306"/>
      <c r="W184" s="820" t="s">
        <v>1558</v>
      </c>
      <c r="X184" s="417">
        <v>17000000</v>
      </c>
      <c r="Y184" s="1025">
        <v>16500000</v>
      </c>
      <c r="Z184" s="1025">
        <v>16500000</v>
      </c>
      <c r="AA184" s="533" t="s">
        <v>1555</v>
      </c>
      <c r="AB184" s="3981"/>
      <c r="AC184" s="3983"/>
      <c r="AD184" s="4414"/>
      <c r="AE184" s="4457"/>
      <c r="AF184" s="4414"/>
      <c r="AG184" s="4457"/>
      <c r="AH184" s="4414"/>
      <c r="AI184" s="4457"/>
      <c r="AJ184" s="4414"/>
      <c r="AK184" s="4457"/>
      <c r="AL184" s="4414"/>
      <c r="AM184" s="4457"/>
      <c r="AN184" s="4414"/>
      <c r="AO184" s="4457"/>
      <c r="AP184" s="4414"/>
      <c r="AQ184" s="4457"/>
      <c r="AR184" s="4412"/>
      <c r="AS184" s="4457"/>
      <c r="AT184" s="4412"/>
      <c r="AU184" s="4457"/>
      <c r="AV184" s="4412"/>
      <c r="AW184" s="4457"/>
      <c r="AX184" s="4412"/>
      <c r="AY184" s="4457"/>
      <c r="AZ184" s="4412"/>
      <c r="BA184" s="4457"/>
      <c r="BB184" s="4412"/>
      <c r="BC184" s="4457"/>
      <c r="BD184" s="4412"/>
      <c r="BE184" s="4457"/>
      <c r="BF184" s="4412"/>
      <c r="BG184" s="4457"/>
      <c r="BH184" s="4412"/>
      <c r="BI184" s="4462"/>
      <c r="BJ184" s="4462"/>
      <c r="BK184" s="4465"/>
      <c r="BL184" s="4465"/>
      <c r="BM184" s="4468"/>
      <c r="BN184" s="4462"/>
      <c r="BO184" s="4462"/>
      <c r="BP184" s="4462"/>
      <c r="BQ184" s="4330"/>
      <c r="BR184" s="4330"/>
      <c r="BS184" s="4330"/>
      <c r="BT184" s="4330"/>
      <c r="BU184" s="3948"/>
    </row>
    <row r="185" spans="1:73" ht="93.75" customHeight="1" x14ac:dyDescent="0.25">
      <c r="A185" s="279"/>
      <c r="B185" s="975"/>
      <c r="C185" s="279"/>
      <c r="D185" s="280"/>
      <c r="E185" s="573"/>
      <c r="F185" s="573"/>
      <c r="G185" s="2697"/>
      <c r="H185" s="2514"/>
      <c r="I185" s="2697"/>
      <c r="J185" s="2514"/>
      <c r="K185" s="2697"/>
      <c r="L185" s="2514"/>
      <c r="M185" s="2697"/>
      <c r="N185" s="2514"/>
      <c r="O185" s="2697"/>
      <c r="P185" s="2697"/>
      <c r="Q185" s="3982"/>
      <c r="R185" s="4119"/>
      <c r="S185" s="4406"/>
      <c r="T185" s="4305"/>
      <c r="U185" s="4458"/>
      <c r="V185" s="4306"/>
      <c r="W185" s="820" t="s">
        <v>1559</v>
      </c>
      <c r="X185" s="417">
        <v>12000000</v>
      </c>
      <c r="Y185" s="1025">
        <v>11137000</v>
      </c>
      <c r="Z185" s="1025">
        <v>11137000</v>
      </c>
      <c r="AA185" s="533" t="s">
        <v>1555</v>
      </c>
      <c r="AB185" s="3981"/>
      <c r="AC185" s="3983"/>
      <c r="AD185" s="4414"/>
      <c r="AE185" s="4457"/>
      <c r="AF185" s="4414"/>
      <c r="AG185" s="4457"/>
      <c r="AH185" s="4414"/>
      <c r="AI185" s="4457"/>
      <c r="AJ185" s="4414"/>
      <c r="AK185" s="4457"/>
      <c r="AL185" s="4414"/>
      <c r="AM185" s="4457"/>
      <c r="AN185" s="4414"/>
      <c r="AO185" s="4457"/>
      <c r="AP185" s="4414"/>
      <c r="AQ185" s="4457"/>
      <c r="AR185" s="4412"/>
      <c r="AS185" s="4457"/>
      <c r="AT185" s="4412"/>
      <c r="AU185" s="4457"/>
      <c r="AV185" s="4412"/>
      <c r="AW185" s="4457"/>
      <c r="AX185" s="4412"/>
      <c r="AY185" s="4457"/>
      <c r="AZ185" s="4412"/>
      <c r="BA185" s="4457"/>
      <c r="BB185" s="4412"/>
      <c r="BC185" s="4457"/>
      <c r="BD185" s="4412"/>
      <c r="BE185" s="4457"/>
      <c r="BF185" s="4412"/>
      <c r="BG185" s="4457"/>
      <c r="BH185" s="4412"/>
      <c r="BI185" s="4462"/>
      <c r="BJ185" s="4462"/>
      <c r="BK185" s="4465"/>
      <c r="BL185" s="4465"/>
      <c r="BM185" s="4468"/>
      <c r="BN185" s="4462"/>
      <c r="BO185" s="4462"/>
      <c r="BP185" s="4462"/>
      <c r="BQ185" s="4330"/>
      <c r="BR185" s="4330"/>
      <c r="BS185" s="4330"/>
      <c r="BT185" s="4330"/>
      <c r="BU185" s="3948"/>
    </row>
    <row r="186" spans="1:73" ht="41.25" customHeight="1" x14ac:dyDescent="0.25">
      <c r="A186" s="279"/>
      <c r="B186" s="975"/>
      <c r="C186" s="279"/>
      <c r="D186" s="280"/>
      <c r="E186" s="573"/>
      <c r="F186" s="573"/>
      <c r="G186" s="2697"/>
      <c r="H186" s="2514"/>
      <c r="I186" s="2697"/>
      <c r="J186" s="2514"/>
      <c r="K186" s="2697"/>
      <c r="L186" s="2514"/>
      <c r="M186" s="2697"/>
      <c r="N186" s="2514"/>
      <c r="O186" s="2697"/>
      <c r="P186" s="2697"/>
      <c r="Q186" s="3982"/>
      <c r="R186" s="4119"/>
      <c r="S186" s="4406"/>
      <c r="T186" s="4305"/>
      <c r="U186" s="4458"/>
      <c r="V186" s="4306"/>
      <c r="W186" s="820" t="s">
        <v>1560</v>
      </c>
      <c r="X186" s="417">
        <v>3000000</v>
      </c>
      <c r="Y186" s="750">
        <v>2140800</v>
      </c>
      <c r="Z186" s="750">
        <f>+Y186</f>
        <v>2140800</v>
      </c>
      <c r="AA186" s="533" t="s">
        <v>1561</v>
      </c>
      <c r="AB186" s="3981"/>
      <c r="AC186" s="3983"/>
      <c r="AD186" s="4414"/>
      <c r="AE186" s="4457"/>
      <c r="AF186" s="4414"/>
      <c r="AG186" s="4457"/>
      <c r="AH186" s="4414"/>
      <c r="AI186" s="4457"/>
      <c r="AJ186" s="4414"/>
      <c r="AK186" s="4457"/>
      <c r="AL186" s="4414"/>
      <c r="AM186" s="4457"/>
      <c r="AN186" s="4414"/>
      <c r="AO186" s="4457"/>
      <c r="AP186" s="4414"/>
      <c r="AQ186" s="4457"/>
      <c r="AR186" s="4412"/>
      <c r="AS186" s="4457"/>
      <c r="AT186" s="4412"/>
      <c r="AU186" s="4457"/>
      <c r="AV186" s="4412"/>
      <c r="AW186" s="4457"/>
      <c r="AX186" s="4412"/>
      <c r="AY186" s="4457"/>
      <c r="AZ186" s="4412"/>
      <c r="BA186" s="4457"/>
      <c r="BB186" s="4412"/>
      <c r="BC186" s="4457"/>
      <c r="BD186" s="4412"/>
      <c r="BE186" s="4457"/>
      <c r="BF186" s="4412"/>
      <c r="BG186" s="4457"/>
      <c r="BH186" s="4412"/>
      <c r="BI186" s="4462"/>
      <c r="BJ186" s="4462"/>
      <c r="BK186" s="4465"/>
      <c r="BL186" s="4465"/>
      <c r="BM186" s="4468"/>
      <c r="BN186" s="4462"/>
      <c r="BO186" s="4462"/>
      <c r="BP186" s="4462"/>
      <c r="BQ186" s="4330"/>
      <c r="BR186" s="4330"/>
      <c r="BS186" s="4330"/>
      <c r="BT186" s="4330"/>
      <c r="BU186" s="3948"/>
    </row>
    <row r="187" spans="1:73" ht="41.25" customHeight="1" x14ac:dyDescent="0.25">
      <c r="A187" s="279"/>
      <c r="B187" s="975"/>
      <c r="C187" s="279"/>
      <c r="D187" s="280"/>
      <c r="E187" s="573"/>
      <c r="F187" s="573"/>
      <c r="G187" s="2697"/>
      <c r="H187" s="2514"/>
      <c r="I187" s="2697"/>
      <c r="J187" s="2514"/>
      <c r="K187" s="2697"/>
      <c r="L187" s="2514"/>
      <c r="M187" s="2697"/>
      <c r="N187" s="2514"/>
      <c r="O187" s="2697"/>
      <c r="P187" s="2697"/>
      <c r="Q187" s="3982"/>
      <c r="R187" s="4119"/>
      <c r="S187" s="4406"/>
      <c r="T187" s="4305"/>
      <c r="U187" s="4458"/>
      <c r="V187" s="4306"/>
      <c r="W187" s="820" t="s">
        <v>1204</v>
      </c>
      <c r="X187" s="417">
        <v>2000000</v>
      </c>
      <c r="Y187" s="750">
        <v>1763200</v>
      </c>
      <c r="Z187" s="995">
        <f>+Y187</f>
        <v>1763200</v>
      </c>
      <c r="AA187" s="533" t="s">
        <v>1562</v>
      </c>
      <c r="AB187" s="3981"/>
      <c r="AC187" s="3983"/>
      <c r="AD187" s="4414"/>
      <c r="AE187" s="4457"/>
      <c r="AF187" s="4455"/>
      <c r="AG187" s="4457"/>
      <c r="AH187" s="4455"/>
      <c r="AI187" s="4457"/>
      <c r="AJ187" s="4455"/>
      <c r="AK187" s="4457"/>
      <c r="AL187" s="4455"/>
      <c r="AM187" s="4457"/>
      <c r="AN187" s="4455"/>
      <c r="AO187" s="4457"/>
      <c r="AP187" s="4455"/>
      <c r="AQ187" s="4457"/>
      <c r="AR187" s="4460"/>
      <c r="AS187" s="4457"/>
      <c r="AT187" s="4460"/>
      <c r="AU187" s="4457"/>
      <c r="AV187" s="4460"/>
      <c r="AW187" s="4457"/>
      <c r="AX187" s="4460"/>
      <c r="AY187" s="4457"/>
      <c r="AZ187" s="4460"/>
      <c r="BA187" s="4457"/>
      <c r="BB187" s="4460"/>
      <c r="BC187" s="4457"/>
      <c r="BD187" s="4460"/>
      <c r="BE187" s="4457"/>
      <c r="BF187" s="4460"/>
      <c r="BG187" s="4457"/>
      <c r="BH187" s="4460"/>
      <c r="BI187" s="4462"/>
      <c r="BJ187" s="4462"/>
      <c r="BK187" s="4466"/>
      <c r="BL187" s="4466"/>
      <c r="BM187" s="4468"/>
      <c r="BN187" s="4462"/>
      <c r="BO187" s="4462"/>
      <c r="BP187" s="4462"/>
      <c r="BQ187" s="4330"/>
      <c r="BR187" s="4330"/>
      <c r="BS187" s="4330"/>
      <c r="BT187" s="4330"/>
      <c r="BU187" s="3948"/>
    </row>
    <row r="188" spans="1:73" ht="79.5" customHeight="1" x14ac:dyDescent="0.25">
      <c r="A188" s="279"/>
      <c r="B188" s="975"/>
      <c r="C188" s="279"/>
      <c r="D188" s="280"/>
      <c r="E188" s="573"/>
      <c r="F188" s="739"/>
      <c r="G188" s="2716">
        <v>4502024</v>
      </c>
      <c r="H188" s="2781" t="s">
        <v>1563</v>
      </c>
      <c r="I188" s="2716">
        <v>4502024</v>
      </c>
      <c r="J188" s="2781" t="s">
        <v>1563</v>
      </c>
      <c r="K188" s="2716" t="s">
        <v>20</v>
      </c>
      <c r="L188" s="2781" t="s">
        <v>1564</v>
      </c>
      <c r="M188" s="2716">
        <v>450202401</v>
      </c>
      <c r="N188" s="2781" t="s">
        <v>1565</v>
      </c>
      <c r="O188" s="2716">
        <v>1</v>
      </c>
      <c r="P188" s="2716">
        <v>1</v>
      </c>
      <c r="Q188" s="2755" t="s">
        <v>1566</v>
      </c>
      <c r="R188" s="2993" t="s">
        <v>1567</v>
      </c>
      <c r="S188" s="3903">
        <f>SUM(X188:X190)/T188</f>
        <v>1</v>
      </c>
      <c r="T188" s="4320">
        <f>SUM(X188:X190)</f>
        <v>33000000</v>
      </c>
      <c r="U188" s="2992" t="s">
        <v>1568</v>
      </c>
      <c r="V188" s="3022" t="s">
        <v>1503</v>
      </c>
      <c r="W188" s="736" t="s">
        <v>1569</v>
      </c>
      <c r="X188" s="1095">
        <v>20000000</v>
      </c>
      <c r="Y188" s="1095">
        <v>20000000</v>
      </c>
      <c r="Z188" s="1025">
        <f>+Y188</f>
        <v>20000000</v>
      </c>
      <c r="AA188" s="533" t="s">
        <v>1570</v>
      </c>
      <c r="AB188" s="4448">
        <v>20</v>
      </c>
      <c r="AC188" s="3983" t="s">
        <v>422</v>
      </c>
      <c r="AD188" s="2569">
        <v>1667</v>
      </c>
      <c r="AE188" s="4353">
        <v>611</v>
      </c>
      <c r="AF188" s="4353" t="s">
        <v>153</v>
      </c>
      <c r="AG188" s="4353"/>
      <c r="AH188" s="4353" t="s">
        <v>153</v>
      </c>
      <c r="AI188" s="4353"/>
      <c r="AJ188" s="4353">
        <v>327</v>
      </c>
      <c r="AK188" s="4353">
        <v>10</v>
      </c>
      <c r="AL188" s="4353">
        <v>920</v>
      </c>
      <c r="AM188" s="4353">
        <v>542</v>
      </c>
      <c r="AN188" s="4353">
        <v>420</v>
      </c>
      <c r="AO188" s="4353">
        <v>53</v>
      </c>
      <c r="AP188" s="2977"/>
      <c r="AQ188" s="4353"/>
      <c r="AR188" s="2977"/>
      <c r="AS188" s="4353"/>
      <c r="AT188" s="2977"/>
      <c r="AU188" s="4353"/>
      <c r="AV188" s="2977"/>
      <c r="AW188" s="4353"/>
      <c r="AX188" s="2977"/>
      <c r="AY188" s="4353"/>
      <c r="AZ188" s="2977"/>
      <c r="BA188" s="4353"/>
      <c r="BB188" s="2977"/>
      <c r="BC188" s="4353"/>
      <c r="BD188" s="2977"/>
      <c r="BE188" s="4353"/>
      <c r="BF188" s="2977"/>
      <c r="BG188" s="4353"/>
      <c r="BH188" s="2977">
        <v>1667</v>
      </c>
      <c r="BI188" s="4358">
        <v>611</v>
      </c>
      <c r="BJ188" s="3916">
        <v>4</v>
      </c>
      <c r="BK188" s="4378">
        <f>SUM(Y188:Y190)</f>
        <v>26280000</v>
      </c>
      <c r="BL188" s="4378">
        <f>SUM(Z188:Z190)</f>
        <v>26280000</v>
      </c>
      <c r="BM188" s="4329">
        <f>BL188/BK188</f>
        <v>1</v>
      </c>
      <c r="BN188" s="4318">
        <v>20</v>
      </c>
      <c r="BO188" s="4318" t="s">
        <v>422</v>
      </c>
      <c r="BP188" s="4318" t="s">
        <v>1531</v>
      </c>
      <c r="BQ188" s="4327">
        <v>44197</v>
      </c>
      <c r="BR188" s="4327">
        <v>44229</v>
      </c>
      <c r="BS188" s="4327">
        <v>44561</v>
      </c>
      <c r="BT188" s="4327">
        <v>44376</v>
      </c>
      <c r="BU188" s="3917" t="s">
        <v>1531</v>
      </c>
    </row>
    <row r="189" spans="1:73" ht="86.25" customHeight="1" x14ac:dyDescent="0.25">
      <c r="A189" s="279"/>
      <c r="B189" s="975"/>
      <c r="C189" s="279"/>
      <c r="D189" s="280"/>
      <c r="E189" s="573"/>
      <c r="F189" s="739"/>
      <c r="G189" s="2716"/>
      <c r="H189" s="2781"/>
      <c r="I189" s="2716"/>
      <c r="J189" s="2781"/>
      <c r="K189" s="2716"/>
      <c r="L189" s="2781"/>
      <c r="M189" s="2716"/>
      <c r="N189" s="2781"/>
      <c r="O189" s="2716"/>
      <c r="P189" s="2716"/>
      <c r="Q189" s="2755"/>
      <c r="R189" s="2993"/>
      <c r="S189" s="3903"/>
      <c r="T189" s="4320"/>
      <c r="U189" s="2993"/>
      <c r="V189" s="3022"/>
      <c r="W189" s="736" t="s">
        <v>1571</v>
      </c>
      <c r="X189" s="1095">
        <v>6500000</v>
      </c>
      <c r="Y189" s="1095">
        <f>2623000+195000</f>
        <v>2818000</v>
      </c>
      <c r="Z189" s="1025">
        <f>+Y189</f>
        <v>2818000</v>
      </c>
      <c r="AA189" s="533" t="s">
        <v>1570</v>
      </c>
      <c r="AB189" s="4448"/>
      <c r="AC189" s="3983"/>
      <c r="AD189" s="2569"/>
      <c r="AE189" s="2569"/>
      <c r="AF189" s="2569"/>
      <c r="AG189" s="2569"/>
      <c r="AH189" s="2569"/>
      <c r="AI189" s="2569"/>
      <c r="AJ189" s="2569"/>
      <c r="AK189" s="2569"/>
      <c r="AL189" s="2569"/>
      <c r="AM189" s="2569"/>
      <c r="AN189" s="2569"/>
      <c r="AO189" s="2569"/>
      <c r="AP189" s="2978"/>
      <c r="AQ189" s="2569"/>
      <c r="AR189" s="2978"/>
      <c r="AS189" s="2569"/>
      <c r="AT189" s="2978"/>
      <c r="AU189" s="2569"/>
      <c r="AV189" s="2978"/>
      <c r="AW189" s="2569"/>
      <c r="AX189" s="2978"/>
      <c r="AY189" s="2569"/>
      <c r="AZ189" s="2978"/>
      <c r="BA189" s="2569"/>
      <c r="BB189" s="2978"/>
      <c r="BC189" s="2569"/>
      <c r="BD189" s="2978"/>
      <c r="BE189" s="2569"/>
      <c r="BF189" s="2978"/>
      <c r="BG189" s="2569"/>
      <c r="BH189" s="2978"/>
      <c r="BI189" s="4318"/>
      <c r="BJ189" s="3917"/>
      <c r="BK189" s="4378"/>
      <c r="BL189" s="4378"/>
      <c r="BM189" s="4329"/>
      <c r="BN189" s="4318"/>
      <c r="BO189" s="4318"/>
      <c r="BP189" s="4318"/>
      <c r="BQ189" s="4327"/>
      <c r="BR189" s="4327"/>
      <c r="BS189" s="4327"/>
      <c r="BT189" s="4327"/>
      <c r="BU189" s="3917"/>
    </row>
    <row r="190" spans="1:73" ht="102" customHeight="1" x14ac:dyDescent="0.25">
      <c r="A190" s="279"/>
      <c r="B190" s="975"/>
      <c r="C190" s="279"/>
      <c r="D190" s="280"/>
      <c r="E190" s="573"/>
      <c r="F190" s="739"/>
      <c r="G190" s="2717"/>
      <c r="H190" s="2782"/>
      <c r="I190" s="2717"/>
      <c r="J190" s="2782"/>
      <c r="K190" s="2717"/>
      <c r="L190" s="2782"/>
      <c r="M190" s="2717"/>
      <c r="N190" s="2782"/>
      <c r="O190" s="2717"/>
      <c r="P190" s="2717"/>
      <c r="Q190" s="2756"/>
      <c r="R190" s="2994"/>
      <c r="S190" s="3885"/>
      <c r="T190" s="4354"/>
      <c r="U190" s="2994"/>
      <c r="V190" s="3023"/>
      <c r="W190" s="736" t="s">
        <v>1572</v>
      </c>
      <c r="X190" s="1095">
        <v>6500000</v>
      </c>
      <c r="Y190" s="1095">
        <v>3462000</v>
      </c>
      <c r="Z190" s="1025">
        <f>+Y190</f>
        <v>3462000</v>
      </c>
      <c r="AA190" s="533" t="s">
        <v>1570</v>
      </c>
      <c r="AB190" s="4469"/>
      <c r="AC190" s="3983"/>
      <c r="AD190" s="4352"/>
      <c r="AE190" s="2570"/>
      <c r="AF190" s="2570"/>
      <c r="AG190" s="2570"/>
      <c r="AH190" s="2570"/>
      <c r="AI190" s="2570"/>
      <c r="AJ190" s="2570"/>
      <c r="AK190" s="2570"/>
      <c r="AL190" s="2570"/>
      <c r="AM190" s="2570"/>
      <c r="AN190" s="2570"/>
      <c r="AO190" s="2570"/>
      <c r="AP190" s="2979"/>
      <c r="AQ190" s="2570"/>
      <c r="AR190" s="2979"/>
      <c r="AS190" s="2570"/>
      <c r="AT190" s="2979"/>
      <c r="AU190" s="2570"/>
      <c r="AV190" s="2979"/>
      <c r="AW190" s="2570"/>
      <c r="AX190" s="2979"/>
      <c r="AY190" s="2570"/>
      <c r="AZ190" s="2979"/>
      <c r="BA190" s="2570"/>
      <c r="BB190" s="2979"/>
      <c r="BC190" s="2570"/>
      <c r="BD190" s="2979"/>
      <c r="BE190" s="2570"/>
      <c r="BF190" s="2979"/>
      <c r="BG190" s="2570"/>
      <c r="BH190" s="2979"/>
      <c r="BI190" s="4470"/>
      <c r="BJ190" s="3918"/>
      <c r="BK190" s="4379"/>
      <c r="BL190" s="4379"/>
      <c r="BM190" s="4371"/>
      <c r="BN190" s="4359"/>
      <c r="BO190" s="4359"/>
      <c r="BP190" s="4359"/>
      <c r="BQ190" s="4361"/>
      <c r="BR190" s="4361"/>
      <c r="BS190" s="4361"/>
      <c r="BT190" s="4361"/>
      <c r="BU190" s="3918"/>
    </row>
    <row r="191" spans="1:73" s="4" customFormat="1" ht="107.25" customHeight="1" x14ac:dyDescent="0.25">
      <c r="A191" s="279"/>
      <c r="B191" s="975"/>
      <c r="C191" s="279"/>
      <c r="D191" s="280"/>
      <c r="E191" s="10"/>
      <c r="F191" s="1091"/>
      <c r="G191" s="2752">
        <v>4502024</v>
      </c>
      <c r="H191" s="2992" t="s">
        <v>1563</v>
      </c>
      <c r="I191" s="2752">
        <v>4502024</v>
      </c>
      <c r="J191" s="2992" t="s">
        <v>1563</v>
      </c>
      <c r="K191" s="2752" t="s">
        <v>20</v>
      </c>
      <c r="L191" s="2992" t="s">
        <v>1573</v>
      </c>
      <c r="M191" s="2752">
        <v>450202401</v>
      </c>
      <c r="N191" s="2992" t="s">
        <v>1565</v>
      </c>
      <c r="O191" s="2752">
        <v>1</v>
      </c>
      <c r="P191" s="2752">
        <v>0.9</v>
      </c>
      <c r="Q191" s="2752" t="s">
        <v>1574</v>
      </c>
      <c r="R191" s="2992" t="s">
        <v>1573</v>
      </c>
      <c r="S191" s="3884">
        <f>SUM(X191:X194)/T191</f>
        <v>1</v>
      </c>
      <c r="T191" s="4360">
        <f>SUM(X191:X194)</f>
        <v>48000000</v>
      </c>
      <c r="U191" s="3021" t="s">
        <v>1575</v>
      </c>
      <c r="V191" s="3021" t="s">
        <v>1576</v>
      </c>
      <c r="W191" s="736" t="s">
        <v>1577</v>
      </c>
      <c r="X191" s="1095">
        <v>13000000</v>
      </c>
      <c r="Y191" s="1095">
        <v>13000000</v>
      </c>
      <c r="Z191" s="1095">
        <v>13000000</v>
      </c>
      <c r="AA191" s="533" t="s">
        <v>1578</v>
      </c>
      <c r="AB191" s="4471">
        <v>20</v>
      </c>
      <c r="AC191" s="2965" t="s">
        <v>422</v>
      </c>
      <c r="AD191" s="4353">
        <v>856</v>
      </c>
      <c r="AE191" s="4353">
        <v>2221</v>
      </c>
      <c r="AF191" s="4353" t="s">
        <v>153</v>
      </c>
      <c r="AG191" s="4353"/>
      <c r="AH191" s="4353" t="s">
        <v>153</v>
      </c>
      <c r="AI191" s="4353"/>
      <c r="AJ191" s="4353">
        <v>50</v>
      </c>
      <c r="AK191" s="4353">
        <v>188</v>
      </c>
      <c r="AL191" s="4353">
        <v>560</v>
      </c>
      <c r="AM191" s="4353">
        <v>1607</v>
      </c>
      <c r="AN191" s="4353">
        <v>246</v>
      </c>
      <c r="AO191" s="4353">
        <v>393</v>
      </c>
      <c r="AP191" s="2977"/>
      <c r="AQ191" s="4353"/>
      <c r="AR191" s="2977"/>
      <c r="AS191" s="4353"/>
      <c r="AT191" s="2977"/>
      <c r="AU191" s="4353"/>
      <c r="AV191" s="2977"/>
      <c r="AW191" s="4353"/>
      <c r="AX191" s="2977"/>
      <c r="AY191" s="4353"/>
      <c r="AZ191" s="2977"/>
      <c r="BA191" s="4353"/>
      <c r="BB191" s="2977"/>
      <c r="BC191" s="4353"/>
      <c r="BD191" s="2977"/>
      <c r="BE191" s="4353"/>
      <c r="BF191" s="2977"/>
      <c r="BG191" s="4353"/>
      <c r="BH191" s="2977">
        <v>856</v>
      </c>
      <c r="BI191" s="4358">
        <v>2221</v>
      </c>
      <c r="BJ191" s="3916">
        <v>5</v>
      </c>
      <c r="BK191" s="4377">
        <f>SUM(Y191:Y194)</f>
        <v>34148219</v>
      </c>
      <c r="BL191" s="4377">
        <f>SUM(Z191:Z194)</f>
        <v>34148219</v>
      </c>
      <c r="BM191" s="4370">
        <f>BL191/BK191</f>
        <v>1</v>
      </c>
      <c r="BN191" s="4358">
        <v>20</v>
      </c>
      <c r="BO191" s="4358" t="s">
        <v>422</v>
      </c>
      <c r="BP191" s="4358" t="s">
        <v>1531</v>
      </c>
      <c r="BQ191" s="3913">
        <v>44197</v>
      </c>
      <c r="BR191" s="3913">
        <v>44257</v>
      </c>
      <c r="BS191" s="3913">
        <v>44561</v>
      </c>
      <c r="BT191" s="3913">
        <v>44376</v>
      </c>
      <c r="BU191" s="2977" t="s">
        <v>1531</v>
      </c>
    </row>
    <row r="192" spans="1:73" s="4" customFormat="1" ht="76.5" customHeight="1" x14ac:dyDescent="0.25">
      <c r="A192" s="279"/>
      <c r="B192" s="975"/>
      <c r="C192" s="279"/>
      <c r="D192" s="280"/>
      <c r="E192" s="10"/>
      <c r="F192" s="1091"/>
      <c r="G192" s="2755"/>
      <c r="H192" s="2993"/>
      <c r="I192" s="2755"/>
      <c r="J192" s="2993"/>
      <c r="K192" s="2755"/>
      <c r="L192" s="2993"/>
      <c r="M192" s="2755"/>
      <c r="N192" s="2993"/>
      <c r="O192" s="2755"/>
      <c r="P192" s="2755"/>
      <c r="Q192" s="2755"/>
      <c r="R192" s="2993"/>
      <c r="S192" s="3903"/>
      <c r="T192" s="4320"/>
      <c r="U192" s="3022"/>
      <c r="V192" s="3022"/>
      <c r="W192" s="735" t="s">
        <v>1579</v>
      </c>
      <c r="X192" s="417">
        <v>10000000</v>
      </c>
      <c r="Y192" s="417">
        <v>10000000</v>
      </c>
      <c r="Z192" s="417">
        <v>10000000</v>
      </c>
      <c r="AA192" s="533" t="s">
        <v>1578</v>
      </c>
      <c r="AB192" s="4448"/>
      <c r="AC192" s="2965"/>
      <c r="AD192" s="2569"/>
      <c r="AE192" s="2569"/>
      <c r="AF192" s="2569"/>
      <c r="AG192" s="2569"/>
      <c r="AH192" s="2569"/>
      <c r="AI192" s="2569"/>
      <c r="AJ192" s="2569"/>
      <c r="AK192" s="2569"/>
      <c r="AL192" s="2569"/>
      <c r="AM192" s="2569"/>
      <c r="AN192" s="2569"/>
      <c r="AO192" s="2569"/>
      <c r="AP192" s="2978"/>
      <c r="AQ192" s="2569"/>
      <c r="AR192" s="2978"/>
      <c r="AS192" s="2569"/>
      <c r="AT192" s="2978"/>
      <c r="AU192" s="2569"/>
      <c r="AV192" s="2978"/>
      <c r="AW192" s="2569"/>
      <c r="AX192" s="2978"/>
      <c r="AY192" s="2569"/>
      <c r="AZ192" s="2978"/>
      <c r="BA192" s="2569"/>
      <c r="BB192" s="2978"/>
      <c r="BC192" s="2569"/>
      <c r="BD192" s="2978"/>
      <c r="BE192" s="2569"/>
      <c r="BF192" s="2978"/>
      <c r="BG192" s="2569"/>
      <c r="BH192" s="2978"/>
      <c r="BI192" s="4318"/>
      <c r="BJ192" s="3917"/>
      <c r="BK192" s="4378"/>
      <c r="BL192" s="4378"/>
      <c r="BM192" s="4329"/>
      <c r="BN192" s="4318"/>
      <c r="BO192" s="4318"/>
      <c r="BP192" s="4318"/>
      <c r="BQ192" s="3914"/>
      <c r="BR192" s="3914"/>
      <c r="BS192" s="3914"/>
      <c r="BT192" s="3914"/>
      <c r="BU192" s="2978"/>
    </row>
    <row r="193" spans="1:73" s="4" customFormat="1" ht="76.5" customHeight="1" x14ac:dyDescent="0.25">
      <c r="A193" s="279"/>
      <c r="B193" s="975"/>
      <c r="C193" s="279"/>
      <c r="D193" s="280"/>
      <c r="E193" s="10"/>
      <c r="F193" s="1091"/>
      <c r="G193" s="2755"/>
      <c r="H193" s="2993"/>
      <c r="I193" s="2755"/>
      <c r="J193" s="2993"/>
      <c r="K193" s="2755"/>
      <c r="L193" s="2993"/>
      <c r="M193" s="2755"/>
      <c r="N193" s="2993"/>
      <c r="O193" s="2755"/>
      <c r="P193" s="2755"/>
      <c r="Q193" s="2755"/>
      <c r="R193" s="2993"/>
      <c r="S193" s="3903"/>
      <c r="T193" s="4320"/>
      <c r="U193" s="3022"/>
      <c r="V193" s="3022"/>
      <c r="W193" s="715" t="s">
        <v>1580</v>
      </c>
      <c r="X193" s="347">
        <v>10000000</v>
      </c>
      <c r="Y193" s="347">
        <v>9331167</v>
      </c>
      <c r="Z193" s="347">
        <f>+Y193</f>
        <v>9331167</v>
      </c>
      <c r="AA193" s="479" t="s">
        <v>1578</v>
      </c>
      <c r="AB193" s="4448"/>
      <c r="AC193" s="2965"/>
      <c r="AD193" s="2569"/>
      <c r="AE193" s="2569"/>
      <c r="AF193" s="2569"/>
      <c r="AG193" s="2569"/>
      <c r="AH193" s="2569"/>
      <c r="AI193" s="2569"/>
      <c r="AJ193" s="2569"/>
      <c r="AK193" s="2569"/>
      <c r="AL193" s="2569"/>
      <c r="AM193" s="2569"/>
      <c r="AN193" s="2569"/>
      <c r="AO193" s="2569"/>
      <c r="AP193" s="2978"/>
      <c r="AQ193" s="2569"/>
      <c r="AR193" s="2978"/>
      <c r="AS193" s="2569"/>
      <c r="AT193" s="2978"/>
      <c r="AU193" s="2569"/>
      <c r="AV193" s="2978"/>
      <c r="AW193" s="2569"/>
      <c r="AX193" s="2978"/>
      <c r="AY193" s="2569"/>
      <c r="AZ193" s="2978"/>
      <c r="BA193" s="2569"/>
      <c r="BB193" s="2978"/>
      <c r="BC193" s="2569"/>
      <c r="BD193" s="2978"/>
      <c r="BE193" s="2569"/>
      <c r="BF193" s="2978"/>
      <c r="BG193" s="2569"/>
      <c r="BH193" s="2978"/>
      <c r="BI193" s="4318"/>
      <c r="BJ193" s="3917"/>
      <c r="BK193" s="4378"/>
      <c r="BL193" s="4378"/>
      <c r="BM193" s="4329"/>
      <c r="BN193" s="4318"/>
      <c r="BO193" s="4318"/>
      <c r="BP193" s="4318"/>
      <c r="BQ193" s="3914"/>
      <c r="BR193" s="3914"/>
      <c r="BS193" s="3914"/>
      <c r="BT193" s="3914"/>
      <c r="BU193" s="2978"/>
    </row>
    <row r="194" spans="1:73" s="4" customFormat="1" ht="56.25" customHeight="1" x14ac:dyDescent="0.25">
      <c r="A194" s="279"/>
      <c r="B194" s="975"/>
      <c r="C194" s="279"/>
      <c r="D194" s="280"/>
      <c r="E194" s="10"/>
      <c r="F194" s="1091"/>
      <c r="G194" s="2755"/>
      <c r="H194" s="2993"/>
      <c r="I194" s="2755"/>
      <c r="J194" s="2993"/>
      <c r="K194" s="2755"/>
      <c r="L194" s="2993"/>
      <c r="M194" s="2755"/>
      <c r="N194" s="2993"/>
      <c r="O194" s="2755"/>
      <c r="P194" s="2755"/>
      <c r="Q194" s="2755"/>
      <c r="R194" s="2993"/>
      <c r="S194" s="3903"/>
      <c r="T194" s="4320"/>
      <c r="U194" s="3022"/>
      <c r="V194" s="3022"/>
      <c r="W194" s="715" t="s">
        <v>1581</v>
      </c>
      <c r="X194" s="347">
        <v>15000000</v>
      </c>
      <c r="Y194" s="1096">
        <v>1817052</v>
      </c>
      <c r="Z194" s="1096">
        <f>+Y194</f>
        <v>1817052</v>
      </c>
      <c r="AA194" s="479" t="s">
        <v>1582</v>
      </c>
      <c r="AB194" s="4448"/>
      <c r="AC194" s="2965"/>
      <c r="AD194" s="2569"/>
      <c r="AE194" s="2569"/>
      <c r="AF194" s="2569"/>
      <c r="AG194" s="2569"/>
      <c r="AH194" s="2569"/>
      <c r="AI194" s="2569"/>
      <c r="AJ194" s="2569"/>
      <c r="AK194" s="2569"/>
      <c r="AL194" s="2569"/>
      <c r="AM194" s="2569"/>
      <c r="AN194" s="2569"/>
      <c r="AO194" s="2569"/>
      <c r="AP194" s="2978"/>
      <c r="AQ194" s="2569"/>
      <c r="AR194" s="2978"/>
      <c r="AS194" s="2569"/>
      <c r="AT194" s="2978"/>
      <c r="AU194" s="2569"/>
      <c r="AV194" s="2978"/>
      <c r="AW194" s="2569"/>
      <c r="AX194" s="2978"/>
      <c r="AY194" s="2569"/>
      <c r="AZ194" s="2978"/>
      <c r="BA194" s="2569"/>
      <c r="BB194" s="2978"/>
      <c r="BC194" s="2569"/>
      <c r="BD194" s="2978"/>
      <c r="BE194" s="2569"/>
      <c r="BF194" s="2978"/>
      <c r="BG194" s="2569"/>
      <c r="BH194" s="2978"/>
      <c r="BI194" s="4318"/>
      <c r="BJ194" s="4472"/>
      <c r="BK194" s="4378"/>
      <c r="BL194" s="4378"/>
      <c r="BM194" s="4329"/>
      <c r="BN194" s="4318"/>
      <c r="BO194" s="4318"/>
      <c r="BP194" s="4318"/>
      <c r="BQ194" s="3914"/>
      <c r="BR194" s="3914"/>
      <c r="BS194" s="3914"/>
      <c r="BT194" s="3914"/>
      <c r="BU194" s="2978"/>
    </row>
    <row r="195" spans="1:73" s="4" customFormat="1" ht="25.5" customHeight="1" x14ac:dyDescent="0.25">
      <c r="A195" s="279"/>
      <c r="B195" s="975"/>
      <c r="C195" s="279"/>
      <c r="D195" s="280"/>
      <c r="E195" s="1086">
        <v>4599</v>
      </c>
      <c r="F195" s="4047" t="s">
        <v>1583</v>
      </c>
      <c r="G195" s="3537"/>
      <c r="H195" s="3537"/>
      <c r="I195" s="3537"/>
      <c r="J195" s="3537"/>
      <c r="K195" s="3537"/>
      <c r="L195" s="3537"/>
      <c r="M195" s="3537"/>
      <c r="N195" s="3537"/>
      <c r="O195" s="262"/>
      <c r="P195" s="262"/>
      <c r="Q195" s="262"/>
      <c r="R195" s="265"/>
      <c r="S195" s="262"/>
      <c r="T195" s="1097"/>
      <c r="U195" s="1089"/>
      <c r="V195" s="1089"/>
      <c r="W195" s="1098"/>
      <c r="X195" s="1098"/>
      <c r="Y195" s="1098"/>
      <c r="Z195" s="1098"/>
      <c r="AA195" s="972"/>
      <c r="AB195" s="1099"/>
      <c r="AC195" s="56"/>
      <c r="AD195" s="1100"/>
      <c r="AE195" s="1100"/>
      <c r="AF195" s="1100"/>
      <c r="AG195" s="1100"/>
      <c r="AH195" s="1100"/>
      <c r="AI195" s="1100"/>
      <c r="AJ195" s="1100"/>
      <c r="AK195" s="1100"/>
      <c r="AL195" s="1100"/>
      <c r="AM195" s="1100"/>
      <c r="AN195" s="1100"/>
      <c r="AO195" s="1100"/>
      <c r="AP195" s="1100"/>
      <c r="AQ195" s="1100"/>
      <c r="AR195" s="1100"/>
      <c r="AS195" s="1100"/>
      <c r="AT195" s="1100"/>
      <c r="AU195" s="1100"/>
      <c r="AV195" s="1100"/>
      <c r="AW195" s="1100"/>
      <c r="AX195" s="1100"/>
      <c r="AY195" s="1100"/>
      <c r="AZ195" s="1100"/>
      <c r="BA195" s="1100"/>
      <c r="BB195" s="1100"/>
      <c r="BC195" s="1100"/>
      <c r="BD195" s="1100"/>
      <c r="BE195" s="1100"/>
      <c r="BF195" s="1100"/>
      <c r="BG195" s="1100"/>
      <c r="BH195" s="1100"/>
      <c r="BI195" s="1101"/>
      <c r="BJ195" s="1101"/>
      <c r="BK195" s="1102"/>
      <c r="BL195" s="1102"/>
      <c r="BM195" s="1100"/>
      <c r="BN195" s="1100"/>
      <c r="BO195" s="1100"/>
      <c r="BP195" s="1100"/>
      <c r="BQ195" s="1103"/>
      <c r="BR195" s="1103"/>
      <c r="BS195" s="1103"/>
      <c r="BT195" s="1103"/>
      <c r="BU195" s="1104"/>
    </row>
    <row r="196" spans="1:73" ht="117.75" customHeight="1" x14ac:dyDescent="0.25">
      <c r="A196" s="279"/>
      <c r="B196" s="975"/>
      <c r="C196" s="279"/>
      <c r="D196" s="280"/>
      <c r="E196" s="573"/>
      <c r="F196" s="739"/>
      <c r="G196" s="2716" t="s">
        <v>20</v>
      </c>
      <c r="H196" s="2781" t="s">
        <v>1584</v>
      </c>
      <c r="I196" s="2716" t="s">
        <v>1585</v>
      </c>
      <c r="J196" s="4298" t="s">
        <v>1586</v>
      </c>
      <c r="K196" s="2716" t="s">
        <v>20</v>
      </c>
      <c r="L196" s="2781" t="s">
        <v>1587</v>
      </c>
      <c r="M196" s="2716" t="s">
        <v>1588</v>
      </c>
      <c r="N196" s="4298" t="s">
        <v>1589</v>
      </c>
      <c r="O196" s="2716">
        <v>1</v>
      </c>
      <c r="P196" s="2716">
        <v>0.7</v>
      </c>
      <c r="Q196" s="2755" t="s">
        <v>1590</v>
      </c>
      <c r="R196" s="2781" t="s">
        <v>1591</v>
      </c>
      <c r="S196" s="3988">
        <f>SUM(X196:X197)/T196</f>
        <v>1</v>
      </c>
      <c r="T196" s="3707">
        <f>SUM(X196:X197)</f>
        <v>50000000</v>
      </c>
      <c r="U196" s="3022" t="s">
        <v>1592</v>
      </c>
      <c r="V196" s="3022" t="s">
        <v>1593</v>
      </c>
      <c r="W196" s="736" t="s">
        <v>1594</v>
      </c>
      <c r="X196" s="417">
        <v>31941022</v>
      </c>
      <c r="Y196" s="749">
        <f>31941022-15970511</f>
        <v>15970511</v>
      </c>
      <c r="Z196" s="749">
        <f>+Y196</f>
        <v>15970511</v>
      </c>
      <c r="AA196" s="976" t="s">
        <v>1595</v>
      </c>
      <c r="AB196" s="4474">
        <v>20</v>
      </c>
      <c r="AC196" s="3983" t="s">
        <v>422</v>
      </c>
      <c r="AD196" s="3917">
        <v>3500</v>
      </c>
      <c r="AE196" s="4473">
        <v>642</v>
      </c>
      <c r="AF196" s="3917">
        <v>4000</v>
      </c>
      <c r="AG196" s="4473">
        <v>415</v>
      </c>
      <c r="AH196" s="3917"/>
      <c r="AI196" s="4473"/>
      <c r="AJ196" s="3917"/>
      <c r="AK196" s="4473"/>
      <c r="AL196" s="3917"/>
      <c r="AM196" s="4473"/>
      <c r="AN196" s="3917">
        <v>7500</v>
      </c>
      <c r="AO196" s="4473">
        <v>1057</v>
      </c>
      <c r="AP196" s="3917"/>
      <c r="AQ196" s="4473"/>
      <c r="AR196" s="3917"/>
      <c r="AS196" s="4473"/>
      <c r="AT196" s="3917"/>
      <c r="AU196" s="4473"/>
      <c r="AV196" s="3917"/>
      <c r="AW196" s="4473"/>
      <c r="AX196" s="3917"/>
      <c r="AY196" s="4473"/>
      <c r="AZ196" s="3917"/>
      <c r="BA196" s="4473"/>
      <c r="BB196" s="3917"/>
      <c r="BC196" s="4473"/>
      <c r="BD196" s="3917"/>
      <c r="BE196" s="4473"/>
      <c r="BF196" s="3917"/>
      <c r="BG196" s="4473"/>
      <c r="BH196" s="3917">
        <v>7500</v>
      </c>
      <c r="BI196" s="4473">
        <v>1057</v>
      </c>
      <c r="BJ196" s="4473">
        <v>7</v>
      </c>
      <c r="BK196" s="4476">
        <f>SUM(Y196:Y197)</f>
        <v>32713510</v>
      </c>
      <c r="BL196" s="4476">
        <f>SUM(Z196:Z197)</f>
        <v>32713510</v>
      </c>
      <c r="BM196" s="2725">
        <f>BL196/BK196</f>
        <v>1</v>
      </c>
      <c r="BN196" s="4473"/>
      <c r="BO196" s="2725"/>
      <c r="BP196" s="4473" t="s">
        <v>1596</v>
      </c>
      <c r="BQ196" s="4327">
        <v>44197</v>
      </c>
      <c r="BR196" s="4327"/>
      <c r="BS196" s="4327">
        <v>44561</v>
      </c>
      <c r="BT196" s="4327"/>
      <c r="BU196" s="3917" t="s">
        <v>1596</v>
      </c>
    </row>
    <row r="197" spans="1:73" ht="99" customHeight="1" x14ac:dyDescent="0.25">
      <c r="A197" s="279"/>
      <c r="B197" s="975"/>
      <c r="C197" s="279"/>
      <c r="D197" s="280"/>
      <c r="E197" s="573"/>
      <c r="F197" s="739"/>
      <c r="G197" s="2716"/>
      <c r="H197" s="2781"/>
      <c r="I197" s="2716"/>
      <c r="J197" s="2782"/>
      <c r="K197" s="2716"/>
      <c r="L197" s="2781"/>
      <c r="M197" s="2716"/>
      <c r="N197" s="2782"/>
      <c r="O197" s="2716"/>
      <c r="P197" s="2716"/>
      <c r="Q197" s="2755"/>
      <c r="R197" s="2781"/>
      <c r="S197" s="3988"/>
      <c r="T197" s="3707"/>
      <c r="U197" s="3022"/>
      <c r="V197" s="3022"/>
      <c r="W197" s="690" t="s">
        <v>1597</v>
      </c>
      <c r="X197" s="1002">
        <v>18058978</v>
      </c>
      <c r="Y197" s="750">
        <v>16742999</v>
      </c>
      <c r="Z197" s="750">
        <f>+Y197</f>
        <v>16742999</v>
      </c>
      <c r="AA197" s="976" t="s">
        <v>1595</v>
      </c>
      <c r="AB197" s="4475"/>
      <c r="AC197" s="3983"/>
      <c r="AD197" s="3917"/>
      <c r="AE197" s="3918"/>
      <c r="AF197" s="3917"/>
      <c r="AG197" s="3918"/>
      <c r="AH197" s="3917"/>
      <c r="AI197" s="3918"/>
      <c r="AJ197" s="3917"/>
      <c r="AK197" s="3918"/>
      <c r="AL197" s="3917"/>
      <c r="AM197" s="3918"/>
      <c r="AN197" s="3917"/>
      <c r="AO197" s="3918"/>
      <c r="AP197" s="3917"/>
      <c r="AQ197" s="3918"/>
      <c r="AR197" s="3917"/>
      <c r="AS197" s="3918"/>
      <c r="AT197" s="3917"/>
      <c r="AU197" s="3918"/>
      <c r="AV197" s="3917"/>
      <c r="AW197" s="3918"/>
      <c r="AX197" s="3917"/>
      <c r="AY197" s="3918"/>
      <c r="AZ197" s="3917"/>
      <c r="BA197" s="3918"/>
      <c r="BB197" s="3917"/>
      <c r="BC197" s="3918"/>
      <c r="BD197" s="3917"/>
      <c r="BE197" s="3918"/>
      <c r="BF197" s="3917"/>
      <c r="BG197" s="3918"/>
      <c r="BH197" s="3917"/>
      <c r="BI197" s="3918"/>
      <c r="BJ197" s="3918"/>
      <c r="BK197" s="4363"/>
      <c r="BL197" s="4363"/>
      <c r="BM197" s="2727"/>
      <c r="BN197" s="3918"/>
      <c r="BO197" s="2727"/>
      <c r="BP197" s="3918"/>
      <c r="BQ197" s="4327"/>
      <c r="BR197" s="4327"/>
      <c r="BS197" s="4327"/>
      <c r="BT197" s="4327"/>
      <c r="BU197" s="3917"/>
    </row>
    <row r="198" spans="1:73" s="4" customFormat="1" ht="319.5" customHeight="1" x14ac:dyDescent="0.25">
      <c r="A198" s="279"/>
      <c r="B198" s="975"/>
      <c r="C198" s="279"/>
      <c r="D198" s="280"/>
      <c r="E198" s="10"/>
      <c r="F198" s="1091"/>
      <c r="G198" s="722" t="s">
        <v>20</v>
      </c>
      <c r="H198" s="727" t="s">
        <v>1598</v>
      </c>
      <c r="I198" s="722" t="s">
        <v>1585</v>
      </c>
      <c r="J198" s="727" t="s">
        <v>1586</v>
      </c>
      <c r="K198" s="722" t="s">
        <v>20</v>
      </c>
      <c r="L198" s="727" t="s">
        <v>1599</v>
      </c>
      <c r="M198" s="722" t="s">
        <v>1588</v>
      </c>
      <c r="N198" s="727" t="s">
        <v>1589</v>
      </c>
      <c r="O198" s="722">
        <v>1</v>
      </c>
      <c r="P198" s="722">
        <v>1</v>
      </c>
      <c r="Q198" s="722" t="s">
        <v>1600</v>
      </c>
      <c r="R198" s="727" t="s">
        <v>1601</v>
      </c>
      <c r="S198" s="1012">
        <f>SUM(X198)/T198</f>
        <v>1</v>
      </c>
      <c r="T198" s="1013">
        <f>X198</f>
        <v>18000000</v>
      </c>
      <c r="U198" s="727" t="s">
        <v>1538</v>
      </c>
      <c r="V198" s="737" t="s">
        <v>1602</v>
      </c>
      <c r="W198" s="736" t="s">
        <v>1603</v>
      </c>
      <c r="X198" s="417">
        <v>18000000</v>
      </c>
      <c r="Y198" s="928">
        <v>18000000</v>
      </c>
      <c r="Z198" s="928">
        <v>18000000</v>
      </c>
      <c r="AA198" s="533" t="s">
        <v>1604</v>
      </c>
      <c r="AB198" s="1105">
        <v>20</v>
      </c>
      <c r="AC198" s="713" t="s">
        <v>422</v>
      </c>
      <c r="AD198" s="1106">
        <v>150</v>
      </c>
      <c r="AE198" s="733">
        <v>8</v>
      </c>
      <c r="AF198" s="1107" t="s">
        <v>153</v>
      </c>
      <c r="AG198" s="733"/>
      <c r="AH198" s="1107" t="s">
        <v>153</v>
      </c>
      <c r="AI198" s="733"/>
      <c r="AJ198" s="1107" t="s">
        <v>153</v>
      </c>
      <c r="AK198" s="733">
        <v>7</v>
      </c>
      <c r="AL198" s="1107">
        <v>150</v>
      </c>
      <c r="AM198" s="733"/>
      <c r="AN198" s="733"/>
      <c r="AO198" s="733">
        <v>1</v>
      </c>
      <c r="AP198" s="733"/>
      <c r="AQ198" s="733"/>
      <c r="AR198" s="733"/>
      <c r="AS198" s="733"/>
      <c r="AT198" s="733"/>
      <c r="AU198" s="733"/>
      <c r="AV198" s="733"/>
      <c r="AW198" s="733"/>
      <c r="AX198" s="733"/>
      <c r="AY198" s="733"/>
      <c r="AZ198" s="733"/>
      <c r="BA198" s="733"/>
      <c r="BB198" s="733"/>
      <c r="BC198" s="733"/>
      <c r="BD198" s="733"/>
      <c r="BE198" s="733"/>
      <c r="BF198" s="733"/>
      <c r="BG198" s="733"/>
      <c r="BH198" s="733">
        <v>150</v>
      </c>
      <c r="BI198" s="1016">
        <v>8</v>
      </c>
      <c r="BJ198" s="1016">
        <v>3</v>
      </c>
      <c r="BK198" s="1017">
        <f>SUM(Y198)</f>
        <v>18000000</v>
      </c>
      <c r="BL198" s="1017">
        <f>SUM(Z198)</f>
        <v>18000000</v>
      </c>
      <c r="BM198" s="725">
        <f>BL198/BK198</f>
        <v>1</v>
      </c>
      <c r="BN198" s="733">
        <v>20</v>
      </c>
      <c r="BO198" s="733" t="s">
        <v>422</v>
      </c>
      <c r="BP198" s="733" t="s">
        <v>1531</v>
      </c>
      <c r="BQ198" s="716">
        <v>44197</v>
      </c>
      <c r="BR198" s="716">
        <v>44263</v>
      </c>
      <c r="BS198" s="716">
        <v>44561</v>
      </c>
      <c r="BT198" s="716">
        <v>44382</v>
      </c>
      <c r="BU198" s="1108" t="s">
        <v>1531</v>
      </c>
    </row>
    <row r="199" spans="1:73" s="4" customFormat="1" ht="78.75" customHeight="1" x14ac:dyDescent="0.25">
      <c r="A199" s="279"/>
      <c r="B199" s="975"/>
      <c r="C199" s="279"/>
      <c r="D199" s="280"/>
      <c r="E199" s="10"/>
      <c r="F199" s="10"/>
      <c r="G199" s="2783" t="s">
        <v>20</v>
      </c>
      <c r="H199" s="2930" t="s">
        <v>1605</v>
      </c>
      <c r="I199" s="2783" t="s">
        <v>1585</v>
      </c>
      <c r="J199" s="2930" t="s">
        <v>1586</v>
      </c>
      <c r="K199" s="2783" t="s">
        <v>20</v>
      </c>
      <c r="L199" s="2930" t="s">
        <v>1606</v>
      </c>
      <c r="M199" s="2783" t="s">
        <v>1588</v>
      </c>
      <c r="N199" s="2930" t="s">
        <v>1589</v>
      </c>
      <c r="O199" s="2783">
        <v>1</v>
      </c>
      <c r="P199" s="2783">
        <v>0.8</v>
      </c>
      <c r="Q199" s="2783" t="s">
        <v>1607</v>
      </c>
      <c r="R199" s="2930" t="s">
        <v>1608</v>
      </c>
      <c r="S199" s="3879">
        <f>SUM(X199:X205)/T199</f>
        <v>1</v>
      </c>
      <c r="T199" s="4442">
        <f>SUM(X199:X205)</f>
        <v>143094503</v>
      </c>
      <c r="U199" s="2936" t="s">
        <v>1609</v>
      </c>
      <c r="V199" s="2936" t="s">
        <v>1610</v>
      </c>
      <c r="W199" s="1109" t="s">
        <v>1611</v>
      </c>
      <c r="X199" s="347">
        <v>13200000</v>
      </c>
      <c r="Y199" s="347">
        <v>13200000</v>
      </c>
      <c r="Z199" s="347">
        <f t="shared" ref="Z199:Z205" si="5">+Y199</f>
        <v>13200000</v>
      </c>
      <c r="AA199" s="691" t="s">
        <v>1612</v>
      </c>
      <c r="AB199" s="977">
        <v>20</v>
      </c>
      <c r="AC199" s="714" t="s">
        <v>422</v>
      </c>
      <c r="AD199" s="2560">
        <v>2360</v>
      </c>
      <c r="AE199" s="3983">
        <v>256</v>
      </c>
      <c r="AF199" s="4310">
        <v>2360</v>
      </c>
      <c r="AG199" s="3983">
        <v>286</v>
      </c>
      <c r="AH199" s="4310">
        <v>1500</v>
      </c>
      <c r="AI199" s="3983">
        <v>9</v>
      </c>
      <c r="AJ199" s="4310">
        <v>480</v>
      </c>
      <c r="AK199" s="4310">
        <v>1500</v>
      </c>
      <c r="AL199" s="4310"/>
      <c r="AM199" s="3983">
        <v>205</v>
      </c>
      <c r="AN199" s="4310">
        <v>1200</v>
      </c>
      <c r="AO199" s="3983">
        <v>59</v>
      </c>
      <c r="AP199" s="4310">
        <v>15</v>
      </c>
      <c r="AQ199" s="3983">
        <v>3</v>
      </c>
      <c r="AR199" s="4310">
        <v>15</v>
      </c>
      <c r="AS199" s="3983"/>
      <c r="AT199" s="3983"/>
      <c r="AU199" s="3983"/>
      <c r="AV199" s="3983"/>
      <c r="AW199" s="3983"/>
      <c r="AX199" s="3983"/>
      <c r="AY199" s="3983"/>
      <c r="AZ199" s="3983"/>
      <c r="BA199" s="3983"/>
      <c r="BB199" s="3983"/>
      <c r="BC199" s="3983"/>
      <c r="BD199" s="3983"/>
      <c r="BE199" s="3983">
        <v>228</v>
      </c>
      <c r="BF199" s="4310">
        <v>10</v>
      </c>
      <c r="BG199" s="3983"/>
      <c r="BH199" s="3983">
        <v>4720</v>
      </c>
      <c r="BI199" s="3983">
        <f>SUM(AE199+AG199)</f>
        <v>542</v>
      </c>
      <c r="BJ199" s="3916">
        <v>12</v>
      </c>
      <c r="BK199" s="4380">
        <f>SUM(Y199:Y205)</f>
        <v>121765134</v>
      </c>
      <c r="BL199" s="4380">
        <f>SUM(Z199:Z205)</f>
        <v>121765134</v>
      </c>
      <c r="BM199" s="2682">
        <f>BL199/BK199</f>
        <v>1</v>
      </c>
      <c r="BN199" s="2965">
        <v>20</v>
      </c>
      <c r="BO199" s="2965" t="s">
        <v>422</v>
      </c>
      <c r="BP199" s="2965" t="s">
        <v>1596</v>
      </c>
      <c r="BQ199" s="4348">
        <v>44197</v>
      </c>
      <c r="BR199" s="4348">
        <v>44245</v>
      </c>
      <c r="BS199" s="4348">
        <v>44561</v>
      </c>
      <c r="BT199" s="4348">
        <v>44364</v>
      </c>
      <c r="BU199" s="2965" t="s">
        <v>1596</v>
      </c>
    </row>
    <row r="200" spans="1:73" s="4" customFormat="1" ht="78.75" customHeight="1" x14ac:dyDescent="0.25">
      <c r="A200" s="279"/>
      <c r="B200" s="975"/>
      <c r="C200" s="279"/>
      <c r="D200" s="280"/>
      <c r="E200" s="10"/>
      <c r="F200" s="10"/>
      <c r="G200" s="2783"/>
      <c r="H200" s="2930"/>
      <c r="I200" s="2783"/>
      <c r="J200" s="2930"/>
      <c r="K200" s="2783"/>
      <c r="L200" s="2930"/>
      <c r="M200" s="2783"/>
      <c r="N200" s="2930"/>
      <c r="O200" s="2783"/>
      <c r="P200" s="2783"/>
      <c r="Q200" s="2783"/>
      <c r="R200" s="2930"/>
      <c r="S200" s="3879"/>
      <c r="T200" s="4442"/>
      <c r="U200" s="2936"/>
      <c r="V200" s="2936"/>
      <c r="W200" s="1109" t="s">
        <v>1613</v>
      </c>
      <c r="X200" s="347">
        <v>47112368</v>
      </c>
      <c r="Y200" s="1096">
        <v>41750000</v>
      </c>
      <c r="Z200" s="1096">
        <f t="shared" si="5"/>
        <v>41750000</v>
      </c>
      <c r="AA200" s="691" t="s">
        <v>1614</v>
      </c>
      <c r="AB200" s="977">
        <v>88</v>
      </c>
      <c r="AC200" s="714" t="s">
        <v>1228</v>
      </c>
      <c r="AD200" s="2560"/>
      <c r="AE200" s="3983"/>
      <c r="AF200" s="4310"/>
      <c r="AG200" s="3983"/>
      <c r="AH200" s="4310"/>
      <c r="AI200" s="3983"/>
      <c r="AJ200" s="4310"/>
      <c r="AK200" s="4310"/>
      <c r="AL200" s="4310"/>
      <c r="AM200" s="3983"/>
      <c r="AN200" s="4310"/>
      <c r="AO200" s="3983"/>
      <c r="AP200" s="4310"/>
      <c r="AQ200" s="3983"/>
      <c r="AR200" s="4310"/>
      <c r="AS200" s="3983"/>
      <c r="AT200" s="3983"/>
      <c r="AU200" s="3983"/>
      <c r="AV200" s="3983"/>
      <c r="AW200" s="3983"/>
      <c r="AX200" s="3983"/>
      <c r="AY200" s="3983"/>
      <c r="AZ200" s="3983"/>
      <c r="BA200" s="3983"/>
      <c r="BB200" s="3983"/>
      <c r="BC200" s="3983"/>
      <c r="BD200" s="3983"/>
      <c r="BE200" s="3983"/>
      <c r="BF200" s="4310"/>
      <c r="BG200" s="3983"/>
      <c r="BH200" s="3983"/>
      <c r="BI200" s="3983"/>
      <c r="BJ200" s="3917"/>
      <c r="BK200" s="4381"/>
      <c r="BL200" s="4381"/>
      <c r="BM200" s="3042"/>
      <c r="BN200" s="2965"/>
      <c r="BO200" s="2965"/>
      <c r="BP200" s="2965"/>
      <c r="BQ200" s="4348"/>
      <c r="BR200" s="4348"/>
      <c r="BS200" s="4348"/>
      <c r="BT200" s="4348"/>
      <c r="BU200" s="2965"/>
    </row>
    <row r="201" spans="1:73" s="4" customFormat="1" ht="142.5" customHeight="1" x14ac:dyDescent="0.25">
      <c r="A201" s="279"/>
      <c r="B201" s="975"/>
      <c r="C201" s="279"/>
      <c r="D201" s="280"/>
      <c r="E201" s="10"/>
      <c r="F201" s="10"/>
      <c r="G201" s="2783"/>
      <c r="H201" s="2930"/>
      <c r="I201" s="2783"/>
      <c r="J201" s="2930"/>
      <c r="K201" s="2783"/>
      <c r="L201" s="2930"/>
      <c r="M201" s="2783"/>
      <c r="N201" s="2930"/>
      <c r="O201" s="2783"/>
      <c r="P201" s="2783"/>
      <c r="Q201" s="2783"/>
      <c r="R201" s="2930"/>
      <c r="S201" s="3879"/>
      <c r="T201" s="4442"/>
      <c r="U201" s="2936"/>
      <c r="V201" s="2936"/>
      <c r="W201" s="1109" t="s">
        <v>1615</v>
      </c>
      <c r="X201" s="347">
        <v>10000000</v>
      </c>
      <c r="Y201" s="347">
        <v>9963000</v>
      </c>
      <c r="Z201" s="347">
        <f t="shared" si="5"/>
        <v>9963000</v>
      </c>
      <c r="AA201" s="691" t="s">
        <v>1612</v>
      </c>
      <c r="AB201" s="977">
        <v>20</v>
      </c>
      <c r="AC201" s="714" t="s">
        <v>422</v>
      </c>
      <c r="AD201" s="2560"/>
      <c r="AE201" s="3983"/>
      <c r="AF201" s="4310"/>
      <c r="AG201" s="3983"/>
      <c r="AH201" s="4310"/>
      <c r="AI201" s="3983"/>
      <c r="AJ201" s="4310"/>
      <c r="AK201" s="4310"/>
      <c r="AL201" s="4310"/>
      <c r="AM201" s="3983"/>
      <c r="AN201" s="4310"/>
      <c r="AO201" s="3983"/>
      <c r="AP201" s="4310"/>
      <c r="AQ201" s="3983"/>
      <c r="AR201" s="4310"/>
      <c r="AS201" s="3983"/>
      <c r="AT201" s="3983"/>
      <c r="AU201" s="3983"/>
      <c r="AV201" s="3983"/>
      <c r="AW201" s="3983"/>
      <c r="AX201" s="3983"/>
      <c r="AY201" s="3983"/>
      <c r="AZ201" s="3983"/>
      <c r="BA201" s="3983"/>
      <c r="BB201" s="3983"/>
      <c r="BC201" s="3983"/>
      <c r="BD201" s="3983"/>
      <c r="BE201" s="3983"/>
      <c r="BF201" s="4310"/>
      <c r="BG201" s="3983"/>
      <c r="BH201" s="3983"/>
      <c r="BI201" s="3983"/>
      <c r="BJ201" s="3917"/>
      <c r="BK201" s="4381"/>
      <c r="BL201" s="4381"/>
      <c r="BM201" s="3042"/>
      <c r="BN201" s="2965"/>
      <c r="BO201" s="2965"/>
      <c r="BP201" s="2965"/>
      <c r="BQ201" s="4348"/>
      <c r="BR201" s="4348"/>
      <c r="BS201" s="4348"/>
      <c r="BT201" s="4348"/>
      <c r="BU201" s="2965"/>
    </row>
    <row r="202" spans="1:73" s="4" customFormat="1" ht="112.5" customHeight="1" x14ac:dyDescent="0.25">
      <c r="A202" s="279"/>
      <c r="B202" s="975"/>
      <c r="C202" s="279"/>
      <c r="D202" s="280"/>
      <c r="E202" s="10"/>
      <c r="F202" s="10"/>
      <c r="G202" s="2783"/>
      <c r="H202" s="2930"/>
      <c r="I202" s="2783"/>
      <c r="J202" s="2930"/>
      <c r="K202" s="2783"/>
      <c r="L202" s="2930"/>
      <c r="M202" s="2783"/>
      <c r="N202" s="2930"/>
      <c r="O202" s="2783"/>
      <c r="P202" s="2783"/>
      <c r="Q202" s="2783"/>
      <c r="R202" s="2930"/>
      <c r="S202" s="3879"/>
      <c r="T202" s="4442"/>
      <c r="U202" s="2936"/>
      <c r="V202" s="2936"/>
      <c r="W202" s="4477" t="s">
        <v>1616</v>
      </c>
      <c r="X202" s="347">
        <v>10000000</v>
      </c>
      <c r="Y202" s="347">
        <v>9616634</v>
      </c>
      <c r="Z202" s="347">
        <f t="shared" si="5"/>
        <v>9616634</v>
      </c>
      <c r="AA202" s="691" t="s">
        <v>1612</v>
      </c>
      <c r="AB202" s="977">
        <v>20</v>
      </c>
      <c r="AC202" s="714" t="s">
        <v>422</v>
      </c>
      <c r="AD202" s="2560"/>
      <c r="AE202" s="3983"/>
      <c r="AF202" s="4310"/>
      <c r="AG202" s="3983"/>
      <c r="AH202" s="4310"/>
      <c r="AI202" s="3983"/>
      <c r="AJ202" s="4310"/>
      <c r="AK202" s="4310"/>
      <c r="AL202" s="4310"/>
      <c r="AM202" s="3983"/>
      <c r="AN202" s="4310"/>
      <c r="AO202" s="3983"/>
      <c r="AP202" s="4310"/>
      <c r="AQ202" s="3983"/>
      <c r="AR202" s="4310"/>
      <c r="AS202" s="3983"/>
      <c r="AT202" s="3983"/>
      <c r="AU202" s="3983"/>
      <c r="AV202" s="3983"/>
      <c r="AW202" s="3983"/>
      <c r="AX202" s="3983"/>
      <c r="AY202" s="3983"/>
      <c r="AZ202" s="3983"/>
      <c r="BA202" s="3983"/>
      <c r="BB202" s="3983"/>
      <c r="BC202" s="3983"/>
      <c r="BD202" s="3983"/>
      <c r="BE202" s="3983"/>
      <c r="BF202" s="4310"/>
      <c r="BG202" s="3983"/>
      <c r="BH202" s="3983"/>
      <c r="BI202" s="3983"/>
      <c r="BJ202" s="3917"/>
      <c r="BK202" s="4381"/>
      <c r="BL202" s="4381"/>
      <c r="BM202" s="3042"/>
      <c r="BN202" s="2965"/>
      <c r="BO202" s="2965"/>
      <c r="BP202" s="2965"/>
      <c r="BQ202" s="4348"/>
      <c r="BR202" s="4348"/>
      <c r="BS202" s="4348"/>
      <c r="BT202" s="4348"/>
      <c r="BU202" s="2965"/>
    </row>
    <row r="203" spans="1:73" s="4" customFormat="1" ht="112.5" customHeight="1" x14ac:dyDescent="0.25">
      <c r="A203" s="279"/>
      <c r="B203" s="975"/>
      <c r="C203" s="279"/>
      <c r="D203" s="280"/>
      <c r="E203" s="10"/>
      <c r="F203" s="10"/>
      <c r="G203" s="2783"/>
      <c r="H203" s="2930"/>
      <c r="I203" s="2783"/>
      <c r="J203" s="2930"/>
      <c r="K203" s="2783"/>
      <c r="L203" s="2930"/>
      <c r="M203" s="2783"/>
      <c r="N203" s="2930"/>
      <c r="O203" s="2783"/>
      <c r="P203" s="2783"/>
      <c r="Q203" s="2783"/>
      <c r="R203" s="2930"/>
      <c r="S203" s="3879"/>
      <c r="T203" s="4442"/>
      <c r="U203" s="2936"/>
      <c r="V203" s="2936"/>
      <c r="W203" s="4477"/>
      <c r="X203" s="347">
        <v>3080000</v>
      </c>
      <c r="Y203" s="347">
        <v>3080000</v>
      </c>
      <c r="Z203" s="347">
        <f t="shared" si="5"/>
        <v>3080000</v>
      </c>
      <c r="AA203" s="691" t="s">
        <v>1614</v>
      </c>
      <c r="AB203" s="977">
        <v>88</v>
      </c>
      <c r="AC203" s="714" t="s">
        <v>1228</v>
      </c>
      <c r="AD203" s="2560"/>
      <c r="AE203" s="3983"/>
      <c r="AF203" s="4310"/>
      <c r="AG203" s="3983"/>
      <c r="AH203" s="4310"/>
      <c r="AI203" s="3983"/>
      <c r="AJ203" s="4310"/>
      <c r="AK203" s="4310"/>
      <c r="AL203" s="4310"/>
      <c r="AM203" s="3983"/>
      <c r="AN203" s="4310"/>
      <c r="AO203" s="3983"/>
      <c r="AP203" s="4310"/>
      <c r="AQ203" s="3983"/>
      <c r="AR203" s="4310"/>
      <c r="AS203" s="3983"/>
      <c r="AT203" s="3983"/>
      <c r="AU203" s="3983"/>
      <c r="AV203" s="3983"/>
      <c r="AW203" s="3983"/>
      <c r="AX203" s="3983"/>
      <c r="AY203" s="3983"/>
      <c r="AZ203" s="3983"/>
      <c r="BA203" s="3983"/>
      <c r="BB203" s="3983"/>
      <c r="BC203" s="3983"/>
      <c r="BD203" s="3983"/>
      <c r="BE203" s="3983"/>
      <c r="BF203" s="4310"/>
      <c r="BG203" s="3983"/>
      <c r="BH203" s="3983"/>
      <c r="BI203" s="3983"/>
      <c r="BJ203" s="3917"/>
      <c r="BK203" s="4381"/>
      <c r="BL203" s="4381"/>
      <c r="BM203" s="3042"/>
      <c r="BN203" s="2965"/>
      <c r="BO203" s="2965"/>
      <c r="BP203" s="2965"/>
      <c r="BQ203" s="4348"/>
      <c r="BR203" s="4348"/>
      <c r="BS203" s="4348"/>
      <c r="BT203" s="4348"/>
      <c r="BU203" s="2965"/>
    </row>
    <row r="204" spans="1:73" s="4" customFormat="1" ht="114.75" customHeight="1" x14ac:dyDescent="0.25">
      <c r="A204" s="279"/>
      <c r="B204" s="975"/>
      <c r="C204" s="279"/>
      <c r="D204" s="280"/>
      <c r="E204" s="10"/>
      <c r="F204" s="10"/>
      <c r="G204" s="2783"/>
      <c r="H204" s="2930"/>
      <c r="I204" s="2783"/>
      <c r="J204" s="2930"/>
      <c r="K204" s="2783"/>
      <c r="L204" s="2930"/>
      <c r="M204" s="2783"/>
      <c r="N204" s="2930"/>
      <c r="O204" s="2783"/>
      <c r="P204" s="2783"/>
      <c r="Q204" s="2783"/>
      <c r="R204" s="2930"/>
      <c r="S204" s="3879"/>
      <c r="T204" s="4442"/>
      <c r="U204" s="2936"/>
      <c r="V204" s="2936"/>
      <c r="W204" s="1110" t="s">
        <v>1617</v>
      </c>
      <c r="X204" s="347">
        <v>20195000</v>
      </c>
      <c r="Y204" s="347">
        <v>20195000</v>
      </c>
      <c r="Z204" s="347">
        <f t="shared" si="5"/>
        <v>20195000</v>
      </c>
      <c r="AA204" s="691" t="s">
        <v>1614</v>
      </c>
      <c r="AB204" s="977">
        <v>88</v>
      </c>
      <c r="AC204" s="714" t="s">
        <v>1228</v>
      </c>
      <c r="AD204" s="2560"/>
      <c r="AE204" s="3983"/>
      <c r="AF204" s="4310"/>
      <c r="AG204" s="3983"/>
      <c r="AH204" s="4310"/>
      <c r="AI204" s="3983"/>
      <c r="AJ204" s="4310"/>
      <c r="AK204" s="4310"/>
      <c r="AL204" s="4310"/>
      <c r="AM204" s="3983"/>
      <c r="AN204" s="4310"/>
      <c r="AO204" s="3983"/>
      <c r="AP204" s="4310"/>
      <c r="AQ204" s="3983"/>
      <c r="AR204" s="4310"/>
      <c r="AS204" s="3983"/>
      <c r="AT204" s="3983"/>
      <c r="AU204" s="3983"/>
      <c r="AV204" s="3983"/>
      <c r="AW204" s="3983"/>
      <c r="AX204" s="3983"/>
      <c r="AY204" s="3983"/>
      <c r="AZ204" s="3983"/>
      <c r="BA204" s="3983"/>
      <c r="BB204" s="3983"/>
      <c r="BC204" s="3983"/>
      <c r="BD204" s="3983"/>
      <c r="BE204" s="3983"/>
      <c r="BF204" s="4310"/>
      <c r="BG204" s="3983"/>
      <c r="BH204" s="3983"/>
      <c r="BI204" s="3983"/>
      <c r="BJ204" s="3917"/>
      <c r="BK204" s="4381"/>
      <c r="BL204" s="4381"/>
      <c r="BM204" s="3042"/>
      <c r="BN204" s="2965"/>
      <c r="BO204" s="2965"/>
      <c r="BP204" s="2965"/>
      <c r="BQ204" s="4348"/>
      <c r="BR204" s="4348"/>
      <c r="BS204" s="4348"/>
      <c r="BT204" s="4348"/>
      <c r="BU204" s="2965"/>
    </row>
    <row r="205" spans="1:73" s="4" customFormat="1" ht="114.75" customHeight="1" x14ac:dyDescent="0.25">
      <c r="A205" s="930"/>
      <c r="B205" s="1111"/>
      <c r="C205" s="930"/>
      <c r="D205" s="931"/>
      <c r="E205" s="10"/>
      <c r="F205" s="10"/>
      <c r="G205" s="2783"/>
      <c r="H205" s="2930"/>
      <c r="I205" s="2783"/>
      <c r="J205" s="2930"/>
      <c r="K205" s="2783"/>
      <c r="L205" s="2930"/>
      <c r="M205" s="2783"/>
      <c r="N205" s="2930"/>
      <c r="O205" s="2783"/>
      <c r="P205" s="2783"/>
      <c r="Q205" s="2783"/>
      <c r="R205" s="2930"/>
      <c r="S205" s="3879"/>
      <c r="T205" s="4442"/>
      <c r="U205" s="2936"/>
      <c r="V205" s="2936"/>
      <c r="W205" s="1112" t="s">
        <v>1618</v>
      </c>
      <c r="X205" s="347">
        <v>39507135</v>
      </c>
      <c r="Y205" s="347">
        <v>23960500</v>
      </c>
      <c r="Z205" s="347">
        <f t="shared" si="5"/>
        <v>23960500</v>
      </c>
      <c r="AA205" s="691" t="s">
        <v>1614</v>
      </c>
      <c r="AB205" s="977">
        <v>88</v>
      </c>
      <c r="AC205" s="714" t="s">
        <v>1228</v>
      </c>
      <c r="AD205" s="2560"/>
      <c r="AE205" s="3983"/>
      <c r="AF205" s="4310"/>
      <c r="AG205" s="3983"/>
      <c r="AH205" s="4310"/>
      <c r="AI205" s="3983"/>
      <c r="AJ205" s="4310"/>
      <c r="AK205" s="4310"/>
      <c r="AL205" s="4310"/>
      <c r="AM205" s="3983"/>
      <c r="AN205" s="4310"/>
      <c r="AO205" s="3983"/>
      <c r="AP205" s="4310"/>
      <c r="AQ205" s="3983"/>
      <c r="AR205" s="4310"/>
      <c r="AS205" s="3983"/>
      <c r="AT205" s="3983"/>
      <c r="AU205" s="3983"/>
      <c r="AV205" s="3983"/>
      <c r="AW205" s="3983"/>
      <c r="AX205" s="3983"/>
      <c r="AY205" s="3983"/>
      <c r="AZ205" s="3983"/>
      <c r="BA205" s="3983"/>
      <c r="BB205" s="3983"/>
      <c r="BC205" s="3983"/>
      <c r="BD205" s="3983"/>
      <c r="BE205" s="3983"/>
      <c r="BF205" s="4310"/>
      <c r="BG205" s="3983"/>
      <c r="BH205" s="3983"/>
      <c r="BI205" s="3983"/>
      <c r="BJ205" s="3918"/>
      <c r="BK205" s="4478"/>
      <c r="BL205" s="4478"/>
      <c r="BM205" s="3043"/>
      <c r="BN205" s="2965"/>
      <c r="BO205" s="2965"/>
      <c r="BP205" s="2965"/>
      <c r="BQ205" s="4348"/>
      <c r="BR205" s="4348"/>
      <c r="BS205" s="4348"/>
      <c r="BT205" s="4348"/>
      <c r="BU205" s="2965"/>
    </row>
    <row r="206" spans="1:73" s="4" customFormat="1" ht="27" customHeight="1" x14ac:dyDescent="0.25">
      <c r="A206" s="1113"/>
      <c r="B206" s="1114"/>
      <c r="C206" s="1114"/>
      <c r="D206" s="1114"/>
      <c r="E206" s="1115"/>
      <c r="F206" s="1115"/>
      <c r="G206" s="1114"/>
      <c r="H206" s="1114"/>
      <c r="I206" s="1114"/>
      <c r="J206" s="1114"/>
      <c r="K206" s="1114"/>
      <c r="L206" s="1114"/>
      <c r="M206" s="1114"/>
      <c r="N206" s="1114"/>
      <c r="O206" s="1114"/>
      <c r="P206" s="1114"/>
      <c r="Q206" s="1114"/>
      <c r="R206" s="1114"/>
      <c r="S206" s="1116"/>
      <c r="T206" s="427">
        <f>SUM(T10:T203)</f>
        <v>6915266350.0100012</v>
      </c>
      <c r="U206" s="1114"/>
      <c r="V206" s="1114"/>
      <c r="W206" s="36" t="s">
        <v>0</v>
      </c>
      <c r="X206" s="427">
        <f>SUM(X13:X205)</f>
        <v>6915266350.0100012</v>
      </c>
      <c r="Y206" s="427">
        <f>SUM(Y13:Y205)</f>
        <v>5456827952.6399994</v>
      </c>
      <c r="Z206" s="427">
        <f>SUM(Z13:Z205)</f>
        <v>5456827952.6399994</v>
      </c>
      <c r="AA206" s="36"/>
      <c r="AB206" s="1117"/>
      <c r="AC206" s="1114"/>
      <c r="AD206" s="1114"/>
      <c r="AE206" s="1114"/>
      <c r="AF206" s="1114"/>
      <c r="AG206" s="1114"/>
      <c r="AH206" s="1114"/>
      <c r="AI206" s="1114"/>
      <c r="AJ206" s="1114"/>
      <c r="AK206" s="1114"/>
      <c r="AL206" s="1114"/>
      <c r="AM206" s="1114"/>
      <c r="AN206" s="1114"/>
      <c r="AO206" s="1114"/>
      <c r="AP206" s="1114"/>
      <c r="AQ206" s="1114"/>
      <c r="AR206" s="1114"/>
      <c r="AS206" s="1114"/>
      <c r="AT206" s="1114"/>
      <c r="AU206" s="1114"/>
      <c r="AV206" s="1114"/>
      <c r="AW206" s="1114"/>
      <c r="AX206" s="1114"/>
      <c r="AY206" s="1114"/>
      <c r="AZ206" s="1114"/>
      <c r="BA206" s="1114"/>
      <c r="BB206" s="1114"/>
      <c r="BC206" s="1114"/>
      <c r="BD206" s="1114"/>
      <c r="BE206" s="1114"/>
      <c r="BF206" s="1114"/>
      <c r="BG206" s="1114"/>
      <c r="BH206" s="1114"/>
      <c r="BI206" s="1114"/>
      <c r="BJ206" s="1118">
        <f>SUM(BJ10:BJ203)</f>
        <v>190</v>
      </c>
      <c r="BK206" s="427">
        <f>SUM(BK13:BK205)</f>
        <v>5456827952.6400003</v>
      </c>
      <c r="BL206" s="427">
        <f>SUM(BL10:BL203)</f>
        <v>5456827952.6400003</v>
      </c>
      <c r="BM206" s="429">
        <f>BL206/BK206</f>
        <v>1</v>
      </c>
      <c r="BN206" s="1114"/>
      <c r="BO206" s="1114"/>
      <c r="BP206" s="1114"/>
      <c r="BQ206" s="1119"/>
      <c r="BR206" s="1119"/>
      <c r="BS206" s="1119"/>
      <c r="BT206" s="1119"/>
      <c r="BU206" s="1120"/>
    </row>
    <row r="207" spans="1:73" ht="27" customHeight="1" x14ac:dyDescent="0.25">
      <c r="W207" s="700"/>
      <c r="X207" s="1121"/>
      <c r="Y207" s="1122"/>
      <c r="Z207" s="1122"/>
      <c r="AA207" s="1121"/>
    </row>
    <row r="208" spans="1:73" ht="27" customHeight="1" x14ac:dyDescent="0.25">
      <c r="X208" s="1123"/>
    </row>
    <row r="209" spans="23:27" s="1" customFormat="1" ht="27" customHeight="1" x14ac:dyDescent="0.25">
      <c r="W209" s="1124"/>
      <c r="X209" s="6"/>
      <c r="Y209" s="6"/>
      <c r="Z209" s="6"/>
      <c r="AA209" s="6"/>
    </row>
    <row r="211" spans="23:27" s="1" customFormat="1" ht="27" customHeight="1" x14ac:dyDescent="0.25">
      <c r="W211" s="1124"/>
      <c r="X211" s="6"/>
      <c r="Y211" s="6"/>
      <c r="Z211" s="6"/>
      <c r="AA211" s="6"/>
    </row>
    <row r="212" spans="23:27" s="1" customFormat="1" ht="27" customHeight="1" x14ac:dyDescent="0.25">
      <c r="W212" s="1124"/>
      <c r="X212" s="6"/>
      <c r="Y212" s="6"/>
      <c r="Z212" s="6"/>
      <c r="AA212" s="6"/>
    </row>
  </sheetData>
  <mergeCells count="1546">
    <mergeCell ref="BQ199:BQ205"/>
    <mergeCell ref="BR199:BR205"/>
    <mergeCell ref="BS199:BS205"/>
    <mergeCell ref="BT199:BT205"/>
    <mergeCell ref="BU199:BU205"/>
    <mergeCell ref="W202:W203"/>
    <mergeCell ref="BK199:BK205"/>
    <mergeCell ref="BL199:BL205"/>
    <mergeCell ref="BM199:BM205"/>
    <mergeCell ref="BN199:BN205"/>
    <mergeCell ref="BO199:BO205"/>
    <mergeCell ref="BP199:BP205"/>
    <mergeCell ref="BE199:BE205"/>
    <mergeCell ref="BF199:BF205"/>
    <mergeCell ref="BG199:BG205"/>
    <mergeCell ref="BH199:BH205"/>
    <mergeCell ref="BI199:BI205"/>
    <mergeCell ref="BJ199:BJ205"/>
    <mergeCell ref="AY199:AY205"/>
    <mergeCell ref="AZ199:AZ205"/>
    <mergeCell ref="BA199:BA205"/>
    <mergeCell ref="BB199:BB205"/>
    <mergeCell ref="BC199:BC205"/>
    <mergeCell ref="BD199:BD205"/>
    <mergeCell ref="AS199:AS205"/>
    <mergeCell ref="AT199:AT205"/>
    <mergeCell ref="AU199:AU205"/>
    <mergeCell ref="AV199:AV205"/>
    <mergeCell ref="AW199:AW205"/>
    <mergeCell ref="AX199:AX205"/>
    <mergeCell ref="AM199:AM205"/>
    <mergeCell ref="AN199:AN205"/>
    <mergeCell ref="AO199:AO205"/>
    <mergeCell ref="AP199:AP205"/>
    <mergeCell ref="AQ199:AQ205"/>
    <mergeCell ref="AR199:AR205"/>
    <mergeCell ref="AF199:AF205"/>
    <mergeCell ref="AG199:AG205"/>
    <mergeCell ref="AH199:AH205"/>
    <mergeCell ref="AI199:AI205"/>
    <mergeCell ref="AJ199:AJ205"/>
    <mergeCell ref="AK199:AL205"/>
    <mergeCell ref="S199:S205"/>
    <mergeCell ref="T199:T205"/>
    <mergeCell ref="U199:U205"/>
    <mergeCell ref="V199:V205"/>
    <mergeCell ref="AD199:AD205"/>
    <mergeCell ref="AE199:AE205"/>
    <mergeCell ref="M199:M205"/>
    <mergeCell ref="N199:N205"/>
    <mergeCell ref="O199:O205"/>
    <mergeCell ref="P199:P205"/>
    <mergeCell ref="Q199:Q205"/>
    <mergeCell ref="R199:R205"/>
    <mergeCell ref="G199:G205"/>
    <mergeCell ref="H199:H205"/>
    <mergeCell ref="I199:I205"/>
    <mergeCell ref="J199:J205"/>
    <mergeCell ref="K199:K205"/>
    <mergeCell ref="L199:L205"/>
    <mergeCell ref="BP196:BP197"/>
    <mergeCell ref="BQ196:BQ197"/>
    <mergeCell ref="BR196:BR197"/>
    <mergeCell ref="BS196:BS197"/>
    <mergeCell ref="BT196:BT197"/>
    <mergeCell ref="BU196:BU197"/>
    <mergeCell ref="BJ196:BJ197"/>
    <mergeCell ref="BK196:BK197"/>
    <mergeCell ref="BL196:BL197"/>
    <mergeCell ref="BM196:BM197"/>
    <mergeCell ref="BN196:BN197"/>
    <mergeCell ref="BO196:BO197"/>
    <mergeCell ref="BD196:BD197"/>
    <mergeCell ref="BE196:BE197"/>
    <mergeCell ref="BF196:BF197"/>
    <mergeCell ref="BG196:BG197"/>
    <mergeCell ref="BH196:BH197"/>
    <mergeCell ref="BI196:BI197"/>
    <mergeCell ref="AX196:AX197"/>
    <mergeCell ref="AY196:AY197"/>
    <mergeCell ref="AZ196:AZ197"/>
    <mergeCell ref="BA196:BA197"/>
    <mergeCell ref="BB196:BB197"/>
    <mergeCell ref="BC196:BC197"/>
    <mergeCell ref="AR196:AR197"/>
    <mergeCell ref="AS196:AS197"/>
    <mergeCell ref="AT196:AT197"/>
    <mergeCell ref="AU196:AU197"/>
    <mergeCell ref="AV196:AV197"/>
    <mergeCell ref="AW196:AW197"/>
    <mergeCell ref="AL196:AL197"/>
    <mergeCell ref="AM196:AM197"/>
    <mergeCell ref="AN196:AN197"/>
    <mergeCell ref="AO196:AO197"/>
    <mergeCell ref="AP196:AP197"/>
    <mergeCell ref="AQ196:AQ197"/>
    <mergeCell ref="AF196:AF197"/>
    <mergeCell ref="AG196:AG197"/>
    <mergeCell ref="AH196:AH197"/>
    <mergeCell ref="AI196:AI197"/>
    <mergeCell ref="AJ196:AJ197"/>
    <mergeCell ref="AK196:AK197"/>
    <mergeCell ref="U196:U197"/>
    <mergeCell ref="V196:V197"/>
    <mergeCell ref="AB196:AB197"/>
    <mergeCell ref="AC196:AC197"/>
    <mergeCell ref="AD196:AD197"/>
    <mergeCell ref="AE196:AE197"/>
    <mergeCell ref="O196:O197"/>
    <mergeCell ref="P196:P197"/>
    <mergeCell ref="Q196:Q197"/>
    <mergeCell ref="R196:R197"/>
    <mergeCell ref="S196:S197"/>
    <mergeCell ref="T196:T197"/>
    <mergeCell ref="F195:N195"/>
    <mergeCell ref="G196:G197"/>
    <mergeCell ref="H196:H197"/>
    <mergeCell ref="I196:I197"/>
    <mergeCell ref="J196:J197"/>
    <mergeCell ref="K196:K197"/>
    <mergeCell ref="L196:L197"/>
    <mergeCell ref="M196:M197"/>
    <mergeCell ref="N196:N197"/>
    <mergeCell ref="BP191:BP194"/>
    <mergeCell ref="BQ191:BQ194"/>
    <mergeCell ref="AR191:AR194"/>
    <mergeCell ref="AS191:AS194"/>
    <mergeCell ref="AT191:AT194"/>
    <mergeCell ref="AU191:AU194"/>
    <mergeCell ref="AV191:AV194"/>
    <mergeCell ref="AW191:AW194"/>
    <mergeCell ref="AL191:AL194"/>
    <mergeCell ref="AM191:AM194"/>
    <mergeCell ref="AN191:AN194"/>
    <mergeCell ref="AO191:AO194"/>
    <mergeCell ref="AP191:AP194"/>
    <mergeCell ref="AQ191:AQ194"/>
    <mergeCell ref="AF191:AF194"/>
    <mergeCell ref="AG191:AG194"/>
    <mergeCell ref="AH191:AH194"/>
    <mergeCell ref="BR191:BR194"/>
    <mergeCell ref="BS191:BS194"/>
    <mergeCell ref="BT191:BT194"/>
    <mergeCell ref="BU191:BU194"/>
    <mergeCell ref="BJ191:BJ194"/>
    <mergeCell ref="BK191:BK194"/>
    <mergeCell ref="BL191:BL194"/>
    <mergeCell ref="BM191:BM194"/>
    <mergeCell ref="BN191:BN194"/>
    <mergeCell ref="BO191:BO194"/>
    <mergeCell ref="BD191:BD194"/>
    <mergeCell ref="BE191:BE194"/>
    <mergeCell ref="BF191:BF194"/>
    <mergeCell ref="BG191:BG194"/>
    <mergeCell ref="BH191:BH194"/>
    <mergeCell ref="BI191:BI194"/>
    <mergeCell ref="AX191:AX194"/>
    <mergeCell ref="AY191:AY194"/>
    <mergeCell ref="AZ191:AZ194"/>
    <mergeCell ref="BA191:BA194"/>
    <mergeCell ref="BB191:BB194"/>
    <mergeCell ref="BC191:BC194"/>
    <mergeCell ref="AI191:AI194"/>
    <mergeCell ref="AJ191:AJ194"/>
    <mergeCell ref="AK191:AK194"/>
    <mergeCell ref="U191:U194"/>
    <mergeCell ref="V191:V194"/>
    <mergeCell ref="AB191:AB194"/>
    <mergeCell ref="AC191:AC194"/>
    <mergeCell ref="AD191:AD194"/>
    <mergeCell ref="AE191:AE194"/>
    <mergeCell ref="O191:O194"/>
    <mergeCell ref="P191:P194"/>
    <mergeCell ref="Q191:Q194"/>
    <mergeCell ref="R191:R194"/>
    <mergeCell ref="S191:S194"/>
    <mergeCell ref="T191:T194"/>
    <mergeCell ref="BT188:BT190"/>
    <mergeCell ref="BU188:BU190"/>
    <mergeCell ref="AP188:AP190"/>
    <mergeCell ref="AQ188:AQ190"/>
    <mergeCell ref="AR188:AR190"/>
    <mergeCell ref="AS188:AS190"/>
    <mergeCell ref="AT188:AT190"/>
    <mergeCell ref="AU188:AU190"/>
    <mergeCell ref="AJ188:AJ190"/>
    <mergeCell ref="AK188:AK190"/>
    <mergeCell ref="AL188:AL190"/>
    <mergeCell ref="AM188:AM190"/>
    <mergeCell ref="AN188:AN190"/>
    <mergeCell ref="AO188:AO190"/>
    <mergeCell ref="AD188:AD190"/>
    <mergeCell ref="AE188:AE190"/>
    <mergeCell ref="AF188:AF190"/>
    <mergeCell ref="G191:G194"/>
    <mergeCell ref="H191:H194"/>
    <mergeCell ref="I191:I194"/>
    <mergeCell ref="J191:J194"/>
    <mergeCell ref="K191:K194"/>
    <mergeCell ref="L191:L194"/>
    <mergeCell ref="M191:M194"/>
    <mergeCell ref="N191:N194"/>
    <mergeCell ref="BN188:BN190"/>
    <mergeCell ref="BO188:BO190"/>
    <mergeCell ref="BP188:BP190"/>
    <mergeCell ref="BQ188:BQ190"/>
    <mergeCell ref="BR188:BR190"/>
    <mergeCell ref="BS188:BS190"/>
    <mergeCell ref="BH188:BH190"/>
    <mergeCell ref="BI188:BI190"/>
    <mergeCell ref="BJ188:BJ190"/>
    <mergeCell ref="BK188:BK190"/>
    <mergeCell ref="BL188:BL190"/>
    <mergeCell ref="BM188:BM190"/>
    <mergeCell ref="BB188:BB190"/>
    <mergeCell ref="BC188:BC190"/>
    <mergeCell ref="BD188:BD190"/>
    <mergeCell ref="BE188:BE190"/>
    <mergeCell ref="BF188:BF190"/>
    <mergeCell ref="BG188:BG190"/>
    <mergeCell ref="AV188:AV190"/>
    <mergeCell ref="AW188:AW190"/>
    <mergeCell ref="AX188:AX190"/>
    <mergeCell ref="AY188:AY190"/>
    <mergeCell ref="AZ188:AZ190"/>
    <mergeCell ref="BA188:BA190"/>
    <mergeCell ref="AG188:AG190"/>
    <mergeCell ref="AH188:AH190"/>
    <mergeCell ref="AI188:AI190"/>
    <mergeCell ref="S188:S190"/>
    <mergeCell ref="T188:T190"/>
    <mergeCell ref="U188:U190"/>
    <mergeCell ref="V188:V190"/>
    <mergeCell ref="AB188:AB190"/>
    <mergeCell ref="AC188:AC190"/>
    <mergeCell ref="M188:M190"/>
    <mergeCell ref="N188:N190"/>
    <mergeCell ref="O188:O190"/>
    <mergeCell ref="P188:P190"/>
    <mergeCell ref="Q188:Q190"/>
    <mergeCell ref="R188:R190"/>
    <mergeCell ref="G188:G190"/>
    <mergeCell ref="H188:H190"/>
    <mergeCell ref="I188:I190"/>
    <mergeCell ref="J188:J190"/>
    <mergeCell ref="K188:K190"/>
    <mergeCell ref="L188:L190"/>
    <mergeCell ref="BP181:BP187"/>
    <mergeCell ref="BQ181:BQ187"/>
    <mergeCell ref="BR181:BR187"/>
    <mergeCell ref="BS181:BS187"/>
    <mergeCell ref="BT181:BT187"/>
    <mergeCell ref="BU181:BU187"/>
    <mergeCell ref="BJ181:BJ187"/>
    <mergeCell ref="BK181:BK187"/>
    <mergeCell ref="BL181:BL187"/>
    <mergeCell ref="BM181:BM187"/>
    <mergeCell ref="BN181:BN187"/>
    <mergeCell ref="BO181:BO187"/>
    <mergeCell ref="BD181:BD187"/>
    <mergeCell ref="BE181:BE187"/>
    <mergeCell ref="BF181:BF187"/>
    <mergeCell ref="BG181:BG187"/>
    <mergeCell ref="BH181:BH187"/>
    <mergeCell ref="BI181:BI187"/>
    <mergeCell ref="AX181:AX187"/>
    <mergeCell ref="AY181:AY187"/>
    <mergeCell ref="AZ181:AZ187"/>
    <mergeCell ref="BA181:BA187"/>
    <mergeCell ref="BB181:BB187"/>
    <mergeCell ref="BC181:BC187"/>
    <mergeCell ref="AR181:AR187"/>
    <mergeCell ref="AS181:AS187"/>
    <mergeCell ref="AT181:AT187"/>
    <mergeCell ref="AU181:AU187"/>
    <mergeCell ref="AV181:AV187"/>
    <mergeCell ref="AW181:AW187"/>
    <mergeCell ref="AL181:AL187"/>
    <mergeCell ref="AM181:AM187"/>
    <mergeCell ref="AN181:AN187"/>
    <mergeCell ref="AO181:AO187"/>
    <mergeCell ref="AP181:AP187"/>
    <mergeCell ref="AQ181:AQ187"/>
    <mergeCell ref="AF181:AF187"/>
    <mergeCell ref="AG181:AG187"/>
    <mergeCell ref="AH181:AH187"/>
    <mergeCell ref="AI181:AI187"/>
    <mergeCell ref="AJ181:AJ187"/>
    <mergeCell ref="AK181:AK187"/>
    <mergeCell ref="U181:U187"/>
    <mergeCell ref="V181:V187"/>
    <mergeCell ref="AB181:AB187"/>
    <mergeCell ref="AC181:AC187"/>
    <mergeCell ref="AD181:AD187"/>
    <mergeCell ref="AE181:AE187"/>
    <mergeCell ref="O181:O187"/>
    <mergeCell ref="P181:P187"/>
    <mergeCell ref="Q181:Q187"/>
    <mergeCell ref="R181:R187"/>
    <mergeCell ref="S181:S187"/>
    <mergeCell ref="T181:T187"/>
    <mergeCell ref="BT175:BT180"/>
    <mergeCell ref="BU175:BU180"/>
    <mergeCell ref="G181:G187"/>
    <mergeCell ref="H181:H187"/>
    <mergeCell ref="I181:I187"/>
    <mergeCell ref="J181:J187"/>
    <mergeCell ref="K181:K187"/>
    <mergeCell ref="L181:L187"/>
    <mergeCell ref="M181:M187"/>
    <mergeCell ref="N181:N187"/>
    <mergeCell ref="BN175:BN180"/>
    <mergeCell ref="BO175:BO180"/>
    <mergeCell ref="BP175:BP180"/>
    <mergeCell ref="BQ175:BQ180"/>
    <mergeCell ref="BR175:BR180"/>
    <mergeCell ref="BS175:BS180"/>
    <mergeCell ref="BH175:BH180"/>
    <mergeCell ref="BI175:BI180"/>
    <mergeCell ref="BJ175:BJ180"/>
    <mergeCell ref="BK175:BK180"/>
    <mergeCell ref="BL175:BL180"/>
    <mergeCell ref="BM175:BM180"/>
    <mergeCell ref="BB175:BB180"/>
    <mergeCell ref="BC175:BC180"/>
    <mergeCell ref="BD175:BD180"/>
    <mergeCell ref="BE175:BE180"/>
    <mergeCell ref="BF175:BF180"/>
    <mergeCell ref="BG175:BG180"/>
    <mergeCell ref="AV175:AV180"/>
    <mergeCell ref="AW175:AW180"/>
    <mergeCell ref="AX175:AX180"/>
    <mergeCell ref="AY175:AY180"/>
    <mergeCell ref="AZ175:AZ180"/>
    <mergeCell ref="BA175:BA180"/>
    <mergeCell ref="AP175:AP180"/>
    <mergeCell ref="AQ175:AQ180"/>
    <mergeCell ref="AR175:AR180"/>
    <mergeCell ref="AS175:AS180"/>
    <mergeCell ref="AT175:AT180"/>
    <mergeCell ref="AU175:AU180"/>
    <mergeCell ref="AJ175:AJ180"/>
    <mergeCell ref="AK175:AK180"/>
    <mergeCell ref="AL175:AL180"/>
    <mergeCell ref="AM175:AM180"/>
    <mergeCell ref="AN175:AN180"/>
    <mergeCell ref="AO175:AO180"/>
    <mergeCell ref="AD175:AD180"/>
    <mergeCell ref="AE175:AE180"/>
    <mergeCell ref="AF175:AF180"/>
    <mergeCell ref="AG175:AG180"/>
    <mergeCell ref="AH175:AH180"/>
    <mergeCell ref="AI175:AI180"/>
    <mergeCell ref="S175:S180"/>
    <mergeCell ref="T175:T180"/>
    <mergeCell ref="U175:U180"/>
    <mergeCell ref="V175:V180"/>
    <mergeCell ref="AB175:AB180"/>
    <mergeCell ref="AC175:AC180"/>
    <mergeCell ref="M175:M180"/>
    <mergeCell ref="N175:N180"/>
    <mergeCell ref="O175:O180"/>
    <mergeCell ref="P175:P180"/>
    <mergeCell ref="Q175:Q180"/>
    <mergeCell ref="R175:R180"/>
    <mergeCell ref="BT166:BT170"/>
    <mergeCell ref="BU166:BU170"/>
    <mergeCell ref="B171:G171"/>
    <mergeCell ref="D172:G172"/>
    <mergeCell ref="G175:G180"/>
    <mergeCell ref="H175:H180"/>
    <mergeCell ref="I175:I180"/>
    <mergeCell ref="J175:J180"/>
    <mergeCell ref="K175:K180"/>
    <mergeCell ref="L175:L180"/>
    <mergeCell ref="BN166:BN170"/>
    <mergeCell ref="BO166:BO170"/>
    <mergeCell ref="BP166:BP170"/>
    <mergeCell ref="BQ166:BQ170"/>
    <mergeCell ref="BR166:BR170"/>
    <mergeCell ref="BS166:BS170"/>
    <mergeCell ref="BH166:BH170"/>
    <mergeCell ref="BI166:BI170"/>
    <mergeCell ref="BJ166:BJ170"/>
    <mergeCell ref="BK166:BK170"/>
    <mergeCell ref="BL166:BL170"/>
    <mergeCell ref="BM166:BM170"/>
    <mergeCell ref="BB166:BB170"/>
    <mergeCell ref="BC166:BC170"/>
    <mergeCell ref="BD166:BD170"/>
    <mergeCell ref="BE166:BE170"/>
    <mergeCell ref="BF166:BF170"/>
    <mergeCell ref="BG166:BG170"/>
    <mergeCell ref="AV166:AV170"/>
    <mergeCell ref="AW166:AW170"/>
    <mergeCell ref="AX166:AX170"/>
    <mergeCell ref="AY166:AY170"/>
    <mergeCell ref="AZ166:AZ170"/>
    <mergeCell ref="BA166:BA170"/>
    <mergeCell ref="AP166:AP170"/>
    <mergeCell ref="AQ166:AQ170"/>
    <mergeCell ref="AR166:AR170"/>
    <mergeCell ref="AS166:AS170"/>
    <mergeCell ref="AT166:AT170"/>
    <mergeCell ref="AU166:AU170"/>
    <mergeCell ref="AJ166:AJ170"/>
    <mergeCell ref="AK166:AK170"/>
    <mergeCell ref="AL166:AL170"/>
    <mergeCell ref="AM166:AM170"/>
    <mergeCell ref="AN166:AN170"/>
    <mergeCell ref="AO166:AO170"/>
    <mergeCell ref="AD166:AD170"/>
    <mergeCell ref="AE166:AE170"/>
    <mergeCell ref="AF166:AF170"/>
    <mergeCell ref="AG166:AG170"/>
    <mergeCell ref="AH166:AH170"/>
    <mergeCell ref="AI166:AI170"/>
    <mergeCell ref="R166:R170"/>
    <mergeCell ref="S166:S170"/>
    <mergeCell ref="T166:T170"/>
    <mergeCell ref="U166:U170"/>
    <mergeCell ref="V166:V170"/>
    <mergeCell ref="W166:W167"/>
    <mergeCell ref="L166:L170"/>
    <mergeCell ref="M166:M170"/>
    <mergeCell ref="N166:N170"/>
    <mergeCell ref="O166:O170"/>
    <mergeCell ref="P166:P170"/>
    <mergeCell ref="Q166:Q170"/>
    <mergeCell ref="BR162:BR163"/>
    <mergeCell ref="BS162:BS163"/>
    <mergeCell ref="BT162:BT163"/>
    <mergeCell ref="BU162:BU163"/>
    <mergeCell ref="E166:F170"/>
    <mergeCell ref="G166:G170"/>
    <mergeCell ref="H166:H170"/>
    <mergeCell ref="I166:I170"/>
    <mergeCell ref="J166:J170"/>
    <mergeCell ref="K166:K170"/>
    <mergeCell ref="BL162:BL163"/>
    <mergeCell ref="BM162:BM163"/>
    <mergeCell ref="BN162:BN163"/>
    <mergeCell ref="BO162:BO163"/>
    <mergeCell ref="BP162:BP163"/>
    <mergeCell ref="BQ162:BQ163"/>
    <mergeCell ref="BF162:BF163"/>
    <mergeCell ref="BG162:BG163"/>
    <mergeCell ref="BH162:BH163"/>
    <mergeCell ref="BI162:BI163"/>
    <mergeCell ref="BJ162:BJ163"/>
    <mergeCell ref="BK162:BK163"/>
    <mergeCell ref="AZ162:AZ163"/>
    <mergeCell ref="BA162:BA163"/>
    <mergeCell ref="BB162:BB163"/>
    <mergeCell ref="BC162:BC163"/>
    <mergeCell ref="BD162:BD163"/>
    <mergeCell ref="BE162:BE163"/>
    <mergeCell ref="AT162:AT163"/>
    <mergeCell ref="AU162:AU163"/>
    <mergeCell ref="AV162:AV163"/>
    <mergeCell ref="AW162:AW163"/>
    <mergeCell ref="AX162:AX163"/>
    <mergeCell ref="AY162:AY163"/>
    <mergeCell ref="AN162:AN163"/>
    <mergeCell ref="AO162:AO163"/>
    <mergeCell ref="AP162:AP163"/>
    <mergeCell ref="AQ162:AQ163"/>
    <mergeCell ref="AR162:AR163"/>
    <mergeCell ref="AS162:AS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Q162:Q163"/>
    <mergeCell ref="R162:R163"/>
    <mergeCell ref="S162:S163"/>
    <mergeCell ref="T162:T163"/>
    <mergeCell ref="U162:U163"/>
    <mergeCell ref="V162:V163"/>
    <mergeCell ref="K162:K163"/>
    <mergeCell ref="L162:L163"/>
    <mergeCell ref="M162:M163"/>
    <mergeCell ref="N162:N163"/>
    <mergeCell ref="O162:O163"/>
    <mergeCell ref="P162:P163"/>
    <mergeCell ref="B159:G159"/>
    <mergeCell ref="D160:J160"/>
    <mergeCell ref="E162:F163"/>
    <mergeCell ref="G162:G163"/>
    <mergeCell ref="H162:H163"/>
    <mergeCell ref="I162:I163"/>
    <mergeCell ref="J162:J163"/>
    <mergeCell ref="BU98:BU158"/>
    <mergeCell ref="G102:G158"/>
    <mergeCell ref="H102:H158"/>
    <mergeCell ref="I102:I158"/>
    <mergeCell ref="J102:J158"/>
    <mergeCell ref="K102:K158"/>
    <mergeCell ref="L102:L158"/>
    <mergeCell ref="M102:M158"/>
    <mergeCell ref="N102:N158"/>
    <mergeCell ref="O102:O158"/>
    <mergeCell ref="BO98:BO158"/>
    <mergeCell ref="BP98:BP158"/>
    <mergeCell ref="BQ98:BQ158"/>
    <mergeCell ref="BR98:BR158"/>
    <mergeCell ref="BS98:BS158"/>
    <mergeCell ref="BT98:BT158"/>
    <mergeCell ref="BI98:BI158"/>
    <mergeCell ref="BJ98:BJ158"/>
    <mergeCell ref="BK98:BK158"/>
    <mergeCell ref="BL98:BL158"/>
    <mergeCell ref="BM98:BM158"/>
    <mergeCell ref="BN98:BN158"/>
    <mergeCell ref="BC98:BC158"/>
    <mergeCell ref="BD98:BD158"/>
    <mergeCell ref="BE98:BE158"/>
    <mergeCell ref="BF98:BF158"/>
    <mergeCell ref="BG98:BG158"/>
    <mergeCell ref="BH98:BH158"/>
    <mergeCell ref="AW98:AW158"/>
    <mergeCell ref="AX98:AX158"/>
    <mergeCell ref="AY98:AY158"/>
    <mergeCell ref="AZ98:AZ158"/>
    <mergeCell ref="BA98:BA158"/>
    <mergeCell ref="BB98:BB158"/>
    <mergeCell ref="AQ98:AQ158"/>
    <mergeCell ref="AR98:AR158"/>
    <mergeCell ref="AS98:AS158"/>
    <mergeCell ref="AT98:AT158"/>
    <mergeCell ref="AU98:AU158"/>
    <mergeCell ref="AV98:AV158"/>
    <mergeCell ref="AK98:AK158"/>
    <mergeCell ref="AL98:AL158"/>
    <mergeCell ref="AM98:AM158"/>
    <mergeCell ref="AN98:AN158"/>
    <mergeCell ref="AO98:AO158"/>
    <mergeCell ref="AP98:AP158"/>
    <mergeCell ref="AW95:AW97"/>
    <mergeCell ref="AX95:AX97"/>
    <mergeCell ref="AE98:AE158"/>
    <mergeCell ref="AF98:AF158"/>
    <mergeCell ref="AG98:AG158"/>
    <mergeCell ref="AH98:AH158"/>
    <mergeCell ref="AI98:AI158"/>
    <mergeCell ref="AJ98:AJ158"/>
    <mergeCell ref="T98:T158"/>
    <mergeCell ref="U98:U158"/>
    <mergeCell ref="V98:V158"/>
    <mergeCell ref="AB98:AB101"/>
    <mergeCell ref="AC98:AC101"/>
    <mergeCell ref="AD98:AD158"/>
    <mergeCell ref="W102:W137"/>
    <mergeCell ref="W138:W158"/>
    <mergeCell ref="N98:N101"/>
    <mergeCell ref="O98:O101"/>
    <mergeCell ref="P98:P101"/>
    <mergeCell ref="Q98:Q158"/>
    <mergeCell ref="R98:R158"/>
    <mergeCell ref="S98:S101"/>
    <mergeCell ref="P102:P158"/>
    <mergeCell ref="S102:S158"/>
    <mergeCell ref="AG95:AG97"/>
    <mergeCell ref="AH95:AH97"/>
    <mergeCell ref="AB95:AB97"/>
    <mergeCell ref="BS95:BS97"/>
    <mergeCell ref="BT95:BT97"/>
    <mergeCell ref="BU95:BU97"/>
    <mergeCell ref="G98:G101"/>
    <mergeCell ref="H98:H101"/>
    <mergeCell ref="I98:I101"/>
    <mergeCell ref="J98:J101"/>
    <mergeCell ref="K98:K101"/>
    <mergeCell ref="L98:L101"/>
    <mergeCell ref="M98:M101"/>
    <mergeCell ref="BM95:BM97"/>
    <mergeCell ref="BN95:BN97"/>
    <mergeCell ref="BO95:BO97"/>
    <mergeCell ref="BP95:BP97"/>
    <mergeCell ref="BQ95:BQ97"/>
    <mergeCell ref="BR95:BR97"/>
    <mergeCell ref="BG95:BG97"/>
    <mergeCell ref="BH95:BH97"/>
    <mergeCell ref="BI95:BI97"/>
    <mergeCell ref="BJ95:BJ97"/>
    <mergeCell ref="BK95:BK97"/>
    <mergeCell ref="BL95:BL97"/>
    <mergeCell ref="BA95:BA97"/>
    <mergeCell ref="BB95:BB97"/>
    <mergeCell ref="BC95:BC97"/>
    <mergeCell ref="BD95:BD97"/>
    <mergeCell ref="BE95:BE97"/>
    <mergeCell ref="BF95:BF97"/>
    <mergeCell ref="AU95:AU97"/>
    <mergeCell ref="AV95:AV97"/>
    <mergeCell ref="U95:U97"/>
    <mergeCell ref="V95:V97"/>
    <mergeCell ref="L95:L97"/>
    <mergeCell ref="M95:M97"/>
    <mergeCell ref="N95:N97"/>
    <mergeCell ref="O95:O97"/>
    <mergeCell ref="P95:P97"/>
    <mergeCell ref="Q95:Q97"/>
    <mergeCell ref="P88:P94"/>
    <mergeCell ref="S88:S94"/>
    <mergeCell ref="W88:W89"/>
    <mergeCell ref="W90:W91"/>
    <mergeCell ref="W93:W94"/>
    <mergeCell ref="AY95:AY97"/>
    <mergeCell ref="AZ95:AZ97"/>
    <mergeCell ref="AO95:AO97"/>
    <mergeCell ref="AP95:AP97"/>
    <mergeCell ref="AQ95:AQ97"/>
    <mergeCell ref="AR95:AR97"/>
    <mergeCell ref="AS95:AS97"/>
    <mergeCell ref="AT95:AT97"/>
    <mergeCell ref="AI95:AI97"/>
    <mergeCell ref="AJ95:AJ97"/>
    <mergeCell ref="AK95:AK97"/>
    <mergeCell ref="AL95:AL97"/>
    <mergeCell ref="AM95:AM97"/>
    <mergeCell ref="AN95:AN97"/>
    <mergeCell ref="AC95:AC97"/>
    <mergeCell ref="AD95:AD97"/>
    <mergeCell ref="AE95:AE97"/>
    <mergeCell ref="AF95:AF97"/>
    <mergeCell ref="AE87:AE94"/>
    <mergeCell ref="AF87:AF94"/>
    <mergeCell ref="AG87:AG94"/>
    <mergeCell ref="J95:J97"/>
    <mergeCell ref="K95:K97"/>
    <mergeCell ref="BU87:BU94"/>
    <mergeCell ref="G88:G94"/>
    <mergeCell ref="H88:H94"/>
    <mergeCell ref="I88:I94"/>
    <mergeCell ref="J88:J94"/>
    <mergeCell ref="K88:K94"/>
    <mergeCell ref="L88:L94"/>
    <mergeCell ref="M88:M94"/>
    <mergeCell ref="N88:N94"/>
    <mergeCell ref="O88:O94"/>
    <mergeCell ref="BO87:BO94"/>
    <mergeCell ref="BP87:BP94"/>
    <mergeCell ref="BQ87:BQ94"/>
    <mergeCell ref="BR87:BR94"/>
    <mergeCell ref="BS87:BS94"/>
    <mergeCell ref="BT87:BT94"/>
    <mergeCell ref="BI87:BI94"/>
    <mergeCell ref="BJ87:BJ94"/>
    <mergeCell ref="BK87:BK94"/>
    <mergeCell ref="BL87:BL94"/>
    <mergeCell ref="BM87:BM94"/>
    <mergeCell ref="BN87:BN94"/>
    <mergeCell ref="BC87:BC94"/>
    <mergeCell ref="BD87:BD94"/>
    <mergeCell ref="BE87:BE94"/>
    <mergeCell ref="BF87:BF94"/>
    <mergeCell ref="BG87:BG94"/>
    <mergeCell ref="R95:R97"/>
    <mergeCell ref="S95:S97"/>
    <mergeCell ref="T95:T97"/>
    <mergeCell ref="BH87:BH94"/>
    <mergeCell ref="AW87:AW94"/>
    <mergeCell ref="AX87:AX94"/>
    <mergeCell ref="AY87:AY94"/>
    <mergeCell ref="AZ87:AZ94"/>
    <mergeCell ref="BA87:BA94"/>
    <mergeCell ref="BB87:BB94"/>
    <mergeCell ref="AQ87:AQ94"/>
    <mergeCell ref="AR87:AR94"/>
    <mergeCell ref="AS87:AS94"/>
    <mergeCell ref="AT87:AT94"/>
    <mergeCell ref="AU87:AU94"/>
    <mergeCell ref="AV87:AV94"/>
    <mergeCell ref="AK87:AK94"/>
    <mergeCell ref="AL87:AL94"/>
    <mergeCell ref="AM87:AM94"/>
    <mergeCell ref="AN87:AN94"/>
    <mergeCell ref="AO87:AO94"/>
    <mergeCell ref="AP87:AP94"/>
    <mergeCell ref="AH87:AH94"/>
    <mergeCell ref="AI87:AI94"/>
    <mergeCell ref="AJ87:AJ94"/>
    <mergeCell ref="BS81:BS85"/>
    <mergeCell ref="BT81:BT85"/>
    <mergeCell ref="BU81:BU85"/>
    <mergeCell ref="E87:F158"/>
    <mergeCell ref="Q87:Q94"/>
    <mergeCell ref="R87:R94"/>
    <mergeCell ref="T87:T94"/>
    <mergeCell ref="U87:U94"/>
    <mergeCell ref="V87:V94"/>
    <mergeCell ref="AD87:AD94"/>
    <mergeCell ref="BM81:BM85"/>
    <mergeCell ref="BN81:BN85"/>
    <mergeCell ref="BO81:BO85"/>
    <mergeCell ref="BP81:BP85"/>
    <mergeCell ref="BQ81:BQ85"/>
    <mergeCell ref="BR81:BR85"/>
    <mergeCell ref="BG81:BG85"/>
    <mergeCell ref="BH81:BH85"/>
    <mergeCell ref="BI81:BI85"/>
    <mergeCell ref="BJ81:BJ85"/>
    <mergeCell ref="BK81:BK85"/>
    <mergeCell ref="BL81:BL85"/>
    <mergeCell ref="BA81:BA85"/>
    <mergeCell ref="BB81:BB85"/>
    <mergeCell ref="BC81:BC85"/>
    <mergeCell ref="BD81:BD85"/>
    <mergeCell ref="BE81:BE85"/>
    <mergeCell ref="BF81:BF85"/>
    <mergeCell ref="AU81:AU85"/>
    <mergeCell ref="AV81:AV85"/>
    <mergeCell ref="AW81:AW85"/>
    <mergeCell ref="AX81:AX85"/>
    <mergeCell ref="AY81:AY85"/>
    <mergeCell ref="AZ81:AZ85"/>
    <mergeCell ref="AO81:AO85"/>
    <mergeCell ref="AP81:AP85"/>
    <mergeCell ref="AQ81:AQ85"/>
    <mergeCell ref="AR81:AR85"/>
    <mergeCell ref="AS81:AS85"/>
    <mergeCell ref="AT81:AT85"/>
    <mergeCell ref="AI81:AI85"/>
    <mergeCell ref="AJ81:AJ85"/>
    <mergeCell ref="AK81:AK85"/>
    <mergeCell ref="AL81:AL85"/>
    <mergeCell ref="AM81:AM85"/>
    <mergeCell ref="AN81:AN85"/>
    <mergeCell ref="W81:W82"/>
    <mergeCell ref="AD81:AD85"/>
    <mergeCell ref="AE81:AE85"/>
    <mergeCell ref="AF81:AF85"/>
    <mergeCell ref="AG81:AG85"/>
    <mergeCell ref="AH81:AH85"/>
    <mergeCell ref="Q81:Q85"/>
    <mergeCell ref="R81:R85"/>
    <mergeCell ref="S81:S85"/>
    <mergeCell ref="T81:T85"/>
    <mergeCell ref="U81:U85"/>
    <mergeCell ref="V81:V85"/>
    <mergeCell ref="K81:K85"/>
    <mergeCell ref="L81:L85"/>
    <mergeCell ref="M81:M85"/>
    <mergeCell ref="N81:N85"/>
    <mergeCell ref="O81:O85"/>
    <mergeCell ref="P81:P85"/>
    <mergeCell ref="BS75:BS80"/>
    <mergeCell ref="BT75:BT80"/>
    <mergeCell ref="BU75:BU80"/>
    <mergeCell ref="G78:G80"/>
    <mergeCell ref="H78:H80"/>
    <mergeCell ref="I78:I80"/>
    <mergeCell ref="J78:J80"/>
    <mergeCell ref="K78:K80"/>
    <mergeCell ref="L78:L80"/>
    <mergeCell ref="M78:M80"/>
    <mergeCell ref="BM75:BM80"/>
    <mergeCell ref="BN75:BN80"/>
    <mergeCell ref="BO75:BO80"/>
    <mergeCell ref="BP75:BP80"/>
    <mergeCell ref="BQ75:BQ80"/>
    <mergeCell ref="BR75:BR80"/>
    <mergeCell ref="BG75:BG80"/>
    <mergeCell ref="BH75:BH80"/>
    <mergeCell ref="BI75:BI80"/>
    <mergeCell ref="BJ75:BJ80"/>
    <mergeCell ref="BK75:BK80"/>
    <mergeCell ref="BL75:BL80"/>
    <mergeCell ref="BA75:BA80"/>
    <mergeCell ref="BB75:BB80"/>
    <mergeCell ref="BC75:BC80"/>
    <mergeCell ref="BD75:BD80"/>
    <mergeCell ref="BE75:BE80"/>
    <mergeCell ref="BF75:BF80"/>
    <mergeCell ref="AU75:AU80"/>
    <mergeCell ref="AV75:AV80"/>
    <mergeCell ref="AW75:AW80"/>
    <mergeCell ref="AX75:AX80"/>
    <mergeCell ref="AY75:AY80"/>
    <mergeCell ref="AZ75:AZ80"/>
    <mergeCell ref="AO75:AO80"/>
    <mergeCell ref="AP75:AP80"/>
    <mergeCell ref="AQ75:AQ80"/>
    <mergeCell ref="AR75:AR80"/>
    <mergeCell ref="AS75:AS80"/>
    <mergeCell ref="AT75:AT80"/>
    <mergeCell ref="AI75:AI80"/>
    <mergeCell ref="AJ75:AJ80"/>
    <mergeCell ref="AK75:AK80"/>
    <mergeCell ref="AL75:AL80"/>
    <mergeCell ref="AM75:AM80"/>
    <mergeCell ref="AN75:AN80"/>
    <mergeCell ref="AC75:AC80"/>
    <mergeCell ref="AD75:AD80"/>
    <mergeCell ref="AE75:AE80"/>
    <mergeCell ref="AF75:AF80"/>
    <mergeCell ref="AG75:AG80"/>
    <mergeCell ref="AH75:AH80"/>
    <mergeCell ref="R75:R80"/>
    <mergeCell ref="S75:S77"/>
    <mergeCell ref="T75:T80"/>
    <mergeCell ref="U75:U80"/>
    <mergeCell ref="V75:V80"/>
    <mergeCell ref="AB75:AB80"/>
    <mergeCell ref="S78:S80"/>
    <mergeCell ref="L75:L77"/>
    <mergeCell ref="M75:M77"/>
    <mergeCell ref="N75:N77"/>
    <mergeCell ref="O75:O77"/>
    <mergeCell ref="P75:P77"/>
    <mergeCell ref="Q75:Q80"/>
    <mergeCell ref="N78:N80"/>
    <mergeCell ref="O78:O80"/>
    <mergeCell ref="P78:P80"/>
    <mergeCell ref="BR71:BR74"/>
    <mergeCell ref="AY71:AY74"/>
    <mergeCell ref="AN71:AN74"/>
    <mergeCell ref="AO71:AO74"/>
    <mergeCell ref="AP71:AP74"/>
    <mergeCell ref="AQ71:AQ74"/>
    <mergeCell ref="AR71:AR74"/>
    <mergeCell ref="AS71:AS74"/>
    <mergeCell ref="AH71:AH74"/>
    <mergeCell ref="AI71:AI74"/>
    <mergeCell ref="AJ71:AJ74"/>
    <mergeCell ref="AK71:AK74"/>
    <mergeCell ref="AL71:AL74"/>
    <mergeCell ref="AM71:AM74"/>
    <mergeCell ref="U71:U74"/>
    <mergeCell ref="V71:V74"/>
    <mergeCell ref="BS71:BS74"/>
    <mergeCell ref="BT71:BT74"/>
    <mergeCell ref="BU71:BU74"/>
    <mergeCell ref="W72:W73"/>
    <mergeCell ref="G75:G77"/>
    <mergeCell ref="H75:H77"/>
    <mergeCell ref="I75:I77"/>
    <mergeCell ref="J75:J77"/>
    <mergeCell ref="K75:K77"/>
    <mergeCell ref="BL71:BL74"/>
    <mergeCell ref="BM71:BM74"/>
    <mergeCell ref="BN71:BN74"/>
    <mergeCell ref="BO71:BO74"/>
    <mergeCell ref="BP71:BP74"/>
    <mergeCell ref="BQ71:BQ74"/>
    <mergeCell ref="BF71:BF74"/>
    <mergeCell ref="BG71:BG74"/>
    <mergeCell ref="BH71:BH74"/>
    <mergeCell ref="BI71:BI74"/>
    <mergeCell ref="BJ71:BJ74"/>
    <mergeCell ref="BK71:BK74"/>
    <mergeCell ref="AZ71:AZ74"/>
    <mergeCell ref="BA71:BA74"/>
    <mergeCell ref="BB71:BB74"/>
    <mergeCell ref="BC71:BC74"/>
    <mergeCell ref="BD71:BD74"/>
    <mergeCell ref="BE71:BE74"/>
    <mergeCell ref="AT71:AT74"/>
    <mergeCell ref="AU71:AU74"/>
    <mergeCell ref="AV71:AV74"/>
    <mergeCell ref="AW71:AW74"/>
    <mergeCell ref="AX71:AX74"/>
    <mergeCell ref="AD71:AD74"/>
    <mergeCell ref="AE71:AE74"/>
    <mergeCell ref="AF71:AF74"/>
    <mergeCell ref="AG71:AG74"/>
    <mergeCell ref="O71:O74"/>
    <mergeCell ref="P71:P74"/>
    <mergeCell ref="Q71:Q74"/>
    <mergeCell ref="R71:R74"/>
    <mergeCell ref="S71:S74"/>
    <mergeCell ref="T71:T74"/>
    <mergeCell ref="BT68:BT70"/>
    <mergeCell ref="BU68:BU70"/>
    <mergeCell ref="G71:G74"/>
    <mergeCell ref="H71:H74"/>
    <mergeCell ref="I71:I74"/>
    <mergeCell ref="J71:J74"/>
    <mergeCell ref="K71:K74"/>
    <mergeCell ref="L71:L74"/>
    <mergeCell ref="M71:M74"/>
    <mergeCell ref="N71:N74"/>
    <mergeCell ref="BN68:BN70"/>
    <mergeCell ref="BO68:BO70"/>
    <mergeCell ref="BP68:BP70"/>
    <mergeCell ref="BQ68:BQ70"/>
    <mergeCell ref="BR68:BR70"/>
    <mergeCell ref="BS68:BS70"/>
    <mergeCell ref="BH68:BH70"/>
    <mergeCell ref="BI68:BI70"/>
    <mergeCell ref="BJ68:BJ70"/>
    <mergeCell ref="BK68:BK70"/>
    <mergeCell ref="BL68:BL70"/>
    <mergeCell ref="BM68:BM70"/>
    <mergeCell ref="BB68:BB70"/>
    <mergeCell ref="BC68:BC70"/>
    <mergeCell ref="BD68:BD70"/>
    <mergeCell ref="BE68:BE70"/>
    <mergeCell ref="BF68:BF70"/>
    <mergeCell ref="BG68:BG70"/>
    <mergeCell ref="AV68:AV70"/>
    <mergeCell ref="AW68:AW70"/>
    <mergeCell ref="AX68:AX70"/>
    <mergeCell ref="AY68:AY70"/>
    <mergeCell ref="AZ68:AZ70"/>
    <mergeCell ref="BA68:BA70"/>
    <mergeCell ref="AP68:AP70"/>
    <mergeCell ref="AQ68:AQ70"/>
    <mergeCell ref="AR68:AR70"/>
    <mergeCell ref="AS68:AS70"/>
    <mergeCell ref="AT68:AT70"/>
    <mergeCell ref="AU68:AU70"/>
    <mergeCell ref="AK68:AK70"/>
    <mergeCell ref="AL68:AL70"/>
    <mergeCell ref="AM68:AM70"/>
    <mergeCell ref="AN68:AN70"/>
    <mergeCell ref="AO68:AO70"/>
    <mergeCell ref="AD68:AD70"/>
    <mergeCell ref="AE68:AE70"/>
    <mergeCell ref="AF68:AF70"/>
    <mergeCell ref="AG68:AG70"/>
    <mergeCell ref="AH68:AH70"/>
    <mergeCell ref="AI68:AI70"/>
    <mergeCell ref="R68:R70"/>
    <mergeCell ref="S68:S70"/>
    <mergeCell ref="T68:T70"/>
    <mergeCell ref="U68:U70"/>
    <mergeCell ref="V68:V70"/>
    <mergeCell ref="W68:W69"/>
    <mergeCell ref="M68:M70"/>
    <mergeCell ref="N68:N70"/>
    <mergeCell ref="O68:O70"/>
    <mergeCell ref="P68:P70"/>
    <mergeCell ref="Q68:Q70"/>
    <mergeCell ref="E66:F83"/>
    <mergeCell ref="G68:G70"/>
    <mergeCell ref="H68:H70"/>
    <mergeCell ref="I68:I70"/>
    <mergeCell ref="J68:J70"/>
    <mergeCell ref="K68:K70"/>
    <mergeCell ref="G81:G85"/>
    <mergeCell ref="H81:H85"/>
    <mergeCell ref="I81:I85"/>
    <mergeCell ref="J81:J85"/>
    <mergeCell ref="BP60:BP64"/>
    <mergeCell ref="AX60:AX64"/>
    <mergeCell ref="AY60:AY64"/>
    <mergeCell ref="AZ60:AZ64"/>
    <mergeCell ref="BA60:BA64"/>
    <mergeCell ref="BB60:BB64"/>
    <mergeCell ref="BC60:BC64"/>
    <mergeCell ref="AR60:AR64"/>
    <mergeCell ref="AS60:AS64"/>
    <mergeCell ref="AT60:AT64"/>
    <mergeCell ref="AU60:AU64"/>
    <mergeCell ref="AV60:AV64"/>
    <mergeCell ref="AW60:AW64"/>
    <mergeCell ref="AL60:AL64"/>
    <mergeCell ref="AM60:AM64"/>
    <mergeCell ref="AN60:AN64"/>
    <mergeCell ref="AJ68:AJ70"/>
    <mergeCell ref="BQ60:BQ64"/>
    <mergeCell ref="BR60:BR64"/>
    <mergeCell ref="BS60:BS64"/>
    <mergeCell ref="BT60:BT64"/>
    <mergeCell ref="BU60:BU64"/>
    <mergeCell ref="BJ60:BJ64"/>
    <mergeCell ref="BK60:BK64"/>
    <mergeCell ref="BL60:BL64"/>
    <mergeCell ref="BM60:BM64"/>
    <mergeCell ref="BN60:BN64"/>
    <mergeCell ref="BO60:BO64"/>
    <mergeCell ref="BD60:BD64"/>
    <mergeCell ref="BE60:BE64"/>
    <mergeCell ref="BF60:BF64"/>
    <mergeCell ref="BG60:BG64"/>
    <mergeCell ref="BH60:BH64"/>
    <mergeCell ref="BI60:BI64"/>
    <mergeCell ref="AO60:AO64"/>
    <mergeCell ref="AP60:AP64"/>
    <mergeCell ref="AQ60:AQ64"/>
    <mergeCell ref="AF60:AF64"/>
    <mergeCell ref="AG60:AG64"/>
    <mergeCell ref="AH60:AH64"/>
    <mergeCell ref="AI60:AI64"/>
    <mergeCell ref="AJ60:AJ64"/>
    <mergeCell ref="AK60:AK64"/>
    <mergeCell ref="U60:U64"/>
    <mergeCell ref="V60:V64"/>
    <mergeCell ref="AB60:AB64"/>
    <mergeCell ref="AC60:AC64"/>
    <mergeCell ref="AD60:AD64"/>
    <mergeCell ref="AE60:AE64"/>
    <mergeCell ref="O60:O64"/>
    <mergeCell ref="P60:P64"/>
    <mergeCell ref="Q60:Q64"/>
    <mergeCell ref="R60:R64"/>
    <mergeCell ref="S60:S64"/>
    <mergeCell ref="T60:T64"/>
    <mergeCell ref="BU55:BU59"/>
    <mergeCell ref="W57:W58"/>
    <mergeCell ref="G60:G64"/>
    <mergeCell ref="H60:H64"/>
    <mergeCell ref="I60:I64"/>
    <mergeCell ref="J60:J64"/>
    <mergeCell ref="K60:K64"/>
    <mergeCell ref="L60:L64"/>
    <mergeCell ref="M60:M64"/>
    <mergeCell ref="N60:N64"/>
    <mergeCell ref="BO55:BO59"/>
    <mergeCell ref="BP55:BP59"/>
    <mergeCell ref="BQ55:BQ59"/>
    <mergeCell ref="BR55:BR59"/>
    <mergeCell ref="BS55:BS59"/>
    <mergeCell ref="BT55:BT59"/>
    <mergeCell ref="BI55:BI59"/>
    <mergeCell ref="BJ55:BJ59"/>
    <mergeCell ref="BK55:BK59"/>
    <mergeCell ref="BL55:BL59"/>
    <mergeCell ref="BM55:BM59"/>
    <mergeCell ref="BN55:BN59"/>
    <mergeCell ref="BC55:BC59"/>
    <mergeCell ref="BD55:BD59"/>
    <mergeCell ref="BE55:BE59"/>
    <mergeCell ref="BF55:BF59"/>
    <mergeCell ref="BG55:BG59"/>
    <mergeCell ref="BH55:BH59"/>
    <mergeCell ref="AW55:AW59"/>
    <mergeCell ref="AX55:AX59"/>
    <mergeCell ref="AY55:AY59"/>
    <mergeCell ref="AZ55:AZ59"/>
    <mergeCell ref="BA55:BA59"/>
    <mergeCell ref="BB55:BB59"/>
    <mergeCell ref="AQ55:AQ59"/>
    <mergeCell ref="AR55:AR59"/>
    <mergeCell ref="AS55:AS59"/>
    <mergeCell ref="AT55:AT59"/>
    <mergeCell ref="AU55:AU59"/>
    <mergeCell ref="AV55:AV59"/>
    <mergeCell ref="AK55:AK59"/>
    <mergeCell ref="AL55:AL59"/>
    <mergeCell ref="AM55:AM59"/>
    <mergeCell ref="AN55:AN59"/>
    <mergeCell ref="AO55:AO59"/>
    <mergeCell ref="AP55:AP59"/>
    <mergeCell ref="AE55:AE59"/>
    <mergeCell ref="AF55:AF59"/>
    <mergeCell ref="AG55:AG59"/>
    <mergeCell ref="AH55:AH59"/>
    <mergeCell ref="AI55:AI59"/>
    <mergeCell ref="AJ55:AJ59"/>
    <mergeCell ref="BQ52:BQ54"/>
    <mergeCell ref="BR52:BR54"/>
    <mergeCell ref="BS52:BS54"/>
    <mergeCell ref="BT52:BT54"/>
    <mergeCell ref="BU52:BU54"/>
    <mergeCell ref="AP52:AP54"/>
    <mergeCell ref="AQ52:AQ54"/>
    <mergeCell ref="AR52:AR54"/>
    <mergeCell ref="AG52:AG54"/>
    <mergeCell ref="AH52:AH54"/>
    <mergeCell ref="AI52:AI54"/>
    <mergeCell ref="AJ52:AJ54"/>
    <mergeCell ref="AK52:AK54"/>
    <mergeCell ref="AL52:AL54"/>
    <mergeCell ref="V52:V54"/>
    <mergeCell ref="AB52:AB54"/>
    <mergeCell ref="AC52:AC54"/>
    <mergeCell ref="AD52:AD54"/>
    <mergeCell ref="AE52:AE54"/>
    <mergeCell ref="AF52:AF54"/>
    <mergeCell ref="AS52:AS54"/>
    <mergeCell ref="AT52:AT54"/>
    <mergeCell ref="AU52:AU54"/>
    <mergeCell ref="AV52:AV54"/>
    <mergeCell ref="AW52:AW54"/>
    <mergeCell ref="AX52:AX54"/>
    <mergeCell ref="AM52:AM54"/>
    <mergeCell ref="AN52:AN54"/>
    <mergeCell ref="AO52:AO54"/>
    <mergeCell ref="BP52:BP54"/>
    <mergeCell ref="R55:R59"/>
    <mergeCell ref="S55:S58"/>
    <mergeCell ref="T55:T59"/>
    <mergeCell ref="U55:U59"/>
    <mergeCell ref="V55:V59"/>
    <mergeCell ref="AD55:AD59"/>
    <mergeCell ref="L55:L58"/>
    <mergeCell ref="M55:M58"/>
    <mergeCell ref="N55:N58"/>
    <mergeCell ref="O55:O58"/>
    <mergeCell ref="P55:P58"/>
    <mergeCell ref="Q55:Q59"/>
    <mergeCell ref="BK52:BK54"/>
    <mergeCell ref="BL52:BL54"/>
    <mergeCell ref="BM52:BM54"/>
    <mergeCell ref="BN52:BN54"/>
    <mergeCell ref="BO52:BO54"/>
    <mergeCell ref="BE52:BE54"/>
    <mergeCell ref="BF52:BF54"/>
    <mergeCell ref="BG52:BG54"/>
    <mergeCell ref="BH52:BH54"/>
    <mergeCell ref="BI52:BI54"/>
    <mergeCell ref="BJ52:BJ54"/>
    <mergeCell ref="AY52:AY54"/>
    <mergeCell ref="AZ52:AZ54"/>
    <mergeCell ref="BA52:BA54"/>
    <mergeCell ref="BB52:BB54"/>
    <mergeCell ref="BC52:BC54"/>
    <mergeCell ref="BD52:BD54"/>
    <mergeCell ref="P52:P54"/>
    <mergeCell ref="Q52:Q54"/>
    <mergeCell ref="R52:R54"/>
    <mergeCell ref="S52:S54"/>
    <mergeCell ref="T52:T54"/>
    <mergeCell ref="U52:U54"/>
    <mergeCell ref="BU45:BU51"/>
    <mergeCell ref="G52:G54"/>
    <mergeCell ref="H52:H54"/>
    <mergeCell ref="I52:I54"/>
    <mergeCell ref="J52:J54"/>
    <mergeCell ref="K52:K54"/>
    <mergeCell ref="L52:L54"/>
    <mergeCell ref="M52:M54"/>
    <mergeCell ref="N52:N54"/>
    <mergeCell ref="O52:O54"/>
    <mergeCell ref="BO45:BO51"/>
    <mergeCell ref="BP45:BP51"/>
    <mergeCell ref="BQ45:BQ51"/>
    <mergeCell ref="BR45:BR51"/>
    <mergeCell ref="BS45:BS51"/>
    <mergeCell ref="BT45:BT51"/>
    <mergeCell ref="BI45:BI51"/>
    <mergeCell ref="BJ45:BJ51"/>
    <mergeCell ref="BK45:BK51"/>
    <mergeCell ref="BL45:BL51"/>
    <mergeCell ref="BM45:BM51"/>
    <mergeCell ref="BN45:BN51"/>
    <mergeCell ref="BC45:BC51"/>
    <mergeCell ref="BD45:BD51"/>
    <mergeCell ref="BE45:BE51"/>
    <mergeCell ref="BF45:BF51"/>
    <mergeCell ref="BG45:BG51"/>
    <mergeCell ref="BH45:BH51"/>
    <mergeCell ref="AW45:AW51"/>
    <mergeCell ref="AX45:AX51"/>
    <mergeCell ref="AY45:AY51"/>
    <mergeCell ref="AZ45:AZ51"/>
    <mergeCell ref="BA45:BA51"/>
    <mergeCell ref="BB45:BB51"/>
    <mergeCell ref="AQ45:AQ51"/>
    <mergeCell ref="AR45:AR51"/>
    <mergeCell ref="AS45:AS51"/>
    <mergeCell ref="AT45:AT51"/>
    <mergeCell ref="AU45:AU51"/>
    <mergeCell ref="AV45:AV51"/>
    <mergeCell ref="AK45:AK51"/>
    <mergeCell ref="AL45:AL51"/>
    <mergeCell ref="AM45:AM51"/>
    <mergeCell ref="AN45:AN51"/>
    <mergeCell ref="AO45:AO51"/>
    <mergeCell ref="AP45:AP51"/>
    <mergeCell ref="AE45:AE51"/>
    <mergeCell ref="AF45:AF51"/>
    <mergeCell ref="AG45:AG51"/>
    <mergeCell ref="AH45:AH51"/>
    <mergeCell ref="AI45:AI51"/>
    <mergeCell ref="AJ45:AJ51"/>
    <mergeCell ref="T45:T51"/>
    <mergeCell ref="U45:U51"/>
    <mergeCell ref="V45:V51"/>
    <mergeCell ref="AB45:AB51"/>
    <mergeCell ref="AC45:AC51"/>
    <mergeCell ref="AD45:AD51"/>
    <mergeCell ref="N45:N51"/>
    <mergeCell ref="O45:O51"/>
    <mergeCell ref="P45:P51"/>
    <mergeCell ref="Q45:Q51"/>
    <mergeCell ref="R45:R51"/>
    <mergeCell ref="S45:S51"/>
    <mergeCell ref="P37:P44"/>
    <mergeCell ref="S37:S44"/>
    <mergeCell ref="W39:W41"/>
    <mergeCell ref="G45:G51"/>
    <mergeCell ref="H45:H51"/>
    <mergeCell ref="I45:I51"/>
    <mergeCell ref="J45:J51"/>
    <mergeCell ref="K45:K51"/>
    <mergeCell ref="L45:L51"/>
    <mergeCell ref="M45:M51"/>
    <mergeCell ref="BU36:BU44"/>
    <mergeCell ref="G37:G44"/>
    <mergeCell ref="H37:H44"/>
    <mergeCell ref="I37:I44"/>
    <mergeCell ref="J37:J44"/>
    <mergeCell ref="K37:K44"/>
    <mergeCell ref="L37:L44"/>
    <mergeCell ref="M37:M44"/>
    <mergeCell ref="N37:N44"/>
    <mergeCell ref="O37:O44"/>
    <mergeCell ref="BO36:BO44"/>
    <mergeCell ref="BP36:BP44"/>
    <mergeCell ref="BQ36:BQ44"/>
    <mergeCell ref="BR36:BR44"/>
    <mergeCell ref="BS36:BS44"/>
    <mergeCell ref="BT36:BT44"/>
    <mergeCell ref="BI36:BI44"/>
    <mergeCell ref="BJ36:BJ44"/>
    <mergeCell ref="BK36:BK44"/>
    <mergeCell ref="BL36:BL44"/>
    <mergeCell ref="BM36:BM44"/>
    <mergeCell ref="BN36:BN44"/>
    <mergeCell ref="AE36:AE44"/>
    <mergeCell ref="AF36:AF44"/>
    <mergeCell ref="AG36:AG44"/>
    <mergeCell ref="AH36:AH44"/>
    <mergeCell ref="AI36:AI44"/>
    <mergeCell ref="AJ36:AJ44"/>
    <mergeCell ref="Q36:Q44"/>
    <mergeCell ref="R36:R44"/>
    <mergeCell ref="T36:T44"/>
    <mergeCell ref="U36:U44"/>
    <mergeCell ref="V36:V44"/>
    <mergeCell ref="AD36:AD44"/>
    <mergeCell ref="BC36:BC44"/>
    <mergeCell ref="BD36:BD44"/>
    <mergeCell ref="BE36:BE44"/>
    <mergeCell ref="BF36:BF44"/>
    <mergeCell ref="BG36:BG44"/>
    <mergeCell ref="AW36:AW44"/>
    <mergeCell ref="AX36:AX44"/>
    <mergeCell ref="AY36:AY44"/>
    <mergeCell ref="AZ36:AZ44"/>
    <mergeCell ref="BA36:BA44"/>
    <mergeCell ref="BB36:BB44"/>
    <mergeCell ref="AQ36:AQ44"/>
    <mergeCell ref="AR36:AR44"/>
    <mergeCell ref="AS36:AS44"/>
    <mergeCell ref="AT36:AT44"/>
    <mergeCell ref="AU36:AU44"/>
    <mergeCell ref="AV36:AV44"/>
    <mergeCell ref="BR31:BR35"/>
    <mergeCell ref="BS31:BS35"/>
    <mergeCell ref="BT31:BT35"/>
    <mergeCell ref="BU31:BU35"/>
    <mergeCell ref="BJ31:BJ35"/>
    <mergeCell ref="BK31:BK35"/>
    <mergeCell ref="BL31:BL35"/>
    <mergeCell ref="BM31:BM35"/>
    <mergeCell ref="BN31:BN35"/>
    <mergeCell ref="BO31:BO35"/>
    <mergeCell ref="BD31:BD35"/>
    <mergeCell ref="BE31:BE35"/>
    <mergeCell ref="BF31:BF35"/>
    <mergeCell ref="BG31:BG35"/>
    <mergeCell ref="BH31:BH35"/>
    <mergeCell ref="BI31:BI35"/>
    <mergeCell ref="AK36:AK44"/>
    <mergeCell ref="AL36:AL44"/>
    <mergeCell ref="AM36:AM44"/>
    <mergeCell ref="AN36:AN44"/>
    <mergeCell ref="AO36:AO44"/>
    <mergeCell ref="AP36:AP44"/>
    <mergeCell ref="BH36:BH44"/>
    <mergeCell ref="BA31:BA35"/>
    <mergeCell ref="BB31:BB35"/>
    <mergeCell ref="BC31:BC35"/>
    <mergeCell ref="AR31:AR35"/>
    <mergeCell ref="AS31:AS35"/>
    <mergeCell ref="AT31:AT35"/>
    <mergeCell ref="AU31:AU35"/>
    <mergeCell ref="AV31:AV35"/>
    <mergeCell ref="AW31:AW35"/>
    <mergeCell ref="AL31:AL35"/>
    <mergeCell ref="AM31:AM35"/>
    <mergeCell ref="AN31:AN35"/>
    <mergeCell ref="AO31:AO35"/>
    <mergeCell ref="AP31:AP35"/>
    <mergeCell ref="AQ31:AQ35"/>
    <mergeCell ref="BP31:BP35"/>
    <mergeCell ref="BQ31:BQ35"/>
    <mergeCell ref="AJ31:AJ35"/>
    <mergeCell ref="AK31:AK35"/>
    <mergeCell ref="U31:U35"/>
    <mergeCell ref="V31:V35"/>
    <mergeCell ref="AB31:AB35"/>
    <mergeCell ref="AC31:AC35"/>
    <mergeCell ref="AD31:AD35"/>
    <mergeCell ref="AE31:AE35"/>
    <mergeCell ref="O31:O35"/>
    <mergeCell ref="P31:P35"/>
    <mergeCell ref="Q31:Q35"/>
    <mergeCell ref="R31:R35"/>
    <mergeCell ref="S31:S35"/>
    <mergeCell ref="T31:T35"/>
    <mergeCell ref="AX31:AX35"/>
    <mergeCell ref="AY31:AY35"/>
    <mergeCell ref="AZ31:AZ35"/>
    <mergeCell ref="M31:M35"/>
    <mergeCell ref="N31:N35"/>
    <mergeCell ref="BU25:BU30"/>
    <mergeCell ref="G27:G30"/>
    <mergeCell ref="H27:H30"/>
    <mergeCell ref="I27:I30"/>
    <mergeCell ref="J27:J30"/>
    <mergeCell ref="K27:K30"/>
    <mergeCell ref="L27:L30"/>
    <mergeCell ref="M27:M30"/>
    <mergeCell ref="N27:N30"/>
    <mergeCell ref="O27:O30"/>
    <mergeCell ref="BO25:BO30"/>
    <mergeCell ref="BP25:BP30"/>
    <mergeCell ref="BQ25:BQ30"/>
    <mergeCell ref="BR25:BR30"/>
    <mergeCell ref="BS25:BS30"/>
    <mergeCell ref="BT25:BT30"/>
    <mergeCell ref="BI25:BI30"/>
    <mergeCell ref="BJ25:BJ30"/>
    <mergeCell ref="BK25:BK30"/>
    <mergeCell ref="BL25:BL30"/>
    <mergeCell ref="BM25:BM30"/>
    <mergeCell ref="BN25:BN30"/>
    <mergeCell ref="BC25:BC30"/>
    <mergeCell ref="BD25:BD30"/>
    <mergeCell ref="BE25:BE30"/>
    <mergeCell ref="BF25:BF30"/>
    <mergeCell ref="AF31:AF35"/>
    <mergeCell ref="AG31:AG35"/>
    <mergeCell ref="AH31:AH35"/>
    <mergeCell ref="AI31:AI35"/>
    <mergeCell ref="BG25:BG30"/>
    <mergeCell ref="BH25:BH30"/>
    <mergeCell ref="AW25:AW30"/>
    <mergeCell ref="AX25:AX30"/>
    <mergeCell ref="AY25:AY30"/>
    <mergeCell ref="AZ25:AZ30"/>
    <mergeCell ref="BA25:BA30"/>
    <mergeCell ref="BB25:BB30"/>
    <mergeCell ref="AQ25:AQ30"/>
    <mergeCell ref="AR25:AR30"/>
    <mergeCell ref="AS25:AS30"/>
    <mergeCell ref="AT25:AT30"/>
    <mergeCell ref="AU25:AU30"/>
    <mergeCell ref="AV25:AV30"/>
    <mergeCell ref="AK25:AK30"/>
    <mergeCell ref="AL25:AL30"/>
    <mergeCell ref="AM25:AM30"/>
    <mergeCell ref="AN25:AN30"/>
    <mergeCell ref="AO25:AO30"/>
    <mergeCell ref="AP25:AP30"/>
    <mergeCell ref="AE25:AE30"/>
    <mergeCell ref="AF25:AF30"/>
    <mergeCell ref="AG25:AG30"/>
    <mergeCell ref="AH25:AH30"/>
    <mergeCell ref="AI25:AI30"/>
    <mergeCell ref="AJ25:AJ30"/>
    <mergeCell ref="S25:S26"/>
    <mergeCell ref="T25:T30"/>
    <mergeCell ref="U25:U30"/>
    <mergeCell ref="V25:V30"/>
    <mergeCell ref="W25:W26"/>
    <mergeCell ref="AD25:AD30"/>
    <mergeCell ref="S27:S30"/>
    <mergeCell ref="W28:W29"/>
    <mergeCell ref="M25:M26"/>
    <mergeCell ref="N25:N26"/>
    <mergeCell ref="O25:O26"/>
    <mergeCell ref="P25:P26"/>
    <mergeCell ref="Q25:Q30"/>
    <mergeCell ref="R25:R30"/>
    <mergeCell ref="P27:P30"/>
    <mergeCell ref="BT13:BT19"/>
    <mergeCell ref="BU13:BU19"/>
    <mergeCell ref="G16:G19"/>
    <mergeCell ref="H16:H19"/>
    <mergeCell ref="I16:I19"/>
    <mergeCell ref="J16:J19"/>
    <mergeCell ref="K16:K19"/>
    <mergeCell ref="L16:L19"/>
    <mergeCell ref="M16:M19"/>
    <mergeCell ref="N16:N19"/>
    <mergeCell ref="BN13:BN19"/>
    <mergeCell ref="BO13:BO19"/>
    <mergeCell ref="BP13:BP19"/>
    <mergeCell ref="BQ13:BQ19"/>
    <mergeCell ref="BR13:BR19"/>
    <mergeCell ref="BS13:BS19"/>
    <mergeCell ref="BH13:BH19"/>
    <mergeCell ref="BI13:BI19"/>
    <mergeCell ref="BJ13:BJ19"/>
    <mergeCell ref="BK13:BK19"/>
    <mergeCell ref="BL13:BL19"/>
    <mergeCell ref="BM13:BM19"/>
    <mergeCell ref="BB13:BB19"/>
    <mergeCell ref="BC13:BC19"/>
    <mergeCell ref="BD13:BD19"/>
    <mergeCell ref="BE13:BE19"/>
    <mergeCell ref="BF13:BF19"/>
    <mergeCell ref="BG13:BG19"/>
    <mergeCell ref="AV13:AV19"/>
    <mergeCell ref="AW13:AW19"/>
    <mergeCell ref="AX13:AX19"/>
    <mergeCell ref="AY13:AY19"/>
    <mergeCell ref="AZ13:AZ19"/>
    <mergeCell ref="BA13:BA19"/>
    <mergeCell ref="AP13:AP19"/>
    <mergeCell ref="AQ13:AQ19"/>
    <mergeCell ref="AR13:AR19"/>
    <mergeCell ref="AS13:AS19"/>
    <mergeCell ref="AT13:AT19"/>
    <mergeCell ref="AU13:AU19"/>
    <mergeCell ref="AJ13:AJ19"/>
    <mergeCell ref="AK13:AK19"/>
    <mergeCell ref="AL13:AL19"/>
    <mergeCell ref="AM13:AM19"/>
    <mergeCell ref="AN13:AN19"/>
    <mergeCell ref="AO13:AO19"/>
    <mergeCell ref="AD13:AD19"/>
    <mergeCell ref="AE13:AE19"/>
    <mergeCell ref="AF13:AF19"/>
    <mergeCell ref="AG13:AG19"/>
    <mergeCell ref="AH13:AH19"/>
    <mergeCell ref="AI13:AI19"/>
    <mergeCell ref="S13:S15"/>
    <mergeCell ref="T13:T19"/>
    <mergeCell ref="U13:U19"/>
    <mergeCell ref="V13:V19"/>
    <mergeCell ref="AB13:AB19"/>
    <mergeCell ref="AC13:AC19"/>
    <mergeCell ref="S16:S19"/>
    <mergeCell ref="I8:I9"/>
    <mergeCell ref="J8:J9"/>
    <mergeCell ref="M13:M15"/>
    <mergeCell ref="N13:N15"/>
    <mergeCell ref="O13:O15"/>
    <mergeCell ref="P13:P15"/>
    <mergeCell ref="Q13:Q19"/>
    <mergeCell ref="R13:R19"/>
    <mergeCell ref="O16:O19"/>
    <mergeCell ref="P16:P19"/>
    <mergeCell ref="D11:I11"/>
    <mergeCell ref="A12:B157"/>
    <mergeCell ref="F12:L12"/>
    <mergeCell ref="E13:F15"/>
    <mergeCell ref="G13:G15"/>
    <mergeCell ref="H13:H15"/>
    <mergeCell ref="I13:I15"/>
    <mergeCell ref="J13:J15"/>
    <mergeCell ref="K13:K15"/>
    <mergeCell ref="L13:L15"/>
    <mergeCell ref="F21:L21"/>
    <mergeCell ref="D23:J23"/>
    <mergeCell ref="E25:F64"/>
    <mergeCell ref="G25:G26"/>
    <mergeCell ref="H25:H26"/>
    <mergeCell ref="I25:I26"/>
    <mergeCell ref="J25:J26"/>
    <mergeCell ref="L25:L26"/>
    <mergeCell ref="G31:G35"/>
    <mergeCell ref="H31:H35"/>
    <mergeCell ref="I31:I35"/>
    <mergeCell ref="J31:J35"/>
    <mergeCell ref="K31:K35"/>
    <mergeCell ref="L31:L35"/>
    <mergeCell ref="G55:G58"/>
    <mergeCell ref="H55:H58"/>
    <mergeCell ref="I55:I58"/>
    <mergeCell ref="J55:J58"/>
    <mergeCell ref="K55:K58"/>
    <mergeCell ref="L68:L70"/>
    <mergeCell ref="G95:G97"/>
    <mergeCell ref="H95:H97"/>
    <mergeCell ref="I95:I97"/>
    <mergeCell ref="AT8:AU8"/>
    <mergeCell ref="AV8:AW8"/>
    <mergeCell ref="BK8:BK9"/>
    <mergeCell ref="BL8:BL9"/>
    <mergeCell ref="BM8:BM9"/>
    <mergeCell ref="BN8:BO8"/>
    <mergeCell ref="BP8:BP9"/>
    <mergeCell ref="B10:G10"/>
    <mergeCell ref="AX8:AY8"/>
    <mergeCell ref="AZ8:BA8"/>
    <mergeCell ref="BB8:BC8"/>
    <mergeCell ref="BD8:BE8"/>
    <mergeCell ref="BF8:BG8"/>
    <mergeCell ref="BJ8:BJ9"/>
    <mergeCell ref="AD8:AE8"/>
    <mergeCell ref="AF8:AG8"/>
    <mergeCell ref="AH8:AI8"/>
    <mergeCell ref="AJ8:AK8"/>
    <mergeCell ref="AL8:AM8"/>
    <mergeCell ref="AN8:AO8"/>
    <mergeCell ref="V8:V9"/>
    <mergeCell ref="W8:W9"/>
    <mergeCell ref="X8:Z8"/>
    <mergeCell ref="AA8:AA9"/>
    <mergeCell ref="AB8:AB9"/>
    <mergeCell ref="AC8:AC9"/>
    <mergeCell ref="O8:P8"/>
    <mergeCell ref="Q8:Q9"/>
    <mergeCell ref="R8:R9"/>
    <mergeCell ref="S8:S9"/>
    <mergeCell ref="T8:T9"/>
    <mergeCell ref="U8:U9"/>
    <mergeCell ref="A1:BS4"/>
    <mergeCell ref="A5:BU6"/>
    <mergeCell ref="A7:B7"/>
    <mergeCell ref="C7:D7"/>
    <mergeCell ref="E7:F7"/>
    <mergeCell ref="G7:J7"/>
    <mergeCell ref="K7:N7"/>
    <mergeCell ref="O7:Z7"/>
    <mergeCell ref="AA7:AC7"/>
    <mergeCell ref="AD7:AG7"/>
    <mergeCell ref="K8:K9"/>
    <mergeCell ref="L8:L9"/>
    <mergeCell ref="M8:M9"/>
    <mergeCell ref="N8:N9"/>
    <mergeCell ref="BS7:BT8"/>
    <mergeCell ref="BU7:BU9"/>
    <mergeCell ref="A8:A9"/>
    <mergeCell ref="B8:B9"/>
    <mergeCell ref="C8:C9"/>
    <mergeCell ref="D8:D9"/>
    <mergeCell ref="E8:E9"/>
    <mergeCell ref="F8:F9"/>
    <mergeCell ref="G8:G9"/>
    <mergeCell ref="H8:H9"/>
    <mergeCell ref="AH7:AO7"/>
    <mergeCell ref="AP7:BA7"/>
    <mergeCell ref="BB7:BG7"/>
    <mergeCell ref="BH7:BI8"/>
    <mergeCell ref="BJ7:BP7"/>
    <mergeCell ref="BQ7:BR8"/>
    <mergeCell ref="AP8:AQ8"/>
    <mergeCell ref="AR8:AS8"/>
  </mergeCells>
  <conditionalFormatting sqref="AC126:AC127 AC129:AC130 AC132:AC133 AC135">
    <cfRule type="cellIs" dxfId="12" priority="1" operator="lessThan">
      <formula>0</formula>
    </cfRule>
  </conditionalFormatting>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CO309"/>
  <sheetViews>
    <sheetView showGridLines="0" topLeftCell="M1" zoomScale="70" zoomScaleNormal="70" workbookViewId="0">
      <selection activeCell="P13" sqref="P13:P15"/>
    </sheetView>
  </sheetViews>
  <sheetFormatPr baseColWidth="10" defaultRowHeight="15" x14ac:dyDescent="0.25"/>
  <cols>
    <col min="1" max="1" width="14" customWidth="1"/>
    <col min="2" max="2" width="16.140625" customWidth="1"/>
    <col min="3" max="3" width="16.42578125" customWidth="1"/>
    <col min="4" max="5" width="15.140625" customWidth="1"/>
    <col min="6" max="6" width="16.42578125" customWidth="1"/>
    <col min="7" max="7" width="16.85546875" customWidth="1"/>
    <col min="8" max="8" width="28.42578125" style="2201" customWidth="1"/>
    <col min="9" max="9" width="24" customWidth="1"/>
    <col min="10" max="10" width="25.85546875" customWidth="1"/>
    <col min="11" max="11" width="16.42578125" customWidth="1"/>
    <col min="12" max="12" width="26.85546875" customWidth="1"/>
    <col min="13" max="13" width="26.5703125" customWidth="1"/>
    <col min="14" max="14" width="33.140625" customWidth="1"/>
    <col min="15" max="15" width="23.42578125" customWidth="1"/>
    <col min="16" max="16" width="20.85546875" customWidth="1"/>
    <col min="17" max="17" width="24" hidden="1" customWidth="1"/>
    <col min="18" max="18" width="39.7109375" hidden="1" customWidth="1"/>
    <col min="19" max="19" width="18.140625" hidden="1" customWidth="1"/>
    <col min="20" max="20" width="32.85546875" hidden="1" customWidth="1"/>
    <col min="21" max="21" width="33.5703125" hidden="1" customWidth="1"/>
    <col min="22" max="22" width="28.28515625" hidden="1" customWidth="1"/>
    <col min="23" max="23" width="70" style="2201" customWidth="1"/>
    <col min="24" max="24" width="32.28515625" customWidth="1"/>
    <col min="25" max="25" width="33.5703125" customWidth="1"/>
    <col min="26" max="26" width="35" customWidth="1"/>
    <col min="27" max="27" width="71.28515625" customWidth="1"/>
    <col min="28" max="28" width="11.42578125" customWidth="1"/>
    <col min="29" max="29" width="32.85546875" customWidth="1"/>
    <col min="30" max="61" width="13.42578125" customWidth="1"/>
    <col min="62" max="62" width="19.5703125" customWidth="1"/>
    <col min="63" max="63" width="28" customWidth="1"/>
    <col min="64" max="64" width="27.140625" customWidth="1"/>
    <col min="65" max="65" width="19.85546875" customWidth="1"/>
    <col min="66" max="66" width="15.28515625" customWidth="1"/>
    <col min="67" max="67" width="16.5703125" customWidth="1"/>
    <col min="68" max="68" width="24" customWidth="1"/>
    <col min="69" max="71" width="16.7109375" customWidth="1"/>
    <col min="72" max="72" width="19.7109375" customWidth="1"/>
    <col min="73" max="73" width="22.85546875" customWidth="1"/>
  </cols>
  <sheetData>
    <row r="1" spans="1:93" s="1965" customFormat="1" ht="21.75" customHeight="1" x14ac:dyDescent="0.25">
      <c r="A1" s="2632" t="s">
        <v>2725</v>
      </c>
      <c r="B1" s="2632"/>
      <c r="C1" s="2632"/>
      <c r="D1" s="2632"/>
      <c r="E1" s="2632"/>
      <c r="F1" s="2632"/>
      <c r="G1" s="2632"/>
      <c r="H1" s="2632"/>
      <c r="I1" s="2632"/>
      <c r="J1" s="2632"/>
      <c r="K1" s="2632"/>
      <c r="L1" s="2632"/>
      <c r="M1" s="2632"/>
      <c r="N1" s="2632"/>
      <c r="O1" s="2632"/>
      <c r="P1" s="2632"/>
      <c r="Q1" s="2632"/>
      <c r="R1" s="2632"/>
      <c r="S1" s="2632"/>
      <c r="T1" s="2632"/>
      <c r="U1" s="2632"/>
      <c r="V1" s="2632"/>
      <c r="W1" s="2632"/>
      <c r="X1" s="2632"/>
      <c r="Y1" s="2632"/>
      <c r="Z1" s="2632"/>
      <c r="AA1" s="2632"/>
      <c r="AB1" s="2632"/>
      <c r="AC1" s="2632"/>
      <c r="AD1" s="2632"/>
      <c r="AE1" s="2632"/>
      <c r="AF1" s="2632"/>
      <c r="AG1" s="2632"/>
      <c r="AH1" s="2632"/>
      <c r="AI1" s="2632"/>
      <c r="AJ1" s="2632"/>
      <c r="AK1" s="2632"/>
      <c r="AL1" s="2632"/>
      <c r="AM1" s="2632"/>
      <c r="AN1" s="2632"/>
      <c r="AO1" s="2632"/>
      <c r="AP1" s="2632"/>
      <c r="AQ1" s="2632"/>
      <c r="AR1" s="2632"/>
      <c r="AS1" s="2632"/>
      <c r="AT1" s="2632"/>
      <c r="AU1" s="2632"/>
      <c r="AV1" s="2632"/>
      <c r="AW1" s="2632"/>
      <c r="AX1" s="2632"/>
      <c r="AY1" s="2632"/>
      <c r="AZ1" s="2632"/>
      <c r="BA1" s="2632"/>
      <c r="BB1" s="2632"/>
      <c r="BC1" s="2632"/>
      <c r="BD1" s="2632"/>
      <c r="BE1" s="2632"/>
      <c r="BF1" s="2632"/>
      <c r="BG1" s="2632"/>
      <c r="BH1" s="2632"/>
      <c r="BI1" s="2632"/>
      <c r="BJ1" s="2632"/>
      <c r="BK1" s="2632"/>
      <c r="BL1" s="2632"/>
      <c r="BM1" s="2632"/>
      <c r="BN1" s="2632"/>
      <c r="BO1" s="2632"/>
      <c r="BP1" s="2632"/>
      <c r="BQ1" s="2632"/>
      <c r="BR1" s="2632"/>
      <c r="BS1" s="3087"/>
      <c r="BT1" s="2056" t="s">
        <v>138</v>
      </c>
      <c r="BU1" s="1930" t="s">
        <v>137</v>
      </c>
      <c r="BV1" s="4"/>
      <c r="BW1" s="4"/>
      <c r="BX1" s="4"/>
      <c r="BY1" s="4"/>
      <c r="BZ1" s="4"/>
      <c r="CA1" s="4"/>
      <c r="CB1" s="4"/>
      <c r="CC1" s="4"/>
      <c r="CD1" s="4"/>
      <c r="CE1" s="4"/>
      <c r="CF1" s="4"/>
      <c r="CG1" s="4"/>
      <c r="CH1" s="4"/>
      <c r="CI1" s="4"/>
      <c r="CJ1" s="4"/>
      <c r="CK1" s="4"/>
      <c r="CL1" s="4"/>
      <c r="CM1" s="4"/>
      <c r="CN1" s="4"/>
      <c r="CO1" s="4"/>
    </row>
    <row r="2" spans="1:93" s="1965" customFormat="1" ht="15.75" customHeight="1" x14ac:dyDescent="0.25">
      <c r="A2" s="2632"/>
      <c r="B2" s="2632"/>
      <c r="C2" s="2632"/>
      <c r="D2" s="2632"/>
      <c r="E2" s="2632"/>
      <c r="F2" s="2632"/>
      <c r="G2" s="2632"/>
      <c r="H2" s="2632"/>
      <c r="I2" s="2632"/>
      <c r="J2" s="2632"/>
      <c r="K2" s="2632"/>
      <c r="L2" s="2632"/>
      <c r="M2" s="2632"/>
      <c r="N2" s="2632"/>
      <c r="O2" s="2632"/>
      <c r="P2" s="2632"/>
      <c r="Q2" s="2632"/>
      <c r="R2" s="2632"/>
      <c r="S2" s="2632"/>
      <c r="T2" s="2632"/>
      <c r="U2" s="2632"/>
      <c r="V2" s="2632"/>
      <c r="W2" s="2632"/>
      <c r="X2" s="2632"/>
      <c r="Y2" s="2632"/>
      <c r="Z2" s="2632"/>
      <c r="AA2" s="2632"/>
      <c r="AB2" s="2632"/>
      <c r="AC2" s="2632"/>
      <c r="AD2" s="2632"/>
      <c r="AE2" s="2632"/>
      <c r="AF2" s="2632"/>
      <c r="AG2" s="2632"/>
      <c r="AH2" s="2632"/>
      <c r="AI2" s="2632"/>
      <c r="AJ2" s="2632"/>
      <c r="AK2" s="2632"/>
      <c r="AL2" s="2632"/>
      <c r="AM2" s="2632"/>
      <c r="AN2" s="2632"/>
      <c r="AO2" s="2632"/>
      <c r="AP2" s="2632"/>
      <c r="AQ2" s="2632"/>
      <c r="AR2" s="2632"/>
      <c r="AS2" s="2632"/>
      <c r="AT2" s="2632"/>
      <c r="AU2" s="2632"/>
      <c r="AV2" s="2632"/>
      <c r="AW2" s="2632"/>
      <c r="AX2" s="2632"/>
      <c r="AY2" s="2632"/>
      <c r="AZ2" s="2632"/>
      <c r="BA2" s="2632"/>
      <c r="BB2" s="2632"/>
      <c r="BC2" s="2632"/>
      <c r="BD2" s="2632"/>
      <c r="BE2" s="2632"/>
      <c r="BF2" s="2632"/>
      <c r="BG2" s="2632"/>
      <c r="BH2" s="2632"/>
      <c r="BI2" s="2632"/>
      <c r="BJ2" s="2632"/>
      <c r="BK2" s="2632"/>
      <c r="BL2" s="2632"/>
      <c r="BM2" s="2632"/>
      <c r="BN2" s="2632"/>
      <c r="BO2" s="2632"/>
      <c r="BP2" s="2632"/>
      <c r="BQ2" s="2632"/>
      <c r="BR2" s="2632"/>
      <c r="BS2" s="3087"/>
      <c r="BT2" s="2056" t="s">
        <v>136</v>
      </c>
      <c r="BU2" s="2057">
        <v>8</v>
      </c>
      <c r="BV2" s="4"/>
      <c r="BW2" s="4"/>
      <c r="BX2" s="4"/>
      <c r="BY2" s="4"/>
      <c r="BZ2" s="4"/>
      <c r="CA2" s="4"/>
      <c r="CB2" s="4"/>
      <c r="CC2" s="4"/>
      <c r="CD2" s="4"/>
      <c r="CE2" s="4"/>
      <c r="CF2" s="4"/>
      <c r="CG2" s="4"/>
      <c r="CH2" s="4"/>
      <c r="CI2" s="4"/>
      <c r="CJ2" s="4"/>
      <c r="CK2" s="4"/>
      <c r="CL2" s="4"/>
      <c r="CM2" s="4"/>
      <c r="CN2" s="4"/>
      <c r="CO2" s="4"/>
    </row>
    <row r="3" spans="1:93" s="1965" customFormat="1" ht="23.25" customHeight="1" x14ac:dyDescent="0.25">
      <c r="A3" s="2632"/>
      <c r="B3" s="2632"/>
      <c r="C3" s="2632"/>
      <c r="D3" s="2632"/>
      <c r="E3" s="2632"/>
      <c r="F3" s="2632"/>
      <c r="G3" s="2632"/>
      <c r="H3" s="2632"/>
      <c r="I3" s="2632"/>
      <c r="J3" s="2632"/>
      <c r="K3" s="2632"/>
      <c r="L3" s="2632"/>
      <c r="M3" s="2632"/>
      <c r="N3" s="2632"/>
      <c r="O3" s="2632"/>
      <c r="P3" s="2632"/>
      <c r="Q3" s="2632"/>
      <c r="R3" s="2632"/>
      <c r="S3" s="2632"/>
      <c r="T3" s="2632"/>
      <c r="U3" s="2632"/>
      <c r="V3" s="2632"/>
      <c r="W3" s="2632"/>
      <c r="X3" s="2632"/>
      <c r="Y3" s="2632"/>
      <c r="Z3" s="2632"/>
      <c r="AA3" s="2632"/>
      <c r="AB3" s="2632"/>
      <c r="AC3" s="2632"/>
      <c r="AD3" s="2632"/>
      <c r="AE3" s="2632"/>
      <c r="AF3" s="2632"/>
      <c r="AG3" s="2632"/>
      <c r="AH3" s="2632"/>
      <c r="AI3" s="2632"/>
      <c r="AJ3" s="2632"/>
      <c r="AK3" s="2632"/>
      <c r="AL3" s="2632"/>
      <c r="AM3" s="2632"/>
      <c r="AN3" s="2632"/>
      <c r="AO3" s="2632"/>
      <c r="AP3" s="2632"/>
      <c r="AQ3" s="2632"/>
      <c r="AR3" s="2632"/>
      <c r="AS3" s="2632"/>
      <c r="AT3" s="2632"/>
      <c r="AU3" s="2632"/>
      <c r="AV3" s="2632"/>
      <c r="AW3" s="2632"/>
      <c r="AX3" s="2632"/>
      <c r="AY3" s="2632"/>
      <c r="AZ3" s="2632"/>
      <c r="BA3" s="2632"/>
      <c r="BB3" s="2632"/>
      <c r="BC3" s="2632"/>
      <c r="BD3" s="2632"/>
      <c r="BE3" s="2632"/>
      <c r="BF3" s="2632"/>
      <c r="BG3" s="2632"/>
      <c r="BH3" s="2632"/>
      <c r="BI3" s="2632"/>
      <c r="BJ3" s="2632"/>
      <c r="BK3" s="2632"/>
      <c r="BL3" s="2632"/>
      <c r="BM3" s="2632"/>
      <c r="BN3" s="2632"/>
      <c r="BO3" s="2632"/>
      <c r="BP3" s="2632"/>
      <c r="BQ3" s="2632"/>
      <c r="BR3" s="2632"/>
      <c r="BS3" s="3087"/>
      <c r="BT3" s="2056" t="s">
        <v>134</v>
      </c>
      <c r="BU3" s="912">
        <v>44266</v>
      </c>
      <c r="BV3" s="4"/>
      <c r="BW3" s="4"/>
      <c r="BX3" s="4"/>
      <c r="BY3" s="4"/>
      <c r="BZ3" s="4"/>
      <c r="CA3" s="4"/>
      <c r="CB3" s="4"/>
      <c r="CC3" s="4"/>
      <c r="CD3" s="4"/>
      <c r="CE3" s="4"/>
      <c r="CF3" s="4"/>
      <c r="CG3" s="4"/>
      <c r="CH3" s="4"/>
      <c r="CI3" s="4"/>
      <c r="CJ3" s="4"/>
      <c r="CK3" s="4"/>
      <c r="CL3" s="4"/>
      <c r="CM3" s="4"/>
      <c r="CN3" s="4"/>
      <c r="CO3" s="4"/>
    </row>
    <row r="4" spans="1:93" s="1965" customFormat="1" ht="24.75" customHeight="1" x14ac:dyDescent="0.25">
      <c r="A4" s="4062"/>
      <c r="B4" s="4062"/>
      <c r="C4" s="4062"/>
      <c r="D4" s="4062"/>
      <c r="E4" s="4062"/>
      <c r="F4" s="4062"/>
      <c r="G4" s="4062"/>
      <c r="H4" s="4062"/>
      <c r="I4" s="4062"/>
      <c r="J4" s="4062"/>
      <c r="K4" s="4062"/>
      <c r="L4" s="4062"/>
      <c r="M4" s="4062"/>
      <c r="N4" s="4062"/>
      <c r="O4" s="4062"/>
      <c r="P4" s="4062"/>
      <c r="Q4" s="4062"/>
      <c r="R4" s="4062"/>
      <c r="S4" s="4062"/>
      <c r="T4" s="4062"/>
      <c r="U4" s="4062"/>
      <c r="V4" s="4062"/>
      <c r="W4" s="4062"/>
      <c r="X4" s="4062"/>
      <c r="Y4" s="4062"/>
      <c r="Z4" s="4062"/>
      <c r="AA4" s="4062"/>
      <c r="AB4" s="4062"/>
      <c r="AC4" s="4062"/>
      <c r="AD4" s="4062"/>
      <c r="AE4" s="4062"/>
      <c r="AF4" s="4062"/>
      <c r="AG4" s="4062"/>
      <c r="AH4" s="4062"/>
      <c r="AI4" s="4062"/>
      <c r="AJ4" s="4062"/>
      <c r="AK4" s="4062"/>
      <c r="AL4" s="4062"/>
      <c r="AM4" s="4062"/>
      <c r="AN4" s="4062"/>
      <c r="AO4" s="4062"/>
      <c r="AP4" s="4062"/>
      <c r="AQ4" s="4062"/>
      <c r="AR4" s="4062"/>
      <c r="AS4" s="4062"/>
      <c r="AT4" s="4062"/>
      <c r="AU4" s="4062"/>
      <c r="AV4" s="4062"/>
      <c r="AW4" s="4062"/>
      <c r="AX4" s="4062"/>
      <c r="AY4" s="4062"/>
      <c r="AZ4" s="4062"/>
      <c r="BA4" s="4062"/>
      <c r="BB4" s="4062"/>
      <c r="BC4" s="4062"/>
      <c r="BD4" s="4062"/>
      <c r="BE4" s="4062"/>
      <c r="BF4" s="4062"/>
      <c r="BG4" s="4062"/>
      <c r="BH4" s="4062"/>
      <c r="BI4" s="4062"/>
      <c r="BJ4" s="4062"/>
      <c r="BK4" s="4062"/>
      <c r="BL4" s="4062"/>
      <c r="BM4" s="4062"/>
      <c r="BN4" s="4062"/>
      <c r="BO4" s="4062"/>
      <c r="BP4" s="4062"/>
      <c r="BQ4" s="4062"/>
      <c r="BR4" s="4062"/>
      <c r="BS4" s="3088"/>
      <c r="BT4" s="2058" t="s">
        <v>133</v>
      </c>
      <c r="BU4" s="2059" t="s">
        <v>132</v>
      </c>
      <c r="BV4" s="4"/>
      <c r="BW4" s="4"/>
      <c r="BX4" s="4"/>
      <c r="BY4" s="4"/>
      <c r="BZ4" s="4"/>
      <c r="CA4" s="4"/>
      <c r="CB4" s="4"/>
      <c r="CC4" s="4"/>
      <c r="CD4" s="4"/>
      <c r="CE4" s="4"/>
      <c r="CF4" s="4"/>
      <c r="CG4" s="4"/>
      <c r="CH4" s="4"/>
      <c r="CI4" s="4"/>
      <c r="CJ4" s="4"/>
      <c r="CK4" s="4"/>
      <c r="CL4" s="4"/>
      <c r="CM4" s="4"/>
      <c r="CN4" s="4"/>
      <c r="CO4" s="4"/>
    </row>
    <row r="5" spans="1:93" s="1965" customFormat="1" ht="27.75" customHeight="1" x14ac:dyDescent="0.25">
      <c r="A5" s="2608" t="s">
        <v>2726</v>
      </c>
      <c r="B5" s="2608"/>
      <c r="C5" s="2608"/>
      <c r="D5" s="2608"/>
      <c r="E5" s="2608"/>
      <c r="F5" s="2608"/>
      <c r="G5" s="2608"/>
      <c r="H5" s="2608"/>
      <c r="I5" s="2608"/>
      <c r="J5" s="2608"/>
      <c r="K5" s="2608"/>
      <c r="L5" s="2608"/>
      <c r="M5" s="2608"/>
      <c r="N5" s="2608"/>
      <c r="O5" s="2608"/>
      <c r="P5" s="2608"/>
      <c r="Q5" s="1969"/>
      <c r="R5" s="1969"/>
      <c r="S5" s="1969"/>
      <c r="T5" s="1969"/>
      <c r="U5" s="1969"/>
      <c r="V5" s="1969"/>
      <c r="W5" s="2060"/>
      <c r="X5" s="1969"/>
      <c r="Y5" s="1969">
        <f ca="1">+A:BT</f>
        <v>0</v>
      </c>
      <c r="Z5" s="1969"/>
      <c r="AA5" s="1969"/>
      <c r="AB5" s="1969"/>
      <c r="AC5" s="1969"/>
      <c r="AD5" s="1969"/>
      <c r="AE5" s="1969"/>
      <c r="AF5" s="1969"/>
      <c r="AG5" s="1969"/>
      <c r="AH5" s="1969"/>
      <c r="AI5" s="1969"/>
      <c r="AJ5" s="1969"/>
      <c r="AK5" s="1969"/>
      <c r="AL5" s="1969"/>
      <c r="AM5" s="1969"/>
      <c r="AN5" s="1969"/>
      <c r="AO5" s="1969"/>
      <c r="AP5" s="1969"/>
      <c r="AQ5" s="1969"/>
      <c r="AR5" s="1969"/>
      <c r="AS5" s="1969"/>
      <c r="AT5" s="1969"/>
      <c r="AU5" s="1969"/>
      <c r="AV5" s="1969"/>
      <c r="AW5" s="1969"/>
      <c r="AX5" s="1969"/>
      <c r="AY5" s="1969"/>
      <c r="AZ5" s="1969"/>
      <c r="BA5" s="1969"/>
      <c r="BB5" s="1969"/>
      <c r="BC5" s="1969"/>
      <c r="BD5" s="1969"/>
      <c r="BE5" s="1969"/>
      <c r="BF5" s="1969"/>
      <c r="BG5" s="1969"/>
      <c r="BH5" s="1969"/>
      <c r="BI5" s="1969"/>
      <c r="BJ5" s="1969"/>
      <c r="BK5" s="1969"/>
      <c r="BL5" s="1969"/>
      <c r="BM5" s="1969"/>
      <c r="BN5" s="1969"/>
      <c r="BO5" s="1969"/>
      <c r="BP5" s="1969"/>
      <c r="BQ5" s="1969"/>
      <c r="BR5" s="1969"/>
      <c r="BS5" s="1969"/>
      <c r="BT5" s="1969"/>
      <c r="BU5" s="1932"/>
      <c r="BV5" s="4"/>
      <c r="BW5" s="4"/>
      <c r="BX5" s="4"/>
      <c r="BY5" s="4"/>
      <c r="BZ5" s="4"/>
      <c r="CA5" s="4"/>
      <c r="CB5" s="4"/>
      <c r="CC5" s="4"/>
      <c r="CD5" s="4"/>
      <c r="CE5" s="4"/>
      <c r="CF5" s="4"/>
      <c r="CG5" s="4"/>
      <c r="CH5" s="4"/>
      <c r="CI5" s="4"/>
      <c r="CJ5" s="4"/>
      <c r="CK5" s="4"/>
      <c r="CL5" s="4"/>
      <c r="CM5" s="4"/>
      <c r="CN5" s="4"/>
      <c r="CO5" s="4"/>
    </row>
    <row r="6" spans="1:93" s="1965" customFormat="1" ht="23.25" customHeight="1" x14ac:dyDescent="0.25">
      <c r="A6" s="2608"/>
      <c r="B6" s="2608"/>
      <c r="C6" s="2608"/>
      <c r="D6" s="2608"/>
      <c r="E6" s="2608"/>
      <c r="F6" s="2608"/>
      <c r="G6" s="2608"/>
      <c r="H6" s="2608"/>
      <c r="I6" s="2608"/>
      <c r="J6" s="2608"/>
      <c r="K6" s="2608"/>
      <c r="L6" s="2608"/>
      <c r="M6" s="2608"/>
      <c r="N6" s="2608"/>
      <c r="O6" s="2608"/>
      <c r="P6" s="2608"/>
      <c r="Q6" s="1929"/>
      <c r="R6" s="1929"/>
      <c r="S6" s="1929"/>
      <c r="T6" s="1929"/>
      <c r="U6" s="1929"/>
      <c r="V6" s="1818"/>
      <c r="W6" s="2061"/>
      <c r="X6" s="1929"/>
      <c r="Y6" s="1929"/>
      <c r="Z6" s="1929"/>
      <c r="AA6" s="1927"/>
      <c r="AB6" s="1927"/>
      <c r="AC6" s="1927"/>
      <c r="AD6" s="4701" t="s">
        <v>130</v>
      </c>
      <c r="AE6" s="4702"/>
      <c r="AF6" s="4702"/>
      <c r="AG6" s="4702"/>
      <c r="AH6" s="4702"/>
      <c r="AI6" s="4702"/>
      <c r="AJ6" s="4702"/>
      <c r="AK6" s="4702"/>
      <c r="AL6" s="4702"/>
      <c r="AM6" s="4702"/>
      <c r="AN6" s="4702"/>
      <c r="AO6" s="4702"/>
      <c r="AP6" s="4702"/>
      <c r="AQ6" s="4702"/>
      <c r="AR6" s="4702"/>
      <c r="AS6" s="4702"/>
      <c r="AT6" s="4702"/>
      <c r="AU6" s="4702"/>
      <c r="AV6" s="4702"/>
      <c r="AW6" s="4702"/>
      <c r="AX6" s="4702"/>
      <c r="AY6" s="4702"/>
      <c r="AZ6" s="4702"/>
      <c r="BA6" s="4702"/>
      <c r="BB6" s="4702"/>
      <c r="BC6" s="4702"/>
      <c r="BD6" s="4702"/>
      <c r="BE6" s="4702"/>
      <c r="BF6" s="4702"/>
      <c r="BG6" s="4702"/>
      <c r="BH6" s="4702"/>
      <c r="BI6" s="1927"/>
      <c r="BJ6" s="1927"/>
      <c r="BK6" s="1927"/>
      <c r="BL6" s="1927"/>
      <c r="BM6" s="1927"/>
      <c r="BN6" s="1927"/>
      <c r="BO6" s="1927"/>
      <c r="BP6" s="1927"/>
      <c r="BQ6" s="2062"/>
      <c r="BR6" s="2062"/>
      <c r="BS6" s="2062"/>
      <c r="BT6" s="2062"/>
      <c r="BU6" s="1928"/>
      <c r="BV6" s="4"/>
      <c r="BW6" s="4"/>
      <c r="BX6" s="4"/>
      <c r="BY6" s="4"/>
      <c r="BZ6" s="4"/>
      <c r="CA6" s="4"/>
      <c r="CB6" s="4"/>
      <c r="CC6" s="4"/>
      <c r="CD6" s="4"/>
      <c r="CE6" s="4"/>
      <c r="CF6" s="4"/>
      <c r="CG6" s="4"/>
      <c r="CH6" s="4"/>
      <c r="CI6" s="4"/>
      <c r="CJ6" s="4"/>
      <c r="CK6" s="4"/>
      <c r="CL6" s="4"/>
      <c r="CM6" s="4"/>
      <c r="CN6" s="4"/>
      <c r="CO6" s="4"/>
    </row>
    <row r="7" spans="1:93" s="1965" customFormat="1" ht="31.5" customHeight="1" x14ac:dyDescent="0.25">
      <c r="A7" s="4268" t="s">
        <v>129</v>
      </c>
      <c r="B7" s="2643"/>
      <c r="C7" s="2642" t="s">
        <v>128</v>
      </c>
      <c r="D7" s="4268"/>
      <c r="E7" s="2642" t="s">
        <v>127</v>
      </c>
      <c r="F7" s="2643"/>
      <c r="G7" s="2642" t="s">
        <v>126</v>
      </c>
      <c r="H7" s="4268"/>
      <c r="I7" s="4268"/>
      <c r="J7" s="4268"/>
      <c r="K7" s="2642" t="s">
        <v>125</v>
      </c>
      <c r="L7" s="4268"/>
      <c r="M7" s="4268"/>
      <c r="N7" s="4268"/>
      <c r="O7" s="4270" t="s">
        <v>124</v>
      </c>
      <c r="P7" s="4270"/>
      <c r="Q7" s="4703"/>
      <c r="R7" s="4703"/>
      <c r="S7" s="4703"/>
      <c r="T7" s="4703"/>
      <c r="U7" s="4703"/>
      <c r="V7" s="4703"/>
      <c r="W7" s="4703"/>
      <c r="X7" s="3859"/>
      <c r="Y7" s="4703"/>
      <c r="Z7" s="4703"/>
      <c r="AA7" s="4704" t="s">
        <v>123</v>
      </c>
      <c r="AB7" s="4704"/>
      <c r="AC7" s="4705"/>
      <c r="AD7" s="4706" t="s">
        <v>122</v>
      </c>
      <c r="AE7" s="4707"/>
      <c r="AF7" s="4707"/>
      <c r="AG7" s="4708"/>
      <c r="AH7" s="4709" t="s">
        <v>121</v>
      </c>
      <c r="AI7" s="4710"/>
      <c r="AJ7" s="4710"/>
      <c r="AK7" s="4710"/>
      <c r="AL7" s="4710"/>
      <c r="AM7" s="4711"/>
      <c r="AN7" s="4712" t="s">
        <v>120</v>
      </c>
      <c r="AO7" s="4713"/>
      <c r="AP7" s="4713"/>
      <c r="AQ7" s="4713"/>
      <c r="AR7" s="4713"/>
      <c r="AS7" s="4713"/>
      <c r="AT7" s="4713"/>
      <c r="AU7" s="4713"/>
      <c r="AV7" s="4713"/>
      <c r="AW7" s="4713"/>
      <c r="AX7" s="4713"/>
      <c r="AY7" s="4713"/>
      <c r="AZ7" s="4713"/>
      <c r="BA7" s="4714"/>
      <c r="BB7" s="4715" t="s">
        <v>119</v>
      </c>
      <c r="BC7" s="4715"/>
      <c r="BD7" s="4715"/>
      <c r="BE7" s="4715"/>
      <c r="BF7" s="4715"/>
      <c r="BG7" s="4715"/>
      <c r="BH7" s="4716" t="s">
        <v>118</v>
      </c>
      <c r="BI7" s="4717"/>
      <c r="BJ7" s="4720" t="s">
        <v>117</v>
      </c>
      <c r="BK7" s="4721"/>
      <c r="BL7" s="4721"/>
      <c r="BM7" s="4721"/>
      <c r="BN7" s="4721"/>
      <c r="BO7" s="4721"/>
      <c r="BP7" s="4722"/>
      <c r="BQ7" s="4281" t="s">
        <v>1178</v>
      </c>
      <c r="BR7" s="4274"/>
      <c r="BS7" s="4273" t="s">
        <v>263</v>
      </c>
      <c r="BT7" s="4274"/>
      <c r="BU7" s="2629" t="s">
        <v>114</v>
      </c>
      <c r="BV7" s="4"/>
      <c r="BW7" s="4"/>
      <c r="BX7" s="4"/>
      <c r="BY7" s="4"/>
      <c r="BZ7" s="4"/>
      <c r="CA7" s="4"/>
      <c r="CB7" s="4"/>
      <c r="CC7" s="4"/>
      <c r="CD7" s="4"/>
      <c r="CE7" s="4"/>
      <c r="CF7" s="4"/>
      <c r="CG7" s="4"/>
      <c r="CH7" s="4"/>
      <c r="CI7" s="4"/>
      <c r="CJ7" s="4"/>
      <c r="CK7" s="4"/>
      <c r="CL7" s="4"/>
      <c r="CM7" s="4"/>
      <c r="CN7" s="4"/>
      <c r="CO7" s="4"/>
    </row>
    <row r="8" spans="1:93" s="1965" customFormat="1" ht="115.5" customHeight="1" x14ac:dyDescent="0.25">
      <c r="A8" s="2653" t="s">
        <v>71</v>
      </c>
      <c r="B8" s="2655" t="s">
        <v>70</v>
      </c>
      <c r="C8" s="2593" t="s">
        <v>71</v>
      </c>
      <c r="D8" s="3591" t="s">
        <v>70</v>
      </c>
      <c r="E8" s="3591" t="s">
        <v>71</v>
      </c>
      <c r="F8" s="3591" t="s">
        <v>70</v>
      </c>
      <c r="G8" s="3591" t="s">
        <v>110</v>
      </c>
      <c r="H8" s="4698" t="s">
        <v>113</v>
      </c>
      <c r="I8" s="3591" t="s">
        <v>112</v>
      </c>
      <c r="J8" s="3591" t="s">
        <v>142</v>
      </c>
      <c r="K8" s="3591" t="s">
        <v>110</v>
      </c>
      <c r="L8" s="3591" t="s">
        <v>109</v>
      </c>
      <c r="M8" s="3591" t="s">
        <v>108</v>
      </c>
      <c r="N8" s="3591" t="s">
        <v>107</v>
      </c>
      <c r="O8" s="3592" t="s">
        <v>739</v>
      </c>
      <c r="P8" s="3592"/>
      <c r="Q8" s="3591" t="s">
        <v>105</v>
      </c>
      <c r="R8" s="3591" t="s">
        <v>104</v>
      </c>
      <c r="S8" s="3596" t="s">
        <v>103</v>
      </c>
      <c r="T8" s="3590" t="s">
        <v>102</v>
      </c>
      <c r="U8" s="3591" t="s">
        <v>101</v>
      </c>
      <c r="V8" s="3591" t="s">
        <v>100</v>
      </c>
      <c r="W8" s="4698" t="s">
        <v>99</v>
      </c>
      <c r="X8" s="4699" t="s">
        <v>2727</v>
      </c>
      <c r="Y8" s="4699"/>
      <c r="Z8" s="4700"/>
      <c r="AA8" s="2655" t="s">
        <v>266</v>
      </c>
      <c r="AB8" s="2593" t="s">
        <v>96</v>
      </c>
      <c r="AC8" s="3591" t="s">
        <v>70</v>
      </c>
      <c r="AD8" s="2620" t="s">
        <v>95</v>
      </c>
      <c r="AE8" s="2621"/>
      <c r="AF8" s="2597" t="s">
        <v>94</v>
      </c>
      <c r="AG8" s="2598"/>
      <c r="AH8" s="4696" t="s">
        <v>93</v>
      </c>
      <c r="AI8" s="4697"/>
      <c r="AJ8" s="2620" t="s">
        <v>92</v>
      </c>
      <c r="AK8" s="2621"/>
      <c r="AL8" s="2620" t="s">
        <v>91</v>
      </c>
      <c r="AM8" s="2621"/>
      <c r="AN8" s="2620" t="s">
        <v>90</v>
      </c>
      <c r="AO8" s="2621"/>
      <c r="AP8" s="2620" t="s">
        <v>89</v>
      </c>
      <c r="AQ8" s="2621"/>
      <c r="AR8" s="2620" t="s">
        <v>88</v>
      </c>
      <c r="AS8" s="2621"/>
      <c r="AT8" s="2620" t="s">
        <v>87</v>
      </c>
      <c r="AU8" s="2621"/>
      <c r="AV8" s="2620" t="s">
        <v>86</v>
      </c>
      <c r="AW8" s="2621"/>
      <c r="AX8" s="2620" t="s">
        <v>85</v>
      </c>
      <c r="AY8" s="2621"/>
      <c r="AZ8" s="2620" t="s">
        <v>84</v>
      </c>
      <c r="BA8" s="2621"/>
      <c r="BB8" s="3602" t="s">
        <v>83</v>
      </c>
      <c r="BC8" s="3603"/>
      <c r="BD8" s="3602" t="s">
        <v>82</v>
      </c>
      <c r="BE8" s="3603"/>
      <c r="BF8" s="3629" t="s">
        <v>81</v>
      </c>
      <c r="BG8" s="3630"/>
      <c r="BH8" s="4718"/>
      <c r="BI8" s="4719"/>
      <c r="BJ8" s="2588" t="s">
        <v>80</v>
      </c>
      <c r="BK8" s="2673" t="s">
        <v>268</v>
      </c>
      <c r="BL8" s="2588" t="s">
        <v>269</v>
      </c>
      <c r="BM8" s="2675" t="s">
        <v>77</v>
      </c>
      <c r="BN8" s="2586" t="s">
        <v>76</v>
      </c>
      <c r="BO8" s="2587"/>
      <c r="BP8" s="2588" t="s">
        <v>75</v>
      </c>
      <c r="BQ8" s="4282"/>
      <c r="BR8" s="4276"/>
      <c r="BS8" s="4275"/>
      <c r="BT8" s="4276"/>
      <c r="BU8" s="2630"/>
      <c r="BV8" s="4"/>
      <c r="BW8" s="4"/>
      <c r="BX8" s="4"/>
      <c r="BY8" s="4"/>
      <c r="BZ8" s="4"/>
      <c r="CA8" s="4"/>
      <c r="CB8" s="4"/>
      <c r="CC8" s="4"/>
      <c r="CD8" s="4"/>
      <c r="CE8" s="4"/>
      <c r="CF8" s="4"/>
      <c r="CG8" s="4"/>
      <c r="CH8" s="4"/>
      <c r="CI8" s="4"/>
      <c r="CJ8" s="4"/>
      <c r="CK8" s="4"/>
      <c r="CL8" s="4"/>
      <c r="CM8" s="4"/>
      <c r="CN8" s="4"/>
      <c r="CO8" s="4"/>
    </row>
    <row r="9" spans="1:93" s="1965" customFormat="1" ht="45" customHeight="1" x14ac:dyDescent="0.25">
      <c r="A9" s="2654"/>
      <c r="B9" s="2656"/>
      <c r="C9" s="2593"/>
      <c r="D9" s="3591"/>
      <c r="E9" s="3591"/>
      <c r="F9" s="3591"/>
      <c r="G9" s="3591"/>
      <c r="H9" s="4698"/>
      <c r="I9" s="3591"/>
      <c r="J9" s="3591"/>
      <c r="K9" s="3591"/>
      <c r="L9" s="3591"/>
      <c r="M9" s="3591"/>
      <c r="N9" s="3591"/>
      <c r="O9" s="1947" t="s">
        <v>270</v>
      </c>
      <c r="P9" s="1968" t="s">
        <v>271</v>
      </c>
      <c r="Q9" s="3591"/>
      <c r="R9" s="3591"/>
      <c r="S9" s="3596"/>
      <c r="T9" s="3590"/>
      <c r="U9" s="3591"/>
      <c r="V9" s="3591"/>
      <c r="W9" s="4698"/>
      <c r="X9" s="2063" t="s">
        <v>74</v>
      </c>
      <c r="Y9" s="320" t="s">
        <v>73</v>
      </c>
      <c r="Z9" s="320" t="s">
        <v>72</v>
      </c>
      <c r="AA9" s="2656"/>
      <c r="AB9" s="2593"/>
      <c r="AC9" s="3591"/>
      <c r="AD9" s="319" t="s">
        <v>69</v>
      </c>
      <c r="AE9" s="320" t="s">
        <v>68</v>
      </c>
      <c r="AF9" s="320" t="s">
        <v>69</v>
      </c>
      <c r="AG9" s="320" t="s">
        <v>68</v>
      </c>
      <c r="AH9" s="320" t="s">
        <v>69</v>
      </c>
      <c r="AI9" s="320" t="s">
        <v>68</v>
      </c>
      <c r="AJ9" s="320" t="s">
        <v>69</v>
      </c>
      <c r="AK9" s="320" t="s">
        <v>68</v>
      </c>
      <c r="AL9" s="320" t="s">
        <v>69</v>
      </c>
      <c r="AM9" s="320" t="s">
        <v>68</v>
      </c>
      <c r="AN9" s="320" t="s">
        <v>69</v>
      </c>
      <c r="AO9" s="320" t="s">
        <v>68</v>
      </c>
      <c r="AP9" s="320" t="s">
        <v>69</v>
      </c>
      <c r="AQ9" s="320" t="s">
        <v>68</v>
      </c>
      <c r="AR9" s="320" t="s">
        <v>69</v>
      </c>
      <c r="AS9" s="320" t="s">
        <v>68</v>
      </c>
      <c r="AT9" s="320" t="s">
        <v>69</v>
      </c>
      <c r="AU9" s="320" t="s">
        <v>68</v>
      </c>
      <c r="AV9" s="320" t="s">
        <v>69</v>
      </c>
      <c r="AW9" s="320" t="s">
        <v>68</v>
      </c>
      <c r="AX9" s="320" t="s">
        <v>69</v>
      </c>
      <c r="AY9" s="320" t="s">
        <v>68</v>
      </c>
      <c r="AZ9" s="320" t="s">
        <v>69</v>
      </c>
      <c r="BA9" s="320" t="s">
        <v>68</v>
      </c>
      <c r="BB9" s="320" t="s">
        <v>69</v>
      </c>
      <c r="BC9" s="320" t="s">
        <v>68</v>
      </c>
      <c r="BD9" s="320" t="s">
        <v>69</v>
      </c>
      <c r="BE9" s="320" t="s">
        <v>68</v>
      </c>
      <c r="BF9" s="320" t="s">
        <v>69</v>
      </c>
      <c r="BG9" s="320" t="s">
        <v>68</v>
      </c>
      <c r="BH9" s="320" t="s">
        <v>69</v>
      </c>
      <c r="BI9" s="320" t="s">
        <v>68</v>
      </c>
      <c r="BJ9" s="2589"/>
      <c r="BK9" s="2674"/>
      <c r="BL9" s="2589"/>
      <c r="BM9" s="2676"/>
      <c r="BN9" s="130" t="s">
        <v>71</v>
      </c>
      <c r="BO9" s="1926" t="s">
        <v>70</v>
      </c>
      <c r="BP9" s="2589"/>
      <c r="BQ9" s="321" t="s">
        <v>69</v>
      </c>
      <c r="BR9" s="322" t="s">
        <v>68</v>
      </c>
      <c r="BS9" s="322" t="s">
        <v>69</v>
      </c>
      <c r="BT9" s="322" t="s">
        <v>68</v>
      </c>
      <c r="BU9" s="1963"/>
      <c r="BV9" s="4"/>
      <c r="BW9" s="4"/>
      <c r="BX9" s="4"/>
      <c r="BY9" s="4"/>
      <c r="BZ9" s="4"/>
      <c r="CA9" s="4"/>
      <c r="CB9" s="4"/>
      <c r="CC9" s="4"/>
      <c r="CD9" s="4"/>
      <c r="CE9" s="4"/>
      <c r="CF9" s="4"/>
      <c r="CG9" s="4"/>
      <c r="CH9" s="4"/>
      <c r="CI9" s="4"/>
      <c r="CJ9" s="4"/>
      <c r="CK9" s="4"/>
      <c r="CL9" s="4"/>
      <c r="CM9" s="4"/>
      <c r="CN9" s="4"/>
      <c r="CO9" s="4"/>
    </row>
    <row r="10" spans="1:93" s="1965" customFormat="1" ht="27" customHeight="1" x14ac:dyDescent="0.25">
      <c r="A10" s="2064">
        <v>1</v>
      </c>
      <c r="B10" s="4283" t="s">
        <v>2728</v>
      </c>
      <c r="C10" s="3863"/>
      <c r="D10" s="3863"/>
      <c r="E10" s="3863"/>
      <c r="F10" s="3863"/>
      <c r="G10" s="3863"/>
      <c r="H10" s="2065"/>
      <c r="I10" s="1962"/>
      <c r="J10" s="1962"/>
      <c r="K10" s="784"/>
      <c r="L10" s="1962"/>
      <c r="M10" s="1962"/>
      <c r="N10" s="1962"/>
      <c r="O10" s="1962"/>
      <c r="P10" s="1962"/>
      <c r="Q10" s="1962"/>
      <c r="R10" s="1962"/>
      <c r="S10" s="915"/>
      <c r="T10" s="916"/>
      <c r="U10" s="1962"/>
      <c r="V10" s="1962"/>
      <c r="W10" s="2065"/>
      <c r="X10" s="916"/>
      <c r="Y10" s="916"/>
      <c r="Z10" s="916"/>
      <c r="AA10" s="1962"/>
      <c r="AB10" s="784"/>
      <c r="AC10" s="1962"/>
      <c r="AD10" s="1962"/>
      <c r="AE10" s="1962"/>
      <c r="AF10" s="1962"/>
      <c r="AG10" s="1962"/>
      <c r="AH10" s="784"/>
      <c r="AI10" s="784"/>
      <c r="AJ10" s="1962"/>
      <c r="AK10" s="1962"/>
      <c r="AL10" s="1962"/>
      <c r="AM10" s="1962"/>
      <c r="AN10" s="1962"/>
      <c r="AO10" s="1962"/>
      <c r="AP10" s="1962"/>
      <c r="AQ10" s="1962"/>
      <c r="AR10" s="1962"/>
      <c r="AS10" s="1962"/>
      <c r="AT10" s="1962"/>
      <c r="AU10" s="1962"/>
      <c r="AV10" s="1962"/>
      <c r="AW10" s="1962"/>
      <c r="AX10" s="1962"/>
      <c r="AY10" s="1962"/>
      <c r="AZ10" s="1962"/>
      <c r="BA10" s="1962"/>
      <c r="BB10" s="1962"/>
      <c r="BC10" s="1962"/>
      <c r="BD10" s="1962"/>
      <c r="BE10" s="1962"/>
      <c r="BF10" s="1962"/>
      <c r="BG10" s="1962"/>
      <c r="BH10" s="1962"/>
      <c r="BI10" s="1962"/>
      <c r="BJ10" s="1962"/>
      <c r="BK10" s="1962"/>
      <c r="BL10" s="1962"/>
      <c r="BM10" s="1962"/>
      <c r="BN10" s="1962"/>
      <c r="BO10" s="1962"/>
      <c r="BP10" s="1962"/>
      <c r="BQ10" s="2066"/>
      <c r="BR10" s="2066"/>
      <c r="BS10" s="2066"/>
      <c r="BT10" s="2066"/>
      <c r="BU10" s="787"/>
      <c r="BV10" s="4"/>
      <c r="BW10" s="4"/>
      <c r="BX10" s="4"/>
      <c r="BY10" s="4"/>
      <c r="BZ10" s="4"/>
      <c r="CA10" s="4"/>
      <c r="CB10" s="4"/>
      <c r="CC10" s="4"/>
      <c r="CD10" s="4"/>
      <c r="CE10" s="4"/>
      <c r="CF10" s="4"/>
      <c r="CG10" s="4"/>
      <c r="CH10" s="4"/>
      <c r="CI10" s="4"/>
      <c r="CJ10" s="4"/>
      <c r="CK10" s="4"/>
      <c r="CL10" s="4"/>
      <c r="CM10" s="4"/>
      <c r="CN10" s="4"/>
      <c r="CO10" s="4"/>
    </row>
    <row r="11" spans="1:93" s="1965" customFormat="1" ht="27" customHeight="1" x14ac:dyDescent="0.25">
      <c r="A11" s="1956"/>
      <c r="B11" s="1931"/>
      <c r="C11" s="115">
        <v>19</v>
      </c>
      <c r="D11" s="2067" t="s">
        <v>429</v>
      </c>
      <c r="E11" s="2068"/>
      <c r="F11" s="2068"/>
      <c r="G11" s="2068"/>
      <c r="H11" s="2068"/>
      <c r="I11" s="2068"/>
      <c r="J11" s="108"/>
      <c r="K11" s="109"/>
      <c r="L11" s="108"/>
      <c r="M11" s="108"/>
      <c r="N11" s="108"/>
      <c r="O11" s="108"/>
      <c r="P11" s="108"/>
      <c r="Q11" s="108"/>
      <c r="R11" s="108"/>
      <c r="S11" s="113"/>
      <c r="T11" s="110"/>
      <c r="U11" s="108"/>
      <c r="V11" s="108"/>
      <c r="W11" s="2069"/>
      <c r="X11" s="110"/>
      <c r="Y11" s="110"/>
      <c r="Z11" s="110"/>
      <c r="AA11" s="108"/>
      <c r="AB11" s="109"/>
      <c r="AC11" s="108"/>
      <c r="AD11" s="108"/>
      <c r="AE11" s="108"/>
      <c r="AF11" s="108"/>
      <c r="AG11" s="108"/>
      <c r="AH11" s="109"/>
      <c r="AI11" s="109"/>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2070"/>
      <c r="BR11" s="2070"/>
      <c r="BS11" s="2070"/>
      <c r="BT11" s="2070"/>
      <c r="BU11" s="257"/>
    </row>
    <row r="12" spans="1:93" s="1965" customFormat="1" ht="27" customHeight="1" x14ac:dyDescent="0.25">
      <c r="A12" s="2071"/>
      <c r="B12" s="2072"/>
      <c r="C12" s="1956"/>
      <c r="D12" s="1957"/>
      <c r="E12" s="863">
        <v>1903</v>
      </c>
      <c r="F12" s="4695" t="s">
        <v>2729</v>
      </c>
      <c r="G12" s="3996"/>
      <c r="H12" s="3996"/>
      <c r="I12" s="3996"/>
      <c r="J12" s="3996"/>
      <c r="K12" s="3996"/>
      <c r="L12" s="794"/>
      <c r="M12" s="794"/>
      <c r="N12" s="794"/>
      <c r="O12" s="794"/>
      <c r="P12" s="794"/>
      <c r="Q12" s="794"/>
      <c r="R12" s="794"/>
      <c r="S12" s="947"/>
      <c r="T12" s="2073"/>
      <c r="U12" s="794"/>
      <c r="V12" s="794"/>
      <c r="W12" s="2074"/>
      <c r="X12" s="2073"/>
      <c r="Y12" s="2073"/>
      <c r="Z12" s="2073"/>
      <c r="AA12" s="90"/>
      <c r="AB12" s="949"/>
      <c r="AC12" s="794"/>
      <c r="AD12" s="794"/>
      <c r="AE12" s="794"/>
      <c r="AF12" s="794"/>
      <c r="AG12" s="794"/>
      <c r="AH12" s="949"/>
      <c r="AI12" s="949"/>
      <c r="AJ12" s="794"/>
      <c r="AK12" s="794"/>
      <c r="AL12" s="794"/>
      <c r="AM12" s="794"/>
      <c r="AN12" s="794"/>
      <c r="AO12" s="794"/>
      <c r="AP12" s="794"/>
      <c r="AQ12" s="794"/>
      <c r="AR12" s="794"/>
      <c r="AS12" s="794"/>
      <c r="AT12" s="794"/>
      <c r="AU12" s="794"/>
      <c r="AV12" s="794"/>
      <c r="AW12" s="794"/>
      <c r="AX12" s="794"/>
      <c r="AY12" s="794"/>
      <c r="AZ12" s="794"/>
      <c r="BA12" s="794"/>
      <c r="BB12" s="794"/>
      <c r="BC12" s="794"/>
      <c r="BD12" s="794"/>
      <c r="BE12" s="794"/>
      <c r="BF12" s="794"/>
      <c r="BG12" s="794"/>
      <c r="BH12" s="794"/>
      <c r="BI12" s="794"/>
      <c r="BJ12" s="794"/>
      <c r="BK12" s="794"/>
      <c r="BL12" s="794"/>
      <c r="BM12" s="794"/>
      <c r="BN12" s="794"/>
      <c r="BO12" s="794"/>
      <c r="BP12" s="794"/>
      <c r="BQ12" s="2075"/>
      <c r="BR12" s="2075"/>
      <c r="BS12" s="2075"/>
      <c r="BT12" s="2075"/>
      <c r="BU12" s="863"/>
    </row>
    <row r="13" spans="1:93" s="1965" customFormat="1" ht="76.5" customHeight="1" x14ac:dyDescent="0.25">
      <c r="A13" s="2076"/>
      <c r="B13" s="2077"/>
      <c r="C13" s="1939"/>
      <c r="D13" s="1935"/>
      <c r="E13" s="2078"/>
      <c r="F13" s="2078"/>
      <c r="G13" s="4498">
        <v>1903009</v>
      </c>
      <c r="H13" s="2939" t="s">
        <v>2730</v>
      </c>
      <c r="I13" s="4498">
        <v>1903009</v>
      </c>
      <c r="J13" s="2939" t="s">
        <v>2731</v>
      </c>
      <c r="K13" s="3704">
        <v>190300900</v>
      </c>
      <c r="L13" s="2939" t="s">
        <v>2732</v>
      </c>
      <c r="M13" s="3704">
        <v>190300900</v>
      </c>
      <c r="N13" s="2939" t="s">
        <v>2733</v>
      </c>
      <c r="O13" s="4498">
        <f>600+28</f>
        <v>628</v>
      </c>
      <c r="P13" s="4649">
        <v>838</v>
      </c>
      <c r="Q13" s="4498" t="s">
        <v>2734</v>
      </c>
      <c r="R13" s="2939" t="s">
        <v>2735</v>
      </c>
      <c r="S13" s="2727">
        <f>SUM(X13:X15)/T13</f>
        <v>3.8767667232787725E-2</v>
      </c>
      <c r="T13" s="4694">
        <f>SUM(X13:X46)</f>
        <v>1689281421.21</v>
      </c>
      <c r="U13" s="2939" t="s">
        <v>2736</v>
      </c>
      <c r="V13" s="3054" t="s">
        <v>2737</v>
      </c>
      <c r="W13" s="1937" t="s">
        <v>2738</v>
      </c>
      <c r="X13" s="2079">
        <v>19906500</v>
      </c>
      <c r="Y13" s="2079">
        <v>19906500</v>
      </c>
      <c r="Z13" s="2079">
        <v>19906500</v>
      </c>
      <c r="AA13" s="2080" t="s">
        <v>2739</v>
      </c>
      <c r="AB13" s="419">
        <v>61</v>
      </c>
      <c r="AC13" s="1966" t="s">
        <v>2740</v>
      </c>
      <c r="AD13" s="4690">
        <v>289394</v>
      </c>
      <c r="AE13" s="4690"/>
      <c r="AF13" s="4690">
        <v>279112</v>
      </c>
      <c r="AG13" s="4690"/>
      <c r="AH13" s="4690">
        <v>63164</v>
      </c>
      <c r="AI13" s="4690"/>
      <c r="AJ13" s="4690">
        <v>45607</v>
      </c>
      <c r="AK13" s="4690"/>
      <c r="AL13" s="4690">
        <v>365607</v>
      </c>
      <c r="AM13" s="4690"/>
      <c r="AN13" s="4690">
        <v>75612</v>
      </c>
      <c r="AO13" s="4690"/>
      <c r="AP13" s="4690">
        <v>2145</v>
      </c>
      <c r="AQ13" s="4690"/>
      <c r="AR13" s="4690">
        <v>12718</v>
      </c>
      <c r="AS13" s="4690"/>
      <c r="AT13" s="4690">
        <v>26</v>
      </c>
      <c r="AU13" s="4690"/>
      <c r="AV13" s="4690">
        <v>37</v>
      </c>
      <c r="AW13" s="4690"/>
      <c r="AX13" s="4690">
        <v>0</v>
      </c>
      <c r="AY13" s="4690"/>
      <c r="AZ13" s="4690">
        <v>0</v>
      </c>
      <c r="BA13" s="4690"/>
      <c r="BB13" s="4690">
        <v>78</v>
      </c>
      <c r="BC13" s="4690"/>
      <c r="BD13" s="4690">
        <v>16897</v>
      </c>
      <c r="BE13" s="4690"/>
      <c r="BF13" s="4690">
        <v>852</v>
      </c>
      <c r="BG13" s="4690"/>
      <c r="BH13" s="4690">
        <v>568506</v>
      </c>
      <c r="BI13" s="4690"/>
      <c r="BJ13" s="4687">
        <v>12</v>
      </c>
      <c r="BK13" s="4687">
        <f>SUM(Y13:Y46)</f>
        <v>841973306.65999997</v>
      </c>
      <c r="BL13" s="4687">
        <f>SUM(Z13:Z46)</f>
        <v>841973306.65999997</v>
      </c>
      <c r="BM13" s="4692">
        <f>BL13/BK13</f>
        <v>1</v>
      </c>
      <c r="BN13" s="4687" t="s">
        <v>2741</v>
      </c>
      <c r="BO13" s="4687" t="s">
        <v>2742</v>
      </c>
      <c r="BP13" s="4687" t="s">
        <v>2743</v>
      </c>
      <c r="BQ13" s="4688">
        <v>44197</v>
      </c>
      <c r="BR13" s="4688">
        <v>44214</v>
      </c>
      <c r="BS13" s="4688">
        <v>44561</v>
      </c>
      <c r="BT13" s="4688">
        <v>44561</v>
      </c>
      <c r="BU13" s="3918" t="s">
        <v>2744</v>
      </c>
    </row>
    <row r="14" spans="1:93" s="1965" customFormat="1" ht="52.5" customHeight="1" x14ac:dyDescent="0.25">
      <c r="A14" s="2076"/>
      <c r="B14" s="2077"/>
      <c r="C14" s="1939"/>
      <c r="D14" s="1935"/>
      <c r="E14" s="2078"/>
      <c r="F14" s="2078"/>
      <c r="G14" s="4526"/>
      <c r="H14" s="3089"/>
      <c r="I14" s="4526"/>
      <c r="J14" s="3089"/>
      <c r="K14" s="2937"/>
      <c r="L14" s="3089"/>
      <c r="M14" s="2937"/>
      <c r="N14" s="3089"/>
      <c r="O14" s="4526"/>
      <c r="P14" s="4650"/>
      <c r="Q14" s="4526"/>
      <c r="R14" s="3089"/>
      <c r="S14" s="3933"/>
      <c r="T14" s="4543"/>
      <c r="U14" s="3089"/>
      <c r="V14" s="3054"/>
      <c r="W14" s="1940" t="s">
        <v>2745</v>
      </c>
      <c r="X14" s="829">
        <v>19906500</v>
      </c>
      <c r="Y14" s="829">
        <v>12020832</v>
      </c>
      <c r="Z14" s="829">
        <v>12020832</v>
      </c>
      <c r="AA14" s="2080" t="s">
        <v>2739</v>
      </c>
      <c r="AB14" s="364">
        <v>61</v>
      </c>
      <c r="AC14" s="1966" t="s">
        <v>2740</v>
      </c>
      <c r="AD14" s="4690"/>
      <c r="AE14" s="4690"/>
      <c r="AF14" s="4690"/>
      <c r="AG14" s="4690"/>
      <c r="AH14" s="4690"/>
      <c r="AI14" s="4690"/>
      <c r="AJ14" s="4690"/>
      <c r="AK14" s="4690"/>
      <c r="AL14" s="4690"/>
      <c r="AM14" s="4690"/>
      <c r="AN14" s="4690"/>
      <c r="AO14" s="4690"/>
      <c r="AP14" s="4690"/>
      <c r="AQ14" s="4690"/>
      <c r="AR14" s="4690"/>
      <c r="AS14" s="4690"/>
      <c r="AT14" s="4690"/>
      <c r="AU14" s="4690"/>
      <c r="AV14" s="4690"/>
      <c r="AW14" s="4690"/>
      <c r="AX14" s="4690"/>
      <c r="AY14" s="4690"/>
      <c r="AZ14" s="4690"/>
      <c r="BA14" s="4690"/>
      <c r="BB14" s="4690"/>
      <c r="BC14" s="4690"/>
      <c r="BD14" s="4690"/>
      <c r="BE14" s="4690"/>
      <c r="BF14" s="4690"/>
      <c r="BG14" s="4690"/>
      <c r="BH14" s="4690"/>
      <c r="BI14" s="4690"/>
      <c r="BJ14" s="4687"/>
      <c r="BK14" s="4687"/>
      <c r="BL14" s="4687"/>
      <c r="BM14" s="4692"/>
      <c r="BN14" s="4687"/>
      <c r="BO14" s="4687"/>
      <c r="BP14" s="4687"/>
      <c r="BQ14" s="4688"/>
      <c r="BR14" s="4688"/>
      <c r="BS14" s="4688"/>
      <c r="BT14" s="4688"/>
      <c r="BU14" s="3983"/>
    </row>
    <row r="15" spans="1:93" s="1965" customFormat="1" ht="77.25" customHeight="1" x14ac:dyDescent="0.25">
      <c r="A15" s="2076"/>
      <c r="B15" s="2077"/>
      <c r="C15" s="1939"/>
      <c r="D15" s="1935"/>
      <c r="E15" s="2078"/>
      <c r="F15" s="2082"/>
      <c r="G15" s="4526"/>
      <c r="H15" s="3089"/>
      <c r="I15" s="4526"/>
      <c r="J15" s="3089"/>
      <c r="K15" s="2937"/>
      <c r="L15" s="3089"/>
      <c r="M15" s="2937"/>
      <c r="N15" s="3089"/>
      <c r="O15" s="4526"/>
      <c r="P15" s="4651"/>
      <c r="Q15" s="4526"/>
      <c r="R15" s="3089"/>
      <c r="S15" s="3933"/>
      <c r="T15" s="4543"/>
      <c r="U15" s="3089"/>
      <c r="V15" s="3054"/>
      <c r="W15" s="1940" t="s">
        <v>2746</v>
      </c>
      <c r="X15" s="829">
        <v>25676500</v>
      </c>
      <c r="Y15" s="829">
        <v>15177500</v>
      </c>
      <c r="Z15" s="829">
        <v>15177500</v>
      </c>
      <c r="AA15" s="2080" t="s">
        <v>2739</v>
      </c>
      <c r="AB15" s="364">
        <v>61</v>
      </c>
      <c r="AC15" s="1966" t="s">
        <v>2740</v>
      </c>
      <c r="AD15" s="4690"/>
      <c r="AE15" s="4690"/>
      <c r="AF15" s="4690"/>
      <c r="AG15" s="4690"/>
      <c r="AH15" s="4690"/>
      <c r="AI15" s="4690"/>
      <c r="AJ15" s="4690"/>
      <c r="AK15" s="4690"/>
      <c r="AL15" s="4690"/>
      <c r="AM15" s="4690"/>
      <c r="AN15" s="4690"/>
      <c r="AO15" s="4690"/>
      <c r="AP15" s="4690"/>
      <c r="AQ15" s="4690"/>
      <c r="AR15" s="4690"/>
      <c r="AS15" s="4690"/>
      <c r="AT15" s="4690"/>
      <c r="AU15" s="4690"/>
      <c r="AV15" s="4690"/>
      <c r="AW15" s="4690"/>
      <c r="AX15" s="4690"/>
      <c r="AY15" s="4690"/>
      <c r="AZ15" s="4690"/>
      <c r="BA15" s="4690"/>
      <c r="BB15" s="4690"/>
      <c r="BC15" s="4690"/>
      <c r="BD15" s="4690"/>
      <c r="BE15" s="4690"/>
      <c r="BF15" s="4690"/>
      <c r="BG15" s="4690"/>
      <c r="BH15" s="4690"/>
      <c r="BI15" s="4690"/>
      <c r="BJ15" s="4687"/>
      <c r="BK15" s="4687"/>
      <c r="BL15" s="4687"/>
      <c r="BM15" s="4692"/>
      <c r="BN15" s="4687"/>
      <c r="BO15" s="4687"/>
      <c r="BP15" s="4687"/>
      <c r="BQ15" s="4688"/>
      <c r="BR15" s="4688"/>
      <c r="BS15" s="4688"/>
      <c r="BT15" s="4688"/>
      <c r="BU15" s="3983"/>
    </row>
    <row r="16" spans="1:93" s="1965" customFormat="1" ht="42.75" customHeight="1" x14ac:dyDescent="0.25">
      <c r="A16" s="2076"/>
      <c r="B16" s="2077"/>
      <c r="C16" s="1939"/>
      <c r="D16" s="1935"/>
      <c r="E16" s="2078"/>
      <c r="F16" s="2078"/>
      <c r="G16" s="3615">
        <v>1903031</v>
      </c>
      <c r="H16" s="2938" t="s">
        <v>2747</v>
      </c>
      <c r="I16" s="3615">
        <v>1903031</v>
      </c>
      <c r="J16" s="2938" t="s">
        <v>2747</v>
      </c>
      <c r="K16" s="4686">
        <v>190303100</v>
      </c>
      <c r="L16" s="2938" t="s">
        <v>2748</v>
      </c>
      <c r="M16" s="4686">
        <v>190303100</v>
      </c>
      <c r="N16" s="2938" t="s">
        <v>2748</v>
      </c>
      <c r="O16" s="3615">
        <v>12</v>
      </c>
      <c r="P16" s="4652">
        <v>12</v>
      </c>
      <c r="Q16" s="4526"/>
      <c r="R16" s="3089"/>
      <c r="S16" s="3933">
        <f>SUM(X16:X18)/T13</f>
        <v>4.3805608154380345E-2</v>
      </c>
      <c r="T16" s="4543"/>
      <c r="U16" s="3089"/>
      <c r="V16" s="3054"/>
      <c r="W16" s="1940" t="s">
        <v>2749</v>
      </c>
      <c r="X16" s="829">
        <v>28000000</v>
      </c>
      <c r="Y16" s="829">
        <v>28000000</v>
      </c>
      <c r="Z16" s="829">
        <v>28000000</v>
      </c>
      <c r="AA16" s="2080" t="s">
        <v>2750</v>
      </c>
      <c r="AB16" s="364">
        <v>61</v>
      </c>
      <c r="AC16" s="1966" t="s">
        <v>2740</v>
      </c>
      <c r="AD16" s="4690"/>
      <c r="AE16" s="4690"/>
      <c r="AF16" s="4690"/>
      <c r="AG16" s="4690"/>
      <c r="AH16" s="4690"/>
      <c r="AI16" s="4690"/>
      <c r="AJ16" s="4690"/>
      <c r="AK16" s="4690"/>
      <c r="AL16" s="4690"/>
      <c r="AM16" s="4690"/>
      <c r="AN16" s="4690"/>
      <c r="AO16" s="4690"/>
      <c r="AP16" s="4690"/>
      <c r="AQ16" s="4690"/>
      <c r="AR16" s="4690"/>
      <c r="AS16" s="4690"/>
      <c r="AT16" s="4690"/>
      <c r="AU16" s="4690"/>
      <c r="AV16" s="4690"/>
      <c r="AW16" s="4690"/>
      <c r="AX16" s="4690"/>
      <c r="AY16" s="4690"/>
      <c r="AZ16" s="4690"/>
      <c r="BA16" s="4690"/>
      <c r="BB16" s="4690"/>
      <c r="BC16" s="4690"/>
      <c r="BD16" s="4690"/>
      <c r="BE16" s="4690"/>
      <c r="BF16" s="4690"/>
      <c r="BG16" s="4690"/>
      <c r="BH16" s="4690"/>
      <c r="BI16" s="4690"/>
      <c r="BJ16" s="4687"/>
      <c r="BK16" s="4687"/>
      <c r="BL16" s="4687"/>
      <c r="BM16" s="4692"/>
      <c r="BN16" s="4687"/>
      <c r="BO16" s="4687"/>
      <c r="BP16" s="4687"/>
      <c r="BQ16" s="4688"/>
      <c r="BR16" s="4688"/>
      <c r="BS16" s="4688"/>
      <c r="BT16" s="4688"/>
      <c r="BU16" s="3983"/>
    </row>
    <row r="17" spans="1:73" s="1965" customFormat="1" ht="76.5" customHeight="1" x14ac:dyDescent="0.25">
      <c r="A17" s="2076"/>
      <c r="B17" s="2077"/>
      <c r="C17" s="1939"/>
      <c r="D17" s="1935"/>
      <c r="E17" s="2078"/>
      <c r="F17" s="2078"/>
      <c r="G17" s="3616"/>
      <c r="H17" s="3100"/>
      <c r="I17" s="3616"/>
      <c r="J17" s="3100"/>
      <c r="K17" s="3703"/>
      <c r="L17" s="3100"/>
      <c r="M17" s="3703"/>
      <c r="N17" s="3100"/>
      <c r="O17" s="3616"/>
      <c r="P17" s="4650"/>
      <c r="Q17" s="4526"/>
      <c r="R17" s="3089"/>
      <c r="S17" s="3933"/>
      <c r="T17" s="4543"/>
      <c r="U17" s="3089"/>
      <c r="V17" s="3054"/>
      <c r="W17" s="1940" t="s">
        <v>2751</v>
      </c>
      <c r="X17" s="829">
        <v>32000000</v>
      </c>
      <c r="Y17" s="829">
        <v>19915000</v>
      </c>
      <c r="Z17" s="829">
        <v>19915000</v>
      </c>
      <c r="AA17" s="2080" t="s">
        <v>2750</v>
      </c>
      <c r="AB17" s="364">
        <v>61</v>
      </c>
      <c r="AC17" s="1966" t="s">
        <v>2740</v>
      </c>
      <c r="AD17" s="4690"/>
      <c r="AE17" s="4690"/>
      <c r="AF17" s="4690"/>
      <c r="AG17" s="4690"/>
      <c r="AH17" s="4690"/>
      <c r="AI17" s="4690"/>
      <c r="AJ17" s="4690"/>
      <c r="AK17" s="4690"/>
      <c r="AL17" s="4690"/>
      <c r="AM17" s="4690"/>
      <c r="AN17" s="4690"/>
      <c r="AO17" s="4690"/>
      <c r="AP17" s="4690"/>
      <c r="AQ17" s="4690"/>
      <c r="AR17" s="4690"/>
      <c r="AS17" s="4690"/>
      <c r="AT17" s="4690"/>
      <c r="AU17" s="4690"/>
      <c r="AV17" s="4690"/>
      <c r="AW17" s="4690"/>
      <c r="AX17" s="4690"/>
      <c r="AY17" s="4690"/>
      <c r="AZ17" s="4690"/>
      <c r="BA17" s="4690"/>
      <c r="BB17" s="4690"/>
      <c r="BC17" s="4690"/>
      <c r="BD17" s="4690"/>
      <c r="BE17" s="4690"/>
      <c r="BF17" s="4690"/>
      <c r="BG17" s="4690"/>
      <c r="BH17" s="4690"/>
      <c r="BI17" s="4690"/>
      <c r="BJ17" s="4687"/>
      <c r="BK17" s="4687"/>
      <c r="BL17" s="4687"/>
      <c r="BM17" s="4692"/>
      <c r="BN17" s="4687"/>
      <c r="BO17" s="4687"/>
      <c r="BP17" s="4687"/>
      <c r="BQ17" s="4688"/>
      <c r="BR17" s="4688"/>
      <c r="BS17" s="4688"/>
      <c r="BT17" s="4688"/>
      <c r="BU17" s="3983"/>
    </row>
    <row r="18" spans="1:73" s="1965" customFormat="1" ht="42.75" customHeight="1" x14ac:dyDescent="0.25">
      <c r="A18" s="2076"/>
      <c r="B18" s="2077"/>
      <c r="C18" s="1939"/>
      <c r="D18" s="1935"/>
      <c r="E18" s="2078"/>
      <c r="F18" s="2078"/>
      <c r="G18" s="4498"/>
      <c r="H18" s="2939"/>
      <c r="I18" s="4498"/>
      <c r="J18" s="2939"/>
      <c r="K18" s="3704"/>
      <c r="L18" s="2939"/>
      <c r="M18" s="3704"/>
      <c r="N18" s="2939"/>
      <c r="O18" s="4498"/>
      <c r="P18" s="4651"/>
      <c r="Q18" s="4526"/>
      <c r="R18" s="3089"/>
      <c r="S18" s="3933"/>
      <c r="T18" s="4543"/>
      <c r="U18" s="3089"/>
      <c r="V18" s="3054"/>
      <c r="W18" s="1940" t="s">
        <v>2752</v>
      </c>
      <c r="X18" s="829">
        <v>14000000</v>
      </c>
      <c r="Y18" s="829">
        <v>13867500</v>
      </c>
      <c r="Z18" s="829">
        <v>13867500</v>
      </c>
      <c r="AA18" s="2080" t="s">
        <v>2750</v>
      </c>
      <c r="AB18" s="364">
        <v>61</v>
      </c>
      <c r="AC18" s="1966" t="s">
        <v>2740</v>
      </c>
      <c r="AD18" s="4690"/>
      <c r="AE18" s="4690"/>
      <c r="AF18" s="4690"/>
      <c r="AG18" s="4690"/>
      <c r="AH18" s="4690"/>
      <c r="AI18" s="4690"/>
      <c r="AJ18" s="4690"/>
      <c r="AK18" s="4690"/>
      <c r="AL18" s="4690"/>
      <c r="AM18" s="4690"/>
      <c r="AN18" s="4690"/>
      <c r="AO18" s="4690"/>
      <c r="AP18" s="4690"/>
      <c r="AQ18" s="4690"/>
      <c r="AR18" s="4690"/>
      <c r="AS18" s="4690"/>
      <c r="AT18" s="4690"/>
      <c r="AU18" s="4690"/>
      <c r="AV18" s="4690"/>
      <c r="AW18" s="4690"/>
      <c r="AX18" s="4690"/>
      <c r="AY18" s="4690"/>
      <c r="AZ18" s="4690"/>
      <c r="BA18" s="4690"/>
      <c r="BB18" s="4690"/>
      <c r="BC18" s="4690"/>
      <c r="BD18" s="4690"/>
      <c r="BE18" s="4690"/>
      <c r="BF18" s="4690"/>
      <c r="BG18" s="4690"/>
      <c r="BH18" s="4690"/>
      <c r="BI18" s="4690"/>
      <c r="BJ18" s="4687"/>
      <c r="BK18" s="4687"/>
      <c r="BL18" s="4687"/>
      <c r="BM18" s="4692"/>
      <c r="BN18" s="4687"/>
      <c r="BO18" s="4687"/>
      <c r="BP18" s="4687"/>
      <c r="BQ18" s="4688"/>
      <c r="BR18" s="4688"/>
      <c r="BS18" s="4688"/>
      <c r="BT18" s="4688"/>
      <c r="BU18" s="3983"/>
    </row>
    <row r="19" spans="1:73" s="1965" customFormat="1" ht="41.25" customHeight="1" x14ac:dyDescent="0.25">
      <c r="A19" s="2076"/>
      <c r="B19" s="2077"/>
      <c r="C19" s="1939"/>
      <c r="D19" s="1935"/>
      <c r="E19" s="2078"/>
      <c r="F19" s="2078"/>
      <c r="G19" s="4526">
        <v>1903023</v>
      </c>
      <c r="H19" s="3089" t="s">
        <v>2753</v>
      </c>
      <c r="I19" s="4526">
        <v>1903023</v>
      </c>
      <c r="J19" s="3089" t="s">
        <v>2753</v>
      </c>
      <c r="K19" s="4479">
        <v>190302300</v>
      </c>
      <c r="L19" s="4480" t="s">
        <v>2754</v>
      </c>
      <c r="M19" s="4479">
        <v>190302300</v>
      </c>
      <c r="N19" s="4480" t="s">
        <v>2754</v>
      </c>
      <c r="O19" s="4526">
        <v>12</v>
      </c>
      <c r="P19" s="4652">
        <v>11</v>
      </c>
      <c r="Q19" s="4526"/>
      <c r="R19" s="3089"/>
      <c r="S19" s="3933">
        <f>SUM(X19:X21)/T13</f>
        <v>1.5199658078053338E-2</v>
      </c>
      <c r="T19" s="4543"/>
      <c r="U19" s="3089"/>
      <c r="V19" s="3054"/>
      <c r="W19" s="1940" t="s">
        <v>2755</v>
      </c>
      <c r="X19" s="829">
        <v>7000000</v>
      </c>
      <c r="Y19" s="829">
        <v>7000000</v>
      </c>
      <c r="Z19" s="829">
        <v>7000000</v>
      </c>
      <c r="AA19" s="2080" t="s">
        <v>2756</v>
      </c>
      <c r="AB19" s="364">
        <v>61</v>
      </c>
      <c r="AC19" s="1966" t="s">
        <v>2740</v>
      </c>
      <c r="AD19" s="4690"/>
      <c r="AE19" s="4690"/>
      <c r="AF19" s="4690"/>
      <c r="AG19" s="4690"/>
      <c r="AH19" s="4690"/>
      <c r="AI19" s="4690"/>
      <c r="AJ19" s="4690"/>
      <c r="AK19" s="4690"/>
      <c r="AL19" s="4690"/>
      <c r="AM19" s="4690"/>
      <c r="AN19" s="4690"/>
      <c r="AO19" s="4690"/>
      <c r="AP19" s="4690"/>
      <c r="AQ19" s="4690"/>
      <c r="AR19" s="4690"/>
      <c r="AS19" s="4690"/>
      <c r="AT19" s="4690"/>
      <c r="AU19" s="4690"/>
      <c r="AV19" s="4690"/>
      <c r="AW19" s="4690"/>
      <c r="AX19" s="4690"/>
      <c r="AY19" s="4690"/>
      <c r="AZ19" s="4690"/>
      <c r="BA19" s="4690"/>
      <c r="BB19" s="4690"/>
      <c r="BC19" s="4690"/>
      <c r="BD19" s="4690"/>
      <c r="BE19" s="4690"/>
      <c r="BF19" s="4690"/>
      <c r="BG19" s="4690"/>
      <c r="BH19" s="4690"/>
      <c r="BI19" s="4690"/>
      <c r="BJ19" s="4687"/>
      <c r="BK19" s="4687"/>
      <c r="BL19" s="4687"/>
      <c r="BM19" s="4692"/>
      <c r="BN19" s="4687"/>
      <c r="BO19" s="4687"/>
      <c r="BP19" s="4687"/>
      <c r="BQ19" s="4688"/>
      <c r="BR19" s="4688"/>
      <c r="BS19" s="4688"/>
      <c r="BT19" s="4688"/>
      <c r="BU19" s="3983"/>
    </row>
    <row r="20" spans="1:73" s="1965" customFormat="1" ht="60" customHeight="1" x14ac:dyDescent="0.25">
      <c r="A20" s="2076"/>
      <c r="B20" s="2077"/>
      <c r="C20" s="1939"/>
      <c r="D20" s="1935"/>
      <c r="E20" s="2078"/>
      <c r="F20" s="2078"/>
      <c r="G20" s="4526"/>
      <c r="H20" s="3089"/>
      <c r="I20" s="4526"/>
      <c r="J20" s="3089"/>
      <c r="K20" s="4479"/>
      <c r="L20" s="4480"/>
      <c r="M20" s="4479"/>
      <c r="N20" s="4480"/>
      <c r="O20" s="4526"/>
      <c r="P20" s="4650"/>
      <c r="Q20" s="4526"/>
      <c r="R20" s="3089"/>
      <c r="S20" s="3933"/>
      <c r="T20" s="4543"/>
      <c r="U20" s="3089"/>
      <c r="V20" s="3054"/>
      <c r="W20" s="1940" t="s">
        <v>2757</v>
      </c>
      <c r="X20" s="829">
        <v>14000000</v>
      </c>
      <c r="Y20" s="829">
        <v>14000000</v>
      </c>
      <c r="Z20" s="829">
        <v>14000000</v>
      </c>
      <c r="AA20" s="2080" t="s">
        <v>2756</v>
      </c>
      <c r="AB20" s="364">
        <v>61</v>
      </c>
      <c r="AC20" s="1966" t="s">
        <v>2740</v>
      </c>
      <c r="AD20" s="4690"/>
      <c r="AE20" s="4690"/>
      <c r="AF20" s="4690"/>
      <c r="AG20" s="4690"/>
      <c r="AH20" s="4690"/>
      <c r="AI20" s="4690"/>
      <c r="AJ20" s="4690"/>
      <c r="AK20" s="4690"/>
      <c r="AL20" s="4690"/>
      <c r="AM20" s="4690"/>
      <c r="AN20" s="4690"/>
      <c r="AO20" s="4690"/>
      <c r="AP20" s="4690"/>
      <c r="AQ20" s="4690"/>
      <c r="AR20" s="4690"/>
      <c r="AS20" s="4690"/>
      <c r="AT20" s="4690"/>
      <c r="AU20" s="4690"/>
      <c r="AV20" s="4690"/>
      <c r="AW20" s="4690"/>
      <c r="AX20" s="4690"/>
      <c r="AY20" s="4690"/>
      <c r="AZ20" s="4690"/>
      <c r="BA20" s="4690"/>
      <c r="BB20" s="4690"/>
      <c r="BC20" s="4690"/>
      <c r="BD20" s="4690"/>
      <c r="BE20" s="4690"/>
      <c r="BF20" s="4690"/>
      <c r="BG20" s="4690"/>
      <c r="BH20" s="4690"/>
      <c r="BI20" s="4690"/>
      <c r="BJ20" s="4687"/>
      <c r="BK20" s="4687"/>
      <c r="BL20" s="4687"/>
      <c r="BM20" s="4692"/>
      <c r="BN20" s="4687"/>
      <c r="BO20" s="4687"/>
      <c r="BP20" s="4687"/>
      <c r="BQ20" s="4688"/>
      <c r="BR20" s="4688"/>
      <c r="BS20" s="4688"/>
      <c r="BT20" s="4688"/>
      <c r="BU20" s="3983"/>
    </row>
    <row r="21" spans="1:73" s="1965" customFormat="1" ht="78.75" customHeight="1" x14ac:dyDescent="0.25">
      <c r="A21" s="2076"/>
      <c r="B21" s="2077"/>
      <c r="C21" s="1939"/>
      <c r="D21" s="1935"/>
      <c r="E21" s="2078"/>
      <c r="F21" s="2078"/>
      <c r="G21" s="4526"/>
      <c r="H21" s="3089"/>
      <c r="I21" s="4526"/>
      <c r="J21" s="3089"/>
      <c r="K21" s="4479"/>
      <c r="L21" s="4480"/>
      <c r="M21" s="4479"/>
      <c r="N21" s="4480"/>
      <c r="O21" s="4526"/>
      <c r="P21" s="4651"/>
      <c r="Q21" s="4526"/>
      <c r="R21" s="3089"/>
      <c r="S21" s="3933"/>
      <c r="T21" s="4543"/>
      <c r="U21" s="3089"/>
      <c r="V21" s="3054"/>
      <c r="W21" s="1940" t="s">
        <v>2758</v>
      </c>
      <c r="X21" s="829">
        <v>4676500</v>
      </c>
      <c r="Y21" s="829">
        <v>4676500</v>
      </c>
      <c r="Z21" s="829">
        <v>4676500</v>
      </c>
      <c r="AA21" s="2080" t="s">
        <v>2756</v>
      </c>
      <c r="AB21" s="364">
        <v>61</v>
      </c>
      <c r="AC21" s="1966" t="s">
        <v>2740</v>
      </c>
      <c r="AD21" s="4690"/>
      <c r="AE21" s="4690"/>
      <c r="AF21" s="4690"/>
      <c r="AG21" s="4690"/>
      <c r="AH21" s="4690"/>
      <c r="AI21" s="4690"/>
      <c r="AJ21" s="4690"/>
      <c r="AK21" s="4690"/>
      <c r="AL21" s="4690"/>
      <c r="AM21" s="4690"/>
      <c r="AN21" s="4690"/>
      <c r="AO21" s="4690"/>
      <c r="AP21" s="4690"/>
      <c r="AQ21" s="4690"/>
      <c r="AR21" s="4690"/>
      <c r="AS21" s="4690"/>
      <c r="AT21" s="4690"/>
      <c r="AU21" s="4690"/>
      <c r="AV21" s="4690"/>
      <c r="AW21" s="4690"/>
      <c r="AX21" s="4690"/>
      <c r="AY21" s="4690"/>
      <c r="AZ21" s="4690"/>
      <c r="BA21" s="4690"/>
      <c r="BB21" s="4690"/>
      <c r="BC21" s="4690"/>
      <c r="BD21" s="4690"/>
      <c r="BE21" s="4690"/>
      <c r="BF21" s="4690"/>
      <c r="BG21" s="4690"/>
      <c r="BH21" s="4690"/>
      <c r="BI21" s="4690"/>
      <c r="BJ21" s="4687"/>
      <c r="BK21" s="4687"/>
      <c r="BL21" s="4687"/>
      <c r="BM21" s="4692"/>
      <c r="BN21" s="4687"/>
      <c r="BO21" s="4687"/>
      <c r="BP21" s="4687"/>
      <c r="BQ21" s="4688"/>
      <c r="BR21" s="4688"/>
      <c r="BS21" s="4688"/>
      <c r="BT21" s="4688"/>
      <c r="BU21" s="3983"/>
    </row>
    <row r="22" spans="1:73" s="1965" customFormat="1" ht="46.5" customHeight="1" x14ac:dyDescent="0.25">
      <c r="A22" s="2076"/>
      <c r="B22" s="2077"/>
      <c r="C22" s="1939"/>
      <c r="D22" s="1935"/>
      <c r="E22" s="2078"/>
      <c r="F22" s="2078"/>
      <c r="G22" s="4526" t="s">
        <v>20</v>
      </c>
      <c r="H22" s="3089" t="s">
        <v>2759</v>
      </c>
      <c r="I22" s="4526">
        <v>1903050</v>
      </c>
      <c r="J22" s="3089" t="s">
        <v>2760</v>
      </c>
      <c r="K22" s="2937" t="s">
        <v>20</v>
      </c>
      <c r="L22" s="3089" t="s">
        <v>2761</v>
      </c>
      <c r="M22" s="2937">
        <v>190305000</v>
      </c>
      <c r="N22" s="3089" t="s">
        <v>2762</v>
      </c>
      <c r="O22" s="4526">
        <v>12</v>
      </c>
      <c r="P22" s="4652">
        <v>12</v>
      </c>
      <c r="Q22" s="4526"/>
      <c r="R22" s="3089"/>
      <c r="S22" s="3933">
        <f>SUM(X22:X25)/T13</f>
        <v>1.6111288301806657E-2</v>
      </c>
      <c r="T22" s="4543"/>
      <c r="U22" s="3089"/>
      <c r="V22" s="3054"/>
      <c r="W22" s="1940" t="s">
        <v>2763</v>
      </c>
      <c r="X22" s="2083">
        <v>7000000</v>
      </c>
      <c r="Y22" s="2083">
        <v>7000000</v>
      </c>
      <c r="Z22" s="2083">
        <v>7000000</v>
      </c>
      <c r="AA22" s="2080" t="s">
        <v>2764</v>
      </c>
      <c r="AB22" s="364">
        <v>61</v>
      </c>
      <c r="AC22" s="1966" t="s">
        <v>2740</v>
      </c>
      <c r="AD22" s="4690"/>
      <c r="AE22" s="4690"/>
      <c r="AF22" s="4690"/>
      <c r="AG22" s="4690"/>
      <c r="AH22" s="4690"/>
      <c r="AI22" s="4690"/>
      <c r="AJ22" s="4690"/>
      <c r="AK22" s="4690"/>
      <c r="AL22" s="4690"/>
      <c r="AM22" s="4690"/>
      <c r="AN22" s="4690"/>
      <c r="AO22" s="4690"/>
      <c r="AP22" s="4690"/>
      <c r="AQ22" s="4690"/>
      <c r="AR22" s="4690"/>
      <c r="AS22" s="4690"/>
      <c r="AT22" s="4690"/>
      <c r="AU22" s="4690"/>
      <c r="AV22" s="4690"/>
      <c r="AW22" s="4690"/>
      <c r="AX22" s="4690"/>
      <c r="AY22" s="4690"/>
      <c r="AZ22" s="4690"/>
      <c r="BA22" s="4690"/>
      <c r="BB22" s="4690"/>
      <c r="BC22" s="4690"/>
      <c r="BD22" s="4690"/>
      <c r="BE22" s="4690"/>
      <c r="BF22" s="4690"/>
      <c r="BG22" s="4690"/>
      <c r="BH22" s="4690"/>
      <c r="BI22" s="4690"/>
      <c r="BJ22" s="4687"/>
      <c r="BK22" s="4687"/>
      <c r="BL22" s="4687"/>
      <c r="BM22" s="4692"/>
      <c r="BN22" s="4687"/>
      <c r="BO22" s="4687"/>
      <c r="BP22" s="4687"/>
      <c r="BQ22" s="4688"/>
      <c r="BR22" s="4688"/>
      <c r="BS22" s="4688"/>
      <c r="BT22" s="4688"/>
      <c r="BU22" s="3983"/>
    </row>
    <row r="23" spans="1:73" s="1965" customFormat="1" ht="67.5" customHeight="1" x14ac:dyDescent="0.25">
      <c r="A23" s="2076"/>
      <c r="B23" s="2077"/>
      <c r="C23" s="1939"/>
      <c r="D23" s="1935"/>
      <c r="E23" s="2078"/>
      <c r="F23" s="2078"/>
      <c r="G23" s="4526"/>
      <c r="H23" s="3089"/>
      <c r="I23" s="4526"/>
      <c r="J23" s="3089"/>
      <c r="K23" s="2937"/>
      <c r="L23" s="3089"/>
      <c r="M23" s="2937"/>
      <c r="N23" s="3089"/>
      <c r="O23" s="4526"/>
      <c r="P23" s="4650"/>
      <c r="Q23" s="4526"/>
      <c r="R23" s="3089"/>
      <c r="S23" s="3933"/>
      <c r="T23" s="4543"/>
      <c r="U23" s="3089"/>
      <c r="V23" s="3054"/>
      <c r="W23" s="359" t="s">
        <v>2765</v>
      </c>
      <c r="X23" s="2084">
        <v>6216500</v>
      </c>
      <c r="Y23" s="2084">
        <v>3523833</v>
      </c>
      <c r="Z23" s="2084">
        <v>3523833</v>
      </c>
      <c r="AA23" s="2080" t="s">
        <v>2764</v>
      </c>
      <c r="AB23" s="364">
        <v>61</v>
      </c>
      <c r="AC23" s="1966" t="s">
        <v>2740</v>
      </c>
      <c r="AD23" s="4690"/>
      <c r="AE23" s="4690"/>
      <c r="AF23" s="4690"/>
      <c r="AG23" s="4690"/>
      <c r="AH23" s="4690"/>
      <c r="AI23" s="4690"/>
      <c r="AJ23" s="4690"/>
      <c r="AK23" s="4690"/>
      <c r="AL23" s="4690"/>
      <c r="AM23" s="4690"/>
      <c r="AN23" s="4690"/>
      <c r="AO23" s="4690"/>
      <c r="AP23" s="4690"/>
      <c r="AQ23" s="4690"/>
      <c r="AR23" s="4690"/>
      <c r="AS23" s="4690"/>
      <c r="AT23" s="4690"/>
      <c r="AU23" s="4690"/>
      <c r="AV23" s="4690"/>
      <c r="AW23" s="4690"/>
      <c r="AX23" s="4690"/>
      <c r="AY23" s="4690"/>
      <c r="AZ23" s="4690"/>
      <c r="BA23" s="4690"/>
      <c r="BB23" s="4690"/>
      <c r="BC23" s="4690"/>
      <c r="BD23" s="4690"/>
      <c r="BE23" s="4690"/>
      <c r="BF23" s="4690"/>
      <c r="BG23" s="4690"/>
      <c r="BH23" s="4690"/>
      <c r="BI23" s="4690"/>
      <c r="BJ23" s="4687"/>
      <c r="BK23" s="4687"/>
      <c r="BL23" s="4687"/>
      <c r="BM23" s="4692"/>
      <c r="BN23" s="4687"/>
      <c r="BO23" s="4687"/>
      <c r="BP23" s="4687"/>
      <c r="BQ23" s="4688"/>
      <c r="BR23" s="4688"/>
      <c r="BS23" s="4688"/>
      <c r="BT23" s="4688"/>
      <c r="BU23" s="3983"/>
    </row>
    <row r="24" spans="1:73" s="1965" customFormat="1" ht="67.5" customHeight="1" x14ac:dyDescent="0.25">
      <c r="A24" s="2076"/>
      <c r="B24" s="2077"/>
      <c r="C24" s="1939"/>
      <c r="D24" s="1935"/>
      <c r="E24" s="2078"/>
      <c r="F24" s="2078"/>
      <c r="G24" s="4526"/>
      <c r="H24" s="3089"/>
      <c r="I24" s="4526"/>
      <c r="J24" s="3089"/>
      <c r="K24" s="2937"/>
      <c r="L24" s="3089"/>
      <c r="M24" s="2937"/>
      <c r="N24" s="3089"/>
      <c r="O24" s="4526"/>
      <c r="P24" s="4650"/>
      <c r="Q24" s="4526"/>
      <c r="R24" s="3089"/>
      <c r="S24" s="3933"/>
      <c r="T24" s="4543"/>
      <c r="U24" s="3089"/>
      <c r="V24" s="3054"/>
      <c r="W24" s="359" t="s">
        <v>2766</v>
      </c>
      <c r="X24" s="2084">
        <v>7000000</v>
      </c>
      <c r="Y24" s="2085">
        <v>7000000</v>
      </c>
      <c r="Z24" s="2085">
        <v>7000000</v>
      </c>
      <c r="AA24" s="2080" t="s">
        <v>2764</v>
      </c>
      <c r="AB24" s="364">
        <v>61</v>
      </c>
      <c r="AC24" s="1966" t="s">
        <v>2740</v>
      </c>
      <c r="AD24" s="4690"/>
      <c r="AE24" s="4690"/>
      <c r="AF24" s="4690"/>
      <c r="AG24" s="4690"/>
      <c r="AH24" s="4690"/>
      <c r="AI24" s="4690"/>
      <c r="AJ24" s="4690"/>
      <c r="AK24" s="4690"/>
      <c r="AL24" s="4690"/>
      <c r="AM24" s="4690"/>
      <c r="AN24" s="4690"/>
      <c r="AO24" s="4690"/>
      <c r="AP24" s="4690"/>
      <c r="AQ24" s="4690"/>
      <c r="AR24" s="4690"/>
      <c r="AS24" s="4690"/>
      <c r="AT24" s="4690"/>
      <c r="AU24" s="4690"/>
      <c r="AV24" s="4690"/>
      <c r="AW24" s="4690"/>
      <c r="AX24" s="4690"/>
      <c r="AY24" s="4690"/>
      <c r="AZ24" s="4690"/>
      <c r="BA24" s="4690"/>
      <c r="BB24" s="4690"/>
      <c r="BC24" s="4690"/>
      <c r="BD24" s="4690"/>
      <c r="BE24" s="4690"/>
      <c r="BF24" s="4690"/>
      <c r="BG24" s="4690"/>
      <c r="BH24" s="4690"/>
      <c r="BI24" s="4690"/>
      <c r="BJ24" s="4687"/>
      <c r="BK24" s="4687"/>
      <c r="BL24" s="4687"/>
      <c r="BM24" s="4692"/>
      <c r="BN24" s="4687"/>
      <c r="BO24" s="4687"/>
      <c r="BP24" s="4687"/>
      <c r="BQ24" s="4688"/>
      <c r="BR24" s="4688"/>
      <c r="BS24" s="4688"/>
      <c r="BT24" s="4688"/>
      <c r="BU24" s="3983"/>
    </row>
    <row r="25" spans="1:73" s="1965" customFormat="1" ht="99.75" customHeight="1" x14ac:dyDescent="0.25">
      <c r="A25" s="2076"/>
      <c r="B25" s="2077"/>
      <c r="C25" s="1939"/>
      <c r="D25" s="1935"/>
      <c r="E25" s="2078"/>
      <c r="F25" s="2078"/>
      <c r="G25" s="4526"/>
      <c r="H25" s="3089"/>
      <c r="I25" s="4526"/>
      <c r="J25" s="3089"/>
      <c r="K25" s="2937"/>
      <c r="L25" s="3089"/>
      <c r="M25" s="2937"/>
      <c r="N25" s="3089"/>
      <c r="O25" s="4526"/>
      <c r="P25" s="4651"/>
      <c r="Q25" s="4526"/>
      <c r="R25" s="3089"/>
      <c r="S25" s="3933"/>
      <c r="T25" s="4543"/>
      <c r="U25" s="3089"/>
      <c r="V25" s="3055"/>
      <c r="W25" s="1940" t="s">
        <v>2767</v>
      </c>
      <c r="X25" s="2079">
        <v>7000000</v>
      </c>
      <c r="Y25" s="2079">
        <v>7000000</v>
      </c>
      <c r="Z25" s="2079">
        <v>7000000</v>
      </c>
      <c r="AA25" s="2080" t="s">
        <v>2764</v>
      </c>
      <c r="AB25" s="364">
        <v>61</v>
      </c>
      <c r="AC25" s="1966" t="s">
        <v>2740</v>
      </c>
      <c r="AD25" s="4690"/>
      <c r="AE25" s="4690"/>
      <c r="AF25" s="4690"/>
      <c r="AG25" s="4690"/>
      <c r="AH25" s="4690"/>
      <c r="AI25" s="4690"/>
      <c r="AJ25" s="4690"/>
      <c r="AK25" s="4690"/>
      <c r="AL25" s="4690"/>
      <c r="AM25" s="4690"/>
      <c r="AN25" s="4690"/>
      <c r="AO25" s="4690"/>
      <c r="AP25" s="4690"/>
      <c r="AQ25" s="4690"/>
      <c r="AR25" s="4690"/>
      <c r="AS25" s="4690"/>
      <c r="AT25" s="4690"/>
      <c r="AU25" s="4690"/>
      <c r="AV25" s="4690"/>
      <c r="AW25" s="4690"/>
      <c r="AX25" s="4690"/>
      <c r="AY25" s="4690"/>
      <c r="AZ25" s="4690"/>
      <c r="BA25" s="4690"/>
      <c r="BB25" s="4690"/>
      <c r="BC25" s="4690"/>
      <c r="BD25" s="4690"/>
      <c r="BE25" s="4690"/>
      <c r="BF25" s="4690"/>
      <c r="BG25" s="4690"/>
      <c r="BH25" s="4690"/>
      <c r="BI25" s="4690"/>
      <c r="BJ25" s="4687"/>
      <c r="BK25" s="4687"/>
      <c r="BL25" s="4687"/>
      <c r="BM25" s="4692"/>
      <c r="BN25" s="4687"/>
      <c r="BO25" s="4687"/>
      <c r="BP25" s="4687"/>
      <c r="BQ25" s="4688"/>
      <c r="BR25" s="4688"/>
      <c r="BS25" s="4688"/>
      <c r="BT25" s="4688"/>
      <c r="BU25" s="3983"/>
    </row>
    <row r="26" spans="1:73" s="1965" customFormat="1" ht="61.5" customHeight="1" x14ac:dyDescent="0.25">
      <c r="A26" s="2076"/>
      <c r="B26" s="2077"/>
      <c r="C26" s="1939"/>
      <c r="D26" s="1935"/>
      <c r="E26" s="2078"/>
      <c r="F26" s="2078"/>
      <c r="G26" s="3104" t="s">
        <v>20</v>
      </c>
      <c r="H26" s="3105" t="s">
        <v>2768</v>
      </c>
      <c r="I26" s="3104">
        <v>1903038</v>
      </c>
      <c r="J26" s="3105" t="s">
        <v>2769</v>
      </c>
      <c r="K26" s="4487" t="s">
        <v>20</v>
      </c>
      <c r="L26" s="3105" t="s">
        <v>2770</v>
      </c>
      <c r="M26" s="4487">
        <v>190303801</v>
      </c>
      <c r="N26" s="3105" t="s">
        <v>2771</v>
      </c>
      <c r="O26" s="4526">
        <v>1</v>
      </c>
      <c r="P26" s="4652">
        <v>1</v>
      </c>
      <c r="Q26" s="4526"/>
      <c r="R26" s="3089"/>
      <c r="S26" s="3721">
        <f>SUM(X26:X42)/T13</f>
        <v>0.83861865964006843</v>
      </c>
      <c r="T26" s="4543"/>
      <c r="U26" s="3089"/>
      <c r="V26" s="3053" t="s">
        <v>2772</v>
      </c>
      <c r="W26" s="1940" t="s">
        <v>2773</v>
      </c>
      <c r="X26" s="829">
        <v>0</v>
      </c>
      <c r="Y26" s="829"/>
      <c r="Z26" s="829"/>
      <c r="AA26" s="2080" t="s">
        <v>2774</v>
      </c>
      <c r="AB26" s="364">
        <v>61</v>
      </c>
      <c r="AC26" s="1966" t="s">
        <v>2740</v>
      </c>
      <c r="AD26" s="4690"/>
      <c r="AE26" s="4690"/>
      <c r="AF26" s="4690"/>
      <c r="AG26" s="4690"/>
      <c r="AH26" s="4690"/>
      <c r="AI26" s="4690"/>
      <c r="AJ26" s="4690"/>
      <c r="AK26" s="4690"/>
      <c r="AL26" s="4690"/>
      <c r="AM26" s="4690"/>
      <c r="AN26" s="4690"/>
      <c r="AO26" s="4690"/>
      <c r="AP26" s="4690"/>
      <c r="AQ26" s="4690"/>
      <c r="AR26" s="4690"/>
      <c r="AS26" s="4690"/>
      <c r="AT26" s="4690"/>
      <c r="AU26" s="4690"/>
      <c r="AV26" s="4690"/>
      <c r="AW26" s="4690"/>
      <c r="AX26" s="4690"/>
      <c r="AY26" s="4690"/>
      <c r="AZ26" s="4690"/>
      <c r="BA26" s="4690"/>
      <c r="BB26" s="4690"/>
      <c r="BC26" s="4690"/>
      <c r="BD26" s="4690"/>
      <c r="BE26" s="4690"/>
      <c r="BF26" s="4690"/>
      <c r="BG26" s="4690"/>
      <c r="BH26" s="4690"/>
      <c r="BI26" s="4690"/>
      <c r="BJ26" s="4687"/>
      <c r="BK26" s="4687"/>
      <c r="BL26" s="4687"/>
      <c r="BM26" s="4692"/>
      <c r="BN26" s="4687"/>
      <c r="BO26" s="4687"/>
      <c r="BP26" s="4687"/>
      <c r="BQ26" s="4688"/>
      <c r="BR26" s="4688"/>
      <c r="BS26" s="4688"/>
      <c r="BT26" s="4688"/>
      <c r="BU26" s="3983"/>
    </row>
    <row r="27" spans="1:73" s="1965" customFormat="1" ht="61.5" customHeight="1" x14ac:dyDescent="0.25">
      <c r="A27" s="2076"/>
      <c r="B27" s="2077"/>
      <c r="C27" s="1939"/>
      <c r="D27" s="1935"/>
      <c r="E27" s="2078"/>
      <c r="F27" s="2078"/>
      <c r="G27" s="3104"/>
      <c r="H27" s="3105"/>
      <c r="I27" s="3104"/>
      <c r="J27" s="3105"/>
      <c r="K27" s="4487"/>
      <c r="L27" s="3105"/>
      <c r="M27" s="4487"/>
      <c r="N27" s="3105"/>
      <c r="O27" s="4526"/>
      <c r="P27" s="4650"/>
      <c r="Q27" s="4526"/>
      <c r="R27" s="3089"/>
      <c r="S27" s="2726"/>
      <c r="T27" s="4543"/>
      <c r="U27" s="3089"/>
      <c r="V27" s="3054"/>
      <c r="W27" s="1940" t="s">
        <v>2775</v>
      </c>
      <c r="X27" s="829">
        <v>381500</v>
      </c>
      <c r="Y27" s="829"/>
      <c r="Z27" s="829"/>
      <c r="AA27" s="2086" t="s">
        <v>2774</v>
      </c>
      <c r="AB27" s="364">
        <v>61</v>
      </c>
      <c r="AC27" s="1966" t="s">
        <v>2740</v>
      </c>
      <c r="AD27" s="4690"/>
      <c r="AE27" s="4690"/>
      <c r="AF27" s="4690"/>
      <c r="AG27" s="4690"/>
      <c r="AH27" s="4690"/>
      <c r="AI27" s="4690"/>
      <c r="AJ27" s="4690"/>
      <c r="AK27" s="4690"/>
      <c r="AL27" s="4690"/>
      <c r="AM27" s="4690"/>
      <c r="AN27" s="4690"/>
      <c r="AO27" s="4690"/>
      <c r="AP27" s="4690"/>
      <c r="AQ27" s="4690"/>
      <c r="AR27" s="4690"/>
      <c r="AS27" s="4690"/>
      <c r="AT27" s="4690"/>
      <c r="AU27" s="4690"/>
      <c r="AV27" s="4690"/>
      <c r="AW27" s="4690"/>
      <c r="AX27" s="4690"/>
      <c r="AY27" s="4690"/>
      <c r="AZ27" s="4690"/>
      <c r="BA27" s="4690"/>
      <c r="BB27" s="4690"/>
      <c r="BC27" s="4690"/>
      <c r="BD27" s="4690"/>
      <c r="BE27" s="4690"/>
      <c r="BF27" s="4690"/>
      <c r="BG27" s="4690"/>
      <c r="BH27" s="4690"/>
      <c r="BI27" s="4690"/>
      <c r="BJ27" s="4687"/>
      <c r="BK27" s="4687"/>
      <c r="BL27" s="4687"/>
      <c r="BM27" s="4692"/>
      <c r="BN27" s="4687"/>
      <c r="BO27" s="4687"/>
      <c r="BP27" s="4687"/>
      <c r="BQ27" s="4688"/>
      <c r="BR27" s="4688"/>
      <c r="BS27" s="4688"/>
      <c r="BT27" s="4688"/>
      <c r="BU27" s="3983"/>
    </row>
    <row r="28" spans="1:73" s="1965" customFormat="1" ht="73.5" customHeight="1" x14ac:dyDescent="0.25">
      <c r="A28" s="2076"/>
      <c r="B28" s="2077"/>
      <c r="C28" s="1939"/>
      <c r="D28" s="1935"/>
      <c r="E28" s="2078"/>
      <c r="F28" s="2078"/>
      <c r="G28" s="3104"/>
      <c r="H28" s="3105"/>
      <c r="I28" s="3104"/>
      <c r="J28" s="3105"/>
      <c r="K28" s="4487"/>
      <c r="L28" s="3105"/>
      <c r="M28" s="4487"/>
      <c r="N28" s="3105"/>
      <c r="O28" s="4526"/>
      <c r="P28" s="4650"/>
      <c r="Q28" s="4526"/>
      <c r="R28" s="3089"/>
      <c r="S28" s="2726"/>
      <c r="T28" s="4543"/>
      <c r="U28" s="3089"/>
      <c r="V28" s="3054"/>
      <c r="W28" s="2938" t="s">
        <v>2776</v>
      </c>
      <c r="X28" s="829">
        <v>12000000</v>
      </c>
      <c r="Y28" s="829">
        <f>5900000+2750000+1200000</f>
        <v>9850000</v>
      </c>
      <c r="Z28" s="829">
        <f>5900000+2750000+1200000</f>
        <v>9850000</v>
      </c>
      <c r="AA28" s="2080" t="s">
        <v>2777</v>
      </c>
      <c r="AB28" s="364">
        <v>63</v>
      </c>
      <c r="AC28" s="1967" t="s">
        <v>2778</v>
      </c>
      <c r="AD28" s="4690"/>
      <c r="AE28" s="4690"/>
      <c r="AF28" s="4690"/>
      <c r="AG28" s="4690"/>
      <c r="AH28" s="4690"/>
      <c r="AI28" s="4690"/>
      <c r="AJ28" s="4690"/>
      <c r="AK28" s="4690"/>
      <c r="AL28" s="4690"/>
      <c r="AM28" s="4690"/>
      <c r="AN28" s="4690"/>
      <c r="AO28" s="4690"/>
      <c r="AP28" s="4690"/>
      <c r="AQ28" s="4690"/>
      <c r="AR28" s="4690"/>
      <c r="AS28" s="4690"/>
      <c r="AT28" s="4690"/>
      <c r="AU28" s="4690"/>
      <c r="AV28" s="4690"/>
      <c r="AW28" s="4690"/>
      <c r="AX28" s="4690"/>
      <c r="AY28" s="4690"/>
      <c r="AZ28" s="4690"/>
      <c r="BA28" s="4690"/>
      <c r="BB28" s="4690"/>
      <c r="BC28" s="4690"/>
      <c r="BD28" s="4690"/>
      <c r="BE28" s="4690"/>
      <c r="BF28" s="4690"/>
      <c r="BG28" s="4690"/>
      <c r="BH28" s="4690"/>
      <c r="BI28" s="4690"/>
      <c r="BJ28" s="4687"/>
      <c r="BK28" s="4687"/>
      <c r="BL28" s="4687"/>
      <c r="BM28" s="4692"/>
      <c r="BN28" s="4687"/>
      <c r="BO28" s="4687"/>
      <c r="BP28" s="4687"/>
      <c r="BQ28" s="4688"/>
      <c r="BR28" s="4688"/>
      <c r="BS28" s="4688"/>
      <c r="BT28" s="4688"/>
      <c r="BU28" s="3983"/>
    </row>
    <row r="29" spans="1:73" s="1965" customFormat="1" ht="73.5" customHeight="1" x14ac:dyDescent="0.25">
      <c r="A29" s="2076"/>
      <c r="B29" s="2077"/>
      <c r="C29" s="1939"/>
      <c r="D29" s="1935"/>
      <c r="E29" s="2078"/>
      <c r="F29" s="2078"/>
      <c r="G29" s="3104"/>
      <c r="H29" s="3105"/>
      <c r="I29" s="3104"/>
      <c r="J29" s="3105"/>
      <c r="K29" s="4487"/>
      <c r="L29" s="3105"/>
      <c r="M29" s="4487"/>
      <c r="N29" s="3105"/>
      <c r="O29" s="4526"/>
      <c r="P29" s="4650"/>
      <c r="Q29" s="4526"/>
      <c r="R29" s="3089"/>
      <c r="S29" s="2726"/>
      <c r="T29" s="4543"/>
      <c r="U29" s="3089"/>
      <c r="V29" s="3054"/>
      <c r="W29" s="2939"/>
      <c r="X29" s="829">
        <v>128231421.20999999</v>
      </c>
      <c r="Y29" s="829"/>
      <c r="Z29" s="829">
        <v>0</v>
      </c>
      <c r="AA29" s="2080" t="s">
        <v>2779</v>
      </c>
      <c r="AB29" s="364"/>
      <c r="AC29" s="1967"/>
      <c r="AD29" s="4690"/>
      <c r="AE29" s="4690"/>
      <c r="AF29" s="4690"/>
      <c r="AG29" s="4690"/>
      <c r="AH29" s="4690"/>
      <c r="AI29" s="4690"/>
      <c r="AJ29" s="4690"/>
      <c r="AK29" s="4690"/>
      <c r="AL29" s="4690"/>
      <c r="AM29" s="4690"/>
      <c r="AN29" s="4690"/>
      <c r="AO29" s="4690"/>
      <c r="AP29" s="4690"/>
      <c r="AQ29" s="4690"/>
      <c r="AR29" s="4690"/>
      <c r="AS29" s="4690"/>
      <c r="AT29" s="4690"/>
      <c r="AU29" s="4690"/>
      <c r="AV29" s="4690"/>
      <c r="AW29" s="4690"/>
      <c r="AX29" s="4690"/>
      <c r="AY29" s="4690"/>
      <c r="AZ29" s="4690"/>
      <c r="BA29" s="4690"/>
      <c r="BB29" s="4690"/>
      <c r="BC29" s="4690"/>
      <c r="BD29" s="4690"/>
      <c r="BE29" s="4690"/>
      <c r="BF29" s="4690"/>
      <c r="BG29" s="4690"/>
      <c r="BH29" s="4690"/>
      <c r="BI29" s="4690"/>
      <c r="BJ29" s="4687"/>
      <c r="BK29" s="4687"/>
      <c r="BL29" s="4687"/>
      <c r="BM29" s="4692"/>
      <c r="BN29" s="4687"/>
      <c r="BO29" s="4687"/>
      <c r="BP29" s="4687"/>
      <c r="BQ29" s="4688"/>
      <c r="BR29" s="4688"/>
      <c r="BS29" s="4688"/>
      <c r="BT29" s="4688"/>
      <c r="BU29" s="3983"/>
    </row>
    <row r="30" spans="1:73" s="1965" customFormat="1" ht="48.75" customHeight="1" x14ac:dyDescent="0.25">
      <c r="A30" s="2076"/>
      <c r="B30" s="2077"/>
      <c r="C30" s="1939"/>
      <c r="D30" s="1935"/>
      <c r="E30" s="2078"/>
      <c r="F30" s="2078"/>
      <c r="G30" s="3104"/>
      <c r="H30" s="3105"/>
      <c r="I30" s="3104"/>
      <c r="J30" s="3105"/>
      <c r="K30" s="4487"/>
      <c r="L30" s="3105"/>
      <c r="M30" s="4487"/>
      <c r="N30" s="3105"/>
      <c r="O30" s="4526"/>
      <c r="P30" s="4650"/>
      <c r="Q30" s="4526"/>
      <c r="R30" s="3089"/>
      <c r="S30" s="2726"/>
      <c r="T30" s="4543"/>
      <c r="U30" s="3089"/>
      <c r="V30" s="3054"/>
      <c r="W30" s="2938" t="s">
        <v>2780</v>
      </c>
      <c r="X30" s="829">
        <v>100000000</v>
      </c>
      <c r="Y30" s="829">
        <f>77939606.33+20000000</f>
        <v>97939606.329999998</v>
      </c>
      <c r="Z30" s="829">
        <f>77939606.33+20000000</f>
        <v>97939606.329999998</v>
      </c>
      <c r="AA30" s="2080" t="s">
        <v>2777</v>
      </c>
      <c r="AB30" s="364">
        <v>63</v>
      </c>
      <c r="AC30" s="1967" t="s">
        <v>2778</v>
      </c>
      <c r="AD30" s="4690"/>
      <c r="AE30" s="4690"/>
      <c r="AF30" s="4690"/>
      <c r="AG30" s="4690"/>
      <c r="AH30" s="4690"/>
      <c r="AI30" s="4690"/>
      <c r="AJ30" s="4690"/>
      <c r="AK30" s="4690"/>
      <c r="AL30" s="4690"/>
      <c r="AM30" s="4690"/>
      <c r="AN30" s="4690"/>
      <c r="AO30" s="4690"/>
      <c r="AP30" s="4690"/>
      <c r="AQ30" s="4690"/>
      <c r="AR30" s="4690"/>
      <c r="AS30" s="4690"/>
      <c r="AT30" s="4690"/>
      <c r="AU30" s="4690"/>
      <c r="AV30" s="4690"/>
      <c r="AW30" s="4690"/>
      <c r="AX30" s="4690"/>
      <c r="AY30" s="4690"/>
      <c r="AZ30" s="4690"/>
      <c r="BA30" s="4690"/>
      <c r="BB30" s="4690"/>
      <c r="BC30" s="4690"/>
      <c r="BD30" s="4690"/>
      <c r="BE30" s="4690"/>
      <c r="BF30" s="4690"/>
      <c r="BG30" s="4690"/>
      <c r="BH30" s="4690"/>
      <c r="BI30" s="4690"/>
      <c r="BJ30" s="4687"/>
      <c r="BK30" s="4687"/>
      <c r="BL30" s="4687"/>
      <c r="BM30" s="4692"/>
      <c r="BN30" s="4687"/>
      <c r="BO30" s="4687"/>
      <c r="BP30" s="4687"/>
      <c r="BQ30" s="4688"/>
      <c r="BR30" s="4688"/>
      <c r="BS30" s="4688"/>
      <c r="BT30" s="4688"/>
      <c r="BU30" s="3983"/>
    </row>
    <row r="31" spans="1:73" s="1965" customFormat="1" ht="48.75" customHeight="1" x14ac:dyDescent="0.25">
      <c r="A31" s="2076"/>
      <c r="B31" s="2077"/>
      <c r="C31" s="1939"/>
      <c r="D31" s="1935"/>
      <c r="E31" s="2078"/>
      <c r="F31" s="2078"/>
      <c r="G31" s="3104"/>
      <c r="H31" s="3105"/>
      <c r="I31" s="3104"/>
      <c r="J31" s="3105"/>
      <c r="K31" s="4487"/>
      <c r="L31" s="3105"/>
      <c r="M31" s="4487"/>
      <c r="N31" s="3105"/>
      <c r="O31" s="4526"/>
      <c r="P31" s="4650"/>
      <c r="Q31" s="4526"/>
      <c r="R31" s="3089"/>
      <c r="S31" s="2726"/>
      <c r="T31" s="4543"/>
      <c r="U31" s="3089"/>
      <c r="V31" s="3054"/>
      <c r="W31" s="2939"/>
      <c r="X31" s="829">
        <v>66600000</v>
      </c>
      <c r="Y31" s="829">
        <v>47729720</v>
      </c>
      <c r="Z31" s="829">
        <v>47729720</v>
      </c>
      <c r="AA31" s="2080" t="s">
        <v>2779</v>
      </c>
      <c r="AB31" s="364"/>
      <c r="AC31" s="1967"/>
      <c r="AD31" s="4690"/>
      <c r="AE31" s="4690"/>
      <c r="AF31" s="4690"/>
      <c r="AG31" s="4690"/>
      <c r="AH31" s="4690"/>
      <c r="AI31" s="4690"/>
      <c r="AJ31" s="4690"/>
      <c r="AK31" s="4690"/>
      <c r="AL31" s="4690"/>
      <c r="AM31" s="4690"/>
      <c r="AN31" s="4690"/>
      <c r="AO31" s="4690"/>
      <c r="AP31" s="4690"/>
      <c r="AQ31" s="4690"/>
      <c r="AR31" s="4690"/>
      <c r="AS31" s="4690"/>
      <c r="AT31" s="4690"/>
      <c r="AU31" s="4690"/>
      <c r="AV31" s="4690"/>
      <c r="AW31" s="4690"/>
      <c r="AX31" s="4690"/>
      <c r="AY31" s="4690"/>
      <c r="AZ31" s="4690"/>
      <c r="BA31" s="4690"/>
      <c r="BB31" s="4690"/>
      <c r="BC31" s="4690"/>
      <c r="BD31" s="4690"/>
      <c r="BE31" s="4690"/>
      <c r="BF31" s="4690"/>
      <c r="BG31" s="4690"/>
      <c r="BH31" s="4690"/>
      <c r="BI31" s="4690"/>
      <c r="BJ31" s="4687"/>
      <c r="BK31" s="4687"/>
      <c r="BL31" s="4687"/>
      <c r="BM31" s="4692"/>
      <c r="BN31" s="4687"/>
      <c r="BO31" s="4687"/>
      <c r="BP31" s="4687"/>
      <c r="BQ31" s="4688"/>
      <c r="BR31" s="4688"/>
      <c r="BS31" s="4688"/>
      <c r="BT31" s="4688"/>
      <c r="BU31" s="3983"/>
    </row>
    <row r="32" spans="1:73" s="1965" customFormat="1" ht="61.5" customHeight="1" x14ac:dyDescent="0.25">
      <c r="A32" s="2076"/>
      <c r="B32" s="2077"/>
      <c r="C32" s="1939"/>
      <c r="D32" s="1935"/>
      <c r="E32" s="2078"/>
      <c r="F32" s="2078"/>
      <c r="G32" s="3104"/>
      <c r="H32" s="3105"/>
      <c r="I32" s="3104"/>
      <c r="J32" s="3105"/>
      <c r="K32" s="4487"/>
      <c r="L32" s="3105"/>
      <c r="M32" s="4487"/>
      <c r="N32" s="3105"/>
      <c r="O32" s="4526"/>
      <c r="P32" s="4650"/>
      <c r="Q32" s="4526"/>
      <c r="R32" s="3089"/>
      <c r="S32" s="2726"/>
      <c r="T32" s="4543"/>
      <c r="U32" s="3089"/>
      <c r="V32" s="3054"/>
      <c r="W32" s="1940" t="s">
        <v>2781</v>
      </c>
      <c r="X32" s="829">
        <v>22000000</v>
      </c>
      <c r="Y32" s="829"/>
      <c r="Z32" s="829"/>
      <c r="AA32" s="2080" t="s">
        <v>2782</v>
      </c>
      <c r="AB32" s="364">
        <v>63</v>
      </c>
      <c r="AC32" s="1967" t="s">
        <v>2778</v>
      </c>
      <c r="AD32" s="4690"/>
      <c r="AE32" s="4690"/>
      <c r="AF32" s="4690"/>
      <c r="AG32" s="4690"/>
      <c r="AH32" s="4690"/>
      <c r="AI32" s="4690"/>
      <c r="AJ32" s="4690"/>
      <c r="AK32" s="4690"/>
      <c r="AL32" s="4690"/>
      <c r="AM32" s="4690"/>
      <c r="AN32" s="4690"/>
      <c r="AO32" s="4690"/>
      <c r="AP32" s="4690"/>
      <c r="AQ32" s="4690"/>
      <c r="AR32" s="4690"/>
      <c r="AS32" s="4690"/>
      <c r="AT32" s="4690"/>
      <c r="AU32" s="4690"/>
      <c r="AV32" s="4690"/>
      <c r="AW32" s="4690"/>
      <c r="AX32" s="4690"/>
      <c r="AY32" s="4690"/>
      <c r="AZ32" s="4690"/>
      <c r="BA32" s="4690"/>
      <c r="BB32" s="4690"/>
      <c r="BC32" s="4690"/>
      <c r="BD32" s="4690"/>
      <c r="BE32" s="4690"/>
      <c r="BF32" s="4690"/>
      <c r="BG32" s="4690"/>
      <c r="BH32" s="4690"/>
      <c r="BI32" s="4690"/>
      <c r="BJ32" s="4687"/>
      <c r="BK32" s="4687"/>
      <c r="BL32" s="4687"/>
      <c r="BM32" s="4692"/>
      <c r="BN32" s="4687"/>
      <c r="BO32" s="4687"/>
      <c r="BP32" s="4687"/>
      <c r="BQ32" s="4688"/>
      <c r="BR32" s="4688"/>
      <c r="BS32" s="4688"/>
      <c r="BT32" s="4688"/>
      <c r="BU32" s="3983"/>
    </row>
    <row r="33" spans="1:73" s="1965" customFormat="1" ht="67.5" customHeight="1" x14ac:dyDescent="0.25">
      <c r="A33" s="2076"/>
      <c r="B33" s="2077"/>
      <c r="C33" s="1939"/>
      <c r="D33" s="1935"/>
      <c r="E33" s="2078"/>
      <c r="F33" s="2078"/>
      <c r="G33" s="3104"/>
      <c r="H33" s="3105"/>
      <c r="I33" s="3104"/>
      <c r="J33" s="3105"/>
      <c r="K33" s="4487"/>
      <c r="L33" s="3105"/>
      <c r="M33" s="4487"/>
      <c r="N33" s="3105"/>
      <c r="O33" s="4526"/>
      <c r="P33" s="4650"/>
      <c r="Q33" s="4526"/>
      <c r="R33" s="3089"/>
      <c r="S33" s="2726"/>
      <c r="T33" s="4543"/>
      <c r="U33" s="3089"/>
      <c r="V33" s="3054"/>
      <c r="W33" s="2938" t="s">
        <v>2783</v>
      </c>
      <c r="X33" s="829">
        <v>10000000</v>
      </c>
      <c r="Y33" s="829"/>
      <c r="Z33" s="829"/>
      <c r="AA33" s="2080" t="s">
        <v>2777</v>
      </c>
      <c r="AB33" s="364">
        <v>63</v>
      </c>
      <c r="AC33" s="1967" t="s">
        <v>2778</v>
      </c>
      <c r="AD33" s="4690"/>
      <c r="AE33" s="4690"/>
      <c r="AF33" s="4690"/>
      <c r="AG33" s="4690"/>
      <c r="AH33" s="4690"/>
      <c r="AI33" s="4690"/>
      <c r="AJ33" s="4690"/>
      <c r="AK33" s="4690"/>
      <c r="AL33" s="4690"/>
      <c r="AM33" s="4690"/>
      <c r="AN33" s="4690"/>
      <c r="AO33" s="4690"/>
      <c r="AP33" s="4690"/>
      <c r="AQ33" s="4690"/>
      <c r="AR33" s="4690"/>
      <c r="AS33" s="4690"/>
      <c r="AT33" s="4690"/>
      <c r="AU33" s="4690"/>
      <c r="AV33" s="4690"/>
      <c r="AW33" s="4690"/>
      <c r="AX33" s="4690"/>
      <c r="AY33" s="4690"/>
      <c r="AZ33" s="4690"/>
      <c r="BA33" s="4690"/>
      <c r="BB33" s="4690"/>
      <c r="BC33" s="4690"/>
      <c r="BD33" s="4690"/>
      <c r="BE33" s="4690"/>
      <c r="BF33" s="4690"/>
      <c r="BG33" s="4690"/>
      <c r="BH33" s="4690"/>
      <c r="BI33" s="4690"/>
      <c r="BJ33" s="4687"/>
      <c r="BK33" s="4687"/>
      <c r="BL33" s="4687"/>
      <c r="BM33" s="4692"/>
      <c r="BN33" s="4687"/>
      <c r="BO33" s="4687"/>
      <c r="BP33" s="4687"/>
      <c r="BQ33" s="4688"/>
      <c r="BR33" s="4688"/>
      <c r="BS33" s="4688"/>
      <c r="BT33" s="4688"/>
      <c r="BU33" s="3983"/>
    </row>
    <row r="34" spans="1:73" s="1965" customFormat="1" ht="67.5" customHeight="1" x14ac:dyDescent="0.25">
      <c r="A34" s="2076"/>
      <c r="B34" s="2077"/>
      <c r="C34" s="1939"/>
      <c r="D34" s="1935"/>
      <c r="E34" s="2078"/>
      <c r="F34" s="2078"/>
      <c r="G34" s="3104"/>
      <c r="H34" s="3105"/>
      <c r="I34" s="3104"/>
      <c r="J34" s="3105"/>
      <c r="K34" s="4487"/>
      <c r="L34" s="3105"/>
      <c r="M34" s="4487"/>
      <c r="N34" s="3105"/>
      <c r="O34" s="4526"/>
      <c r="P34" s="4650"/>
      <c r="Q34" s="4526"/>
      <c r="R34" s="3089"/>
      <c r="S34" s="2726"/>
      <c r="T34" s="4543"/>
      <c r="U34" s="3089"/>
      <c r="V34" s="3054"/>
      <c r="W34" s="2939"/>
      <c r="X34" s="2083">
        <v>28700000</v>
      </c>
      <c r="Y34" s="2083"/>
      <c r="Z34" s="2083"/>
      <c r="AA34" s="2086" t="s">
        <v>2779</v>
      </c>
      <c r="AB34" s="364"/>
      <c r="AC34" s="1967"/>
      <c r="AD34" s="4690"/>
      <c r="AE34" s="4690"/>
      <c r="AF34" s="4690"/>
      <c r="AG34" s="4690"/>
      <c r="AH34" s="4690"/>
      <c r="AI34" s="4690"/>
      <c r="AJ34" s="4690"/>
      <c r="AK34" s="4690"/>
      <c r="AL34" s="4690"/>
      <c r="AM34" s="4690"/>
      <c r="AN34" s="4690"/>
      <c r="AO34" s="4690"/>
      <c r="AP34" s="4690"/>
      <c r="AQ34" s="4690"/>
      <c r="AR34" s="4690"/>
      <c r="AS34" s="4690"/>
      <c r="AT34" s="4690"/>
      <c r="AU34" s="4690"/>
      <c r="AV34" s="4690"/>
      <c r="AW34" s="4690"/>
      <c r="AX34" s="4690"/>
      <c r="AY34" s="4690"/>
      <c r="AZ34" s="4690"/>
      <c r="BA34" s="4690"/>
      <c r="BB34" s="4690"/>
      <c r="BC34" s="4690"/>
      <c r="BD34" s="4690"/>
      <c r="BE34" s="4690"/>
      <c r="BF34" s="4690"/>
      <c r="BG34" s="4690"/>
      <c r="BH34" s="4690"/>
      <c r="BI34" s="4690"/>
      <c r="BJ34" s="4687"/>
      <c r="BK34" s="4687"/>
      <c r="BL34" s="4687"/>
      <c r="BM34" s="4692"/>
      <c r="BN34" s="4687"/>
      <c r="BO34" s="4687"/>
      <c r="BP34" s="4687"/>
      <c r="BQ34" s="4688"/>
      <c r="BR34" s="4688"/>
      <c r="BS34" s="4688"/>
      <c r="BT34" s="4688"/>
      <c r="BU34" s="3983"/>
    </row>
    <row r="35" spans="1:73" s="1965" customFormat="1" ht="67.5" customHeight="1" x14ac:dyDescent="0.25">
      <c r="A35" s="2076"/>
      <c r="B35" s="2077"/>
      <c r="C35" s="1939"/>
      <c r="D35" s="1935"/>
      <c r="E35" s="2078"/>
      <c r="F35" s="2078"/>
      <c r="G35" s="3104"/>
      <c r="H35" s="3105"/>
      <c r="I35" s="3104"/>
      <c r="J35" s="3105"/>
      <c r="K35" s="4487"/>
      <c r="L35" s="3105"/>
      <c r="M35" s="4487"/>
      <c r="N35" s="3105"/>
      <c r="O35" s="4526"/>
      <c r="P35" s="4650"/>
      <c r="Q35" s="4526"/>
      <c r="R35" s="3089"/>
      <c r="S35" s="2726"/>
      <c r="T35" s="4543"/>
      <c r="U35" s="3089"/>
      <c r="V35" s="3054"/>
      <c r="W35" s="2087" t="s">
        <v>2784</v>
      </c>
      <c r="X35" s="2083">
        <v>28700000</v>
      </c>
      <c r="Y35" s="2083"/>
      <c r="Z35" s="2083"/>
      <c r="AA35" s="2088" t="s">
        <v>2785</v>
      </c>
      <c r="AB35" s="364"/>
      <c r="AC35" s="1967"/>
      <c r="AD35" s="4690"/>
      <c r="AE35" s="4690"/>
      <c r="AF35" s="4690"/>
      <c r="AG35" s="4690"/>
      <c r="AH35" s="4690"/>
      <c r="AI35" s="4690"/>
      <c r="AJ35" s="4690"/>
      <c r="AK35" s="4690"/>
      <c r="AL35" s="4690"/>
      <c r="AM35" s="4690"/>
      <c r="AN35" s="4690"/>
      <c r="AO35" s="4690"/>
      <c r="AP35" s="4690"/>
      <c r="AQ35" s="4690"/>
      <c r="AR35" s="4690"/>
      <c r="AS35" s="4690"/>
      <c r="AT35" s="4690"/>
      <c r="AU35" s="4690"/>
      <c r="AV35" s="4690"/>
      <c r="AW35" s="4690"/>
      <c r="AX35" s="4690"/>
      <c r="AY35" s="4690"/>
      <c r="AZ35" s="4690"/>
      <c r="BA35" s="4690"/>
      <c r="BB35" s="4690"/>
      <c r="BC35" s="4690"/>
      <c r="BD35" s="4690"/>
      <c r="BE35" s="4690"/>
      <c r="BF35" s="4690"/>
      <c r="BG35" s="4690"/>
      <c r="BH35" s="4690"/>
      <c r="BI35" s="4690"/>
      <c r="BJ35" s="4687"/>
      <c r="BK35" s="4687"/>
      <c r="BL35" s="4687"/>
      <c r="BM35" s="4692"/>
      <c r="BN35" s="4687"/>
      <c r="BO35" s="4687"/>
      <c r="BP35" s="4687"/>
      <c r="BQ35" s="4688"/>
      <c r="BR35" s="4688"/>
      <c r="BS35" s="4688"/>
      <c r="BT35" s="4688"/>
      <c r="BU35" s="3983"/>
    </row>
    <row r="36" spans="1:73" s="1965" customFormat="1" ht="69" customHeight="1" x14ac:dyDescent="0.25">
      <c r="A36" s="2076"/>
      <c r="B36" s="2077"/>
      <c r="C36" s="1939"/>
      <c r="D36" s="1935"/>
      <c r="E36" s="2078"/>
      <c r="F36" s="2078"/>
      <c r="G36" s="3104"/>
      <c r="H36" s="3105"/>
      <c r="I36" s="3104"/>
      <c r="J36" s="3105"/>
      <c r="K36" s="4487"/>
      <c r="L36" s="3105"/>
      <c r="M36" s="4487"/>
      <c r="N36" s="3105"/>
      <c r="O36" s="4526"/>
      <c r="P36" s="4650"/>
      <c r="Q36" s="4526"/>
      <c r="R36" s="3089"/>
      <c r="S36" s="2726"/>
      <c r="T36" s="4543"/>
      <c r="U36" s="3089"/>
      <c r="V36" s="3054"/>
      <c r="W36" s="2089" t="s">
        <v>2786</v>
      </c>
      <c r="X36" s="829">
        <v>10000000</v>
      </c>
      <c r="Y36" s="829">
        <v>9150000</v>
      </c>
      <c r="Z36" s="829">
        <v>9150000</v>
      </c>
      <c r="AA36" s="2090" t="s">
        <v>2777</v>
      </c>
      <c r="AB36" s="364">
        <v>63</v>
      </c>
      <c r="AC36" s="1967" t="s">
        <v>2778</v>
      </c>
      <c r="AD36" s="4690"/>
      <c r="AE36" s="4690"/>
      <c r="AF36" s="4690"/>
      <c r="AG36" s="4690"/>
      <c r="AH36" s="4690"/>
      <c r="AI36" s="4690"/>
      <c r="AJ36" s="4690"/>
      <c r="AK36" s="4690"/>
      <c r="AL36" s="4690"/>
      <c r="AM36" s="4690"/>
      <c r="AN36" s="4690"/>
      <c r="AO36" s="4690"/>
      <c r="AP36" s="4690"/>
      <c r="AQ36" s="4690"/>
      <c r="AR36" s="4690"/>
      <c r="AS36" s="4690"/>
      <c r="AT36" s="4690"/>
      <c r="AU36" s="4690"/>
      <c r="AV36" s="4690"/>
      <c r="AW36" s="4690"/>
      <c r="AX36" s="4690"/>
      <c r="AY36" s="4690"/>
      <c r="AZ36" s="4690"/>
      <c r="BA36" s="4690"/>
      <c r="BB36" s="4690"/>
      <c r="BC36" s="4690"/>
      <c r="BD36" s="4690"/>
      <c r="BE36" s="4690"/>
      <c r="BF36" s="4690"/>
      <c r="BG36" s="4690"/>
      <c r="BH36" s="4690"/>
      <c r="BI36" s="4690"/>
      <c r="BJ36" s="4687"/>
      <c r="BK36" s="4687"/>
      <c r="BL36" s="4687"/>
      <c r="BM36" s="4692"/>
      <c r="BN36" s="4687"/>
      <c r="BO36" s="4687"/>
      <c r="BP36" s="4687"/>
      <c r="BQ36" s="4688"/>
      <c r="BR36" s="4688"/>
      <c r="BS36" s="4688"/>
      <c r="BT36" s="4688"/>
      <c r="BU36" s="3983"/>
    </row>
    <row r="37" spans="1:73" s="1965" customFormat="1" ht="48.75" customHeight="1" x14ac:dyDescent="0.25">
      <c r="A37" s="2076"/>
      <c r="B37" s="2077"/>
      <c r="C37" s="1939"/>
      <c r="D37" s="1935"/>
      <c r="E37" s="2078"/>
      <c r="F37" s="2078"/>
      <c r="G37" s="3104"/>
      <c r="H37" s="3105"/>
      <c r="I37" s="3104"/>
      <c r="J37" s="3105"/>
      <c r="K37" s="4487"/>
      <c r="L37" s="3105"/>
      <c r="M37" s="4487"/>
      <c r="N37" s="3105"/>
      <c r="O37" s="4526"/>
      <c r="P37" s="4650"/>
      <c r="Q37" s="4526"/>
      <c r="R37" s="3089"/>
      <c r="S37" s="2726"/>
      <c r="T37" s="4543"/>
      <c r="U37" s="3089"/>
      <c r="V37" s="3054"/>
      <c r="W37" s="2938" t="s">
        <v>2787</v>
      </c>
      <c r="X37" s="2079">
        <v>4000000</v>
      </c>
      <c r="Y37" s="2079"/>
      <c r="Z37" s="2079"/>
      <c r="AA37" s="2091" t="s">
        <v>2782</v>
      </c>
      <c r="AB37" s="364">
        <v>63</v>
      </c>
      <c r="AC37" s="1967" t="s">
        <v>2778</v>
      </c>
      <c r="AD37" s="4690"/>
      <c r="AE37" s="4690"/>
      <c r="AF37" s="4690"/>
      <c r="AG37" s="4690"/>
      <c r="AH37" s="4690"/>
      <c r="AI37" s="4690"/>
      <c r="AJ37" s="4690"/>
      <c r="AK37" s="4690"/>
      <c r="AL37" s="4690"/>
      <c r="AM37" s="4690"/>
      <c r="AN37" s="4690"/>
      <c r="AO37" s="4690"/>
      <c r="AP37" s="4690"/>
      <c r="AQ37" s="4690"/>
      <c r="AR37" s="4690"/>
      <c r="AS37" s="4690"/>
      <c r="AT37" s="4690"/>
      <c r="AU37" s="4690"/>
      <c r="AV37" s="4690"/>
      <c r="AW37" s="4690"/>
      <c r="AX37" s="4690"/>
      <c r="AY37" s="4690"/>
      <c r="AZ37" s="4690"/>
      <c r="BA37" s="4690"/>
      <c r="BB37" s="4690"/>
      <c r="BC37" s="4690"/>
      <c r="BD37" s="4690"/>
      <c r="BE37" s="4690"/>
      <c r="BF37" s="4690"/>
      <c r="BG37" s="4690"/>
      <c r="BH37" s="4690"/>
      <c r="BI37" s="4690"/>
      <c r="BJ37" s="4687"/>
      <c r="BK37" s="4687"/>
      <c r="BL37" s="4687"/>
      <c r="BM37" s="4692"/>
      <c r="BN37" s="4687"/>
      <c r="BO37" s="4687"/>
      <c r="BP37" s="4687"/>
      <c r="BQ37" s="4688"/>
      <c r="BR37" s="4688"/>
      <c r="BS37" s="4688"/>
      <c r="BT37" s="4688"/>
      <c r="BU37" s="3983"/>
    </row>
    <row r="38" spans="1:73" s="1965" customFormat="1" ht="48.75" customHeight="1" x14ac:dyDescent="0.25">
      <c r="A38" s="2076"/>
      <c r="B38" s="2077"/>
      <c r="C38" s="1939"/>
      <c r="D38" s="1935"/>
      <c r="E38" s="2078"/>
      <c r="F38" s="2078"/>
      <c r="G38" s="3104"/>
      <c r="H38" s="3105"/>
      <c r="I38" s="3104"/>
      <c r="J38" s="3105"/>
      <c r="K38" s="4487"/>
      <c r="L38" s="3105"/>
      <c r="M38" s="4487"/>
      <c r="N38" s="3105"/>
      <c r="O38" s="4526"/>
      <c r="P38" s="4650"/>
      <c r="Q38" s="4526"/>
      <c r="R38" s="3089"/>
      <c r="S38" s="2726"/>
      <c r="T38" s="4543"/>
      <c r="U38" s="3089"/>
      <c r="V38" s="3054"/>
      <c r="W38" s="3100"/>
      <c r="X38" s="829">
        <v>18000000</v>
      </c>
      <c r="Y38" s="829"/>
      <c r="Z38" s="829"/>
      <c r="AA38" s="2086" t="s">
        <v>2777</v>
      </c>
      <c r="AB38" s="364">
        <v>63</v>
      </c>
      <c r="AC38" s="1967" t="s">
        <v>2778</v>
      </c>
      <c r="AD38" s="4690"/>
      <c r="AE38" s="4690"/>
      <c r="AF38" s="4690"/>
      <c r="AG38" s="4690"/>
      <c r="AH38" s="4690"/>
      <c r="AI38" s="4690"/>
      <c r="AJ38" s="4690"/>
      <c r="AK38" s="4690"/>
      <c r="AL38" s="4690"/>
      <c r="AM38" s="4690"/>
      <c r="AN38" s="4690"/>
      <c r="AO38" s="4690"/>
      <c r="AP38" s="4690"/>
      <c r="AQ38" s="4690"/>
      <c r="AR38" s="4690"/>
      <c r="AS38" s="4690"/>
      <c r="AT38" s="4690"/>
      <c r="AU38" s="4690"/>
      <c r="AV38" s="4690"/>
      <c r="AW38" s="4690"/>
      <c r="AX38" s="4690"/>
      <c r="AY38" s="4690"/>
      <c r="AZ38" s="4690"/>
      <c r="BA38" s="4690"/>
      <c r="BB38" s="4690"/>
      <c r="BC38" s="4690"/>
      <c r="BD38" s="4690"/>
      <c r="BE38" s="4690"/>
      <c r="BF38" s="4690"/>
      <c r="BG38" s="4690"/>
      <c r="BH38" s="4690"/>
      <c r="BI38" s="4690"/>
      <c r="BJ38" s="4687"/>
      <c r="BK38" s="4687"/>
      <c r="BL38" s="4687"/>
      <c r="BM38" s="4692"/>
      <c r="BN38" s="4687"/>
      <c r="BO38" s="4687"/>
      <c r="BP38" s="4687"/>
      <c r="BQ38" s="4688"/>
      <c r="BR38" s="4688"/>
      <c r="BS38" s="4688"/>
      <c r="BT38" s="4688"/>
      <c r="BU38" s="3983"/>
    </row>
    <row r="39" spans="1:73" s="1965" customFormat="1" ht="48.75" customHeight="1" x14ac:dyDescent="0.25">
      <c r="A39" s="2076"/>
      <c r="B39" s="2077"/>
      <c r="C39" s="1939"/>
      <c r="D39" s="1935"/>
      <c r="E39" s="2078"/>
      <c r="F39" s="2078"/>
      <c r="G39" s="3104"/>
      <c r="H39" s="3105"/>
      <c r="I39" s="3104"/>
      <c r="J39" s="3105"/>
      <c r="K39" s="4487"/>
      <c r="L39" s="3105"/>
      <c r="M39" s="4487"/>
      <c r="N39" s="3105"/>
      <c r="O39" s="4526"/>
      <c r="P39" s="4650"/>
      <c r="Q39" s="4526"/>
      <c r="R39" s="3089"/>
      <c r="S39" s="2726"/>
      <c r="T39" s="4543"/>
      <c r="U39" s="3089"/>
      <c r="V39" s="3054"/>
      <c r="W39" s="2939"/>
      <c r="X39" s="829">
        <v>19350000</v>
      </c>
      <c r="Y39" s="829">
        <v>3708333.33</v>
      </c>
      <c r="Z39" s="829">
        <v>3708333.33</v>
      </c>
      <c r="AA39" s="2086" t="s">
        <v>2779</v>
      </c>
      <c r="AB39" s="364">
        <v>99</v>
      </c>
      <c r="AC39" s="1967"/>
      <c r="AD39" s="4690"/>
      <c r="AE39" s="4690"/>
      <c r="AF39" s="4690"/>
      <c r="AG39" s="4690"/>
      <c r="AH39" s="4690"/>
      <c r="AI39" s="4690"/>
      <c r="AJ39" s="4690"/>
      <c r="AK39" s="4690"/>
      <c r="AL39" s="4690"/>
      <c r="AM39" s="4690"/>
      <c r="AN39" s="4690"/>
      <c r="AO39" s="4690"/>
      <c r="AP39" s="4690"/>
      <c r="AQ39" s="4690"/>
      <c r="AR39" s="4690"/>
      <c r="AS39" s="4690"/>
      <c r="AT39" s="4690"/>
      <c r="AU39" s="4690"/>
      <c r="AV39" s="4690"/>
      <c r="AW39" s="4690"/>
      <c r="AX39" s="4690"/>
      <c r="AY39" s="4690"/>
      <c r="AZ39" s="4690"/>
      <c r="BA39" s="4690"/>
      <c r="BB39" s="4690"/>
      <c r="BC39" s="4690"/>
      <c r="BD39" s="4690"/>
      <c r="BE39" s="4690"/>
      <c r="BF39" s="4690"/>
      <c r="BG39" s="4690"/>
      <c r="BH39" s="4690"/>
      <c r="BI39" s="4690"/>
      <c r="BJ39" s="4687"/>
      <c r="BK39" s="4687"/>
      <c r="BL39" s="4687"/>
      <c r="BM39" s="4692"/>
      <c r="BN39" s="4687"/>
      <c r="BO39" s="4687"/>
      <c r="BP39" s="4687"/>
      <c r="BQ39" s="4688"/>
      <c r="BR39" s="4688"/>
      <c r="BS39" s="4688"/>
      <c r="BT39" s="4688"/>
      <c r="BU39" s="3983"/>
    </row>
    <row r="40" spans="1:73" s="1965" customFormat="1" ht="48.75" customHeight="1" x14ac:dyDescent="0.25">
      <c r="A40" s="2076"/>
      <c r="B40" s="2077"/>
      <c r="C40" s="1939"/>
      <c r="D40" s="1935"/>
      <c r="E40" s="2078"/>
      <c r="F40" s="2078"/>
      <c r="G40" s="3104"/>
      <c r="H40" s="3105"/>
      <c r="I40" s="3104"/>
      <c r="J40" s="3105"/>
      <c r="K40" s="4487"/>
      <c r="L40" s="3105"/>
      <c r="M40" s="4487"/>
      <c r="N40" s="3105"/>
      <c r="O40" s="4526"/>
      <c r="P40" s="4650"/>
      <c r="Q40" s="4526"/>
      <c r="R40" s="3089"/>
      <c r="S40" s="2726"/>
      <c r="T40" s="4543"/>
      <c r="U40" s="3089"/>
      <c r="V40" s="3054"/>
      <c r="W40" s="2938" t="s">
        <v>2788</v>
      </c>
      <c r="X40" s="829">
        <v>628700000</v>
      </c>
      <c r="Y40" s="829">
        <v>441808733</v>
      </c>
      <c r="Z40" s="829">
        <v>441808733</v>
      </c>
      <c r="AA40" s="2086" t="s">
        <v>2782</v>
      </c>
      <c r="AB40" s="364">
        <v>63</v>
      </c>
      <c r="AC40" s="1967"/>
      <c r="AD40" s="4690"/>
      <c r="AE40" s="4690"/>
      <c r="AF40" s="4690"/>
      <c r="AG40" s="4690"/>
      <c r="AH40" s="4690"/>
      <c r="AI40" s="4690"/>
      <c r="AJ40" s="4690"/>
      <c r="AK40" s="4690"/>
      <c r="AL40" s="4690"/>
      <c r="AM40" s="4690"/>
      <c r="AN40" s="4690"/>
      <c r="AO40" s="4690"/>
      <c r="AP40" s="4690"/>
      <c r="AQ40" s="4690"/>
      <c r="AR40" s="4690"/>
      <c r="AS40" s="4690"/>
      <c r="AT40" s="4690"/>
      <c r="AU40" s="4690"/>
      <c r="AV40" s="4690"/>
      <c r="AW40" s="4690"/>
      <c r="AX40" s="4690"/>
      <c r="AY40" s="4690"/>
      <c r="AZ40" s="4690"/>
      <c r="BA40" s="4690"/>
      <c r="BB40" s="4690"/>
      <c r="BC40" s="4690"/>
      <c r="BD40" s="4690"/>
      <c r="BE40" s="4690"/>
      <c r="BF40" s="4690"/>
      <c r="BG40" s="4690"/>
      <c r="BH40" s="4690"/>
      <c r="BI40" s="4690"/>
      <c r="BJ40" s="4687"/>
      <c r="BK40" s="4687"/>
      <c r="BL40" s="4687"/>
      <c r="BM40" s="4692"/>
      <c r="BN40" s="4687"/>
      <c r="BO40" s="4687"/>
      <c r="BP40" s="4687"/>
      <c r="BQ40" s="4688"/>
      <c r="BR40" s="4688"/>
      <c r="BS40" s="4688"/>
      <c r="BT40" s="4688"/>
      <c r="BU40" s="3983"/>
    </row>
    <row r="41" spans="1:73" s="1965" customFormat="1" ht="48.75" customHeight="1" x14ac:dyDescent="0.25">
      <c r="A41" s="2076"/>
      <c r="B41" s="2077"/>
      <c r="C41" s="1939"/>
      <c r="D41" s="1935"/>
      <c r="E41" s="2078"/>
      <c r="F41" s="2078"/>
      <c r="G41" s="3104"/>
      <c r="H41" s="3105"/>
      <c r="I41" s="3104"/>
      <c r="J41" s="3105"/>
      <c r="K41" s="4487"/>
      <c r="L41" s="3105"/>
      <c r="M41" s="4487"/>
      <c r="N41" s="3105"/>
      <c r="O41" s="4526"/>
      <c r="P41" s="4650"/>
      <c r="Q41" s="4526"/>
      <c r="R41" s="3089"/>
      <c r="S41" s="2726"/>
      <c r="T41" s="4543"/>
      <c r="U41" s="3089"/>
      <c r="V41" s="3054"/>
      <c r="W41" s="2939"/>
      <c r="X41" s="829">
        <v>300000000</v>
      </c>
      <c r="Y41" s="829">
        <v>0</v>
      </c>
      <c r="Z41" s="829">
        <v>0</v>
      </c>
      <c r="AA41" s="2092" t="s">
        <v>2789</v>
      </c>
      <c r="AB41" s="364">
        <v>63</v>
      </c>
      <c r="AC41" s="1967" t="s">
        <v>2778</v>
      </c>
      <c r="AD41" s="4690"/>
      <c r="AE41" s="4690"/>
      <c r="AF41" s="4690"/>
      <c r="AG41" s="4690"/>
      <c r="AH41" s="4690"/>
      <c r="AI41" s="4690"/>
      <c r="AJ41" s="4690"/>
      <c r="AK41" s="4690"/>
      <c r="AL41" s="4690"/>
      <c r="AM41" s="4690"/>
      <c r="AN41" s="4690"/>
      <c r="AO41" s="4690"/>
      <c r="AP41" s="4690"/>
      <c r="AQ41" s="4690"/>
      <c r="AR41" s="4690"/>
      <c r="AS41" s="4690"/>
      <c r="AT41" s="4690"/>
      <c r="AU41" s="4690"/>
      <c r="AV41" s="4690"/>
      <c r="AW41" s="4690"/>
      <c r="AX41" s="4690"/>
      <c r="AY41" s="4690"/>
      <c r="AZ41" s="4690"/>
      <c r="BA41" s="4690"/>
      <c r="BB41" s="4690"/>
      <c r="BC41" s="4690"/>
      <c r="BD41" s="4690"/>
      <c r="BE41" s="4690"/>
      <c r="BF41" s="4690"/>
      <c r="BG41" s="4690"/>
      <c r="BH41" s="4690"/>
      <c r="BI41" s="4690"/>
      <c r="BJ41" s="4687"/>
      <c r="BK41" s="4687"/>
      <c r="BL41" s="4687"/>
      <c r="BM41" s="4692"/>
      <c r="BN41" s="4687"/>
      <c r="BO41" s="4687"/>
      <c r="BP41" s="4687"/>
      <c r="BQ41" s="4688"/>
      <c r="BR41" s="4688"/>
      <c r="BS41" s="4688"/>
      <c r="BT41" s="4688"/>
      <c r="BU41" s="3983"/>
    </row>
    <row r="42" spans="1:73" s="1965" customFormat="1" ht="48.75" customHeight="1" x14ac:dyDescent="0.25">
      <c r="A42" s="2076"/>
      <c r="B42" s="2077"/>
      <c r="C42" s="1939"/>
      <c r="D42" s="1935"/>
      <c r="E42" s="2078"/>
      <c r="F42" s="2078"/>
      <c r="G42" s="3104"/>
      <c r="H42" s="3105"/>
      <c r="I42" s="3104"/>
      <c r="J42" s="3105"/>
      <c r="K42" s="4487"/>
      <c r="L42" s="3105"/>
      <c r="M42" s="4487"/>
      <c r="N42" s="3105"/>
      <c r="O42" s="4526"/>
      <c r="P42" s="4651"/>
      <c r="Q42" s="4526"/>
      <c r="R42" s="3089"/>
      <c r="S42" s="2727"/>
      <c r="T42" s="4543"/>
      <c r="U42" s="3089"/>
      <c r="V42" s="3054"/>
      <c r="W42" s="1936" t="s">
        <v>2790</v>
      </c>
      <c r="X42" s="829">
        <v>40000000</v>
      </c>
      <c r="Y42" s="829">
        <v>11691750</v>
      </c>
      <c r="Z42" s="829">
        <v>11691750</v>
      </c>
      <c r="AA42" s="2093" t="s">
        <v>2791</v>
      </c>
      <c r="AB42" s="364">
        <v>99</v>
      </c>
      <c r="AC42" s="1967"/>
      <c r="AD42" s="4690"/>
      <c r="AE42" s="4690"/>
      <c r="AF42" s="4690"/>
      <c r="AG42" s="4690"/>
      <c r="AH42" s="4690"/>
      <c r="AI42" s="4690"/>
      <c r="AJ42" s="4690"/>
      <c r="AK42" s="4690"/>
      <c r="AL42" s="4690"/>
      <c r="AM42" s="4690"/>
      <c r="AN42" s="4690"/>
      <c r="AO42" s="4690"/>
      <c r="AP42" s="4690"/>
      <c r="AQ42" s="4690"/>
      <c r="AR42" s="4690"/>
      <c r="AS42" s="4690"/>
      <c r="AT42" s="4690"/>
      <c r="AU42" s="4690"/>
      <c r="AV42" s="4690"/>
      <c r="AW42" s="4690"/>
      <c r="AX42" s="4690"/>
      <c r="AY42" s="4690"/>
      <c r="AZ42" s="4690"/>
      <c r="BA42" s="4690"/>
      <c r="BB42" s="4690"/>
      <c r="BC42" s="4690"/>
      <c r="BD42" s="4690"/>
      <c r="BE42" s="4690"/>
      <c r="BF42" s="4690"/>
      <c r="BG42" s="4690"/>
      <c r="BH42" s="4690"/>
      <c r="BI42" s="4690"/>
      <c r="BJ42" s="4687"/>
      <c r="BK42" s="4687"/>
      <c r="BL42" s="4687"/>
      <c r="BM42" s="4692"/>
      <c r="BN42" s="4687"/>
      <c r="BO42" s="4687"/>
      <c r="BP42" s="4687"/>
      <c r="BQ42" s="4688"/>
      <c r="BR42" s="4688"/>
      <c r="BS42" s="4688"/>
      <c r="BT42" s="4688"/>
      <c r="BU42" s="3983"/>
    </row>
    <row r="43" spans="1:73" s="1965" customFormat="1" ht="172.5" customHeight="1" x14ac:dyDescent="0.25">
      <c r="A43" s="2076"/>
      <c r="B43" s="2077"/>
      <c r="C43" s="1939"/>
      <c r="D43" s="1935"/>
      <c r="E43" s="2078"/>
      <c r="F43" s="2078"/>
      <c r="G43" s="1949">
        <v>1903038</v>
      </c>
      <c r="H43" s="1953" t="s">
        <v>2769</v>
      </c>
      <c r="I43" s="1954">
        <v>1903038</v>
      </c>
      <c r="J43" s="1953" t="s">
        <v>2769</v>
      </c>
      <c r="K43" s="2094">
        <v>190303801</v>
      </c>
      <c r="L43" s="1925" t="s">
        <v>2792</v>
      </c>
      <c r="M43" s="2094">
        <v>190303801</v>
      </c>
      <c r="N43" s="1925" t="s">
        <v>2792</v>
      </c>
      <c r="O43" s="1966">
        <v>11</v>
      </c>
      <c r="P43" s="2095">
        <v>11</v>
      </c>
      <c r="Q43" s="4526"/>
      <c r="R43" s="3089"/>
      <c r="S43" s="1958">
        <f>X43/T13</f>
        <v>1.6604693361221199E-2</v>
      </c>
      <c r="T43" s="4543"/>
      <c r="U43" s="3089"/>
      <c r="V43" s="3054"/>
      <c r="W43" s="2096" t="s">
        <v>2793</v>
      </c>
      <c r="X43" s="829">
        <v>28050000</v>
      </c>
      <c r="Y43" s="829">
        <v>22410000</v>
      </c>
      <c r="Z43" s="829">
        <v>22410000</v>
      </c>
      <c r="AA43" s="2091" t="s">
        <v>2794</v>
      </c>
      <c r="AB43" s="364">
        <v>61</v>
      </c>
      <c r="AC43" s="1967" t="s">
        <v>2740</v>
      </c>
      <c r="AD43" s="4690"/>
      <c r="AE43" s="4690"/>
      <c r="AF43" s="4690"/>
      <c r="AG43" s="4690"/>
      <c r="AH43" s="4690"/>
      <c r="AI43" s="4690"/>
      <c r="AJ43" s="4690"/>
      <c r="AK43" s="4690"/>
      <c r="AL43" s="4690"/>
      <c r="AM43" s="4690"/>
      <c r="AN43" s="4690"/>
      <c r="AO43" s="4690"/>
      <c r="AP43" s="4690"/>
      <c r="AQ43" s="4690"/>
      <c r="AR43" s="4690"/>
      <c r="AS43" s="4690"/>
      <c r="AT43" s="4690"/>
      <c r="AU43" s="4690"/>
      <c r="AV43" s="4690"/>
      <c r="AW43" s="4690"/>
      <c r="AX43" s="4690"/>
      <c r="AY43" s="4690"/>
      <c r="AZ43" s="4690"/>
      <c r="BA43" s="4690"/>
      <c r="BB43" s="4690"/>
      <c r="BC43" s="4690"/>
      <c r="BD43" s="4690"/>
      <c r="BE43" s="4690"/>
      <c r="BF43" s="4690"/>
      <c r="BG43" s="4690"/>
      <c r="BH43" s="4690"/>
      <c r="BI43" s="4690"/>
      <c r="BJ43" s="4687"/>
      <c r="BK43" s="4687"/>
      <c r="BL43" s="4687"/>
      <c r="BM43" s="4692"/>
      <c r="BN43" s="4687"/>
      <c r="BO43" s="4687"/>
      <c r="BP43" s="4687"/>
      <c r="BQ43" s="4688"/>
      <c r="BR43" s="4688"/>
      <c r="BS43" s="4688"/>
      <c r="BT43" s="4688"/>
      <c r="BU43" s="3983"/>
    </row>
    <row r="44" spans="1:73" s="1965" customFormat="1" ht="150" customHeight="1" x14ac:dyDescent="0.25">
      <c r="A44" s="2076"/>
      <c r="B44" s="2077"/>
      <c r="C44" s="1939"/>
      <c r="D44" s="1935"/>
      <c r="E44" s="2078"/>
      <c r="F44" s="2078"/>
      <c r="G44" s="1955">
        <v>1903027</v>
      </c>
      <c r="H44" s="1951" t="s">
        <v>2795</v>
      </c>
      <c r="I44" s="1955">
        <v>1903027</v>
      </c>
      <c r="J44" s="1951" t="s">
        <v>2795</v>
      </c>
      <c r="K44" s="2097">
        <v>190302700</v>
      </c>
      <c r="L44" s="2098" t="s">
        <v>2796</v>
      </c>
      <c r="M44" s="2097">
        <v>190302700</v>
      </c>
      <c r="N44" s="2098" t="s">
        <v>2796</v>
      </c>
      <c r="O44" s="1948">
        <v>5</v>
      </c>
      <c r="P44" s="2099">
        <v>5</v>
      </c>
      <c r="Q44" s="4526"/>
      <c r="R44" s="3089"/>
      <c r="S44" s="1958">
        <f>X44/T13</f>
        <v>6.8313070013722868E-3</v>
      </c>
      <c r="T44" s="4543"/>
      <c r="U44" s="3089"/>
      <c r="V44" s="3054"/>
      <c r="W44" s="2100" t="s">
        <v>2797</v>
      </c>
      <c r="X44" s="829">
        <v>11540000</v>
      </c>
      <c r="Y44" s="829">
        <v>11540000</v>
      </c>
      <c r="Z44" s="829">
        <v>11540000</v>
      </c>
      <c r="AA44" s="2080" t="s">
        <v>2798</v>
      </c>
      <c r="AB44" s="364">
        <v>61</v>
      </c>
      <c r="AC44" s="1967" t="s">
        <v>2740</v>
      </c>
      <c r="AD44" s="4690"/>
      <c r="AE44" s="4690"/>
      <c r="AF44" s="4690"/>
      <c r="AG44" s="4690"/>
      <c r="AH44" s="4690"/>
      <c r="AI44" s="4690"/>
      <c r="AJ44" s="4690"/>
      <c r="AK44" s="4690"/>
      <c r="AL44" s="4690"/>
      <c r="AM44" s="4690"/>
      <c r="AN44" s="4690"/>
      <c r="AO44" s="4690"/>
      <c r="AP44" s="4690"/>
      <c r="AQ44" s="4690"/>
      <c r="AR44" s="4690"/>
      <c r="AS44" s="4690"/>
      <c r="AT44" s="4690"/>
      <c r="AU44" s="4690"/>
      <c r="AV44" s="4690"/>
      <c r="AW44" s="4690"/>
      <c r="AX44" s="4690"/>
      <c r="AY44" s="4690"/>
      <c r="AZ44" s="4690"/>
      <c r="BA44" s="4690"/>
      <c r="BB44" s="4690"/>
      <c r="BC44" s="4690"/>
      <c r="BD44" s="4690"/>
      <c r="BE44" s="4690"/>
      <c r="BF44" s="4690"/>
      <c r="BG44" s="4690"/>
      <c r="BH44" s="4690"/>
      <c r="BI44" s="4690"/>
      <c r="BJ44" s="4687"/>
      <c r="BK44" s="4687"/>
      <c r="BL44" s="4687"/>
      <c r="BM44" s="4692"/>
      <c r="BN44" s="4687"/>
      <c r="BO44" s="4687"/>
      <c r="BP44" s="4687"/>
      <c r="BQ44" s="4688"/>
      <c r="BR44" s="4688"/>
      <c r="BS44" s="4688"/>
      <c r="BT44" s="4688"/>
      <c r="BU44" s="3983"/>
    </row>
    <row r="45" spans="1:73" s="1965" customFormat="1" ht="90.75" customHeight="1" x14ac:dyDescent="0.25">
      <c r="A45" s="2076"/>
      <c r="B45" s="2077"/>
      <c r="C45" s="1939"/>
      <c r="D45" s="1935"/>
      <c r="E45" s="2078"/>
      <c r="F45" s="2078"/>
      <c r="G45" s="3104">
        <v>1903011</v>
      </c>
      <c r="H45" s="3105" t="s">
        <v>2799</v>
      </c>
      <c r="I45" s="3104">
        <v>1903011</v>
      </c>
      <c r="J45" s="3105" t="s">
        <v>2799</v>
      </c>
      <c r="K45" s="4479">
        <v>190301100</v>
      </c>
      <c r="L45" s="4480" t="s">
        <v>2800</v>
      </c>
      <c r="M45" s="4479">
        <v>190301100</v>
      </c>
      <c r="N45" s="4480" t="s">
        <v>2800</v>
      </c>
      <c r="O45" s="4526">
        <v>140</v>
      </c>
      <c r="P45" s="4652">
        <v>140</v>
      </c>
      <c r="Q45" s="4526"/>
      <c r="R45" s="3089"/>
      <c r="S45" s="3933">
        <f>SUM(X45:X46)/T13</f>
        <v>2.4061118230310048E-2</v>
      </c>
      <c r="T45" s="4543"/>
      <c r="U45" s="3089"/>
      <c r="V45" s="3054"/>
      <c r="W45" s="1940" t="s">
        <v>2801</v>
      </c>
      <c r="X45" s="829">
        <v>24136500</v>
      </c>
      <c r="Y45" s="2101">
        <f>10000000+5481500</f>
        <v>15481500</v>
      </c>
      <c r="Z45" s="2101">
        <f>10000000+5481500</f>
        <v>15481500</v>
      </c>
      <c r="AA45" s="2080" t="s">
        <v>2802</v>
      </c>
      <c r="AB45" s="364">
        <v>61</v>
      </c>
      <c r="AC45" s="1967" t="s">
        <v>2740</v>
      </c>
      <c r="AD45" s="4690"/>
      <c r="AE45" s="4690"/>
      <c r="AF45" s="4690"/>
      <c r="AG45" s="4690"/>
      <c r="AH45" s="4690"/>
      <c r="AI45" s="4690"/>
      <c r="AJ45" s="4690"/>
      <c r="AK45" s="4690"/>
      <c r="AL45" s="4690"/>
      <c r="AM45" s="4690"/>
      <c r="AN45" s="4690"/>
      <c r="AO45" s="4690"/>
      <c r="AP45" s="4690"/>
      <c r="AQ45" s="4690"/>
      <c r="AR45" s="4690"/>
      <c r="AS45" s="4690"/>
      <c r="AT45" s="4690"/>
      <c r="AU45" s="4690"/>
      <c r="AV45" s="4690"/>
      <c r="AW45" s="4690"/>
      <c r="AX45" s="4690"/>
      <c r="AY45" s="4690"/>
      <c r="AZ45" s="4690"/>
      <c r="BA45" s="4690"/>
      <c r="BB45" s="4690"/>
      <c r="BC45" s="4690"/>
      <c r="BD45" s="4690"/>
      <c r="BE45" s="4690"/>
      <c r="BF45" s="4690"/>
      <c r="BG45" s="4690"/>
      <c r="BH45" s="4690"/>
      <c r="BI45" s="4690"/>
      <c r="BJ45" s="4687"/>
      <c r="BK45" s="4687"/>
      <c r="BL45" s="4687"/>
      <c r="BM45" s="4692"/>
      <c r="BN45" s="4687"/>
      <c r="BO45" s="4687"/>
      <c r="BP45" s="4687"/>
      <c r="BQ45" s="4688"/>
      <c r="BR45" s="4688"/>
      <c r="BS45" s="4688"/>
      <c r="BT45" s="4688"/>
      <c r="BU45" s="3983"/>
    </row>
    <row r="46" spans="1:73" s="1965" customFormat="1" ht="122.25" customHeight="1" x14ac:dyDescent="0.25">
      <c r="A46" s="2076"/>
      <c r="B46" s="2077"/>
      <c r="C46" s="1939"/>
      <c r="D46" s="1935"/>
      <c r="E46" s="2078"/>
      <c r="F46" s="2078"/>
      <c r="G46" s="2579"/>
      <c r="H46" s="3024" t="s">
        <v>2799</v>
      </c>
      <c r="I46" s="2579"/>
      <c r="J46" s="3024" t="s">
        <v>2799</v>
      </c>
      <c r="K46" s="4664"/>
      <c r="L46" s="4495"/>
      <c r="M46" s="4664"/>
      <c r="N46" s="4495"/>
      <c r="O46" s="3615"/>
      <c r="P46" s="4651"/>
      <c r="Q46" s="4526"/>
      <c r="R46" s="3089"/>
      <c r="S46" s="3721"/>
      <c r="T46" s="4543"/>
      <c r="U46" s="3089"/>
      <c r="V46" s="3055"/>
      <c r="W46" s="1936" t="s">
        <v>2803</v>
      </c>
      <c r="X46" s="2083">
        <v>16509500</v>
      </c>
      <c r="Y46" s="2101">
        <f>7420000+1580000+3173500-1923334+556500+769333</f>
        <v>11575999</v>
      </c>
      <c r="Z46" s="2101">
        <f>7420000+1580000+3173500-1923334+556500+769333</f>
        <v>11575999</v>
      </c>
      <c r="AA46" s="2080" t="s">
        <v>2802</v>
      </c>
      <c r="AB46" s="364">
        <v>61</v>
      </c>
      <c r="AC46" s="1948" t="s">
        <v>2740</v>
      </c>
      <c r="AD46" s="4691"/>
      <c r="AE46" s="4691"/>
      <c r="AF46" s="4691"/>
      <c r="AG46" s="4691"/>
      <c r="AH46" s="4691"/>
      <c r="AI46" s="4691"/>
      <c r="AJ46" s="4691"/>
      <c r="AK46" s="4691"/>
      <c r="AL46" s="4691"/>
      <c r="AM46" s="4691"/>
      <c r="AN46" s="4691"/>
      <c r="AO46" s="4691"/>
      <c r="AP46" s="4691"/>
      <c r="AQ46" s="4691"/>
      <c r="AR46" s="4691"/>
      <c r="AS46" s="4691"/>
      <c r="AT46" s="4691"/>
      <c r="AU46" s="4691"/>
      <c r="AV46" s="4691"/>
      <c r="AW46" s="4691"/>
      <c r="AX46" s="4691"/>
      <c r="AY46" s="4691"/>
      <c r="AZ46" s="4691"/>
      <c r="BA46" s="4691"/>
      <c r="BB46" s="4691"/>
      <c r="BC46" s="4691"/>
      <c r="BD46" s="4691"/>
      <c r="BE46" s="4691"/>
      <c r="BF46" s="4691"/>
      <c r="BG46" s="4691"/>
      <c r="BH46" s="4691"/>
      <c r="BI46" s="4691"/>
      <c r="BJ46" s="4475"/>
      <c r="BK46" s="4475"/>
      <c r="BL46" s="4475"/>
      <c r="BM46" s="4693"/>
      <c r="BN46" s="4475"/>
      <c r="BO46" s="4475"/>
      <c r="BP46" s="4475"/>
      <c r="BQ46" s="4689"/>
      <c r="BR46" s="4689"/>
      <c r="BS46" s="4689"/>
      <c r="BT46" s="4689"/>
      <c r="BU46" s="3983"/>
    </row>
    <row r="47" spans="1:73" s="1965" customFormat="1" ht="56.25" customHeight="1" x14ac:dyDescent="0.25">
      <c r="A47" s="2076"/>
      <c r="B47" s="2077"/>
      <c r="C47" s="1939"/>
      <c r="D47" s="1935"/>
      <c r="E47" s="2078"/>
      <c r="F47" s="2078"/>
      <c r="G47" s="3694">
        <v>1903001</v>
      </c>
      <c r="H47" s="3658" t="s">
        <v>1218</v>
      </c>
      <c r="I47" s="3694">
        <v>1903001</v>
      </c>
      <c r="J47" s="3658" t="s">
        <v>1218</v>
      </c>
      <c r="K47" s="4621">
        <v>190300100</v>
      </c>
      <c r="L47" s="4630" t="s">
        <v>2804</v>
      </c>
      <c r="M47" s="4621">
        <v>190300100</v>
      </c>
      <c r="N47" s="4630" t="s">
        <v>2804</v>
      </c>
      <c r="O47" s="3615">
        <v>1</v>
      </c>
      <c r="P47" s="4652">
        <v>1</v>
      </c>
      <c r="Q47" s="4526" t="s">
        <v>2805</v>
      </c>
      <c r="R47" s="3089" t="s">
        <v>2806</v>
      </c>
      <c r="S47" s="3933">
        <f>SUM(X47:X50)/T47</f>
        <v>0.27805460750853245</v>
      </c>
      <c r="T47" s="4543">
        <f>SUM(X47:X63)</f>
        <v>293000000</v>
      </c>
      <c r="U47" s="3089" t="s">
        <v>2807</v>
      </c>
      <c r="V47" s="3129" t="s">
        <v>2808</v>
      </c>
      <c r="W47" s="362" t="s">
        <v>2809</v>
      </c>
      <c r="X47" s="2084">
        <v>40000000</v>
      </c>
      <c r="Y47" s="2084">
        <v>40000000</v>
      </c>
      <c r="Z47" s="2084">
        <v>40000000</v>
      </c>
      <c r="AA47" s="2080" t="s">
        <v>2810</v>
      </c>
      <c r="AB47" s="365">
        <v>61</v>
      </c>
      <c r="AC47" s="1967" t="s">
        <v>2740</v>
      </c>
      <c r="AD47" s="4525">
        <v>289394</v>
      </c>
      <c r="AE47" s="4525"/>
      <c r="AF47" s="4525">
        <v>279112</v>
      </c>
      <c r="AG47" s="4525"/>
      <c r="AH47" s="4684">
        <v>63164</v>
      </c>
      <c r="AI47" s="4525"/>
      <c r="AJ47" s="4525">
        <v>45607</v>
      </c>
      <c r="AK47" s="4525"/>
      <c r="AL47" s="4525">
        <v>365607</v>
      </c>
      <c r="AM47" s="4525"/>
      <c r="AN47" s="4525">
        <v>75612</v>
      </c>
      <c r="AO47" s="4525"/>
      <c r="AP47" s="4525">
        <v>2145</v>
      </c>
      <c r="AQ47" s="4525"/>
      <c r="AR47" s="4525">
        <v>12718</v>
      </c>
      <c r="AS47" s="4525"/>
      <c r="AT47" s="4525">
        <v>26</v>
      </c>
      <c r="AU47" s="4525"/>
      <c r="AV47" s="4525">
        <v>37</v>
      </c>
      <c r="AW47" s="4525"/>
      <c r="AX47" s="4525">
        <v>0</v>
      </c>
      <c r="AY47" s="4525"/>
      <c r="AZ47" s="4525">
        <v>0</v>
      </c>
      <c r="BA47" s="4525"/>
      <c r="BB47" s="4525">
        <v>78</v>
      </c>
      <c r="BC47" s="4525"/>
      <c r="BD47" s="4525">
        <v>16897</v>
      </c>
      <c r="BE47" s="4525"/>
      <c r="BF47" s="4525">
        <v>852</v>
      </c>
      <c r="BG47" s="4525"/>
      <c r="BH47" s="4525">
        <v>568506</v>
      </c>
      <c r="BI47" s="4525"/>
      <c r="BJ47" s="2729">
        <v>15</v>
      </c>
      <c r="BK47" s="4683">
        <f>SUM(Y47:Y63)</f>
        <v>263146999</v>
      </c>
      <c r="BL47" s="4683">
        <f>SUM(Z47:Z63)</f>
        <v>263146999</v>
      </c>
      <c r="BM47" s="2742">
        <f>BL47/BK47</f>
        <v>1</v>
      </c>
      <c r="BN47" s="2729">
        <v>61</v>
      </c>
      <c r="BO47" s="2547" t="s">
        <v>2811</v>
      </c>
      <c r="BP47" s="2547" t="s">
        <v>2743</v>
      </c>
      <c r="BQ47" s="2738">
        <v>44197</v>
      </c>
      <c r="BR47" s="2738">
        <v>44239</v>
      </c>
      <c r="BS47" s="2738">
        <v>44561</v>
      </c>
      <c r="BT47" s="2738">
        <v>44561</v>
      </c>
      <c r="BU47" s="2547" t="s">
        <v>2744</v>
      </c>
    </row>
    <row r="48" spans="1:73" s="1965" customFormat="1" ht="56.25" customHeight="1" x14ac:dyDescent="0.25">
      <c r="A48" s="2076"/>
      <c r="B48" s="2077"/>
      <c r="C48" s="1939"/>
      <c r="D48" s="1935"/>
      <c r="E48" s="2078"/>
      <c r="F48" s="2078"/>
      <c r="G48" s="4575"/>
      <c r="H48" s="4588"/>
      <c r="I48" s="4575"/>
      <c r="J48" s="4588"/>
      <c r="K48" s="4622"/>
      <c r="L48" s="4631"/>
      <c r="M48" s="4622"/>
      <c r="N48" s="4631"/>
      <c r="O48" s="3616"/>
      <c r="P48" s="4650"/>
      <c r="Q48" s="4526"/>
      <c r="R48" s="3089"/>
      <c r="S48" s="3933"/>
      <c r="T48" s="4543"/>
      <c r="U48" s="3089"/>
      <c r="V48" s="3129"/>
      <c r="W48" s="362" t="s">
        <v>2812</v>
      </c>
      <c r="X48" s="2084">
        <v>20000000</v>
      </c>
      <c r="Y48" s="2084">
        <v>20000000</v>
      </c>
      <c r="Z48" s="2084">
        <v>20000000</v>
      </c>
      <c r="AA48" s="2080" t="s">
        <v>2810</v>
      </c>
      <c r="AB48" s="365">
        <v>61</v>
      </c>
      <c r="AC48" s="1967" t="s">
        <v>2740</v>
      </c>
      <c r="AD48" s="4559"/>
      <c r="AE48" s="4559"/>
      <c r="AF48" s="4559"/>
      <c r="AG48" s="4559"/>
      <c r="AH48" s="4685"/>
      <c r="AI48" s="4559"/>
      <c r="AJ48" s="4559"/>
      <c r="AK48" s="4559"/>
      <c r="AL48" s="4559"/>
      <c r="AM48" s="4559"/>
      <c r="AN48" s="4559"/>
      <c r="AO48" s="4559"/>
      <c r="AP48" s="4559"/>
      <c r="AQ48" s="4559"/>
      <c r="AR48" s="4559"/>
      <c r="AS48" s="4559"/>
      <c r="AT48" s="4559"/>
      <c r="AU48" s="4559"/>
      <c r="AV48" s="4559"/>
      <c r="AW48" s="4559"/>
      <c r="AX48" s="4559"/>
      <c r="AY48" s="4559"/>
      <c r="AZ48" s="4559"/>
      <c r="BA48" s="4559"/>
      <c r="BB48" s="4559"/>
      <c r="BC48" s="4559"/>
      <c r="BD48" s="4559"/>
      <c r="BE48" s="4559"/>
      <c r="BF48" s="4559"/>
      <c r="BG48" s="4559"/>
      <c r="BH48" s="4559"/>
      <c r="BI48" s="4559"/>
      <c r="BJ48" s="2730"/>
      <c r="BK48" s="2730"/>
      <c r="BL48" s="2730"/>
      <c r="BM48" s="2743"/>
      <c r="BN48" s="2730"/>
      <c r="BO48" s="2716"/>
      <c r="BP48" s="2716"/>
      <c r="BQ48" s="2736"/>
      <c r="BR48" s="2736"/>
      <c r="BS48" s="2736"/>
      <c r="BT48" s="2736"/>
      <c r="BU48" s="2730"/>
    </row>
    <row r="49" spans="1:73" s="1965" customFormat="1" ht="56.25" customHeight="1" x14ac:dyDescent="0.25">
      <c r="A49" s="2076"/>
      <c r="B49" s="2077"/>
      <c r="C49" s="1939"/>
      <c r="D49" s="1935"/>
      <c r="E49" s="2078"/>
      <c r="F49" s="2078"/>
      <c r="G49" s="4575"/>
      <c r="H49" s="4588"/>
      <c r="I49" s="4575"/>
      <c r="J49" s="4588"/>
      <c r="K49" s="4622"/>
      <c r="L49" s="4631"/>
      <c r="M49" s="4622"/>
      <c r="N49" s="4631"/>
      <c r="O49" s="3616"/>
      <c r="P49" s="4650"/>
      <c r="Q49" s="4526"/>
      <c r="R49" s="3089"/>
      <c r="S49" s="3933"/>
      <c r="T49" s="4543"/>
      <c r="U49" s="3089"/>
      <c r="V49" s="3129"/>
      <c r="W49" s="362" t="s">
        <v>2813</v>
      </c>
      <c r="X49" s="2084">
        <v>10000000</v>
      </c>
      <c r="Y49" s="2084">
        <v>10000000</v>
      </c>
      <c r="Z49" s="2084">
        <v>10000000</v>
      </c>
      <c r="AA49" s="2080" t="s">
        <v>2810</v>
      </c>
      <c r="AB49" s="365">
        <v>61</v>
      </c>
      <c r="AC49" s="1967" t="s">
        <v>2740</v>
      </c>
      <c r="AD49" s="4559"/>
      <c r="AE49" s="4559"/>
      <c r="AF49" s="4559"/>
      <c r="AG49" s="4559"/>
      <c r="AH49" s="4685"/>
      <c r="AI49" s="4559"/>
      <c r="AJ49" s="4559"/>
      <c r="AK49" s="4559"/>
      <c r="AL49" s="4559"/>
      <c r="AM49" s="4559"/>
      <c r="AN49" s="4559"/>
      <c r="AO49" s="4559"/>
      <c r="AP49" s="4559"/>
      <c r="AQ49" s="4559"/>
      <c r="AR49" s="4559"/>
      <c r="AS49" s="4559"/>
      <c r="AT49" s="4559"/>
      <c r="AU49" s="4559"/>
      <c r="AV49" s="4559"/>
      <c r="AW49" s="4559"/>
      <c r="AX49" s="4559"/>
      <c r="AY49" s="4559"/>
      <c r="AZ49" s="4559"/>
      <c r="BA49" s="4559"/>
      <c r="BB49" s="4559"/>
      <c r="BC49" s="4559"/>
      <c r="BD49" s="4559"/>
      <c r="BE49" s="4559"/>
      <c r="BF49" s="4559"/>
      <c r="BG49" s="4559"/>
      <c r="BH49" s="4559"/>
      <c r="BI49" s="4559"/>
      <c r="BJ49" s="2730"/>
      <c r="BK49" s="2730"/>
      <c r="BL49" s="2730"/>
      <c r="BM49" s="2743"/>
      <c r="BN49" s="2730"/>
      <c r="BO49" s="2716"/>
      <c r="BP49" s="2716"/>
      <c r="BQ49" s="2736"/>
      <c r="BR49" s="2736"/>
      <c r="BS49" s="2736"/>
      <c r="BT49" s="2736"/>
      <c r="BU49" s="2730"/>
    </row>
    <row r="50" spans="1:73" s="1965" customFormat="1" ht="56.25" customHeight="1" x14ac:dyDescent="0.25">
      <c r="A50" s="2076"/>
      <c r="B50" s="2077"/>
      <c r="C50" s="1939"/>
      <c r="D50" s="1935"/>
      <c r="E50" s="2078"/>
      <c r="F50" s="2078"/>
      <c r="G50" s="4575"/>
      <c r="H50" s="4588"/>
      <c r="I50" s="4575"/>
      <c r="J50" s="4588"/>
      <c r="K50" s="4622"/>
      <c r="L50" s="4631"/>
      <c r="M50" s="4622"/>
      <c r="N50" s="4631"/>
      <c r="O50" s="4498"/>
      <c r="P50" s="4651"/>
      <c r="Q50" s="4526"/>
      <c r="R50" s="3089"/>
      <c r="S50" s="3933"/>
      <c r="T50" s="4543"/>
      <c r="U50" s="3089"/>
      <c r="V50" s="3129"/>
      <c r="W50" s="362" t="s">
        <v>2814</v>
      </c>
      <c r="X50" s="2084">
        <v>11470000</v>
      </c>
      <c r="Y50" s="2084">
        <v>11470000</v>
      </c>
      <c r="Z50" s="2084">
        <v>11470000</v>
      </c>
      <c r="AA50" s="2080" t="s">
        <v>2810</v>
      </c>
      <c r="AB50" s="365">
        <v>61</v>
      </c>
      <c r="AC50" s="1967" t="s">
        <v>2740</v>
      </c>
      <c r="AD50" s="4559"/>
      <c r="AE50" s="4559"/>
      <c r="AF50" s="4559"/>
      <c r="AG50" s="4559"/>
      <c r="AH50" s="4685"/>
      <c r="AI50" s="4559"/>
      <c r="AJ50" s="4559"/>
      <c r="AK50" s="4559"/>
      <c r="AL50" s="4559"/>
      <c r="AM50" s="4559"/>
      <c r="AN50" s="4559"/>
      <c r="AO50" s="4559"/>
      <c r="AP50" s="4559"/>
      <c r="AQ50" s="4559"/>
      <c r="AR50" s="4559"/>
      <c r="AS50" s="4559"/>
      <c r="AT50" s="4559"/>
      <c r="AU50" s="4559"/>
      <c r="AV50" s="4559"/>
      <c r="AW50" s="4559"/>
      <c r="AX50" s="4559"/>
      <c r="AY50" s="4559"/>
      <c r="AZ50" s="4559"/>
      <c r="BA50" s="4559"/>
      <c r="BB50" s="4559"/>
      <c r="BC50" s="4559"/>
      <c r="BD50" s="4559"/>
      <c r="BE50" s="4559"/>
      <c r="BF50" s="4559"/>
      <c r="BG50" s="4559"/>
      <c r="BH50" s="4559"/>
      <c r="BI50" s="4559"/>
      <c r="BJ50" s="2730"/>
      <c r="BK50" s="2730"/>
      <c r="BL50" s="2730"/>
      <c r="BM50" s="2743"/>
      <c r="BN50" s="2730"/>
      <c r="BO50" s="2716"/>
      <c r="BP50" s="2716"/>
      <c r="BQ50" s="2736"/>
      <c r="BR50" s="2736"/>
      <c r="BS50" s="2736"/>
      <c r="BT50" s="2736"/>
      <c r="BU50" s="2730"/>
    </row>
    <row r="51" spans="1:73" s="1965" customFormat="1" ht="58.5" customHeight="1" x14ac:dyDescent="0.25">
      <c r="A51" s="2076"/>
      <c r="B51" s="2077"/>
      <c r="C51" s="1939"/>
      <c r="D51" s="1935"/>
      <c r="E51" s="2078"/>
      <c r="F51" s="2078"/>
      <c r="G51" s="3104">
        <v>1903015</v>
      </c>
      <c r="H51" s="3105" t="s">
        <v>2815</v>
      </c>
      <c r="I51" s="3104">
        <v>1903015</v>
      </c>
      <c r="J51" s="3105" t="s">
        <v>2815</v>
      </c>
      <c r="K51" s="4487">
        <v>190301500</v>
      </c>
      <c r="L51" s="3105" t="s">
        <v>2816</v>
      </c>
      <c r="M51" s="4487">
        <v>190301500</v>
      </c>
      <c r="N51" s="3105" t="s">
        <v>2816</v>
      </c>
      <c r="O51" s="4526">
        <v>12</v>
      </c>
      <c r="P51" s="4652">
        <v>12</v>
      </c>
      <c r="Q51" s="4526"/>
      <c r="R51" s="3089"/>
      <c r="S51" s="3933">
        <f>SUM(X51:X63)/T47</f>
        <v>0.72194539249146761</v>
      </c>
      <c r="T51" s="4543"/>
      <c r="U51" s="3089"/>
      <c r="V51" s="3053" t="s">
        <v>2817</v>
      </c>
      <c r="W51" s="359" t="s">
        <v>2818</v>
      </c>
      <c r="X51" s="2084">
        <v>15000000</v>
      </c>
      <c r="Y51" s="2084">
        <v>5375000</v>
      </c>
      <c r="Z51" s="2084">
        <v>5375000</v>
      </c>
      <c r="AA51" s="2080" t="s">
        <v>2819</v>
      </c>
      <c r="AB51" s="365">
        <v>61</v>
      </c>
      <c r="AC51" s="1967" t="s">
        <v>2740</v>
      </c>
      <c r="AD51" s="4559"/>
      <c r="AE51" s="4559"/>
      <c r="AF51" s="4559"/>
      <c r="AG51" s="4559"/>
      <c r="AH51" s="4685"/>
      <c r="AI51" s="4559"/>
      <c r="AJ51" s="4559"/>
      <c r="AK51" s="4559"/>
      <c r="AL51" s="4559"/>
      <c r="AM51" s="4559"/>
      <c r="AN51" s="4559"/>
      <c r="AO51" s="4559"/>
      <c r="AP51" s="4559"/>
      <c r="AQ51" s="4559"/>
      <c r="AR51" s="4559"/>
      <c r="AS51" s="4559"/>
      <c r="AT51" s="4559"/>
      <c r="AU51" s="4559"/>
      <c r="AV51" s="4559"/>
      <c r="AW51" s="4559"/>
      <c r="AX51" s="4559"/>
      <c r="AY51" s="4559"/>
      <c r="AZ51" s="4559"/>
      <c r="BA51" s="4559"/>
      <c r="BB51" s="4559"/>
      <c r="BC51" s="4559"/>
      <c r="BD51" s="4559"/>
      <c r="BE51" s="4559"/>
      <c r="BF51" s="4559"/>
      <c r="BG51" s="4559"/>
      <c r="BH51" s="4559"/>
      <c r="BI51" s="4559"/>
      <c r="BJ51" s="2730"/>
      <c r="BK51" s="2730"/>
      <c r="BL51" s="2730"/>
      <c r="BM51" s="2743"/>
      <c r="BN51" s="2730"/>
      <c r="BO51" s="2716"/>
      <c r="BP51" s="2716"/>
      <c r="BQ51" s="2736"/>
      <c r="BR51" s="2736"/>
      <c r="BS51" s="2736"/>
      <c r="BT51" s="2736"/>
      <c r="BU51" s="2730"/>
    </row>
    <row r="52" spans="1:73" s="1965" customFormat="1" ht="52.5" customHeight="1" x14ac:dyDescent="0.25">
      <c r="A52" s="2076"/>
      <c r="B52" s="2077"/>
      <c r="C52" s="1939"/>
      <c r="D52" s="1935"/>
      <c r="E52" s="2078"/>
      <c r="F52" s="2078"/>
      <c r="G52" s="3104"/>
      <c r="H52" s="3105"/>
      <c r="I52" s="3104"/>
      <c r="J52" s="3105"/>
      <c r="K52" s="4487"/>
      <c r="L52" s="3105"/>
      <c r="M52" s="4487"/>
      <c r="N52" s="3105"/>
      <c r="O52" s="4526"/>
      <c r="P52" s="4650"/>
      <c r="Q52" s="4526"/>
      <c r="R52" s="3089"/>
      <c r="S52" s="3933"/>
      <c r="T52" s="4543"/>
      <c r="U52" s="3089"/>
      <c r="V52" s="3054"/>
      <c r="W52" s="359" t="s">
        <v>2820</v>
      </c>
      <c r="X52" s="2084">
        <v>15000000</v>
      </c>
      <c r="Y52" s="2084">
        <v>15000000</v>
      </c>
      <c r="Z52" s="2084">
        <v>15000000</v>
      </c>
      <c r="AA52" s="2080" t="s">
        <v>2819</v>
      </c>
      <c r="AB52" s="365">
        <v>61</v>
      </c>
      <c r="AC52" s="1967" t="s">
        <v>2740</v>
      </c>
      <c r="AD52" s="4559"/>
      <c r="AE52" s="4559"/>
      <c r="AF52" s="4559"/>
      <c r="AG52" s="4559"/>
      <c r="AH52" s="4685"/>
      <c r="AI52" s="4559"/>
      <c r="AJ52" s="4559"/>
      <c r="AK52" s="4559"/>
      <c r="AL52" s="4559"/>
      <c r="AM52" s="4559"/>
      <c r="AN52" s="4559"/>
      <c r="AO52" s="4559"/>
      <c r="AP52" s="4559"/>
      <c r="AQ52" s="4559"/>
      <c r="AR52" s="4559"/>
      <c r="AS52" s="4559"/>
      <c r="AT52" s="4559"/>
      <c r="AU52" s="4559"/>
      <c r="AV52" s="4559"/>
      <c r="AW52" s="4559"/>
      <c r="AX52" s="4559"/>
      <c r="AY52" s="4559"/>
      <c r="AZ52" s="4559"/>
      <c r="BA52" s="4559"/>
      <c r="BB52" s="4559"/>
      <c r="BC52" s="4559"/>
      <c r="BD52" s="4559"/>
      <c r="BE52" s="4559"/>
      <c r="BF52" s="4559"/>
      <c r="BG52" s="4559"/>
      <c r="BH52" s="4559"/>
      <c r="BI52" s="4559"/>
      <c r="BJ52" s="2730"/>
      <c r="BK52" s="2730"/>
      <c r="BL52" s="2730"/>
      <c r="BM52" s="2743"/>
      <c r="BN52" s="2730"/>
      <c r="BO52" s="2716"/>
      <c r="BP52" s="2716"/>
      <c r="BQ52" s="2736"/>
      <c r="BR52" s="2736"/>
      <c r="BS52" s="2736"/>
      <c r="BT52" s="2736"/>
      <c r="BU52" s="2730"/>
    </row>
    <row r="53" spans="1:73" s="1965" customFormat="1" ht="69.75" customHeight="1" x14ac:dyDescent="0.25">
      <c r="A53" s="2076"/>
      <c r="B53" s="2077"/>
      <c r="C53" s="1939"/>
      <c r="D53" s="1935"/>
      <c r="E53" s="2078"/>
      <c r="F53" s="2078"/>
      <c r="G53" s="3104"/>
      <c r="H53" s="3105"/>
      <c r="I53" s="3104"/>
      <c r="J53" s="3105"/>
      <c r="K53" s="4487"/>
      <c r="L53" s="3105"/>
      <c r="M53" s="4487"/>
      <c r="N53" s="3105"/>
      <c r="O53" s="4526"/>
      <c r="P53" s="4650"/>
      <c r="Q53" s="4526"/>
      <c r="R53" s="3089"/>
      <c r="S53" s="3933"/>
      <c r="T53" s="4543"/>
      <c r="U53" s="3089"/>
      <c r="V53" s="3054"/>
      <c r="W53" s="359" t="s">
        <v>2821</v>
      </c>
      <c r="X53" s="2084">
        <v>15000000</v>
      </c>
      <c r="Y53" s="2084">
        <v>14725000</v>
      </c>
      <c r="Z53" s="2084">
        <v>14725000</v>
      </c>
      <c r="AA53" s="2080" t="s">
        <v>2819</v>
      </c>
      <c r="AB53" s="365">
        <v>61</v>
      </c>
      <c r="AC53" s="1967" t="s">
        <v>2740</v>
      </c>
      <c r="AD53" s="4559"/>
      <c r="AE53" s="4559"/>
      <c r="AF53" s="4559"/>
      <c r="AG53" s="4559"/>
      <c r="AH53" s="4685"/>
      <c r="AI53" s="4559"/>
      <c r="AJ53" s="4559"/>
      <c r="AK53" s="4559"/>
      <c r="AL53" s="4559"/>
      <c r="AM53" s="4559"/>
      <c r="AN53" s="4559"/>
      <c r="AO53" s="4559"/>
      <c r="AP53" s="4559"/>
      <c r="AQ53" s="4559"/>
      <c r="AR53" s="4559"/>
      <c r="AS53" s="4559"/>
      <c r="AT53" s="4559"/>
      <c r="AU53" s="4559"/>
      <c r="AV53" s="4559"/>
      <c r="AW53" s="4559"/>
      <c r="AX53" s="4559"/>
      <c r="AY53" s="4559"/>
      <c r="AZ53" s="4559"/>
      <c r="BA53" s="4559"/>
      <c r="BB53" s="4559"/>
      <c r="BC53" s="4559"/>
      <c r="BD53" s="4559"/>
      <c r="BE53" s="4559"/>
      <c r="BF53" s="4559"/>
      <c r="BG53" s="4559"/>
      <c r="BH53" s="4559"/>
      <c r="BI53" s="4559"/>
      <c r="BJ53" s="2730"/>
      <c r="BK53" s="2730"/>
      <c r="BL53" s="2730"/>
      <c r="BM53" s="2743"/>
      <c r="BN53" s="2730"/>
      <c r="BO53" s="2716"/>
      <c r="BP53" s="2716"/>
      <c r="BQ53" s="2736"/>
      <c r="BR53" s="2736"/>
      <c r="BS53" s="2736"/>
      <c r="BT53" s="2736"/>
      <c r="BU53" s="2730"/>
    </row>
    <row r="54" spans="1:73" s="1965" customFormat="1" ht="90" customHeight="1" x14ac:dyDescent="0.25">
      <c r="A54" s="2076"/>
      <c r="B54" s="2077"/>
      <c r="C54" s="1939"/>
      <c r="D54" s="1935"/>
      <c r="E54" s="2078"/>
      <c r="F54" s="2078"/>
      <c r="G54" s="3104"/>
      <c r="H54" s="3105"/>
      <c r="I54" s="3104"/>
      <c r="J54" s="3105"/>
      <c r="K54" s="4487"/>
      <c r="L54" s="3105"/>
      <c r="M54" s="4487"/>
      <c r="N54" s="3105"/>
      <c r="O54" s="4526"/>
      <c r="P54" s="4650"/>
      <c r="Q54" s="4526"/>
      <c r="R54" s="3089"/>
      <c r="S54" s="3933"/>
      <c r="T54" s="4543"/>
      <c r="U54" s="3089"/>
      <c r="V54" s="3054"/>
      <c r="W54" s="359" t="s">
        <v>2822</v>
      </c>
      <c r="X54" s="2084">
        <v>15000000</v>
      </c>
      <c r="Y54" s="2084">
        <v>10500000</v>
      </c>
      <c r="Z54" s="2084">
        <v>10500000</v>
      </c>
      <c r="AA54" s="2080" t="s">
        <v>2819</v>
      </c>
      <c r="AB54" s="365">
        <v>61</v>
      </c>
      <c r="AC54" s="1967" t="s">
        <v>2740</v>
      </c>
      <c r="AD54" s="4559"/>
      <c r="AE54" s="4559"/>
      <c r="AF54" s="4559"/>
      <c r="AG54" s="4559"/>
      <c r="AH54" s="4685"/>
      <c r="AI54" s="4559"/>
      <c r="AJ54" s="4559"/>
      <c r="AK54" s="4559"/>
      <c r="AL54" s="4559"/>
      <c r="AM54" s="4559"/>
      <c r="AN54" s="4559"/>
      <c r="AO54" s="4559"/>
      <c r="AP54" s="4559"/>
      <c r="AQ54" s="4559"/>
      <c r="AR54" s="4559"/>
      <c r="AS54" s="4559"/>
      <c r="AT54" s="4559"/>
      <c r="AU54" s="4559"/>
      <c r="AV54" s="4559"/>
      <c r="AW54" s="4559"/>
      <c r="AX54" s="4559"/>
      <c r="AY54" s="4559"/>
      <c r="AZ54" s="4559"/>
      <c r="BA54" s="4559"/>
      <c r="BB54" s="4559"/>
      <c r="BC54" s="4559"/>
      <c r="BD54" s="4559"/>
      <c r="BE54" s="4559"/>
      <c r="BF54" s="4559"/>
      <c r="BG54" s="4559"/>
      <c r="BH54" s="4559"/>
      <c r="BI54" s="4559"/>
      <c r="BJ54" s="2730"/>
      <c r="BK54" s="2730"/>
      <c r="BL54" s="2730"/>
      <c r="BM54" s="2743"/>
      <c r="BN54" s="2730"/>
      <c r="BO54" s="2716"/>
      <c r="BP54" s="2716"/>
      <c r="BQ54" s="2736"/>
      <c r="BR54" s="2736"/>
      <c r="BS54" s="2736"/>
      <c r="BT54" s="2736"/>
      <c r="BU54" s="2730"/>
    </row>
    <row r="55" spans="1:73" s="1965" customFormat="1" ht="52.5" customHeight="1" x14ac:dyDescent="0.25">
      <c r="A55" s="2076"/>
      <c r="B55" s="2077"/>
      <c r="C55" s="1939"/>
      <c r="D55" s="1935"/>
      <c r="E55" s="2078"/>
      <c r="F55" s="2078"/>
      <c r="G55" s="3104"/>
      <c r="H55" s="3105"/>
      <c r="I55" s="3104"/>
      <c r="J55" s="3105"/>
      <c r="K55" s="4487"/>
      <c r="L55" s="3105"/>
      <c r="M55" s="4487"/>
      <c r="N55" s="3105"/>
      <c r="O55" s="4526"/>
      <c r="P55" s="4650"/>
      <c r="Q55" s="4526"/>
      <c r="R55" s="3089"/>
      <c r="S55" s="3933"/>
      <c r="T55" s="4543"/>
      <c r="U55" s="3089"/>
      <c r="V55" s="3054"/>
      <c r="W55" s="359" t="s">
        <v>2823</v>
      </c>
      <c r="X55" s="2084">
        <v>8000000</v>
      </c>
      <c r="Y55" s="2084">
        <v>6725000</v>
      </c>
      <c r="Z55" s="2084">
        <v>6725000</v>
      </c>
      <c r="AA55" s="2080" t="s">
        <v>2819</v>
      </c>
      <c r="AB55" s="365">
        <v>61</v>
      </c>
      <c r="AC55" s="1967" t="s">
        <v>2740</v>
      </c>
      <c r="AD55" s="4559"/>
      <c r="AE55" s="4559"/>
      <c r="AF55" s="4559"/>
      <c r="AG55" s="4559"/>
      <c r="AH55" s="4685"/>
      <c r="AI55" s="4559"/>
      <c r="AJ55" s="4559"/>
      <c r="AK55" s="4559"/>
      <c r="AL55" s="4559"/>
      <c r="AM55" s="4559"/>
      <c r="AN55" s="4559"/>
      <c r="AO55" s="4559"/>
      <c r="AP55" s="4559"/>
      <c r="AQ55" s="4559"/>
      <c r="AR55" s="4559"/>
      <c r="AS55" s="4559"/>
      <c r="AT55" s="4559"/>
      <c r="AU55" s="4559"/>
      <c r="AV55" s="4559"/>
      <c r="AW55" s="4559"/>
      <c r="AX55" s="4559"/>
      <c r="AY55" s="4559"/>
      <c r="AZ55" s="4559"/>
      <c r="BA55" s="4559"/>
      <c r="BB55" s="4559"/>
      <c r="BC55" s="4559"/>
      <c r="BD55" s="4559"/>
      <c r="BE55" s="4559"/>
      <c r="BF55" s="4559"/>
      <c r="BG55" s="4559"/>
      <c r="BH55" s="4559"/>
      <c r="BI55" s="4559"/>
      <c r="BJ55" s="2730"/>
      <c r="BK55" s="2730"/>
      <c r="BL55" s="2730"/>
      <c r="BM55" s="2743"/>
      <c r="BN55" s="2730"/>
      <c r="BO55" s="2716"/>
      <c r="BP55" s="2716"/>
      <c r="BQ55" s="2736"/>
      <c r="BR55" s="2736"/>
      <c r="BS55" s="2736"/>
      <c r="BT55" s="2736"/>
      <c r="BU55" s="2730"/>
    </row>
    <row r="56" spans="1:73" s="1965" customFormat="1" ht="109.5" customHeight="1" x14ac:dyDescent="0.25">
      <c r="A56" s="2076"/>
      <c r="B56" s="2077"/>
      <c r="C56" s="1939"/>
      <c r="D56" s="1935"/>
      <c r="E56" s="2078"/>
      <c r="F56" s="2078"/>
      <c r="G56" s="3104"/>
      <c r="H56" s="3105"/>
      <c r="I56" s="3104"/>
      <c r="J56" s="3105"/>
      <c r="K56" s="4487"/>
      <c r="L56" s="3105"/>
      <c r="M56" s="4487"/>
      <c r="N56" s="3105"/>
      <c r="O56" s="4526"/>
      <c r="P56" s="4650"/>
      <c r="Q56" s="4526"/>
      <c r="R56" s="3089"/>
      <c r="S56" s="3933"/>
      <c r="T56" s="4543"/>
      <c r="U56" s="3089"/>
      <c r="V56" s="3054"/>
      <c r="W56" s="359" t="s">
        <v>2824</v>
      </c>
      <c r="X56" s="2084">
        <v>40000000</v>
      </c>
      <c r="Y56" s="2084">
        <v>31183166</v>
      </c>
      <c r="Z56" s="2084">
        <v>31183166</v>
      </c>
      <c r="AA56" s="2080" t="s">
        <v>2819</v>
      </c>
      <c r="AB56" s="365">
        <v>61</v>
      </c>
      <c r="AC56" s="1967" t="s">
        <v>2740</v>
      </c>
      <c r="AD56" s="4559"/>
      <c r="AE56" s="4559"/>
      <c r="AF56" s="4559"/>
      <c r="AG56" s="4559"/>
      <c r="AH56" s="4685"/>
      <c r="AI56" s="4559"/>
      <c r="AJ56" s="4559"/>
      <c r="AK56" s="4559"/>
      <c r="AL56" s="4559"/>
      <c r="AM56" s="4559"/>
      <c r="AN56" s="4559"/>
      <c r="AO56" s="4559"/>
      <c r="AP56" s="4559"/>
      <c r="AQ56" s="4559"/>
      <c r="AR56" s="4559"/>
      <c r="AS56" s="4559"/>
      <c r="AT56" s="4559"/>
      <c r="AU56" s="4559"/>
      <c r="AV56" s="4559"/>
      <c r="AW56" s="4559"/>
      <c r="AX56" s="4559"/>
      <c r="AY56" s="4559"/>
      <c r="AZ56" s="4559"/>
      <c r="BA56" s="4559"/>
      <c r="BB56" s="4559"/>
      <c r="BC56" s="4559"/>
      <c r="BD56" s="4559"/>
      <c r="BE56" s="4559"/>
      <c r="BF56" s="4559"/>
      <c r="BG56" s="4559"/>
      <c r="BH56" s="4559"/>
      <c r="BI56" s="4559"/>
      <c r="BJ56" s="2730"/>
      <c r="BK56" s="2730"/>
      <c r="BL56" s="2730"/>
      <c r="BM56" s="2743"/>
      <c r="BN56" s="2730"/>
      <c r="BO56" s="2716"/>
      <c r="BP56" s="2716"/>
      <c r="BQ56" s="2736"/>
      <c r="BR56" s="2736"/>
      <c r="BS56" s="2736"/>
      <c r="BT56" s="2736"/>
      <c r="BU56" s="2730"/>
    </row>
    <row r="57" spans="1:73" s="1965" customFormat="1" ht="52.5" customHeight="1" x14ac:dyDescent="0.25">
      <c r="A57" s="2076"/>
      <c r="B57" s="2077"/>
      <c r="C57" s="1939"/>
      <c r="D57" s="1935"/>
      <c r="E57" s="2078"/>
      <c r="F57" s="2078"/>
      <c r="G57" s="3104"/>
      <c r="H57" s="3105"/>
      <c r="I57" s="3104"/>
      <c r="J57" s="3105"/>
      <c r="K57" s="4487"/>
      <c r="L57" s="3105"/>
      <c r="M57" s="4487"/>
      <c r="N57" s="3105"/>
      <c r="O57" s="4526"/>
      <c r="P57" s="4650"/>
      <c r="Q57" s="4526"/>
      <c r="R57" s="3089"/>
      <c r="S57" s="3933"/>
      <c r="T57" s="4543"/>
      <c r="U57" s="3089"/>
      <c r="V57" s="3054"/>
      <c r="W57" s="359" t="s">
        <v>2825</v>
      </c>
      <c r="X57" s="2084">
        <v>20000000</v>
      </c>
      <c r="Y57" s="2084">
        <v>14638833</v>
      </c>
      <c r="Z57" s="2084">
        <v>14638833</v>
      </c>
      <c r="AA57" s="2080" t="s">
        <v>2819</v>
      </c>
      <c r="AB57" s="365">
        <v>61</v>
      </c>
      <c r="AC57" s="1967" t="s">
        <v>2740</v>
      </c>
      <c r="AD57" s="4559"/>
      <c r="AE57" s="4559"/>
      <c r="AF57" s="4559"/>
      <c r="AG57" s="4559"/>
      <c r="AH57" s="4685"/>
      <c r="AI57" s="4559"/>
      <c r="AJ57" s="4559"/>
      <c r="AK57" s="4559"/>
      <c r="AL57" s="4559"/>
      <c r="AM57" s="4559"/>
      <c r="AN57" s="4559"/>
      <c r="AO57" s="4559"/>
      <c r="AP57" s="4559"/>
      <c r="AQ57" s="4559"/>
      <c r="AR57" s="4559"/>
      <c r="AS57" s="4559"/>
      <c r="AT57" s="4559"/>
      <c r="AU57" s="4559"/>
      <c r="AV57" s="4559"/>
      <c r="AW57" s="4559"/>
      <c r="AX57" s="4559"/>
      <c r="AY57" s="4559"/>
      <c r="AZ57" s="4559"/>
      <c r="BA57" s="4559"/>
      <c r="BB57" s="4559"/>
      <c r="BC57" s="4559"/>
      <c r="BD57" s="4559"/>
      <c r="BE57" s="4559"/>
      <c r="BF57" s="4559"/>
      <c r="BG57" s="4559"/>
      <c r="BH57" s="4559"/>
      <c r="BI57" s="4559"/>
      <c r="BJ57" s="2730"/>
      <c r="BK57" s="2730"/>
      <c r="BL57" s="2730"/>
      <c r="BM57" s="2743"/>
      <c r="BN57" s="2730"/>
      <c r="BO57" s="2716"/>
      <c r="BP57" s="2716"/>
      <c r="BQ57" s="2736"/>
      <c r="BR57" s="2736"/>
      <c r="BS57" s="2736"/>
      <c r="BT57" s="2736"/>
      <c r="BU57" s="2730"/>
    </row>
    <row r="58" spans="1:73" s="1965" customFormat="1" ht="114.75" customHeight="1" x14ac:dyDescent="0.25">
      <c r="A58" s="2076"/>
      <c r="B58" s="2077"/>
      <c r="C58" s="1939"/>
      <c r="D58" s="1935"/>
      <c r="E58" s="2078"/>
      <c r="F58" s="2078"/>
      <c r="G58" s="3104"/>
      <c r="H58" s="3105"/>
      <c r="I58" s="3104"/>
      <c r="J58" s="3105"/>
      <c r="K58" s="4487"/>
      <c r="L58" s="3105"/>
      <c r="M58" s="4487"/>
      <c r="N58" s="3105"/>
      <c r="O58" s="4526"/>
      <c r="P58" s="4650"/>
      <c r="Q58" s="4526"/>
      <c r="R58" s="3089"/>
      <c r="S58" s="3933"/>
      <c r="T58" s="4543"/>
      <c r="U58" s="3089"/>
      <c r="V58" s="3054"/>
      <c r="W58" s="359" t="s">
        <v>2826</v>
      </c>
      <c r="X58" s="2084">
        <v>10000000</v>
      </c>
      <c r="Y58" s="2084">
        <v>10000000</v>
      </c>
      <c r="Z58" s="2084">
        <v>10000000</v>
      </c>
      <c r="AA58" s="2080" t="s">
        <v>2819</v>
      </c>
      <c r="AB58" s="365">
        <v>61</v>
      </c>
      <c r="AC58" s="1967" t="s">
        <v>2740</v>
      </c>
      <c r="AD58" s="4559"/>
      <c r="AE58" s="4559"/>
      <c r="AF58" s="4559"/>
      <c r="AG58" s="4559"/>
      <c r="AH58" s="4685"/>
      <c r="AI58" s="4559"/>
      <c r="AJ58" s="4559"/>
      <c r="AK58" s="4559"/>
      <c r="AL58" s="4559"/>
      <c r="AM58" s="4559"/>
      <c r="AN58" s="4559"/>
      <c r="AO58" s="4559"/>
      <c r="AP58" s="4559"/>
      <c r="AQ58" s="4559"/>
      <c r="AR58" s="4559"/>
      <c r="AS58" s="4559"/>
      <c r="AT58" s="4559"/>
      <c r="AU58" s="4559"/>
      <c r="AV58" s="4559"/>
      <c r="AW58" s="4559"/>
      <c r="AX58" s="4559"/>
      <c r="AY58" s="4559"/>
      <c r="AZ58" s="4559"/>
      <c r="BA58" s="4559"/>
      <c r="BB58" s="4559"/>
      <c r="BC58" s="4559"/>
      <c r="BD58" s="4559"/>
      <c r="BE58" s="4559"/>
      <c r="BF58" s="4559"/>
      <c r="BG58" s="4559"/>
      <c r="BH58" s="4559"/>
      <c r="BI58" s="4559"/>
      <c r="BJ58" s="2730"/>
      <c r="BK58" s="2730"/>
      <c r="BL58" s="2730"/>
      <c r="BM58" s="2743"/>
      <c r="BN58" s="2730"/>
      <c r="BO58" s="2716"/>
      <c r="BP58" s="2716"/>
      <c r="BQ58" s="2736"/>
      <c r="BR58" s="2736"/>
      <c r="BS58" s="2736"/>
      <c r="BT58" s="2736"/>
      <c r="BU58" s="2730"/>
    </row>
    <row r="59" spans="1:73" s="1965" customFormat="1" ht="69.75" customHeight="1" x14ac:dyDescent="0.25">
      <c r="A59" s="2076"/>
      <c r="B59" s="2077"/>
      <c r="C59" s="1939"/>
      <c r="D59" s="1935"/>
      <c r="E59" s="2078"/>
      <c r="F59" s="2078"/>
      <c r="G59" s="3104"/>
      <c r="H59" s="3105"/>
      <c r="I59" s="3104"/>
      <c r="J59" s="3105"/>
      <c r="K59" s="4487"/>
      <c r="L59" s="3105"/>
      <c r="M59" s="4487"/>
      <c r="N59" s="3105"/>
      <c r="O59" s="4526"/>
      <c r="P59" s="4650"/>
      <c r="Q59" s="4526"/>
      <c r="R59" s="3089"/>
      <c r="S59" s="3933"/>
      <c r="T59" s="4543"/>
      <c r="U59" s="3089"/>
      <c r="V59" s="3054"/>
      <c r="W59" s="359" t="s">
        <v>2827</v>
      </c>
      <c r="X59" s="2084">
        <v>10000000</v>
      </c>
      <c r="Y59" s="2084">
        <v>10000000</v>
      </c>
      <c r="Z59" s="2084">
        <v>10000000</v>
      </c>
      <c r="AA59" s="2080" t="s">
        <v>2819</v>
      </c>
      <c r="AB59" s="365">
        <v>61</v>
      </c>
      <c r="AC59" s="1967" t="s">
        <v>2740</v>
      </c>
      <c r="AD59" s="4559"/>
      <c r="AE59" s="4559"/>
      <c r="AF59" s="4559"/>
      <c r="AG59" s="4559"/>
      <c r="AH59" s="4685"/>
      <c r="AI59" s="4559"/>
      <c r="AJ59" s="4559"/>
      <c r="AK59" s="4559"/>
      <c r="AL59" s="4559"/>
      <c r="AM59" s="4559"/>
      <c r="AN59" s="4559"/>
      <c r="AO59" s="4559"/>
      <c r="AP59" s="4559"/>
      <c r="AQ59" s="4559"/>
      <c r="AR59" s="4559"/>
      <c r="AS59" s="4559"/>
      <c r="AT59" s="4559"/>
      <c r="AU59" s="4559"/>
      <c r="AV59" s="4559"/>
      <c r="AW59" s="4559"/>
      <c r="AX59" s="4559"/>
      <c r="AY59" s="4559"/>
      <c r="AZ59" s="4559"/>
      <c r="BA59" s="4559"/>
      <c r="BB59" s="4559"/>
      <c r="BC59" s="4559"/>
      <c r="BD59" s="4559"/>
      <c r="BE59" s="4559"/>
      <c r="BF59" s="4559"/>
      <c r="BG59" s="4559"/>
      <c r="BH59" s="4559"/>
      <c r="BI59" s="4559"/>
      <c r="BJ59" s="2730"/>
      <c r="BK59" s="2730"/>
      <c r="BL59" s="2730"/>
      <c r="BM59" s="2743"/>
      <c r="BN59" s="2730"/>
      <c r="BO59" s="2716"/>
      <c r="BP59" s="2716"/>
      <c r="BQ59" s="2736"/>
      <c r="BR59" s="2736"/>
      <c r="BS59" s="2736"/>
      <c r="BT59" s="2736"/>
      <c r="BU59" s="2730"/>
    </row>
    <row r="60" spans="1:73" s="1965" customFormat="1" ht="77.25" customHeight="1" x14ac:dyDescent="0.25">
      <c r="A60" s="2076"/>
      <c r="B60" s="2077"/>
      <c r="C60" s="1939"/>
      <c r="D60" s="1935"/>
      <c r="E60" s="2078"/>
      <c r="F60" s="2078"/>
      <c r="G60" s="3104"/>
      <c r="H60" s="3105"/>
      <c r="I60" s="3104"/>
      <c r="J60" s="3105"/>
      <c r="K60" s="4487"/>
      <c r="L60" s="3105"/>
      <c r="M60" s="4487"/>
      <c r="N60" s="3105"/>
      <c r="O60" s="4526"/>
      <c r="P60" s="4650"/>
      <c r="Q60" s="4526"/>
      <c r="R60" s="3089"/>
      <c r="S60" s="3933"/>
      <c r="T60" s="4543"/>
      <c r="U60" s="3089"/>
      <c r="V60" s="3054"/>
      <c r="W60" s="359" t="s">
        <v>2828</v>
      </c>
      <c r="X60" s="2084">
        <v>25000000</v>
      </c>
      <c r="Y60" s="2084">
        <v>25000000</v>
      </c>
      <c r="Z60" s="2084">
        <v>25000000</v>
      </c>
      <c r="AA60" s="2080" t="s">
        <v>2819</v>
      </c>
      <c r="AB60" s="365">
        <v>61</v>
      </c>
      <c r="AC60" s="1967" t="s">
        <v>2740</v>
      </c>
      <c r="AD60" s="4559"/>
      <c r="AE60" s="4559"/>
      <c r="AF60" s="4559"/>
      <c r="AG60" s="4559"/>
      <c r="AH60" s="4685"/>
      <c r="AI60" s="4559"/>
      <c r="AJ60" s="4559"/>
      <c r="AK60" s="4559"/>
      <c r="AL60" s="4559"/>
      <c r="AM60" s="4559"/>
      <c r="AN60" s="4559"/>
      <c r="AO60" s="4559"/>
      <c r="AP60" s="4559"/>
      <c r="AQ60" s="4559"/>
      <c r="AR60" s="4559"/>
      <c r="AS60" s="4559"/>
      <c r="AT60" s="4559"/>
      <c r="AU60" s="4559"/>
      <c r="AV60" s="4559"/>
      <c r="AW60" s="4559"/>
      <c r="AX60" s="4559"/>
      <c r="AY60" s="4559"/>
      <c r="AZ60" s="4559"/>
      <c r="BA60" s="4559"/>
      <c r="BB60" s="4559"/>
      <c r="BC60" s="4559"/>
      <c r="BD60" s="4559"/>
      <c r="BE60" s="4559"/>
      <c r="BF60" s="4559"/>
      <c r="BG60" s="4559"/>
      <c r="BH60" s="4559"/>
      <c r="BI60" s="4559"/>
      <c r="BJ60" s="2730"/>
      <c r="BK60" s="2730"/>
      <c r="BL60" s="2730"/>
      <c r="BM60" s="2743"/>
      <c r="BN60" s="2730"/>
      <c r="BO60" s="2716"/>
      <c r="BP60" s="2716"/>
      <c r="BQ60" s="2736"/>
      <c r="BR60" s="2736"/>
      <c r="BS60" s="2736"/>
      <c r="BT60" s="2736"/>
      <c r="BU60" s="2730"/>
    </row>
    <row r="61" spans="1:73" s="1965" customFormat="1" ht="52.5" customHeight="1" x14ac:dyDescent="0.25">
      <c r="A61" s="2076"/>
      <c r="B61" s="2077"/>
      <c r="C61" s="1939"/>
      <c r="D61" s="1935"/>
      <c r="E61" s="2078"/>
      <c r="F61" s="2078"/>
      <c r="G61" s="3104"/>
      <c r="H61" s="3105"/>
      <c r="I61" s="3104"/>
      <c r="J61" s="3105"/>
      <c r="K61" s="4487"/>
      <c r="L61" s="3105"/>
      <c r="M61" s="4487"/>
      <c r="N61" s="3105"/>
      <c r="O61" s="4526"/>
      <c r="P61" s="4650"/>
      <c r="Q61" s="4526"/>
      <c r="R61" s="3089"/>
      <c r="S61" s="3933"/>
      <c r="T61" s="4543"/>
      <c r="U61" s="3089"/>
      <c r="V61" s="3054"/>
      <c r="W61" s="359" t="s">
        <v>2829</v>
      </c>
      <c r="X61" s="2084">
        <v>20000000</v>
      </c>
      <c r="Y61" s="2084">
        <v>20000000</v>
      </c>
      <c r="Z61" s="2084">
        <v>20000000</v>
      </c>
      <c r="AA61" s="2080" t="s">
        <v>2819</v>
      </c>
      <c r="AB61" s="365">
        <v>61</v>
      </c>
      <c r="AC61" s="1967" t="s">
        <v>2740</v>
      </c>
      <c r="AD61" s="4559"/>
      <c r="AE61" s="4559"/>
      <c r="AF61" s="4559"/>
      <c r="AG61" s="4559"/>
      <c r="AH61" s="4685"/>
      <c r="AI61" s="4559"/>
      <c r="AJ61" s="4559"/>
      <c r="AK61" s="4559"/>
      <c r="AL61" s="4559"/>
      <c r="AM61" s="4559"/>
      <c r="AN61" s="4559"/>
      <c r="AO61" s="4559"/>
      <c r="AP61" s="4559"/>
      <c r="AQ61" s="4559"/>
      <c r="AR61" s="4559"/>
      <c r="AS61" s="4559"/>
      <c r="AT61" s="4559"/>
      <c r="AU61" s="4559"/>
      <c r="AV61" s="4559"/>
      <c r="AW61" s="4559"/>
      <c r="AX61" s="4559"/>
      <c r="AY61" s="4559"/>
      <c r="AZ61" s="4559"/>
      <c r="BA61" s="4559"/>
      <c r="BB61" s="4559"/>
      <c r="BC61" s="4559"/>
      <c r="BD61" s="4559"/>
      <c r="BE61" s="4559"/>
      <c r="BF61" s="4559"/>
      <c r="BG61" s="4559"/>
      <c r="BH61" s="4559"/>
      <c r="BI61" s="4559"/>
      <c r="BJ61" s="2730"/>
      <c r="BK61" s="2730"/>
      <c r="BL61" s="2730"/>
      <c r="BM61" s="2743"/>
      <c r="BN61" s="2730"/>
      <c r="BO61" s="2716"/>
      <c r="BP61" s="2716"/>
      <c r="BQ61" s="2736"/>
      <c r="BR61" s="2736"/>
      <c r="BS61" s="2736"/>
      <c r="BT61" s="2736"/>
      <c r="BU61" s="2730"/>
    </row>
    <row r="62" spans="1:73" s="1965" customFormat="1" ht="52.5" customHeight="1" x14ac:dyDescent="0.25">
      <c r="A62" s="2076"/>
      <c r="B62" s="2077"/>
      <c r="C62" s="1939"/>
      <c r="D62" s="1935"/>
      <c r="E62" s="2078"/>
      <c r="F62" s="2078"/>
      <c r="G62" s="3104"/>
      <c r="H62" s="3105"/>
      <c r="I62" s="3104"/>
      <c r="J62" s="3105"/>
      <c r="K62" s="4487"/>
      <c r="L62" s="3105"/>
      <c r="M62" s="4487"/>
      <c r="N62" s="3105"/>
      <c r="O62" s="4526"/>
      <c r="P62" s="4650"/>
      <c r="Q62" s="4526"/>
      <c r="R62" s="3089"/>
      <c r="S62" s="3933"/>
      <c r="T62" s="4543"/>
      <c r="U62" s="3089"/>
      <c r="V62" s="3054"/>
      <c r="W62" s="359" t="s">
        <v>2830</v>
      </c>
      <c r="X62" s="2084">
        <v>15000000</v>
      </c>
      <c r="Y62" s="2084">
        <v>15000000</v>
      </c>
      <c r="Z62" s="2084">
        <v>15000000</v>
      </c>
      <c r="AA62" s="2080" t="s">
        <v>2819</v>
      </c>
      <c r="AB62" s="365">
        <v>61</v>
      </c>
      <c r="AC62" s="1967" t="s">
        <v>2740</v>
      </c>
      <c r="AD62" s="4559"/>
      <c r="AE62" s="4559"/>
      <c r="AF62" s="4559"/>
      <c r="AG62" s="4559"/>
      <c r="AH62" s="4685"/>
      <c r="AI62" s="4559"/>
      <c r="AJ62" s="4559"/>
      <c r="AK62" s="4559"/>
      <c r="AL62" s="4559"/>
      <c r="AM62" s="4559"/>
      <c r="AN62" s="4559"/>
      <c r="AO62" s="4559"/>
      <c r="AP62" s="4559"/>
      <c r="AQ62" s="4559"/>
      <c r="AR62" s="4559"/>
      <c r="AS62" s="4559"/>
      <c r="AT62" s="4559"/>
      <c r="AU62" s="4559"/>
      <c r="AV62" s="4559"/>
      <c r="AW62" s="4559"/>
      <c r="AX62" s="4559"/>
      <c r="AY62" s="4559"/>
      <c r="AZ62" s="4559"/>
      <c r="BA62" s="4559"/>
      <c r="BB62" s="4559"/>
      <c r="BC62" s="4559"/>
      <c r="BD62" s="4559"/>
      <c r="BE62" s="4559"/>
      <c r="BF62" s="4559"/>
      <c r="BG62" s="4559"/>
      <c r="BH62" s="4559"/>
      <c r="BI62" s="4559"/>
      <c r="BJ62" s="2730"/>
      <c r="BK62" s="2730"/>
      <c r="BL62" s="2730"/>
      <c r="BM62" s="2743"/>
      <c r="BN62" s="2730"/>
      <c r="BO62" s="2716"/>
      <c r="BP62" s="2716"/>
      <c r="BQ62" s="2736"/>
      <c r="BR62" s="2736"/>
      <c r="BS62" s="2736"/>
      <c r="BT62" s="2736"/>
      <c r="BU62" s="2730"/>
    </row>
    <row r="63" spans="1:73" s="1965" customFormat="1" ht="52.5" customHeight="1" x14ac:dyDescent="0.25">
      <c r="A63" s="2076"/>
      <c r="B63" s="2077"/>
      <c r="C63" s="1939"/>
      <c r="D63" s="1935"/>
      <c r="E63" s="2078"/>
      <c r="F63" s="2078"/>
      <c r="G63" s="2579"/>
      <c r="H63" s="3024"/>
      <c r="I63" s="2579"/>
      <c r="J63" s="3024"/>
      <c r="K63" s="4483"/>
      <c r="L63" s="3024"/>
      <c r="M63" s="4483"/>
      <c r="N63" s="3024"/>
      <c r="O63" s="3615"/>
      <c r="P63" s="4651"/>
      <c r="Q63" s="3615"/>
      <c r="R63" s="2938"/>
      <c r="S63" s="3721"/>
      <c r="T63" s="4660"/>
      <c r="U63" s="2938"/>
      <c r="V63" s="3054"/>
      <c r="W63" s="2089" t="s">
        <v>2831</v>
      </c>
      <c r="X63" s="2084">
        <v>3530000</v>
      </c>
      <c r="Y63" s="2084">
        <v>3530000</v>
      </c>
      <c r="Z63" s="2084">
        <v>3530000</v>
      </c>
      <c r="AA63" s="2080" t="s">
        <v>2819</v>
      </c>
      <c r="AB63" s="391">
        <v>61</v>
      </c>
      <c r="AC63" s="1948" t="s">
        <v>2740</v>
      </c>
      <c r="AD63" s="4523"/>
      <c r="AE63" s="4523"/>
      <c r="AF63" s="4559"/>
      <c r="AG63" s="4523"/>
      <c r="AH63" s="4685"/>
      <c r="AI63" s="4523"/>
      <c r="AJ63" s="4559"/>
      <c r="AK63" s="4523"/>
      <c r="AL63" s="4559"/>
      <c r="AM63" s="4523"/>
      <c r="AN63" s="4559"/>
      <c r="AO63" s="4523"/>
      <c r="AP63" s="4559"/>
      <c r="AQ63" s="4523"/>
      <c r="AR63" s="4559"/>
      <c r="AS63" s="4523"/>
      <c r="AT63" s="4559"/>
      <c r="AU63" s="4523"/>
      <c r="AV63" s="4559"/>
      <c r="AW63" s="4523"/>
      <c r="AX63" s="4559"/>
      <c r="AY63" s="4523"/>
      <c r="AZ63" s="4559"/>
      <c r="BA63" s="4523"/>
      <c r="BB63" s="4559"/>
      <c r="BC63" s="4523"/>
      <c r="BD63" s="4559"/>
      <c r="BE63" s="4523"/>
      <c r="BF63" s="4559"/>
      <c r="BG63" s="4523"/>
      <c r="BH63" s="4559"/>
      <c r="BI63" s="4523"/>
      <c r="BJ63" s="2731"/>
      <c r="BK63" s="2731"/>
      <c r="BL63" s="2731"/>
      <c r="BM63" s="2744"/>
      <c r="BN63" s="2731"/>
      <c r="BO63" s="2717"/>
      <c r="BP63" s="2717"/>
      <c r="BQ63" s="2736"/>
      <c r="BR63" s="2736"/>
      <c r="BS63" s="2736"/>
      <c r="BT63" s="2736"/>
      <c r="BU63" s="2730"/>
    </row>
    <row r="64" spans="1:73" s="4" customFormat="1" ht="38.25" customHeight="1" x14ac:dyDescent="0.25">
      <c r="A64" s="2076"/>
      <c r="B64" s="2077"/>
      <c r="C64" s="1939"/>
      <c r="D64" s="1935"/>
      <c r="E64" s="2078"/>
      <c r="F64" s="2078"/>
      <c r="G64" s="3694">
        <v>1903012</v>
      </c>
      <c r="H64" s="3658" t="s">
        <v>2832</v>
      </c>
      <c r="I64" s="3694">
        <v>1903012</v>
      </c>
      <c r="J64" s="3658" t="s">
        <v>2832</v>
      </c>
      <c r="K64" s="4586">
        <v>190301200</v>
      </c>
      <c r="L64" s="3658" t="s">
        <v>2833</v>
      </c>
      <c r="M64" s="4586">
        <v>190301200</v>
      </c>
      <c r="N64" s="3658" t="s">
        <v>2833</v>
      </c>
      <c r="O64" s="4667">
        <v>4000</v>
      </c>
      <c r="P64" s="4668">
        <v>3990</v>
      </c>
      <c r="Q64" s="4675" t="s">
        <v>2834</v>
      </c>
      <c r="R64" s="4572" t="s">
        <v>2835</v>
      </c>
      <c r="S64" s="3933">
        <v>0.76911669484986112</v>
      </c>
      <c r="T64" s="4681">
        <v>947714309</v>
      </c>
      <c r="U64" s="3089" t="s">
        <v>2836</v>
      </c>
      <c r="V64" s="3053" t="s">
        <v>2837</v>
      </c>
      <c r="W64" s="2938" t="s">
        <v>2838</v>
      </c>
      <c r="X64" s="2102">
        <v>0</v>
      </c>
      <c r="Y64" s="2103"/>
      <c r="Z64" s="2103"/>
      <c r="AA64" s="2080" t="s">
        <v>2839</v>
      </c>
      <c r="AB64" s="391">
        <v>61</v>
      </c>
      <c r="AC64" s="1948" t="s">
        <v>2740</v>
      </c>
      <c r="AD64" s="2579">
        <v>289394</v>
      </c>
      <c r="AE64" s="2579"/>
      <c r="AF64" s="2579">
        <v>279112</v>
      </c>
      <c r="AG64" s="2579"/>
      <c r="AH64" s="4483">
        <v>63164</v>
      </c>
      <c r="AI64" s="2579"/>
      <c r="AJ64" s="2579">
        <v>45607</v>
      </c>
      <c r="AK64" s="2579"/>
      <c r="AL64" s="2579">
        <v>365607</v>
      </c>
      <c r="AM64" s="2579"/>
      <c r="AN64" s="2579">
        <v>75612</v>
      </c>
      <c r="AO64" s="2579"/>
      <c r="AP64" s="2579">
        <v>2145</v>
      </c>
      <c r="AQ64" s="2579"/>
      <c r="AR64" s="2579">
        <v>12718</v>
      </c>
      <c r="AS64" s="2579"/>
      <c r="AT64" s="2579">
        <v>26</v>
      </c>
      <c r="AU64" s="2579"/>
      <c r="AV64" s="2579">
        <v>37</v>
      </c>
      <c r="AW64" s="2579"/>
      <c r="AX64" s="2579">
        <v>0</v>
      </c>
      <c r="AY64" s="2579"/>
      <c r="AZ64" s="2579">
        <v>0</v>
      </c>
      <c r="BA64" s="2579"/>
      <c r="BB64" s="2579">
        <v>78</v>
      </c>
      <c r="BC64" s="2579"/>
      <c r="BD64" s="2579">
        <v>16897</v>
      </c>
      <c r="BE64" s="2579"/>
      <c r="BF64" s="2579">
        <v>852</v>
      </c>
      <c r="BG64" s="2579"/>
      <c r="BH64" s="2579">
        <v>568506</v>
      </c>
      <c r="BI64" s="2579"/>
      <c r="BJ64" s="2579">
        <v>23</v>
      </c>
      <c r="BK64" s="4657">
        <v>903043756</v>
      </c>
      <c r="BL64" s="4657">
        <v>885720656</v>
      </c>
      <c r="BM64" s="4556">
        <v>0.9808169871228255</v>
      </c>
      <c r="BN64" s="2579" t="s">
        <v>2840</v>
      </c>
      <c r="BO64" s="2579" t="s">
        <v>2841</v>
      </c>
      <c r="BP64" s="2579" t="s">
        <v>2743</v>
      </c>
      <c r="BQ64" s="4655">
        <v>44197</v>
      </c>
      <c r="BR64" s="4655">
        <v>44200</v>
      </c>
      <c r="BS64" s="4655">
        <v>44561</v>
      </c>
      <c r="BT64" s="4655">
        <v>44561</v>
      </c>
      <c r="BU64" s="2579" t="s">
        <v>2744</v>
      </c>
    </row>
    <row r="65" spans="1:73" s="4" customFormat="1" ht="38.25" customHeight="1" x14ac:dyDescent="0.25">
      <c r="A65" s="2076"/>
      <c r="B65" s="2077"/>
      <c r="C65" s="1939"/>
      <c r="D65" s="1935"/>
      <c r="E65" s="2078"/>
      <c r="F65" s="2078"/>
      <c r="G65" s="4575"/>
      <c r="H65" s="4588"/>
      <c r="I65" s="4575"/>
      <c r="J65" s="4588"/>
      <c r="K65" s="4587"/>
      <c r="L65" s="4588"/>
      <c r="M65" s="4587"/>
      <c r="N65" s="4588"/>
      <c r="O65" s="4672"/>
      <c r="P65" s="4674"/>
      <c r="Q65" s="4676"/>
      <c r="R65" s="4572"/>
      <c r="S65" s="3933"/>
      <c r="T65" s="4682"/>
      <c r="U65" s="3089"/>
      <c r="V65" s="3054"/>
      <c r="W65" s="2939"/>
      <c r="X65" s="2104">
        <v>319188588</v>
      </c>
      <c r="Y65" s="2084">
        <v>311532698</v>
      </c>
      <c r="Z65" s="2084">
        <v>311532698</v>
      </c>
      <c r="AA65" s="2080" t="s">
        <v>2842</v>
      </c>
      <c r="AB65" s="391">
        <v>61</v>
      </c>
      <c r="AC65" s="1948" t="s">
        <v>2740</v>
      </c>
      <c r="AD65" s="2580"/>
      <c r="AE65" s="2580"/>
      <c r="AF65" s="2580"/>
      <c r="AG65" s="2580"/>
      <c r="AH65" s="4484"/>
      <c r="AI65" s="2580"/>
      <c r="AJ65" s="2580"/>
      <c r="AK65" s="2580"/>
      <c r="AL65" s="2580"/>
      <c r="AM65" s="2580"/>
      <c r="AN65" s="2580"/>
      <c r="AO65" s="2580"/>
      <c r="AP65" s="2580"/>
      <c r="AQ65" s="2580"/>
      <c r="AR65" s="2580"/>
      <c r="AS65" s="2580"/>
      <c r="AT65" s="2580"/>
      <c r="AU65" s="2580"/>
      <c r="AV65" s="2580"/>
      <c r="AW65" s="2580"/>
      <c r="AX65" s="2580"/>
      <c r="AY65" s="2580"/>
      <c r="AZ65" s="2580"/>
      <c r="BA65" s="2580"/>
      <c r="BB65" s="2580"/>
      <c r="BC65" s="2580"/>
      <c r="BD65" s="2580"/>
      <c r="BE65" s="2580"/>
      <c r="BF65" s="2580"/>
      <c r="BG65" s="2580"/>
      <c r="BH65" s="2580"/>
      <c r="BI65" s="2580"/>
      <c r="BJ65" s="2580"/>
      <c r="BK65" s="2580"/>
      <c r="BL65" s="2580"/>
      <c r="BM65" s="4557"/>
      <c r="BN65" s="2580"/>
      <c r="BO65" s="2580"/>
      <c r="BP65" s="2580"/>
      <c r="BQ65" s="4656"/>
      <c r="BR65" s="4656"/>
      <c r="BS65" s="4656"/>
      <c r="BT65" s="4656"/>
      <c r="BU65" s="2580"/>
    </row>
    <row r="66" spans="1:73" s="4" customFormat="1" ht="38.25" customHeight="1" x14ac:dyDescent="0.25">
      <c r="A66" s="2076"/>
      <c r="B66" s="2077"/>
      <c r="C66" s="1939"/>
      <c r="D66" s="1935"/>
      <c r="E66" s="2078"/>
      <c r="F66" s="2078"/>
      <c r="G66" s="4575"/>
      <c r="H66" s="4588" t="s">
        <v>2832</v>
      </c>
      <c r="I66" s="4575"/>
      <c r="J66" s="4588" t="s">
        <v>2832</v>
      </c>
      <c r="K66" s="4587">
        <v>190301200</v>
      </c>
      <c r="L66" s="4588" t="s">
        <v>2833</v>
      </c>
      <c r="M66" s="4587">
        <v>190301200</v>
      </c>
      <c r="N66" s="4588" t="s">
        <v>2833</v>
      </c>
      <c r="O66" s="4672"/>
      <c r="P66" s="4674"/>
      <c r="Q66" s="4677"/>
      <c r="R66" s="4572"/>
      <c r="S66" s="3933"/>
      <c r="T66" s="4682"/>
      <c r="U66" s="3089"/>
      <c r="V66" s="3054"/>
      <c r="W66" s="2938" t="s">
        <v>2843</v>
      </c>
      <c r="X66" s="2105">
        <v>0</v>
      </c>
      <c r="Y66" s="2084"/>
      <c r="Z66" s="2084"/>
      <c r="AA66" s="2080" t="s">
        <v>2839</v>
      </c>
      <c r="AB66" s="391">
        <v>61</v>
      </c>
      <c r="AC66" s="1948" t="s">
        <v>2740</v>
      </c>
      <c r="AD66" s="2580"/>
      <c r="AE66" s="2580"/>
      <c r="AF66" s="2580"/>
      <c r="AG66" s="2580"/>
      <c r="AH66" s="4484"/>
      <c r="AI66" s="2580"/>
      <c r="AJ66" s="2580"/>
      <c r="AK66" s="2580"/>
      <c r="AL66" s="2580"/>
      <c r="AM66" s="2580"/>
      <c r="AN66" s="2580"/>
      <c r="AO66" s="2580"/>
      <c r="AP66" s="2580"/>
      <c r="AQ66" s="2580"/>
      <c r="AR66" s="2580"/>
      <c r="AS66" s="2580"/>
      <c r="AT66" s="2580"/>
      <c r="AU66" s="2580"/>
      <c r="AV66" s="2580"/>
      <c r="AW66" s="2580"/>
      <c r="AX66" s="2580"/>
      <c r="AY66" s="2580"/>
      <c r="AZ66" s="2580"/>
      <c r="BA66" s="2580"/>
      <c r="BB66" s="2580"/>
      <c r="BC66" s="2580"/>
      <c r="BD66" s="2580"/>
      <c r="BE66" s="2580"/>
      <c r="BF66" s="2580"/>
      <c r="BG66" s="2580"/>
      <c r="BH66" s="2580"/>
      <c r="BI66" s="2580"/>
      <c r="BJ66" s="2580"/>
      <c r="BK66" s="2580"/>
      <c r="BL66" s="2580"/>
      <c r="BM66" s="4557"/>
      <c r="BN66" s="2580"/>
      <c r="BO66" s="2580"/>
      <c r="BP66" s="2580"/>
      <c r="BQ66" s="4656"/>
      <c r="BR66" s="4656"/>
      <c r="BS66" s="4656"/>
      <c r="BT66" s="4656"/>
      <c r="BU66" s="2580"/>
    </row>
    <row r="67" spans="1:73" s="4" customFormat="1" ht="38.25" customHeight="1" x14ac:dyDescent="0.25">
      <c r="A67" s="2076"/>
      <c r="B67" s="2077"/>
      <c r="C67" s="1939"/>
      <c r="D67" s="1935"/>
      <c r="E67" s="2078"/>
      <c r="F67" s="2078"/>
      <c r="G67" s="4575"/>
      <c r="H67" s="4588"/>
      <c r="I67" s="4575"/>
      <c r="J67" s="4588"/>
      <c r="K67" s="4587"/>
      <c r="L67" s="4588"/>
      <c r="M67" s="4587"/>
      <c r="N67" s="4588"/>
      <c r="O67" s="4672"/>
      <c r="P67" s="4674"/>
      <c r="Q67" s="4677"/>
      <c r="R67" s="4572"/>
      <c r="S67" s="3933"/>
      <c r="T67" s="4682"/>
      <c r="U67" s="3089"/>
      <c r="V67" s="3054"/>
      <c r="W67" s="3100"/>
      <c r="X67" s="2105">
        <v>7490065</v>
      </c>
      <c r="Y67" s="2084">
        <v>7395850</v>
      </c>
      <c r="Z67" s="2084">
        <v>7395850</v>
      </c>
      <c r="AA67" s="2080" t="s">
        <v>2844</v>
      </c>
      <c r="AB67" s="391">
        <v>61</v>
      </c>
      <c r="AC67" s="1948" t="s">
        <v>2740</v>
      </c>
      <c r="AD67" s="2580"/>
      <c r="AE67" s="2580"/>
      <c r="AF67" s="2580"/>
      <c r="AG67" s="2580"/>
      <c r="AH67" s="4484"/>
      <c r="AI67" s="2580"/>
      <c r="AJ67" s="2580"/>
      <c r="AK67" s="2580"/>
      <c r="AL67" s="2580"/>
      <c r="AM67" s="2580"/>
      <c r="AN67" s="2580"/>
      <c r="AO67" s="2580"/>
      <c r="AP67" s="2580"/>
      <c r="AQ67" s="2580"/>
      <c r="AR67" s="2580"/>
      <c r="AS67" s="2580"/>
      <c r="AT67" s="2580"/>
      <c r="AU67" s="2580"/>
      <c r="AV67" s="2580"/>
      <c r="AW67" s="2580"/>
      <c r="AX67" s="2580"/>
      <c r="AY67" s="2580"/>
      <c r="AZ67" s="2580"/>
      <c r="BA67" s="2580"/>
      <c r="BB67" s="2580"/>
      <c r="BC67" s="2580"/>
      <c r="BD67" s="2580"/>
      <c r="BE67" s="2580"/>
      <c r="BF67" s="2580"/>
      <c r="BG67" s="2580"/>
      <c r="BH67" s="2580"/>
      <c r="BI67" s="2580"/>
      <c r="BJ67" s="2580"/>
      <c r="BK67" s="2580"/>
      <c r="BL67" s="2580"/>
      <c r="BM67" s="4557"/>
      <c r="BN67" s="2580"/>
      <c r="BO67" s="2580"/>
      <c r="BP67" s="2580"/>
      <c r="BQ67" s="4656"/>
      <c r="BR67" s="4656"/>
      <c r="BS67" s="4656"/>
      <c r="BT67" s="4656"/>
      <c r="BU67" s="2580"/>
    </row>
    <row r="68" spans="1:73" s="4" customFormat="1" ht="56.25" customHeight="1" x14ac:dyDescent="0.25">
      <c r="A68" s="2076"/>
      <c r="B68" s="2077"/>
      <c r="C68" s="1939"/>
      <c r="D68" s="1935"/>
      <c r="E68" s="2078"/>
      <c r="F68" s="2078"/>
      <c r="G68" s="4575"/>
      <c r="H68" s="4588"/>
      <c r="I68" s="4575"/>
      <c r="J68" s="4588"/>
      <c r="K68" s="4587"/>
      <c r="L68" s="4588"/>
      <c r="M68" s="4587"/>
      <c r="N68" s="4588"/>
      <c r="O68" s="4672"/>
      <c r="P68" s="4674"/>
      <c r="Q68" s="4677"/>
      <c r="R68" s="4572"/>
      <c r="S68" s="3933"/>
      <c r="T68" s="4682"/>
      <c r="U68" s="3089"/>
      <c r="V68" s="3054"/>
      <c r="W68" s="3100"/>
      <c r="X68" s="2105">
        <v>33078292</v>
      </c>
      <c r="Y68" s="2084">
        <v>33078292</v>
      </c>
      <c r="Z68" s="2084">
        <v>33078292</v>
      </c>
      <c r="AA68" s="2080" t="s">
        <v>2845</v>
      </c>
      <c r="AB68" s="391">
        <v>184</v>
      </c>
      <c r="AC68" s="1948" t="s">
        <v>2846</v>
      </c>
      <c r="AD68" s="2580"/>
      <c r="AE68" s="2580"/>
      <c r="AF68" s="2580"/>
      <c r="AG68" s="2580"/>
      <c r="AH68" s="4484"/>
      <c r="AI68" s="2580"/>
      <c r="AJ68" s="2580"/>
      <c r="AK68" s="2580"/>
      <c r="AL68" s="2580"/>
      <c r="AM68" s="2580"/>
      <c r="AN68" s="2580"/>
      <c r="AO68" s="2580"/>
      <c r="AP68" s="2580"/>
      <c r="AQ68" s="2580"/>
      <c r="AR68" s="2580"/>
      <c r="AS68" s="2580"/>
      <c r="AT68" s="2580"/>
      <c r="AU68" s="2580"/>
      <c r="AV68" s="2580"/>
      <c r="AW68" s="2580"/>
      <c r="AX68" s="2580"/>
      <c r="AY68" s="2580"/>
      <c r="AZ68" s="2580"/>
      <c r="BA68" s="2580"/>
      <c r="BB68" s="2580"/>
      <c r="BC68" s="2580"/>
      <c r="BD68" s="2580"/>
      <c r="BE68" s="2580"/>
      <c r="BF68" s="2580"/>
      <c r="BG68" s="2580"/>
      <c r="BH68" s="2580"/>
      <c r="BI68" s="2580"/>
      <c r="BJ68" s="2580"/>
      <c r="BK68" s="2580"/>
      <c r="BL68" s="2580"/>
      <c r="BM68" s="4557"/>
      <c r="BN68" s="2580"/>
      <c r="BO68" s="2580"/>
      <c r="BP68" s="2580"/>
      <c r="BQ68" s="4656"/>
      <c r="BR68" s="4656"/>
      <c r="BS68" s="4656"/>
      <c r="BT68" s="4656"/>
      <c r="BU68" s="2580"/>
    </row>
    <row r="69" spans="1:73" s="4" customFormat="1" ht="38.25" customHeight="1" x14ac:dyDescent="0.25">
      <c r="A69" s="2076"/>
      <c r="B69" s="2077"/>
      <c r="C69" s="1939"/>
      <c r="D69" s="1935"/>
      <c r="E69" s="2078"/>
      <c r="F69" s="2078"/>
      <c r="G69" s="4575"/>
      <c r="H69" s="4588"/>
      <c r="I69" s="4575"/>
      <c r="J69" s="4588"/>
      <c r="K69" s="4587"/>
      <c r="L69" s="4588"/>
      <c r="M69" s="4587"/>
      <c r="N69" s="4588"/>
      <c r="O69" s="4672"/>
      <c r="P69" s="4674"/>
      <c r="Q69" s="4677"/>
      <c r="R69" s="4572"/>
      <c r="S69" s="3933"/>
      <c r="T69" s="4682"/>
      <c r="U69" s="3089"/>
      <c r="V69" s="3054"/>
      <c r="W69" s="2939"/>
      <c r="X69" s="2104">
        <v>90734569</v>
      </c>
      <c r="Y69" s="2106">
        <v>90734569</v>
      </c>
      <c r="Z69" s="2106">
        <v>90734569</v>
      </c>
      <c r="AA69" s="2080" t="s">
        <v>2847</v>
      </c>
      <c r="AB69" s="391">
        <v>88</v>
      </c>
      <c r="AC69" s="1948" t="s">
        <v>2740</v>
      </c>
      <c r="AD69" s="2580"/>
      <c r="AE69" s="2580"/>
      <c r="AF69" s="2580"/>
      <c r="AG69" s="2580"/>
      <c r="AH69" s="4484"/>
      <c r="AI69" s="2580"/>
      <c r="AJ69" s="2580"/>
      <c r="AK69" s="2580"/>
      <c r="AL69" s="2580"/>
      <c r="AM69" s="2580"/>
      <c r="AN69" s="2580"/>
      <c r="AO69" s="2580"/>
      <c r="AP69" s="2580"/>
      <c r="AQ69" s="2580"/>
      <c r="AR69" s="2580"/>
      <c r="AS69" s="2580"/>
      <c r="AT69" s="2580"/>
      <c r="AU69" s="2580"/>
      <c r="AV69" s="2580"/>
      <c r="AW69" s="2580"/>
      <c r="AX69" s="2580"/>
      <c r="AY69" s="2580"/>
      <c r="AZ69" s="2580"/>
      <c r="BA69" s="2580"/>
      <c r="BB69" s="2580"/>
      <c r="BC69" s="2580"/>
      <c r="BD69" s="2580"/>
      <c r="BE69" s="2580"/>
      <c r="BF69" s="2580"/>
      <c r="BG69" s="2580"/>
      <c r="BH69" s="2580"/>
      <c r="BI69" s="2580"/>
      <c r="BJ69" s="2580"/>
      <c r="BK69" s="2580"/>
      <c r="BL69" s="2580"/>
      <c r="BM69" s="4557"/>
      <c r="BN69" s="2580"/>
      <c r="BO69" s="2580"/>
      <c r="BP69" s="2580"/>
      <c r="BQ69" s="4656"/>
      <c r="BR69" s="4656"/>
      <c r="BS69" s="4656"/>
      <c r="BT69" s="4656"/>
      <c r="BU69" s="2580"/>
    </row>
    <row r="70" spans="1:73" s="4" customFormat="1" ht="38.25" customHeight="1" x14ac:dyDescent="0.25">
      <c r="A70" s="2076"/>
      <c r="B70" s="2077"/>
      <c r="C70" s="1939"/>
      <c r="D70" s="1935"/>
      <c r="E70" s="2078"/>
      <c r="F70" s="2078"/>
      <c r="G70" s="4575"/>
      <c r="H70" s="4588" t="s">
        <v>2832</v>
      </c>
      <c r="I70" s="4575"/>
      <c r="J70" s="4588" t="s">
        <v>2832</v>
      </c>
      <c r="K70" s="4587">
        <v>190301200</v>
      </c>
      <c r="L70" s="4588" t="s">
        <v>2833</v>
      </c>
      <c r="M70" s="4587">
        <v>190301200</v>
      </c>
      <c r="N70" s="4588" t="s">
        <v>2833</v>
      </c>
      <c r="O70" s="4672"/>
      <c r="P70" s="4674"/>
      <c r="Q70" s="4677"/>
      <c r="R70" s="4572"/>
      <c r="S70" s="3933"/>
      <c r="T70" s="4682"/>
      <c r="U70" s="3089"/>
      <c r="V70" s="3054"/>
      <c r="W70" s="4515" t="s">
        <v>2848</v>
      </c>
      <c r="X70" s="2084">
        <v>97498731</v>
      </c>
      <c r="Y70" s="2084">
        <v>86076932</v>
      </c>
      <c r="Z70" s="2084">
        <v>86076932</v>
      </c>
      <c r="AA70" s="2080" t="s">
        <v>2849</v>
      </c>
      <c r="AB70" s="391">
        <v>61</v>
      </c>
      <c r="AC70" s="1948" t="s">
        <v>2740</v>
      </c>
      <c r="AD70" s="2580"/>
      <c r="AE70" s="2580"/>
      <c r="AF70" s="2580"/>
      <c r="AG70" s="2580"/>
      <c r="AH70" s="4484"/>
      <c r="AI70" s="2580"/>
      <c r="AJ70" s="2580"/>
      <c r="AK70" s="2580"/>
      <c r="AL70" s="2580"/>
      <c r="AM70" s="2580"/>
      <c r="AN70" s="2580"/>
      <c r="AO70" s="2580"/>
      <c r="AP70" s="2580"/>
      <c r="AQ70" s="2580"/>
      <c r="AR70" s="2580"/>
      <c r="AS70" s="2580"/>
      <c r="AT70" s="2580"/>
      <c r="AU70" s="2580"/>
      <c r="AV70" s="2580"/>
      <c r="AW70" s="2580"/>
      <c r="AX70" s="2580"/>
      <c r="AY70" s="2580"/>
      <c r="AZ70" s="2580"/>
      <c r="BA70" s="2580"/>
      <c r="BB70" s="2580"/>
      <c r="BC70" s="2580"/>
      <c r="BD70" s="2580"/>
      <c r="BE70" s="2580"/>
      <c r="BF70" s="2580"/>
      <c r="BG70" s="2580"/>
      <c r="BH70" s="2580"/>
      <c r="BI70" s="2580"/>
      <c r="BJ70" s="2580"/>
      <c r="BK70" s="2580"/>
      <c r="BL70" s="2580"/>
      <c r="BM70" s="4557"/>
      <c r="BN70" s="2580"/>
      <c r="BO70" s="2580"/>
      <c r="BP70" s="2580"/>
      <c r="BQ70" s="4656"/>
      <c r="BR70" s="4656"/>
      <c r="BS70" s="4656"/>
      <c r="BT70" s="4656"/>
      <c r="BU70" s="2580"/>
    </row>
    <row r="71" spans="1:73" s="4" customFormat="1" ht="38.25" customHeight="1" x14ac:dyDescent="0.25">
      <c r="A71" s="2076"/>
      <c r="B71" s="2077"/>
      <c r="C71" s="1939"/>
      <c r="D71" s="1935"/>
      <c r="E71" s="2078"/>
      <c r="F71" s="2078"/>
      <c r="G71" s="4575"/>
      <c r="H71" s="4588"/>
      <c r="I71" s="4575"/>
      <c r="J71" s="4588"/>
      <c r="K71" s="4587"/>
      <c r="L71" s="4588"/>
      <c r="M71" s="4587"/>
      <c r="N71" s="4588"/>
      <c r="O71" s="4672"/>
      <c r="P71" s="4674"/>
      <c r="Q71" s="4677"/>
      <c r="R71" s="4572"/>
      <c r="S71" s="3933"/>
      <c r="T71" s="4682"/>
      <c r="U71" s="3089"/>
      <c r="V71" s="3054"/>
      <c r="W71" s="4517"/>
      <c r="X71" s="2084">
        <v>42509935</v>
      </c>
      <c r="Y71" s="2084">
        <v>28110318</v>
      </c>
      <c r="Z71" s="2084">
        <v>28110318</v>
      </c>
      <c r="AA71" s="2080" t="s">
        <v>2849</v>
      </c>
      <c r="AB71" s="391">
        <v>61</v>
      </c>
      <c r="AC71" s="1948" t="s">
        <v>2740</v>
      </c>
      <c r="AD71" s="2580"/>
      <c r="AE71" s="2580"/>
      <c r="AF71" s="2580"/>
      <c r="AG71" s="2580"/>
      <c r="AH71" s="4484"/>
      <c r="AI71" s="2580"/>
      <c r="AJ71" s="2580"/>
      <c r="AK71" s="2580"/>
      <c r="AL71" s="2580"/>
      <c r="AM71" s="2580"/>
      <c r="AN71" s="2580"/>
      <c r="AO71" s="2580"/>
      <c r="AP71" s="2580"/>
      <c r="AQ71" s="2580"/>
      <c r="AR71" s="2580"/>
      <c r="AS71" s="2580"/>
      <c r="AT71" s="2580"/>
      <c r="AU71" s="2580"/>
      <c r="AV71" s="2580"/>
      <c r="AW71" s="2580"/>
      <c r="AX71" s="2580"/>
      <c r="AY71" s="2580"/>
      <c r="AZ71" s="2580"/>
      <c r="BA71" s="2580"/>
      <c r="BB71" s="2580"/>
      <c r="BC71" s="2580"/>
      <c r="BD71" s="2580"/>
      <c r="BE71" s="2580"/>
      <c r="BF71" s="2580"/>
      <c r="BG71" s="2580"/>
      <c r="BH71" s="2580"/>
      <c r="BI71" s="2580"/>
      <c r="BJ71" s="2580"/>
      <c r="BK71" s="2580"/>
      <c r="BL71" s="2580"/>
      <c r="BM71" s="4557"/>
      <c r="BN71" s="2580"/>
      <c r="BO71" s="2580"/>
      <c r="BP71" s="2580"/>
      <c r="BQ71" s="4656"/>
      <c r="BR71" s="4656"/>
      <c r="BS71" s="4656"/>
      <c r="BT71" s="4656"/>
      <c r="BU71" s="2580"/>
    </row>
    <row r="72" spans="1:73" s="4" customFormat="1" ht="64.5" customHeight="1" x14ac:dyDescent="0.25">
      <c r="A72" s="2076"/>
      <c r="B72" s="2077"/>
      <c r="C72" s="1939"/>
      <c r="D72" s="1935"/>
      <c r="E72" s="2078"/>
      <c r="F72" s="2078"/>
      <c r="G72" s="4575"/>
      <c r="H72" s="4588" t="s">
        <v>2832</v>
      </c>
      <c r="I72" s="4575"/>
      <c r="J72" s="4588" t="s">
        <v>2832</v>
      </c>
      <c r="K72" s="4587">
        <v>190301200</v>
      </c>
      <c r="L72" s="4588" t="s">
        <v>2833</v>
      </c>
      <c r="M72" s="4587">
        <v>190301200</v>
      </c>
      <c r="N72" s="4588" t="s">
        <v>2833</v>
      </c>
      <c r="O72" s="4672"/>
      <c r="P72" s="4674"/>
      <c r="Q72" s="4677"/>
      <c r="R72" s="4572"/>
      <c r="S72" s="3933"/>
      <c r="T72" s="4682"/>
      <c r="U72" s="3089"/>
      <c r="V72" s="3054"/>
      <c r="W72" s="2089" t="s">
        <v>2850</v>
      </c>
      <c r="X72" s="2084">
        <v>108882717</v>
      </c>
      <c r="Y72" s="2084">
        <v>104906249</v>
      </c>
      <c r="Z72" s="2084">
        <v>104906249</v>
      </c>
      <c r="AA72" s="2080" t="s">
        <v>2849</v>
      </c>
      <c r="AB72" s="391">
        <v>61</v>
      </c>
      <c r="AC72" s="1948" t="s">
        <v>2740</v>
      </c>
      <c r="AD72" s="2580"/>
      <c r="AE72" s="2580"/>
      <c r="AF72" s="2580"/>
      <c r="AG72" s="2580"/>
      <c r="AH72" s="4484"/>
      <c r="AI72" s="2580"/>
      <c r="AJ72" s="2580"/>
      <c r="AK72" s="2580"/>
      <c r="AL72" s="2580"/>
      <c r="AM72" s="2580"/>
      <c r="AN72" s="2580"/>
      <c r="AO72" s="2580"/>
      <c r="AP72" s="2580"/>
      <c r="AQ72" s="2580"/>
      <c r="AR72" s="2580"/>
      <c r="AS72" s="2580"/>
      <c r="AT72" s="2580"/>
      <c r="AU72" s="2580"/>
      <c r="AV72" s="2580"/>
      <c r="AW72" s="2580"/>
      <c r="AX72" s="2580"/>
      <c r="AY72" s="2580"/>
      <c r="AZ72" s="2580"/>
      <c r="BA72" s="2580"/>
      <c r="BB72" s="2580"/>
      <c r="BC72" s="2580"/>
      <c r="BD72" s="2580"/>
      <c r="BE72" s="2580"/>
      <c r="BF72" s="2580"/>
      <c r="BG72" s="2580"/>
      <c r="BH72" s="2580"/>
      <c r="BI72" s="2580"/>
      <c r="BJ72" s="2580"/>
      <c r="BK72" s="2580"/>
      <c r="BL72" s="2580"/>
      <c r="BM72" s="4557"/>
      <c r="BN72" s="2580"/>
      <c r="BO72" s="2580"/>
      <c r="BP72" s="2580"/>
      <c r="BQ72" s="4656"/>
      <c r="BR72" s="4656"/>
      <c r="BS72" s="4656"/>
      <c r="BT72" s="4656"/>
      <c r="BU72" s="2580"/>
    </row>
    <row r="73" spans="1:73" s="4" customFormat="1" ht="38.25" customHeight="1" x14ac:dyDescent="0.25">
      <c r="A73" s="2076"/>
      <c r="B73" s="2077"/>
      <c r="C73" s="1939"/>
      <c r="D73" s="1935"/>
      <c r="E73" s="2078"/>
      <c r="F73" s="2078"/>
      <c r="G73" s="4575"/>
      <c r="H73" s="4588" t="s">
        <v>2832</v>
      </c>
      <c r="I73" s="4575"/>
      <c r="J73" s="4588" t="s">
        <v>2832</v>
      </c>
      <c r="K73" s="4587">
        <v>190301200</v>
      </c>
      <c r="L73" s="4588" t="s">
        <v>2833</v>
      </c>
      <c r="M73" s="4587">
        <v>190301200</v>
      </c>
      <c r="N73" s="4588" t="s">
        <v>2833</v>
      </c>
      <c r="O73" s="4672"/>
      <c r="P73" s="4674"/>
      <c r="Q73" s="4677"/>
      <c r="R73" s="4572"/>
      <c r="S73" s="3933"/>
      <c r="T73" s="4682"/>
      <c r="U73" s="3089"/>
      <c r="V73" s="3054"/>
      <c r="W73" s="359" t="s">
        <v>2851</v>
      </c>
      <c r="X73" s="2084">
        <v>12720000</v>
      </c>
      <c r="Y73" s="2084">
        <v>12720000</v>
      </c>
      <c r="Z73" s="2084">
        <v>12720000</v>
      </c>
      <c r="AA73" s="2080" t="s">
        <v>2849</v>
      </c>
      <c r="AB73" s="391">
        <v>61</v>
      </c>
      <c r="AC73" s="1948" t="s">
        <v>2740</v>
      </c>
      <c r="AD73" s="2580"/>
      <c r="AE73" s="2580"/>
      <c r="AF73" s="2580"/>
      <c r="AG73" s="2580"/>
      <c r="AH73" s="4484"/>
      <c r="AI73" s="2580"/>
      <c r="AJ73" s="2580"/>
      <c r="AK73" s="2580"/>
      <c r="AL73" s="2580"/>
      <c r="AM73" s="2580"/>
      <c r="AN73" s="2580"/>
      <c r="AO73" s="2580"/>
      <c r="AP73" s="2580"/>
      <c r="AQ73" s="2580"/>
      <c r="AR73" s="2580"/>
      <c r="AS73" s="2580"/>
      <c r="AT73" s="2580"/>
      <c r="AU73" s="2580"/>
      <c r="AV73" s="2580"/>
      <c r="AW73" s="2580"/>
      <c r="AX73" s="2580"/>
      <c r="AY73" s="2580"/>
      <c r="AZ73" s="2580"/>
      <c r="BA73" s="2580"/>
      <c r="BB73" s="2580"/>
      <c r="BC73" s="2580"/>
      <c r="BD73" s="2580"/>
      <c r="BE73" s="2580"/>
      <c r="BF73" s="2580"/>
      <c r="BG73" s="2580"/>
      <c r="BH73" s="2580"/>
      <c r="BI73" s="2580"/>
      <c r="BJ73" s="2580"/>
      <c r="BK73" s="2580"/>
      <c r="BL73" s="2580"/>
      <c r="BM73" s="4557"/>
      <c r="BN73" s="2580"/>
      <c r="BO73" s="2580"/>
      <c r="BP73" s="2580"/>
      <c r="BQ73" s="4656"/>
      <c r="BR73" s="4656"/>
      <c r="BS73" s="4656"/>
      <c r="BT73" s="4656"/>
      <c r="BU73" s="2580"/>
    </row>
    <row r="74" spans="1:73" s="4" customFormat="1" ht="38.25" customHeight="1" x14ac:dyDescent="0.25">
      <c r="A74" s="2076"/>
      <c r="B74" s="2077"/>
      <c r="C74" s="1939"/>
      <c r="D74" s="1935"/>
      <c r="E74" s="2078"/>
      <c r="F74" s="2078"/>
      <c r="G74" s="4680"/>
      <c r="H74" s="4671" t="s">
        <v>2832</v>
      </c>
      <c r="I74" s="4680"/>
      <c r="J74" s="4671" t="s">
        <v>2832</v>
      </c>
      <c r="K74" s="4670">
        <v>190301200</v>
      </c>
      <c r="L74" s="4671" t="s">
        <v>2833</v>
      </c>
      <c r="M74" s="4670">
        <v>190301200</v>
      </c>
      <c r="N74" s="4671" t="s">
        <v>2833</v>
      </c>
      <c r="O74" s="4673"/>
      <c r="P74" s="4669"/>
      <c r="Q74" s="4677"/>
      <c r="R74" s="4572"/>
      <c r="S74" s="3933"/>
      <c r="T74" s="4682"/>
      <c r="U74" s="3089"/>
      <c r="V74" s="3054"/>
      <c r="W74" s="359" t="s">
        <v>2852</v>
      </c>
      <c r="X74" s="2084">
        <v>16800000</v>
      </c>
      <c r="Y74" s="2084">
        <v>16800000</v>
      </c>
      <c r="Z74" s="2084">
        <v>16800000</v>
      </c>
      <c r="AA74" s="2080" t="s">
        <v>2849</v>
      </c>
      <c r="AB74" s="391">
        <v>61</v>
      </c>
      <c r="AC74" s="1948" t="s">
        <v>2740</v>
      </c>
      <c r="AD74" s="2580"/>
      <c r="AE74" s="2580"/>
      <c r="AF74" s="2580"/>
      <c r="AG74" s="2580"/>
      <c r="AH74" s="4484"/>
      <c r="AI74" s="2580"/>
      <c r="AJ74" s="2580"/>
      <c r="AK74" s="2580"/>
      <c r="AL74" s="2580"/>
      <c r="AM74" s="2580"/>
      <c r="AN74" s="2580"/>
      <c r="AO74" s="2580"/>
      <c r="AP74" s="2580"/>
      <c r="AQ74" s="2580"/>
      <c r="AR74" s="2580"/>
      <c r="AS74" s="2580"/>
      <c r="AT74" s="2580"/>
      <c r="AU74" s="2580"/>
      <c r="AV74" s="2580"/>
      <c r="AW74" s="2580"/>
      <c r="AX74" s="2580"/>
      <c r="AY74" s="2580"/>
      <c r="AZ74" s="2580"/>
      <c r="BA74" s="2580"/>
      <c r="BB74" s="2580"/>
      <c r="BC74" s="2580"/>
      <c r="BD74" s="2580"/>
      <c r="BE74" s="2580"/>
      <c r="BF74" s="2580"/>
      <c r="BG74" s="2580"/>
      <c r="BH74" s="2580"/>
      <c r="BI74" s="2580"/>
      <c r="BJ74" s="2580"/>
      <c r="BK74" s="2580"/>
      <c r="BL74" s="2580"/>
      <c r="BM74" s="4557"/>
      <c r="BN74" s="2580"/>
      <c r="BO74" s="2580"/>
      <c r="BP74" s="2580"/>
      <c r="BQ74" s="4656"/>
      <c r="BR74" s="4656"/>
      <c r="BS74" s="4656"/>
      <c r="BT74" s="4656"/>
      <c r="BU74" s="2580"/>
    </row>
    <row r="75" spans="1:73" s="4" customFormat="1" ht="48.75" customHeight="1" x14ac:dyDescent="0.25">
      <c r="A75" s="2076"/>
      <c r="B75" s="2077"/>
      <c r="C75" s="1939"/>
      <c r="D75" s="1935"/>
      <c r="E75" s="2078"/>
      <c r="F75" s="2078"/>
      <c r="G75" s="4679">
        <v>1903016</v>
      </c>
      <c r="H75" s="4665" t="s">
        <v>2853</v>
      </c>
      <c r="I75" s="4679">
        <v>1903016</v>
      </c>
      <c r="J75" s="4665" t="s">
        <v>2853</v>
      </c>
      <c r="K75" s="4678">
        <v>190301600</v>
      </c>
      <c r="L75" s="4665" t="s">
        <v>2854</v>
      </c>
      <c r="M75" s="4678">
        <v>190301600</v>
      </c>
      <c r="N75" s="4665" t="s">
        <v>2854</v>
      </c>
      <c r="O75" s="4666">
        <v>240</v>
      </c>
      <c r="P75" s="4668">
        <v>235</v>
      </c>
      <c r="Q75" s="4677"/>
      <c r="R75" s="4572"/>
      <c r="S75" s="3933">
        <v>9.9186009019095647E-2</v>
      </c>
      <c r="T75" s="4682"/>
      <c r="U75" s="3089"/>
      <c r="V75" s="3054"/>
      <c r="W75" s="359" t="s">
        <v>2855</v>
      </c>
      <c r="X75" s="2084">
        <v>34000000</v>
      </c>
      <c r="Y75" s="2084">
        <v>34000000</v>
      </c>
      <c r="Z75" s="2084">
        <v>34000000</v>
      </c>
      <c r="AA75" s="2080" t="s">
        <v>2856</v>
      </c>
      <c r="AB75" s="391">
        <v>61</v>
      </c>
      <c r="AC75" s="1948" t="s">
        <v>2740</v>
      </c>
      <c r="AD75" s="2580"/>
      <c r="AE75" s="2580"/>
      <c r="AF75" s="2580"/>
      <c r="AG75" s="2580"/>
      <c r="AH75" s="4484"/>
      <c r="AI75" s="2580"/>
      <c r="AJ75" s="2580"/>
      <c r="AK75" s="2580"/>
      <c r="AL75" s="2580"/>
      <c r="AM75" s="2580"/>
      <c r="AN75" s="2580"/>
      <c r="AO75" s="2580"/>
      <c r="AP75" s="2580"/>
      <c r="AQ75" s="2580"/>
      <c r="AR75" s="2580"/>
      <c r="AS75" s="2580"/>
      <c r="AT75" s="2580"/>
      <c r="AU75" s="2580"/>
      <c r="AV75" s="2580"/>
      <c r="AW75" s="2580"/>
      <c r="AX75" s="2580"/>
      <c r="AY75" s="2580"/>
      <c r="AZ75" s="2580"/>
      <c r="BA75" s="2580"/>
      <c r="BB75" s="2580"/>
      <c r="BC75" s="2580"/>
      <c r="BD75" s="2580"/>
      <c r="BE75" s="2580"/>
      <c r="BF75" s="2580"/>
      <c r="BG75" s="2580"/>
      <c r="BH75" s="2580"/>
      <c r="BI75" s="2580"/>
      <c r="BJ75" s="2580"/>
      <c r="BK75" s="2580"/>
      <c r="BL75" s="2580"/>
      <c r="BM75" s="4557"/>
      <c r="BN75" s="2580"/>
      <c r="BO75" s="2580"/>
      <c r="BP75" s="2580"/>
      <c r="BQ75" s="4656"/>
      <c r="BR75" s="4656"/>
      <c r="BS75" s="4656"/>
      <c r="BT75" s="4656"/>
      <c r="BU75" s="2580"/>
    </row>
    <row r="76" spans="1:73" s="4" customFormat="1" ht="65.25" customHeight="1" x14ac:dyDescent="0.25">
      <c r="A76" s="2076"/>
      <c r="B76" s="2077"/>
      <c r="C76" s="1939"/>
      <c r="D76" s="1935"/>
      <c r="E76" s="2078"/>
      <c r="F76" s="2078"/>
      <c r="G76" s="4575"/>
      <c r="H76" s="4588" t="s">
        <v>2853</v>
      </c>
      <c r="I76" s="4575"/>
      <c r="J76" s="4588" t="s">
        <v>2853</v>
      </c>
      <c r="K76" s="4587">
        <v>190301600</v>
      </c>
      <c r="L76" s="4588" t="s">
        <v>2854</v>
      </c>
      <c r="M76" s="4587">
        <v>190301600</v>
      </c>
      <c r="N76" s="4588" t="s">
        <v>2854</v>
      </c>
      <c r="O76" s="4666"/>
      <c r="P76" s="4674"/>
      <c r="Q76" s="4677"/>
      <c r="R76" s="4572"/>
      <c r="S76" s="3933"/>
      <c r="T76" s="4682"/>
      <c r="U76" s="3089"/>
      <c r="V76" s="3054"/>
      <c r="W76" s="359" t="s">
        <v>2857</v>
      </c>
      <c r="X76" s="2084">
        <v>35000000</v>
      </c>
      <c r="Y76" s="2084">
        <v>34920000</v>
      </c>
      <c r="Z76" s="2084">
        <v>34920000</v>
      </c>
      <c r="AA76" s="2080" t="s">
        <v>2856</v>
      </c>
      <c r="AB76" s="391">
        <v>61</v>
      </c>
      <c r="AC76" s="1948" t="s">
        <v>2740</v>
      </c>
      <c r="AD76" s="2580"/>
      <c r="AE76" s="2580"/>
      <c r="AF76" s="2580"/>
      <c r="AG76" s="2580"/>
      <c r="AH76" s="4484"/>
      <c r="AI76" s="2580"/>
      <c r="AJ76" s="2580"/>
      <c r="AK76" s="2580"/>
      <c r="AL76" s="2580"/>
      <c r="AM76" s="2580"/>
      <c r="AN76" s="2580"/>
      <c r="AO76" s="2580"/>
      <c r="AP76" s="2580"/>
      <c r="AQ76" s="2580"/>
      <c r="AR76" s="2580"/>
      <c r="AS76" s="2580"/>
      <c r="AT76" s="2580"/>
      <c r="AU76" s="2580"/>
      <c r="AV76" s="2580"/>
      <c r="AW76" s="2580"/>
      <c r="AX76" s="2580"/>
      <c r="AY76" s="2580"/>
      <c r="AZ76" s="2580"/>
      <c r="BA76" s="2580"/>
      <c r="BB76" s="2580"/>
      <c r="BC76" s="2580"/>
      <c r="BD76" s="2580"/>
      <c r="BE76" s="2580"/>
      <c r="BF76" s="2580"/>
      <c r="BG76" s="2580"/>
      <c r="BH76" s="2580"/>
      <c r="BI76" s="2580"/>
      <c r="BJ76" s="2580"/>
      <c r="BK76" s="2580"/>
      <c r="BL76" s="2580"/>
      <c r="BM76" s="4557"/>
      <c r="BN76" s="2580"/>
      <c r="BO76" s="2580"/>
      <c r="BP76" s="2580"/>
      <c r="BQ76" s="4656"/>
      <c r="BR76" s="4656"/>
      <c r="BS76" s="4656"/>
      <c r="BT76" s="4656"/>
      <c r="BU76" s="2580"/>
    </row>
    <row r="77" spans="1:73" s="4" customFormat="1" ht="48.75" customHeight="1" x14ac:dyDescent="0.25">
      <c r="A77" s="2076"/>
      <c r="B77" s="2077"/>
      <c r="C77" s="1939"/>
      <c r="D77" s="1935"/>
      <c r="E77" s="2078"/>
      <c r="F77" s="2078"/>
      <c r="G77" s="4680"/>
      <c r="H77" s="4671" t="s">
        <v>2853</v>
      </c>
      <c r="I77" s="4680"/>
      <c r="J77" s="4671" t="s">
        <v>2853</v>
      </c>
      <c r="K77" s="4670">
        <v>190301600</v>
      </c>
      <c r="L77" s="4671" t="s">
        <v>2854</v>
      </c>
      <c r="M77" s="4670">
        <v>190301600</v>
      </c>
      <c r="N77" s="4671" t="s">
        <v>2854</v>
      </c>
      <c r="O77" s="4666"/>
      <c r="P77" s="4669"/>
      <c r="Q77" s="4677"/>
      <c r="R77" s="4572"/>
      <c r="S77" s="3933"/>
      <c r="T77" s="4682"/>
      <c r="U77" s="3089"/>
      <c r="V77" s="3054"/>
      <c r="W77" s="1940" t="s">
        <v>2858</v>
      </c>
      <c r="X77" s="2107">
        <v>25000000</v>
      </c>
      <c r="Y77" s="2103">
        <v>25000000</v>
      </c>
      <c r="Z77" s="2103">
        <v>25000000</v>
      </c>
      <c r="AA77" s="2080" t="s">
        <v>2856</v>
      </c>
      <c r="AB77" s="391">
        <v>61</v>
      </c>
      <c r="AC77" s="1948" t="s">
        <v>2740</v>
      </c>
      <c r="AD77" s="2580"/>
      <c r="AE77" s="2580"/>
      <c r="AF77" s="2580"/>
      <c r="AG77" s="2580"/>
      <c r="AH77" s="4484"/>
      <c r="AI77" s="2580"/>
      <c r="AJ77" s="2580"/>
      <c r="AK77" s="2580"/>
      <c r="AL77" s="2580"/>
      <c r="AM77" s="2580"/>
      <c r="AN77" s="2580"/>
      <c r="AO77" s="2580"/>
      <c r="AP77" s="2580"/>
      <c r="AQ77" s="2580"/>
      <c r="AR77" s="2580"/>
      <c r="AS77" s="2580"/>
      <c r="AT77" s="2580"/>
      <c r="AU77" s="2580"/>
      <c r="AV77" s="2580"/>
      <c r="AW77" s="2580"/>
      <c r="AX77" s="2580"/>
      <c r="AY77" s="2580"/>
      <c r="AZ77" s="2580"/>
      <c r="BA77" s="2580"/>
      <c r="BB77" s="2580"/>
      <c r="BC77" s="2580"/>
      <c r="BD77" s="2580"/>
      <c r="BE77" s="2580"/>
      <c r="BF77" s="2580"/>
      <c r="BG77" s="2580"/>
      <c r="BH77" s="2580"/>
      <c r="BI77" s="2580"/>
      <c r="BJ77" s="2580"/>
      <c r="BK77" s="2580"/>
      <c r="BL77" s="2580"/>
      <c r="BM77" s="4557"/>
      <c r="BN77" s="2580"/>
      <c r="BO77" s="2580"/>
      <c r="BP77" s="2580"/>
      <c r="BQ77" s="4656"/>
      <c r="BR77" s="4656"/>
      <c r="BS77" s="4656"/>
      <c r="BT77" s="4656"/>
      <c r="BU77" s="2580"/>
    </row>
    <row r="78" spans="1:73" s="4" customFormat="1" ht="39.75" customHeight="1" x14ac:dyDescent="0.25">
      <c r="A78" s="2076"/>
      <c r="B78" s="2077"/>
      <c r="C78" s="1939"/>
      <c r="D78" s="1935"/>
      <c r="E78" s="2078"/>
      <c r="F78" s="2078"/>
      <c r="G78" s="4679">
        <v>1903011</v>
      </c>
      <c r="H78" s="4665" t="s">
        <v>2799</v>
      </c>
      <c r="I78" s="4679">
        <v>1903011</v>
      </c>
      <c r="J78" s="4665" t="s">
        <v>2799</v>
      </c>
      <c r="K78" s="4678">
        <v>190301101</v>
      </c>
      <c r="L78" s="4665" t="s">
        <v>2859</v>
      </c>
      <c r="M78" s="4678">
        <v>190301101</v>
      </c>
      <c r="N78" s="4665" t="s">
        <v>2859</v>
      </c>
      <c r="O78" s="4666">
        <v>12</v>
      </c>
      <c r="P78" s="4668">
        <v>12</v>
      </c>
      <c r="Q78" s="4677"/>
      <c r="R78" s="4572"/>
      <c r="S78" s="3933">
        <v>0.13169729613104322</v>
      </c>
      <c r="T78" s="4682"/>
      <c r="U78" s="3089"/>
      <c r="V78" s="3054"/>
      <c r="W78" s="1940" t="s">
        <v>2860</v>
      </c>
      <c r="X78" s="2105">
        <v>84811412</v>
      </c>
      <c r="Y78" s="2103">
        <v>70179100</v>
      </c>
      <c r="Z78" s="2103">
        <v>70179100</v>
      </c>
      <c r="AA78" s="2080" t="s">
        <v>2861</v>
      </c>
      <c r="AB78" s="391">
        <v>61</v>
      </c>
      <c r="AC78" s="1948" t="s">
        <v>2740</v>
      </c>
      <c r="AD78" s="2580"/>
      <c r="AE78" s="2580"/>
      <c r="AF78" s="2580"/>
      <c r="AG78" s="2580"/>
      <c r="AH78" s="4484"/>
      <c r="AI78" s="2580"/>
      <c r="AJ78" s="2580"/>
      <c r="AK78" s="2580"/>
      <c r="AL78" s="2580"/>
      <c r="AM78" s="2580"/>
      <c r="AN78" s="2580"/>
      <c r="AO78" s="2580"/>
      <c r="AP78" s="2580"/>
      <c r="AQ78" s="2580"/>
      <c r="AR78" s="2580"/>
      <c r="AS78" s="2580"/>
      <c r="AT78" s="2580"/>
      <c r="AU78" s="2580"/>
      <c r="AV78" s="2580"/>
      <c r="AW78" s="2580"/>
      <c r="AX78" s="2580"/>
      <c r="AY78" s="2580"/>
      <c r="AZ78" s="2580"/>
      <c r="BA78" s="2580"/>
      <c r="BB78" s="2580"/>
      <c r="BC78" s="2580"/>
      <c r="BD78" s="2580"/>
      <c r="BE78" s="2580"/>
      <c r="BF78" s="2580"/>
      <c r="BG78" s="2580"/>
      <c r="BH78" s="2580"/>
      <c r="BI78" s="2580"/>
      <c r="BJ78" s="2580"/>
      <c r="BK78" s="2580"/>
      <c r="BL78" s="2580"/>
      <c r="BM78" s="4557"/>
      <c r="BN78" s="2580"/>
      <c r="BO78" s="2580"/>
      <c r="BP78" s="2580"/>
      <c r="BQ78" s="4656"/>
      <c r="BR78" s="4656"/>
      <c r="BS78" s="4656"/>
      <c r="BT78" s="4656"/>
      <c r="BU78" s="2580"/>
    </row>
    <row r="79" spans="1:73" s="4" customFormat="1" ht="39.75" customHeight="1" x14ac:dyDescent="0.25">
      <c r="A79" s="2076"/>
      <c r="B79" s="2077"/>
      <c r="C79" s="1939"/>
      <c r="D79" s="1935"/>
      <c r="E79" s="2078"/>
      <c r="F79" s="2078"/>
      <c r="G79" s="4575"/>
      <c r="H79" s="4588" t="s">
        <v>2799</v>
      </c>
      <c r="I79" s="4575"/>
      <c r="J79" s="4588" t="s">
        <v>2799</v>
      </c>
      <c r="K79" s="4587">
        <v>190301101</v>
      </c>
      <c r="L79" s="4588" t="s">
        <v>2859</v>
      </c>
      <c r="M79" s="4587">
        <v>190301101</v>
      </c>
      <c r="N79" s="4588" t="s">
        <v>2859</v>
      </c>
      <c r="O79" s="4667"/>
      <c r="P79" s="4669"/>
      <c r="Q79" s="4605"/>
      <c r="R79" s="3712"/>
      <c r="S79" s="3721"/>
      <c r="T79" s="4682"/>
      <c r="U79" s="2938"/>
      <c r="V79" s="3055"/>
      <c r="W79" s="1936" t="s">
        <v>2862</v>
      </c>
      <c r="X79" s="2104">
        <v>40000000</v>
      </c>
      <c r="Y79" s="2103">
        <v>30266648</v>
      </c>
      <c r="Z79" s="2103">
        <v>30266648</v>
      </c>
      <c r="AA79" s="2080" t="s">
        <v>2861</v>
      </c>
      <c r="AB79" s="391">
        <v>61</v>
      </c>
      <c r="AC79" s="1948" t="s">
        <v>2740</v>
      </c>
      <c r="AD79" s="2581"/>
      <c r="AE79" s="2581"/>
      <c r="AF79" s="2580"/>
      <c r="AG79" s="2581"/>
      <c r="AH79" s="4484"/>
      <c r="AI79" s="2581"/>
      <c r="AJ79" s="2580"/>
      <c r="AK79" s="2581"/>
      <c r="AL79" s="2580"/>
      <c r="AM79" s="2581"/>
      <c r="AN79" s="2580"/>
      <c r="AO79" s="2581"/>
      <c r="AP79" s="2580"/>
      <c r="AQ79" s="2581"/>
      <c r="AR79" s="2580"/>
      <c r="AS79" s="2581"/>
      <c r="AT79" s="2580"/>
      <c r="AU79" s="2581"/>
      <c r="AV79" s="2580"/>
      <c r="AW79" s="2581"/>
      <c r="AX79" s="2580"/>
      <c r="AY79" s="2581"/>
      <c r="AZ79" s="2580"/>
      <c r="BA79" s="2581"/>
      <c r="BB79" s="2580"/>
      <c r="BC79" s="2581"/>
      <c r="BD79" s="2580"/>
      <c r="BE79" s="2581"/>
      <c r="BF79" s="2580"/>
      <c r="BG79" s="2581"/>
      <c r="BH79" s="2580"/>
      <c r="BI79" s="2581"/>
      <c r="BJ79" s="2581"/>
      <c r="BK79" s="2581"/>
      <c r="BL79" s="2581"/>
      <c r="BM79" s="4661"/>
      <c r="BN79" s="2581"/>
      <c r="BO79" s="2581"/>
      <c r="BP79" s="2581"/>
      <c r="BQ79" s="4656"/>
      <c r="BR79" s="4656"/>
      <c r="BS79" s="4656"/>
      <c r="BT79" s="4656"/>
      <c r="BU79" s="2580"/>
    </row>
    <row r="80" spans="1:73" s="4" customFormat="1" ht="58.5" customHeight="1" x14ac:dyDescent="0.25">
      <c r="A80" s="2076"/>
      <c r="B80" s="2077"/>
      <c r="C80" s="1939"/>
      <c r="D80" s="1935"/>
      <c r="E80" s="2078"/>
      <c r="F80" s="2078"/>
      <c r="G80" s="3104">
        <v>1903034</v>
      </c>
      <c r="H80" s="3105" t="s">
        <v>1725</v>
      </c>
      <c r="I80" s="3104">
        <v>1903034</v>
      </c>
      <c r="J80" s="3105" t="s">
        <v>1725</v>
      </c>
      <c r="K80" s="4479">
        <v>190303400</v>
      </c>
      <c r="L80" s="3105" t="s">
        <v>2863</v>
      </c>
      <c r="M80" s="4479">
        <v>190303400</v>
      </c>
      <c r="N80" s="3105" t="s">
        <v>2863</v>
      </c>
      <c r="O80" s="4526">
        <v>12</v>
      </c>
      <c r="P80" s="4652">
        <v>12</v>
      </c>
      <c r="Q80" s="4498" t="s">
        <v>2864</v>
      </c>
      <c r="R80" s="3089" t="s">
        <v>2865</v>
      </c>
      <c r="S80" s="3933">
        <v>1</v>
      </c>
      <c r="T80" s="4543">
        <v>96954000</v>
      </c>
      <c r="U80" s="3089" t="s">
        <v>2866</v>
      </c>
      <c r="V80" s="3129" t="s">
        <v>2867</v>
      </c>
      <c r="W80" s="1940" t="s">
        <v>2868</v>
      </c>
      <c r="X80" s="829">
        <v>30000000</v>
      </c>
      <c r="Y80" s="2101">
        <v>14717500</v>
      </c>
      <c r="Z80" s="2101">
        <v>14717500</v>
      </c>
      <c r="AA80" s="2080" t="s">
        <v>2869</v>
      </c>
      <c r="AB80" s="364">
        <v>20</v>
      </c>
      <c r="AC80" s="1967" t="s">
        <v>1</v>
      </c>
      <c r="AD80" s="2579">
        <v>292684</v>
      </c>
      <c r="AE80" s="2579"/>
      <c r="AF80" s="4530">
        <v>282326</v>
      </c>
      <c r="AG80" s="2579"/>
      <c r="AH80" s="4533">
        <v>135912</v>
      </c>
      <c r="AI80" s="2579"/>
      <c r="AJ80" s="4530">
        <v>45122</v>
      </c>
      <c r="AK80" s="2579"/>
      <c r="AL80" s="4530">
        <v>365607</v>
      </c>
      <c r="AM80" s="2579"/>
      <c r="AN80" s="4530">
        <v>86875</v>
      </c>
      <c r="AO80" s="2579"/>
      <c r="AP80" s="4530">
        <v>2145</v>
      </c>
      <c r="AQ80" s="2579"/>
      <c r="AR80" s="4530">
        <v>12718</v>
      </c>
      <c r="AS80" s="2579"/>
      <c r="AT80" s="4530">
        <v>26</v>
      </c>
      <c r="AU80" s="2579"/>
      <c r="AV80" s="4530">
        <v>37</v>
      </c>
      <c r="AW80" s="2579"/>
      <c r="AX80" s="4530" t="s">
        <v>2870</v>
      </c>
      <c r="AY80" s="2579"/>
      <c r="AZ80" s="4530" t="s">
        <v>2870</v>
      </c>
      <c r="BA80" s="2579"/>
      <c r="BB80" s="4530">
        <v>53164</v>
      </c>
      <c r="BC80" s="2579"/>
      <c r="BD80" s="4530">
        <v>16982</v>
      </c>
      <c r="BE80" s="2579"/>
      <c r="BF80" s="4530">
        <v>60013</v>
      </c>
      <c r="BG80" s="2579"/>
      <c r="BH80" s="4530">
        <v>575010</v>
      </c>
      <c r="BI80" s="2579"/>
      <c r="BJ80" s="2579">
        <v>3</v>
      </c>
      <c r="BK80" s="4657">
        <v>54110832</v>
      </c>
      <c r="BL80" s="4657">
        <v>54110832</v>
      </c>
      <c r="BM80" s="4556">
        <v>1</v>
      </c>
      <c r="BN80" s="2579">
        <v>20</v>
      </c>
      <c r="BO80" s="2579" t="s">
        <v>1</v>
      </c>
      <c r="BP80" s="2579" t="s">
        <v>2871</v>
      </c>
      <c r="BQ80" s="4662">
        <v>44197</v>
      </c>
      <c r="BR80" s="4662">
        <v>44245</v>
      </c>
      <c r="BS80" s="4662">
        <v>44561</v>
      </c>
      <c r="BT80" s="4662">
        <v>44561</v>
      </c>
      <c r="BU80" s="4530" t="s">
        <v>2744</v>
      </c>
    </row>
    <row r="81" spans="1:73" s="4" customFormat="1" ht="58.5" customHeight="1" x14ac:dyDescent="0.25">
      <c r="A81" s="2076"/>
      <c r="B81" s="2077"/>
      <c r="C81" s="1939"/>
      <c r="D81" s="1935"/>
      <c r="E81" s="2078"/>
      <c r="F81" s="2078"/>
      <c r="G81" s="3104"/>
      <c r="H81" s="3105"/>
      <c r="I81" s="3104"/>
      <c r="J81" s="3105"/>
      <c r="K81" s="4479"/>
      <c r="L81" s="3105"/>
      <c r="M81" s="4479"/>
      <c r="N81" s="3105"/>
      <c r="O81" s="4526"/>
      <c r="P81" s="4650"/>
      <c r="Q81" s="4526"/>
      <c r="R81" s="3089"/>
      <c r="S81" s="3933"/>
      <c r="T81" s="4543"/>
      <c r="U81" s="3089"/>
      <c r="V81" s="3129"/>
      <c r="W81" s="1940" t="s">
        <v>2872</v>
      </c>
      <c r="X81" s="829">
        <v>30000000</v>
      </c>
      <c r="Y81" s="2101">
        <v>27403500</v>
      </c>
      <c r="Z81" s="2101">
        <v>27403500</v>
      </c>
      <c r="AA81" s="2080" t="s">
        <v>2869</v>
      </c>
      <c r="AB81" s="364">
        <v>20</v>
      </c>
      <c r="AC81" s="1967" t="s">
        <v>1</v>
      </c>
      <c r="AD81" s="2580"/>
      <c r="AE81" s="2580"/>
      <c r="AF81" s="4531"/>
      <c r="AG81" s="2580"/>
      <c r="AH81" s="4534"/>
      <c r="AI81" s="2580"/>
      <c r="AJ81" s="4531"/>
      <c r="AK81" s="2580"/>
      <c r="AL81" s="4531"/>
      <c r="AM81" s="2580"/>
      <c r="AN81" s="4531"/>
      <c r="AO81" s="2580"/>
      <c r="AP81" s="4531"/>
      <c r="AQ81" s="2580"/>
      <c r="AR81" s="4531"/>
      <c r="AS81" s="2580"/>
      <c r="AT81" s="4531"/>
      <c r="AU81" s="2580"/>
      <c r="AV81" s="4531"/>
      <c r="AW81" s="2580"/>
      <c r="AX81" s="4531"/>
      <c r="AY81" s="2580"/>
      <c r="AZ81" s="4531"/>
      <c r="BA81" s="2580"/>
      <c r="BB81" s="4531"/>
      <c r="BC81" s="2580"/>
      <c r="BD81" s="4531"/>
      <c r="BE81" s="2580"/>
      <c r="BF81" s="4531"/>
      <c r="BG81" s="2580"/>
      <c r="BH81" s="4531"/>
      <c r="BI81" s="2580"/>
      <c r="BJ81" s="2580"/>
      <c r="BK81" s="2580"/>
      <c r="BL81" s="2580"/>
      <c r="BM81" s="4557"/>
      <c r="BN81" s="2580"/>
      <c r="BO81" s="2580"/>
      <c r="BP81" s="2580"/>
      <c r="BQ81" s="4663"/>
      <c r="BR81" s="4663"/>
      <c r="BS81" s="4663"/>
      <c r="BT81" s="4663"/>
      <c r="BU81" s="4531"/>
    </row>
    <row r="82" spans="1:73" s="1965" customFormat="1" ht="58.5" customHeight="1" x14ac:dyDescent="0.25">
      <c r="A82" s="2076"/>
      <c r="B82" s="2077"/>
      <c r="C82" s="1939"/>
      <c r="D82" s="1935"/>
      <c r="E82" s="2078"/>
      <c r="F82" s="2078"/>
      <c r="G82" s="2579"/>
      <c r="H82" s="3024"/>
      <c r="I82" s="2579"/>
      <c r="J82" s="3024"/>
      <c r="K82" s="4664"/>
      <c r="L82" s="3024"/>
      <c r="M82" s="4664"/>
      <c r="N82" s="3024"/>
      <c r="O82" s="3615"/>
      <c r="P82" s="4651"/>
      <c r="Q82" s="3615"/>
      <c r="R82" s="2938"/>
      <c r="S82" s="3721"/>
      <c r="T82" s="4660"/>
      <c r="U82" s="2938"/>
      <c r="V82" s="3129"/>
      <c r="W82" s="1936" t="s">
        <v>2873</v>
      </c>
      <c r="X82" s="2108">
        <v>36954000</v>
      </c>
      <c r="Y82" s="2109">
        <v>11989832</v>
      </c>
      <c r="Z82" s="2109">
        <v>11989832</v>
      </c>
      <c r="AA82" s="2080" t="s">
        <v>2869</v>
      </c>
      <c r="AB82" s="2110">
        <v>20</v>
      </c>
      <c r="AC82" s="1948" t="s">
        <v>1</v>
      </c>
      <c r="AD82" s="2581"/>
      <c r="AE82" s="2581"/>
      <c r="AF82" s="4531"/>
      <c r="AG82" s="2581"/>
      <c r="AH82" s="4534"/>
      <c r="AI82" s="2581"/>
      <c r="AJ82" s="4531"/>
      <c r="AK82" s="2581"/>
      <c r="AL82" s="4531"/>
      <c r="AM82" s="2581"/>
      <c r="AN82" s="4531"/>
      <c r="AO82" s="2581"/>
      <c r="AP82" s="4531"/>
      <c r="AQ82" s="2581"/>
      <c r="AR82" s="4531"/>
      <c r="AS82" s="2581"/>
      <c r="AT82" s="4531"/>
      <c r="AU82" s="2581"/>
      <c r="AV82" s="4531"/>
      <c r="AW82" s="2581"/>
      <c r="AX82" s="4531"/>
      <c r="AY82" s="2581"/>
      <c r="AZ82" s="4531"/>
      <c r="BA82" s="2581"/>
      <c r="BB82" s="4531"/>
      <c r="BC82" s="2581"/>
      <c r="BD82" s="4531"/>
      <c r="BE82" s="2581"/>
      <c r="BF82" s="4531"/>
      <c r="BG82" s="2581"/>
      <c r="BH82" s="4531"/>
      <c r="BI82" s="2581"/>
      <c r="BJ82" s="2581"/>
      <c r="BK82" s="2581"/>
      <c r="BL82" s="2581"/>
      <c r="BM82" s="4661"/>
      <c r="BN82" s="2581"/>
      <c r="BO82" s="2581"/>
      <c r="BP82" s="2581"/>
      <c r="BQ82" s="4663"/>
      <c r="BR82" s="4663"/>
      <c r="BS82" s="4663"/>
      <c r="BT82" s="4663"/>
      <c r="BU82" s="4531"/>
    </row>
    <row r="83" spans="1:73" s="1965" customFormat="1" ht="60" customHeight="1" x14ac:dyDescent="0.25">
      <c r="A83" s="2076"/>
      <c r="B83" s="2077"/>
      <c r="C83" s="1939"/>
      <c r="D83" s="1935"/>
      <c r="E83" s="2078"/>
      <c r="F83" s="2078"/>
      <c r="G83" s="1941">
        <v>1903045</v>
      </c>
      <c r="H83" s="1942" t="s">
        <v>2874</v>
      </c>
      <c r="I83" s="1941">
        <v>1903045</v>
      </c>
      <c r="J83" s="1942" t="s">
        <v>2874</v>
      </c>
      <c r="K83" s="2111">
        <v>190304500</v>
      </c>
      <c r="L83" s="2112" t="s">
        <v>2875</v>
      </c>
      <c r="M83" s="2111">
        <v>190304500</v>
      </c>
      <c r="N83" s="2112" t="s">
        <v>2875</v>
      </c>
      <c r="O83" s="1967">
        <f>725+3</f>
        <v>728</v>
      </c>
      <c r="P83" s="2095">
        <v>492</v>
      </c>
      <c r="Q83" s="4526" t="s">
        <v>2876</v>
      </c>
      <c r="R83" s="3089" t="s">
        <v>2877</v>
      </c>
      <c r="S83" s="1958">
        <v>0.30379355158116222</v>
      </c>
      <c r="T83" s="4543">
        <v>64636000</v>
      </c>
      <c r="U83" s="2938" t="s">
        <v>2878</v>
      </c>
      <c r="V83" s="2938" t="s">
        <v>2879</v>
      </c>
      <c r="W83" s="1940" t="s">
        <v>2880</v>
      </c>
      <c r="X83" s="829">
        <v>19636000</v>
      </c>
      <c r="Y83" s="2083">
        <v>19636000</v>
      </c>
      <c r="Z83" s="2083">
        <v>19636000</v>
      </c>
      <c r="AA83" s="2080" t="s">
        <v>2881</v>
      </c>
      <c r="AB83" s="2110">
        <v>20</v>
      </c>
      <c r="AC83" s="1948" t="s">
        <v>1</v>
      </c>
      <c r="AD83" s="2579">
        <v>292684</v>
      </c>
      <c r="AE83" s="2579"/>
      <c r="AF83" s="2579">
        <v>282326</v>
      </c>
      <c r="AG83" s="2579"/>
      <c r="AH83" s="4483">
        <v>135912</v>
      </c>
      <c r="AI83" s="2579"/>
      <c r="AJ83" s="2579">
        <v>45122</v>
      </c>
      <c r="AK83" s="2579"/>
      <c r="AL83" s="2579">
        <v>365607</v>
      </c>
      <c r="AM83" s="2579"/>
      <c r="AN83" s="2579">
        <v>86875</v>
      </c>
      <c r="AO83" s="2579"/>
      <c r="AP83" s="2579">
        <v>2145</v>
      </c>
      <c r="AQ83" s="2579"/>
      <c r="AR83" s="2579">
        <v>12718</v>
      </c>
      <c r="AS83" s="2579"/>
      <c r="AT83" s="2579">
        <v>26</v>
      </c>
      <c r="AU83" s="2579"/>
      <c r="AV83" s="2579">
        <v>37</v>
      </c>
      <c r="AW83" s="2579"/>
      <c r="AX83" s="2579" t="s">
        <v>2870</v>
      </c>
      <c r="AY83" s="2579"/>
      <c r="AZ83" s="2579" t="s">
        <v>2870</v>
      </c>
      <c r="BA83" s="2579"/>
      <c r="BB83" s="2579">
        <v>53164</v>
      </c>
      <c r="BC83" s="2579"/>
      <c r="BD83" s="2579">
        <v>16982</v>
      </c>
      <c r="BE83" s="2579"/>
      <c r="BF83" s="2579">
        <v>60013</v>
      </c>
      <c r="BG83" s="2579"/>
      <c r="BH83" s="2579">
        <v>575010</v>
      </c>
      <c r="BI83" s="2579"/>
      <c r="BJ83" s="2579">
        <v>3</v>
      </c>
      <c r="BK83" s="4657">
        <v>64636000</v>
      </c>
      <c r="BL83" s="4657">
        <v>64636000</v>
      </c>
      <c r="BM83" s="4556">
        <v>1</v>
      </c>
      <c r="BN83" s="2579">
        <v>20</v>
      </c>
      <c r="BO83" s="2579" t="s">
        <v>1</v>
      </c>
      <c r="BP83" s="2579" t="s">
        <v>2871</v>
      </c>
      <c r="BQ83" s="4655">
        <v>44197</v>
      </c>
      <c r="BR83" s="4655">
        <v>44243</v>
      </c>
      <c r="BS83" s="4655">
        <v>44561</v>
      </c>
      <c r="BT83" s="4655">
        <v>44561</v>
      </c>
      <c r="BU83" s="2579" t="s">
        <v>2744</v>
      </c>
    </row>
    <row r="84" spans="1:73" s="1965" customFormat="1" ht="56.25" customHeight="1" x14ac:dyDescent="0.25">
      <c r="A84" s="2076"/>
      <c r="B84" s="2077"/>
      <c r="C84" s="1939"/>
      <c r="D84" s="1935"/>
      <c r="E84" s="2078"/>
      <c r="F84" s="2078"/>
      <c r="G84" s="1941">
        <v>1903001</v>
      </c>
      <c r="H84" s="1942" t="s">
        <v>1218</v>
      </c>
      <c r="I84" s="1941">
        <v>1903001</v>
      </c>
      <c r="J84" s="1942" t="s">
        <v>1218</v>
      </c>
      <c r="K84" s="2111">
        <v>190300100</v>
      </c>
      <c r="L84" s="2112" t="s">
        <v>2804</v>
      </c>
      <c r="M84" s="2111">
        <v>190300100</v>
      </c>
      <c r="N84" s="2112" t="s">
        <v>2804</v>
      </c>
      <c r="O84" s="1967">
        <v>1</v>
      </c>
      <c r="P84" s="2095">
        <v>1</v>
      </c>
      <c r="Q84" s="4526"/>
      <c r="R84" s="3089"/>
      <c r="S84" s="1958">
        <v>0.23206881613961261</v>
      </c>
      <c r="T84" s="4543"/>
      <c r="U84" s="3100"/>
      <c r="V84" s="3100"/>
      <c r="W84" s="1940" t="s">
        <v>2882</v>
      </c>
      <c r="X84" s="829">
        <v>15000000</v>
      </c>
      <c r="Y84" s="2083">
        <v>15000000</v>
      </c>
      <c r="Z84" s="2083">
        <v>15000000</v>
      </c>
      <c r="AA84" s="2080" t="s">
        <v>2883</v>
      </c>
      <c r="AB84" s="2110">
        <v>20</v>
      </c>
      <c r="AC84" s="1948" t="s">
        <v>1</v>
      </c>
      <c r="AD84" s="2580"/>
      <c r="AE84" s="2580"/>
      <c r="AF84" s="2580"/>
      <c r="AG84" s="2580"/>
      <c r="AH84" s="4484"/>
      <c r="AI84" s="2580"/>
      <c r="AJ84" s="2580"/>
      <c r="AK84" s="2580"/>
      <c r="AL84" s="2580"/>
      <c r="AM84" s="2580"/>
      <c r="AN84" s="2580"/>
      <c r="AO84" s="2580"/>
      <c r="AP84" s="2580"/>
      <c r="AQ84" s="2580"/>
      <c r="AR84" s="2580"/>
      <c r="AS84" s="2580"/>
      <c r="AT84" s="2580"/>
      <c r="AU84" s="2580"/>
      <c r="AV84" s="2580"/>
      <c r="AW84" s="2580"/>
      <c r="AX84" s="2580"/>
      <c r="AY84" s="2580"/>
      <c r="AZ84" s="2580"/>
      <c r="BA84" s="2580"/>
      <c r="BB84" s="2580"/>
      <c r="BC84" s="2580"/>
      <c r="BD84" s="2580"/>
      <c r="BE84" s="2580"/>
      <c r="BF84" s="2580"/>
      <c r="BG84" s="2580"/>
      <c r="BH84" s="2580"/>
      <c r="BI84" s="2580"/>
      <c r="BJ84" s="2580"/>
      <c r="BK84" s="2580"/>
      <c r="BL84" s="2580"/>
      <c r="BM84" s="4557"/>
      <c r="BN84" s="2580"/>
      <c r="BO84" s="2580"/>
      <c r="BP84" s="2580"/>
      <c r="BQ84" s="4656"/>
      <c r="BR84" s="4656"/>
      <c r="BS84" s="4656"/>
      <c r="BT84" s="4656"/>
      <c r="BU84" s="2580"/>
    </row>
    <row r="85" spans="1:73" s="1965" customFormat="1" ht="56.25" customHeight="1" x14ac:dyDescent="0.25">
      <c r="A85" s="2076"/>
      <c r="B85" s="2077"/>
      <c r="C85" s="1939"/>
      <c r="D85" s="1935"/>
      <c r="E85" s="2078"/>
      <c r="F85" s="2078"/>
      <c r="G85" s="4490">
        <v>1903010</v>
      </c>
      <c r="H85" s="4480" t="s">
        <v>2884</v>
      </c>
      <c r="I85" s="4490">
        <v>1903010</v>
      </c>
      <c r="J85" s="4480" t="s">
        <v>2884</v>
      </c>
      <c r="K85" s="4479">
        <v>190301000</v>
      </c>
      <c r="L85" s="4480" t="s">
        <v>2885</v>
      </c>
      <c r="M85" s="4479">
        <v>190301000</v>
      </c>
      <c r="N85" s="4480" t="s">
        <v>2885</v>
      </c>
      <c r="O85" s="4526">
        <v>12</v>
      </c>
      <c r="P85" s="4652">
        <v>12</v>
      </c>
      <c r="Q85" s="4526"/>
      <c r="R85" s="3089"/>
      <c r="S85" s="3933">
        <v>0.23206881613961261</v>
      </c>
      <c r="T85" s="4543"/>
      <c r="U85" s="3100"/>
      <c r="V85" s="3100"/>
      <c r="W85" s="1940" t="s">
        <v>2886</v>
      </c>
      <c r="X85" s="829">
        <v>4000000</v>
      </c>
      <c r="Y85" s="2083">
        <v>4000000</v>
      </c>
      <c r="Z85" s="2083">
        <v>4000000</v>
      </c>
      <c r="AA85" s="2080" t="s">
        <v>2887</v>
      </c>
      <c r="AB85" s="2110">
        <v>20</v>
      </c>
      <c r="AC85" s="1948" t="s">
        <v>1</v>
      </c>
      <c r="AD85" s="2580"/>
      <c r="AE85" s="2580"/>
      <c r="AF85" s="2580"/>
      <c r="AG85" s="2580"/>
      <c r="AH85" s="4484"/>
      <c r="AI85" s="2580"/>
      <c r="AJ85" s="2580"/>
      <c r="AK85" s="2580"/>
      <c r="AL85" s="2580"/>
      <c r="AM85" s="2580"/>
      <c r="AN85" s="2580"/>
      <c r="AO85" s="2580"/>
      <c r="AP85" s="2580"/>
      <c r="AQ85" s="2580"/>
      <c r="AR85" s="2580"/>
      <c r="AS85" s="2580"/>
      <c r="AT85" s="2580"/>
      <c r="AU85" s="2580"/>
      <c r="AV85" s="2580"/>
      <c r="AW85" s="2580"/>
      <c r="AX85" s="2580"/>
      <c r="AY85" s="2580"/>
      <c r="AZ85" s="2580"/>
      <c r="BA85" s="2580"/>
      <c r="BB85" s="2580"/>
      <c r="BC85" s="2580"/>
      <c r="BD85" s="2580"/>
      <c r="BE85" s="2580"/>
      <c r="BF85" s="2580"/>
      <c r="BG85" s="2580"/>
      <c r="BH85" s="2580"/>
      <c r="BI85" s="2580"/>
      <c r="BJ85" s="2580"/>
      <c r="BK85" s="2580"/>
      <c r="BL85" s="2580"/>
      <c r="BM85" s="4557"/>
      <c r="BN85" s="2580"/>
      <c r="BO85" s="2580"/>
      <c r="BP85" s="2580"/>
      <c r="BQ85" s="4656"/>
      <c r="BR85" s="4656"/>
      <c r="BS85" s="4656"/>
      <c r="BT85" s="4656"/>
      <c r="BU85" s="2580"/>
    </row>
    <row r="86" spans="1:73" s="1965" customFormat="1" ht="56.25" customHeight="1" x14ac:dyDescent="0.25">
      <c r="A86" s="2076"/>
      <c r="B86" s="2077"/>
      <c r="C86" s="1939"/>
      <c r="D86" s="1935"/>
      <c r="E86" s="2078"/>
      <c r="F86" s="2078"/>
      <c r="G86" s="4490"/>
      <c r="H86" s="4480"/>
      <c r="I86" s="4490"/>
      <c r="J86" s="4480"/>
      <c r="K86" s="4479"/>
      <c r="L86" s="4480"/>
      <c r="M86" s="4479"/>
      <c r="N86" s="4480"/>
      <c r="O86" s="4526"/>
      <c r="P86" s="4650"/>
      <c r="Q86" s="4526"/>
      <c r="R86" s="3089"/>
      <c r="S86" s="3933"/>
      <c r="T86" s="4543"/>
      <c r="U86" s="3100"/>
      <c r="V86" s="3100"/>
      <c r="W86" s="1940" t="s">
        <v>2888</v>
      </c>
      <c r="X86" s="829">
        <v>4000000</v>
      </c>
      <c r="Y86" s="2083">
        <v>4000000</v>
      </c>
      <c r="Z86" s="2083">
        <v>4000000</v>
      </c>
      <c r="AA86" s="2080" t="s">
        <v>2887</v>
      </c>
      <c r="AB86" s="2110">
        <v>20</v>
      </c>
      <c r="AC86" s="1948" t="s">
        <v>1</v>
      </c>
      <c r="AD86" s="2580"/>
      <c r="AE86" s="2580"/>
      <c r="AF86" s="2580"/>
      <c r="AG86" s="2580"/>
      <c r="AH86" s="4484"/>
      <c r="AI86" s="2580"/>
      <c r="AJ86" s="2580"/>
      <c r="AK86" s="2580"/>
      <c r="AL86" s="2580"/>
      <c r="AM86" s="2580"/>
      <c r="AN86" s="2580"/>
      <c r="AO86" s="2580"/>
      <c r="AP86" s="2580"/>
      <c r="AQ86" s="2580"/>
      <c r="AR86" s="2580"/>
      <c r="AS86" s="2580"/>
      <c r="AT86" s="2580"/>
      <c r="AU86" s="2580"/>
      <c r="AV86" s="2580"/>
      <c r="AW86" s="2580"/>
      <c r="AX86" s="2580"/>
      <c r="AY86" s="2580"/>
      <c r="AZ86" s="2580"/>
      <c r="BA86" s="2580"/>
      <c r="BB86" s="2580"/>
      <c r="BC86" s="2580"/>
      <c r="BD86" s="2580"/>
      <c r="BE86" s="2580"/>
      <c r="BF86" s="2580"/>
      <c r="BG86" s="2580"/>
      <c r="BH86" s="2580"/>
      <c r="BI86" s="2580"/>
      <c r="BJ86" s="2580"/>
      <c r="BK86" s="2580"/>
      <c r="BL86" s="2580"/>
      <c r="BM86" s="4557"/>
      <c r="BN86" s="2580"/>
      <c r="BO86" s="2580"/>
      <c r="BP86" s="2580"/>
      <c r="BQ86" s="4656"/>
      <c r="BR86" s="4656"/>
      <c r="BS86" s="4656"/>
      <c r="BT86" s="4656"/>
      <c r="BU86" s="2580"/>
    </row>
    <row r="87" spans="1:73" s="1965" customFormat="1" ht="56.25" customHeight="1" x14ac:dyDescent="0.25">
      <c r="A87" s="2076"/>
      <c r="B87" s="2077"/>
      <c r="C87" s="1939"/>
      <c r="D87" s="1935"/>
      <c r="E87" s="2078"/>
      <c r="F87" s="2078"/>
      <c r="G87" s="4490"/>
      <c r="H87" s="4480"/>
      <c r="I87" s="4490"/>
      <c r="J87" s="4480"/>
      <c r="K87" s="4479"/>
      <c r="L87" s="4480"/>
      <c r="M87" s="4479"/>
      <c r="N87" s="4480"/>
      <c r="O87" s="4526"/>
      <c r="P87" s="4650"/>
      <c r="Q87" s="4526"/>
      <c r="R87" s="3089"/>
      <c r="S87" s="3933"/>
      <c r="T87" s="4543"/>
      <c r="U87" s="3100"/>
      <c r="V87" s="3100"/>
      <c r="W87" s="1940" t="s">
        <v>2889</v>
      </c>
      <c r="X87" s="829">
        <v>4000000</v>
      </c>
      <c r="Y87" s="2083">
        <v>4000000</v>
      </c>
      <c r="Z87" s="2083">
        <v>4000000</v>
      </c>
      <c r="AA87" s="2080" t="s">
        <v>2887</v>
      </c>
      <c r="AB87" s="2110">
        <v>20</v>
      </c>
      <c r="AC87" s="1948" t="s">
        <v>1</v>
      </c>
      <c r="AD87" s="2580"/>
      <c r="AE87" s="2580"/>
      <c r="AF87" s="2580"/>
      <c r="AG87" s="2580"/>
      <c r="AH87" s="4484"/>
      <c r="AI87" s="2580"/>
      <c r="AJ87" s="2580"/>
      <c r="AK87" s="2580"/>
      <c r="AL87" s="2580"/>
      <c r="AM87" s="2580"/>
      <c r="AN87" s="2580"/>
      <c r="AO87" s="2580"/>
      <c r="AP87" s="2580"/>
      <c r="AQ87" s="2580"/>
      <c r="AR87" s="2580"/>
      <c r="AS87" s="2580"/>
      <c r="AT87" s="2580"/>
      <c r="AU87" s="2580"/>
      <c r="AV87" s="2580"/>
      <c r="AW87" s="2580"/>
      <c r="AX87" s="2580"/>
      <c r="AY87" s="2580"/>
      <c r="AZ87" s="2580"/>
      <c r="BA87" s="2580"/>
      <c r="BB87" s="2580"/>
      <c r="BC87" s="2580"/>
      <c r="BD87" s="2580"/>
      <c r="BE87" s="2580"/>
      <c r="BF87" s="2580"/>
      <c r="BG87" s="2580"/>
      <c r="BH87" s="2580"/>
      <c r="BI87" s="2580"/>
      <c r="BJ87" s="2580"/>
      <c r="BK87" s="2580"/>
      <c r="BL87" s="2580"/>
      <c r="BM87" s="4557"/>
      <c r="BN87" s="2580"/>
      <c r="BO87" s="2580"/>
      <c r="BP87" s="2580"/>
      <c r="BQ87" s="4656"/>
      <c r="BR87" s="4656"/>
      <c r="BS87" s="4656"/>
      <c r="BT87" s="4656"/>
      <c r="BU87" s="2580"/>
    </row>
    <row r="88" spans="1:73" s="1965" customFormat="1" ht="56.25" customHeight="1" x14ac:dyDescent="0.25">
      <c r="A88" s="2076"/>
      <c r="B88" s="2077"/>
      <c r="C88" s="1939"/>
      <c r="D88" s="1935"/>
      <c r="E88" s="2078"/>
      <c r="F88" s="2078"/>
      <c r="G88" s="4490"/>
      <c r="H88" s="4480"/>
      <c r="I88" s="4490"/>
      <c r="J88" s="4480"/>
      <c r="K88" s="4479"/>
      <c r="L88" s="4480"/>
      <c r="M88" s="4479"/>
      <c r="N88" s="4480"/>
      <c r="O88" s="4526"/>
      <c r="P88" s="4651"/>
      <c r="Q88" s="4526"/>
      <c r="R88" s="3089"/>
      <c r="S88" s="3933"/>
      <c r="T88" s="4543"/>
      <c r="U88" s="3100"/>
      <c r="V88" s="3100"/>
      <c r="W88" s="1940" t="s">
        <v>2890</v>
      </c>
      <c r="X88" s="829">
        <v>3000000</v>
      </c>
      <c r="Y88" s="2083">
        <v>3000000</v>
      </c>
      <c r="Z88" s="2083">
        <v>3000000</v>
      </c>
      <c r="AA88" s="2080" t="s">
        <v>2887</v>
      </c>
      <c r="AB88" s="2110">
        <v>20</v>
      </c>
      <c r="AC88" s="1948" t="s">
        <v>1</v>
      </c>
      <c r="AD88" s="2580"/>
      <c r="AE88" s="2580"/>
      <c r="AF88" s="2580"/>
      <c r="AG88" s="2580"/>
      <c r="AH88" s="4484"/>
      <c r="AI88" s="2580"/>
      <c r="AJ88" s="2580"/>
      <c r="AK88" s="2580"/>
      <c r="AL88" s="2580"/>
      <c r="AM88" s="2580"/>
      <c r="AN88" s="2580"/>
      <c r="AO88" s="2580"/>
      <c r="AP88" s="2580"/>
      <c r="AQ88" s="2580"/>
      <c r="AR88" s="2580"/>
      <c r="AS88" s="2580"/>
      <c r="AT88" s="2580"/>
      <c r="AU88" s="2580"/>
      <c r="AV88" s="2580"/>
      <c r="AW88" s="2580"/>
      <c r="AX88" s="2580"/>
      <c r="AY88" s="2580"/>
      <c r="AZ88" s="2580"/>
      <c r="BA88" s="2580"/>
      <c r="BB88" s="2580"/>
      <c r="BC88" s="2580"/>
      <c r="BD88" s="2580"/>
      <c r="BE88" s="2580"/>
      <c r="BF88" s="2580"/>
      <c r="BG88" s="2580"/>
      <c r="BH88" s="2580"/>
      <c r="BI88" s="2580"/>
      <c r="BJ88" s="2580"/>
      <c r="BK88" s="2580"/>
      <c r="BL88" s="2580"/>
      <c r="BM88" s="4557"/>
      <c r="BN88" s="2580"/>
      <c r="BO88" s="2580"/>
      <c r="BP88" s="2580"/>
      <c r="BQ88" s="4656"/>
      <c r="BR88" s="4656"/>
      <c r="BS88" s="4656"/>
      <c r="BT88" s="4656"/>
      <c r="BU88" s="2580"/>
    </row>
    <row r="89" spans="1:73" s="1965" customFormat="1" ht="50.25" customHeight="1" x14ac:dyDescent="0.25">
      <c r="A89" s="2076"/>
      <c r="B89" s="2077"/>
      <c r="C89" s="1939"/>
      <c r="D89" s="1935"/>
      <c r="E89" s="2078"/>
      <c r="F89" s="2078"/>
      <c r="G89" s="3104">
        <v>1903011</v>
      </c>
      <c r="H89" s="3105" t="s">
        <v>2799</v>
      </c>
      <c r="I89" s="3104">
        <v>1903011</v>
      </c>
      <c r="J89" s="3105" t="s">
        <v>2799</v>
      </c>
      <c r="K89" s="4479">
        <v>190301101</v>
      </c>
      <c r="L89" s="3105" t="s">
        <v>2859</v>
      </c>
      <c r="M89" s="4479">
        <v>190301101</v>
      </c>
      <c r="N89" s="3105" t="s">
        <v>2859</v>
      </c>
      <c r="O89" s="4526">
        <v>12</v>
      </c>
      <c r="P89" s="4652">
        <v>15</v>
      </c>
      <c r="Q89" s="4526"/>
      <c r="R89" s="3089"/>
      <c r="S89" s="3933">
        <v>0.23206881613961261</v>
      </c>
      <c r="T89" s="4543"/>
      <c r="U89" s="3100"/>
      <c r="V89" s="3100"/>
      <c r="W89" s="1940" t="s">
        <v>2891</v>
      </c>
      <c r="X89" s="829">
        <v>7500000</v>
      </c>
      <c r="Y89" s="2083">
        <v>7500000</v>
      </c>
      <c r="Z89" s="2104">
        <v>7500000</v>
      </c>
      <c r="AA89" s="2080" t="s">
        <v>2892</v>
      </c>
      <c r="AB89" s="2110">
        <v>20</v>
      </c>
      <c r="AC89" s="1948" t="s">
        <v>1</v>
      </c>
      <c r="AD89" s="2580"/>
      <c r="AE89" s="2580"/>
      <c r="AF89" s="2580"/>
      <c r="AG89" s="2580"/>
      <c r="AH89" s="4484"/>
      <c r="AI89" s="2580"/>
      <c r="AJ89" s="2580"/>
      <c r="AK89" s="2580"/>
      <c r="AL89" s="2580"/>
      <c r="AM89" s="2580"/>
      <c r="AN89" s="2580"/>
      <c r="AO89" s="2580"/>
      <c r="AP89" s="2580"/>
      <c r="AQ89" s="2580"/>
      <c r="AR89" s="2580"/>
      <c r="AS89" s="2580"/>
      <c r="AT89" s="2580"/>
      <c r="AU89" s="2580"/>
      <c r="AV89" s="2580"/>
      <c r="AW89" s="2580"/>
      <c r="AX89" s="2580"/>
      <c r="AY89" s="2580"/>
      <c r="AZ89" s="2580"/>
      <c r="BA89" s="2580"/>
      <c r="BB89" s="2580"/>
      <c r="BC89" s="2580"/>
      <c r="BD89" s="2580"/>
      <c r="BE89" s="2580"/>
      <c r="BF89" s="2580"/>
      <c r="BG89" s="2580"/>
      <c r="BH89" s="2580"/>
      <c r="BI89" s="2580"/>
      <c r="BJ89" s="2580"/>
      <c r="BK89" s="2580"/>
      <c r="BL89" s="2580"/>
      <c r="BM89" s="4557"/>
      <c r="BN89" s="2580"/>
      <c r="BO89" s="2580"/>
      <c r="BP89" s="2580"/>
      <c r="BQ89" s="4656"/>
      <c r="BR89" s="4656"/>
      <c r="BS89" s="4656"/>
      <c r="BT89" s="4656"/>
      <c r="BU89" s="2580"/>
    </row>
    <row r="90" spans="1:73" s="1965" customFormat="1" ht="72" customHeight="1" x14ac:dyDescent="0.25">
      <c r="A90" s="2076"/>
      <c r="B90" s="2077"/>
      <c r="C90" s="1939"/>
      <c r="D90" s="1935"/>
      <c r="E90" s="2078"/>
      <c r="F90" s="2078"/>
      <c r="G90" s="3104"/>
      <c r="H90" s="3105"/>
      <c r="I90" s="3104"/>
      <c r="J90" s="3105"/>
      <c r="K90" s="4479"/>
      <c r="L90" s="3105"/>
      <c r="M90" s="4479"/>
      <c r="N90" s="3105"/>
      <c r="O90" s="4526"/>
      <c r="P90" s="4651"/>
      <c r="Q90" s="4526"/>
      <c r="R90" s="3089"/>
      <c r="S90" s="3933"/>
      <c r="T90" s="4543"/>
      <c r="U90" s="2939"/>
      <c r="V90" s="2939"/>
      <c r="W90" s="1936" t="s">
        <v>2893</v>
      </c>
      <c r="X90" s="2083">
        <v>7500000</v>
      </c>
      <c r="Y90" s="2083">
        <v>7500000</v>
      </c>
      <c r="Z90" s="2104">
        <v>7500000</v>
      </c>
      <c r="AA90" s="2080" t="s">
        <v>2892</v>
      </c>
      <c r="AB90" s="2110">
        <v>20</v>
      </c>
      <c r="AC90" s="1948" t="s">
        <v>1</v>
      </c>
      <c r="AD90" s="2581"/>
      <c r="AE90" s="2581"/>
      <c r="AF90" s="2580"/>
      <c r="AG90" s="2581"/>
      <c r="AH90" s="4484"/>
      <c r="AI90" s="2581"/>
      <c r="AJ90" s="2580"/>
      <c r="AK90" s="2581"/>
      <c r="AL90" s="2580"/>
      <c r="AM90" s="2581"/>
      <c r="AN90" s="2580"/>
      <c r="AO90" s="2581"/>
      <c r="AP90" s="2580"/>
      <c r="AQ90" s="2581"/>
      <c r="AR90" s="2580"/>
      <c r="AS90" s="2581"/>
      <c r="AT90" s="2580"/>
      <c r="AU90" s="2581"/>
      <c r="AV90" s="2580"/>
      <c r="AW90" s="2581"/>
      <c r="AX90" s="2580"/>
      <c r="AY90" s="2581"/>
      <c r="AZ90" s="2580"/>
      <c r="BA90" s="2581"/>
      <c r="BB90" s="2580"/>
      <c r="BC90" s="2581"/>
      <c r="BD90" s="2580"/>
      <c r="BE90" s="2581"/>
      <c r="BF90" s="2580"/>
      <c r="BG90" s="2581"/>
      <c r="BH90" s="2580"/>
      <c r="BI90" s="2581"/>
      <c r="BJ90" s="2581"/>
      <c r="BK90" s="2581"/>
      <c r="BL90" s="2581"/>
      <c r="BM90" s="4661"/>
      <c r="BN90" s="2581"/>
      <c r="BO90" s="2581"/>
      <c r="BP90" s="2581"/>
      <c r="BQ90" s="4656"/>
      <c r="BR90" s="4656"/>
      <c r="BS90" s="4656"/>
      <c r="BT90" s="4656"/>
      <c r="BU90" s="2580"/>
    </row>
    <row r="91" spans="1:73" s="1965" customFormat="1" ht="75" customHeight="1" x14ac:dyDescent="0.25">
      <c r="A91" s="2076"/>
      <c r="B91" s="2077"/>
      <c r="C91" s="1939"/>
      <c r="D91" s="1935"/>
      <c r="E91" s="2078"/>
      <c r="F91" s="2078"/>
      <c r="G91" s="1949">
        <v>1903047</v>
      </c>
      <c r="H91" s="1950" t="s">
        <v>2894</v>
      </c>
      <c r="I91" s="1949">
        <v>1903047</v>
      </c>
      <c r="J91" s="1950" t="s">
        <v>2894</v>
      </c>
      <c r="K91" s="2113">
        <v>190304701</v>
      </c>
      <c r="L91" s="2114" t="s">
        <v>2895</v>
      </c>
      <c r="M91" s="2113">
        <v>190304701</v>
      </c>
      <c r="N91" s="2114" t="s">
        <v>2895</v>
      </c>
      <c r="O91" s="1967">
        <v>1</v>
      </c>
      <c r="P91" s="2095">
        <v>2</v>
      </c>
      <c r="Q91" s="4526" t="s">
        <v>2896</v>
      </c>
      <c r="R91" s="3089" t="s">
        <v>2897</v>
      </c>
      <c r="S91" s="1958">
        <v>0.1097923765773116</v>
      </c>
      <c r="T91" s="4543">
        <v>91081005</v>
      </c>
      <c r="U91" s="3089" t="s">
        <v>2898</v>
      </c>
      <c r="V91" s="3053" t="s">
        <v>2899</v>
      </c>
      <c r="W91" s="1940" t="s">
        <v>2900</v>
      </c>
      <c r="X91" s="829">
        <v>10000000</v>
      </c>
      <c r="Y91" s="829">
        <v>6093833</v>
      </c>
      <c r="Z91" s="829">
        <v>6093833</v>
      </c>
      <c r="AA91" s="2080" t="s">
        <v>2901</v>
      </c>
      <c r="AB91" s="364">
        <v>72</v>
      </c>
      <c r="AC91" s="1967" t="s">
        <v>2902</v>
      </c>
      <c r="AD91" s="2579">
        <v>292684</v>
      </c>
      <c r="AE91" s="2579"/>
      <c r="AF91" s="2579">
        <v>282326</v>
      </c>
      <c r="AG91" s="2579"/>
      <c r="AH91" s="4483">
        <v>135912</v>
      </c>
      <c r="AI91" s="2579"/>
      <c r="AJ91" s="2579">
        <v>45122</v>
      </c>
      <c r="AK91" s="2579"/>
      <c r="AL91" s="2579">
        <v>365607</v>
      </c>
      <c r="AM91" s="2579"/>
      <c r="AN91" s="2579">
        <v>86875</v>
      </c>
      <c r="AO91" s="2579"/>
      <c r="AP91" s="2579">
        <v>2145</v>
      </c>
      <c r="AQ91" s="2579"/>
      <c r="AR91" s="2579">
        <v>12718</v>
      </c>
      <c r="AS91" s="2579"/>
      <c r="AT91" s="2579">
        <v>26</v>
      </c>
      <c r="AU91" s="2579"/>
      <c r="AV91" s="2579">
        <v>37</v>
      </c>
      <c r="AW91" s="2579"/>
      <c r="AX91" s="2579" t="s">
        <v>2870</v>
      </c>
      <c r="AY91" s="2579"/>
      <c r="AZ91" s="2579" t="s">
        <v>2870</v>
      </c>
      <c r="BA91" s="2579"/>
      <c r="BB91" s="2579">
        <v>53164</v>
      </c>
      <c r="BC91" s="2579"/>
      <c r="BD91" s="2579">
        <v>16982</v>
      </c>
      <c r="BE91" s="2579"/>
      <c r="BF91" s="2579">
        <v>60013</v>
      </c>
      <c r="BG91" s="2579"/>
      <c r="BH91" s="2579">
        <v>575010</v>
      </c>
      <c r="BI91" s="2579"/>
      <c r="BJ91" s="2579">
        <v>3</v>
      </c>
      <c r="BK91" s="4657">
        <v>60093833</v>
      </c>
      <c r="BL91" s="4657">
        <v>60093833</v>
      </c>
      <c r="BM91" s="4556">
        <v>1</v>
      </c>
      <c r="BN91" s="2579">
        <v>72</v>
      </c>
      <c r="BO91" s="2579" t="s">
        <v>2902</v>
      </c>
      <c r="BP91" s="2579" t="s">
        <v>2903</v>
      </c>
      <c r="BQ91" s="4655">
        <v>44197</v>
      </c>
      <c r="BR91" s="4655">
        <v>44244</v>
      </c>
      <c r="BS91" s="4655">
        <v>44561</v>
      </c>
      <c r="BT91" s="4655">
        <v>44561</v>
      </c>
      <c r="BU91" s="2579" t="s">
        <v>2744</v>
      </c>
    </row>
    <row r="92" spans="1:73" s="1965" customFormat="1" ht="75" x14ac:dyDescent="0.25">
      <c r="A92" s="2076"/>
      <c r="B92" s="2077"/>
      <c r="C92" s="1939"/>
      <c r="D92" s="1935"/>
      <c r="E92" s="2078"/>
      <c r="F92" s="2078"/>
      <c r="G92" s="1949">
        <v>1903019</v>
      </c>
      <c r="H92" s="1950" t="s">
        <v>2904</v>
      </c>
      <c r="I92" s="1949">
        <v>1903019</v>
      </c>
      <c r="J92" s="1950" t="s">
        <v>2904</v>
      </c>
      <c r="K92" s="2113">
        <v>190301900</v>
      </c>
      <c r="L92" s="2114" t="s">
        <v>2905</v>
      </c>
      <c r="M92" s="2113">
        <v>190301900</v>
      </c>
      <c r="N92" s="2114" t="s">
        <v>2905</v>
      </c>
      <c r="O92" s="1967">
        <v>75</v>
      </c>
      <c r="P92" s="2095">
        <v>30</v>
      </c>
      <c r="Q92" s="4526"/>
      <c r="R92" s="3089"/>
      <c r="S92" s="1958">
        <v>0.29732878990520584</v>
      </c>
      <c r="T92" s="4543"/>
      <c r="U92" s="3089"/>
      <c r="V92" s="3054"/>
      <c r="W92" s="1940" t="s">
        <v>2906</v>
      </c>
      <c r="X92" s="829">
        <v>27081005</v>
      </c>
      <c r="Y92" s="829"/>
      <c r="Z92" s="2105"/>
      <c r="AA92" s="2080" t="s">
        <v>2907</v>
      </c>
      <c r="AB92" s="364">
        <v>72</v>
      </c>
      <c r="AC92" s="1967" t="s">
        <v>2902</v>
      </c>
      <c r="AD92" s="2580"/>
      <c r="AE92" s="2580"/>
      <c r="AF92" s="2580"/>
      <c r="AG92" s="2580"/>
      <c r="AH92" s="4484"/>
      <c r="AI92" s="2580"/>
      <c r="AJ92" s="2580"/>
      <c r="AK92" s="2580"/>
      <c r="AL92" s="2580"/>
      <c r="AM92" s="2580"/>
      <c r="AN92" s="2580"/>
      <c r="AO92" s="2580"/>
      <c r="AP92" s="2580"/>
      <c r="AQ92" s="2580"/>
      <c r="AR92" s="2580"/>
      <c r="AS92" s="2580"/>
      <c r="AT92" s="2580"/>
      <c r="AU92" s="2580"/>
      <c r="AV92" s="2580"/>
      <c r="AW92" s="2580"/>
      <c r="AX92" s="2580"/>
      <c r="AY92" s="2580"/>
      <c r="AZ92" s="2580"/>
      <c r="BA92" s="2580"/>
      <c r="BB92" s="2580"/>
      <c r="BC92" s="2580"/>
      <c r="BD92" s="2580"/>
      <c r="BE92" s="2580"/>
      <c r="BF92" s="2580"/>
      <c r="BG92" s="2580"/>
      <c r="BH92" s="2580"/>
      <c r="BI92" s="2580"/>
      <c r="BJ92" s="2580"/>
      <c r="BK92" s="2580"/>
      <c r="BL92" s="2580"/>
      <c r="BM92" s="4557"/>
      <c r="BN92" s="2580"/>
      <c r="BO92" s="2580"/>
      <c r="BP92" s="2580"/>
      <c r="BQ92" s="4656"/>
      <c r="BR92" s="4656"/>
      <c r="BS92" s="4656"/>
      <c r="BT92" s="4656"/>
      <c r="BU92" s="2580"/>
    </row>
    <row r="93" spans="1:73" s="1965" customFormat="1" ht="45" x14ac:dyDescent="0.25">
      <c r="A93" s="2076"/>
      <c r="B93" s="2077"/>
      <c r="C93" s="1939"/>
      <c r="D93" s="1935"/>
      <c r="E93" s="2078"/>
      <c r="F93" s="2078"/>
      <c r="G93" s="1949">
        <v>1903028</v>
      </c>
      <c r="H93" s="1950" t="s">
        <v>2908</v>
      </c>
      <c r="I93" s="1949">
        <v>1903028</v>
      </c>
      <c r="J93" s="1950" t="s">
        <v>2908</v>
      </c>
      <c r="K93" s="2113">
        <v>190302800</v>
      </c>
      <c r="L93" s="1934" t="s">
        <v>2909</v>
      </c>
      <c r="M93" s="2113">
        <v>190302800</v>
      </c>
      <c r="N93" s="1934" t="s">
        <v>2909</v>
      </c>
      <c r="O93" s="1967">
        <v>250</v>
      </c>
      <c r="P93" s="2095">
        <v>210</v>
      </c>
      <c r="Q93" s="4526"/>
      <c r="R93" s="3089"/>
      <c r="S93" s="1958">
        <v>0.15370932720823624</v>
      </c>
      <c r="T93" s="4543"/>
      <c r="U93" s="3089"/>
      <c r="V93" s="3054"/>
      <c r="W93" s="1940" t="s">
        <v>2910</v>
      </c>
      <c r="X93" s="829">
        <v>14000000</v>
      </c>
      <c r="Y93" s="829">
        <v>14000000</v>
      </c>
      <c r="Z93" s="829">
        <v>14000000</v>
      </c>
      <c r="AA93" s="2080" t="s">
        <v>2911</v>
      </c>
      <c r="AB93" s="364">
        <v>72</v>
      </c>
      <c r="AC93" s="1967" t="s">
        <v>2902</v>
      </c>
      <c r="AD93" s="2580"/>
      <c r="AE93" s="2580"/>
      <c r="AF93" s="2580"/>
      <c r="AG93" s="2580"/>
      <c r="AH93" s="4484"/>
      <c r="AI93" s="2580"/>
      <c r="AJ93" s="2580"/>
      <c r="AK93" s="2580"/>
      <c r="AL93" s="2580"/>
      <c r="AM93" s="2580"/>
      <c r="AN93" s="2580"/>
      <c r="AO93" s="2580"/>
      <c r="AP93" s="2580"/>
      <c r="AQ93" s="2580"/>
      <c r="AR93" s="2580"/>
      <c r="AS93" s="2580"/>
      <c r="AT93" s="2580"/>
      <c r="AU93" s="2580"/>
      <c r="AV93" s="2580"/>
      <c r="AW93" s="2580"/>
      <c r="AX93" s="2580"/>
      <c r="AY93" s="2580"/>
      <c r="AZ93" s="2580"/>
      <c r="BA93" s="2580"/>
      <c r="BB93" s="2580"/>
      <c r="BC93" s="2580"/>
      <c r="BD93" s="2580"/>
      <c r="BE93" s="2580"/>
      <c r="BF93" s="2580"/>
      <c r="BG93" s="2580"/>
      <c r="BH93" s="2580"/>
      <c r="BI93" s="2580"/>
      <c r="BJ93" s="2580"/>
      <c r="BK93" s="2580"/>
      <c r="BL93" s="2580"/>
      <c r="BM93" s="4557"/>
      <c r="BN93" s="2580"/>
      <c r="BO93" s="2580"/>
      <c r="BP93" s="2580"/>
      <c r="BQ93" s="4656"/>
      <c r="BR93" s="4656"/>
      <c r="BS93" s="4656"/>
      <c r="BT93" s="4656"/>
      <c r="BU93" s="2580"/>
    </row>
    <row r="94" spans="1:73" s="1965" customFormat="1" ht="54.75" customHeight="1" x14ac:dyDescent="0.25">
      <c r="A94" s="2076"/>
      <c r="B94" s="2077"/>
      <c r="C94" s="1939"/>
      <c r="D94" s="1935"/>
      <c r="E94" s="2078"/>
      <c r="F94" s="2078"/>
      <c r="G94" s="3694">
        <v>1903025</v>
      </c>
      <c r="H94" s="3658" t="s">
        <v>2912</v>
      </c>
      <c r="I94" s="3694">
        <v>1903025</v>
      </c>
      <c r="J94" s="3658" t="s">
        <v>2912</v>
      </c>
      <c r="K94" s="4621">
        <v>190302500</v>
      </c>
      <c r="L94" s="4630" t="s">
        <v>2913</v>
      </c>
      <c r="M94" s="4621">
        <v>190302500</v>
      </c>
      <c r="N94" s="4630" t="s">
        <v>2913</v>
      </c>
      <c r="O94" s="3615">
        <v>12</v>
      </c>
      <c r="P94" s="4652">
        <v>12</v>
      </c>
      <c r="Q94" s="4526"/>
      <c r="R94" s="3089"/>
      <c r="S94" s="3721">
        <v>0.43916950630924639</v>
      </c>
      <c r="T94" s="4543"/>
      <c r="U94" s="3089"/>
      <c r="V94" s="3054"/>
      <c r="W94" s="1940" t="s">
        <v>2914</v>
      </c>
      <c r="X94" s="829">
        <v>20000000</v>
      </c>
      <c r="Y94" s="829">
        <v>20000000</v>
      </c>
      <c r="Z94" s="829">
        <v>20000000</v>
      </c>
      <c r="AA94" s="2080" t="s">
        <v>2915</v>
      </c>
      <c r="AB94" s="4658">
        <v>72</v>
      </c>
      <c r="AC94" s="4526" t="s">
        <v>2902</v>
      </c>
      <c r="AD94" s="2580"/>
      <c r="AE94" s="2580"/>
      <c r="AF94" s="2580"/>
      <c r="AG94" s="2580"/>
      <c r="AH94" s="4484"/>
      <c r="AI94" s="2580"/>
      <c r="AJ94" s="2580"/>
      <c r="AK94" s="2580"/>
      <c r="AL94" s="2580"/>
      <c r="AM94" s="2580"/>
      <c r="AN94" s="2580"/>
      <c r="AO94" s="2580"/>
      <c r="AP94" s="2580"/>
      <c r="AQ94" s="2580"/>
      <c r="AR94" s="2580"/>
      <c r="AS94" s="2580"/>
      <c r="AT94" s="2580"/>
      <c r="AU94" s="2580"/>
      <c r="AV94" s="2580"/>
      <c r="AW94" s="2580"/>
      <c r="AX94" s="2580"/>
      <c r="AY94" s="2580"/>
      <c r="AZ94" s="2580"/>
      <c r="BA94" s="2580"/>
      <c r="BB94" s="2580"/>
      <c r="BC94" s="2580"/>
      <c r="BD94" s="2580"/>
      <c r="BE94" s="2580"/>
      <c r="BF94" s="2580"/>
      <c r="BG94" s="2580"/>
      <c r="BH94" s="2580"/>
      <c r="BI94" s="2580"/>
      <c r="BJ94" s="2580"/>
      <c r="BK94" s="2580"/>
      <c r="BL94" s="2580"/>
      <c r="BM94" s="4557"/>
      <c r="BN94" s="2580"/>
      <c r="BO94" s="2580"/>
      <c r="BP94" s="2580"/>
      <c r="BQ94" s="4656"/>
      <c r="BR94" s="4656"/>
      <c r="BS94" s="4656"/>
      <c r="BT94" s="4656"/>
      <c r="BU94" s="2580"/>
    </row>
    <row r="95" spans="1:73" s="1965" customFormat="1" ht="60.75" customHeight="1" x14ac:dyDescent="0.25">
      <c r="A95" s="2076"/>
      <c r="B95" s="2077"/>
      <c r="C95" s="1939"/>
      <c r="D95" s="1935"/>
      <c r="E95" s="2078"/>
      <c r="F95" s="2078"/>
      <c r="G95" s="4575"/>
      <c r="H95" s="4588"/>
      <c r="I95" s="4575"/>
      <c r="J95" s="4588"/>
      <c r="K95" s="4622"/>
      <c r="L95" s="4631"/>
      <c r="M95" s="4622"/>
      <c r="N95" s="4631"/>
      <c r="O95" s="3616"/>
      <c r="P95" s="4653"/>
      <c r="Q95" s="3615"/>
      <c r="R95" s="2938"/>
      <c r="S95" s="2726"/>
      <c r="T95" s="4660"/>
      <c r="U95" s="2938"/>
      <c r="V95" s="3054"/>
      <c r="W95" s="1936" t="s">
        <v>2916</v>
      </c>
      <c r="X95" s="2083">
        <v>20000000</v>
      </c>
      <c r="Y95" s="2083">
        <v>20000000</v>
      </c>
      <c r="Z95" s="2083">
        <v>20000000</v>
      </c>
      <c r="AA95" s="2080" t="s">
        <v>2915</v>
      </c>
      <c r="AB95" s="4659"/>
      <c r="AC95" s="3615"/>
      <c r="AD95" s="2580"/>
      <c r="AE95" s="2580"/>
      <c r="AF95" s="2580"/>
      <c r="AG95" s="2580"/>
      <c r="AH95" s="4484"/>
      <c r="AI95" s="2580"/>
      <c r="AJ95" s="2580"/>
      <c r="AK95" s="2580"/>
      <c r="AL95" s="2580"/>
      <c r="AM95" s="2580"/>
      <c r="AN95" s="2580"/>
      <c r="AO95" s="2580"/>
      <c r="AP95" s="2580"/>
      <c r="AQ95" s="2580"/>
      <c r="AR95" s="2580"/>
      <c r="AS95" s="2580"/>
      <c r="AT95" s="2580"/>
      <c r="AU95" s="2580"/>
      <c r="AV95" s="2580"/>
      <c r="AW95" s="2580"/>
      <c r="AX95" s="2580"/>
      <c r="AY95" s="2580"/>
      <c r="AZ95" s="2580"/>
      <c r="BA95" s="2580"/>
      <c r="BB95" s="2580"/>
      <c r="BC95" s="2580"/>
      <c r="BD95" s="2580"/>
      <c r="BE95" s="2580"/>
      <c r="BF95" s="2580"/>
      <c r="BG95" s="2580"/>
      <c r="BH95" s="2580"/>
      <c r="BI95" s="2580"/>
      <c r="BJ95" s="2580"/>
      <c r="BK95" s="2580"/>
      <c r="BL95" s="2580"/>
      <c r="BM95" s="4557"/>
      <c r="BN95" s="2580"/>
      <c r="BO95" s="2580"/>
      <c r="BP95" s="2580"/>
      <c r="BQ95" s="4656"/>
      <c r="BR95" s="4656"/>
      <c r="BS95" s="4656"/>
      <c r="BT95" s="4656"/>
      <c r="BU95" s="2580"/>
    </row>
    <row r="96" spans="1:73" s="1965" customFormat="1" ht="35.25" customHeight="1" x14ac:dyDescent="0.25">
      <c r="A96" s="2076"/>
      <c r="B96" s="2077"/>
      <c r="C96" s="1939"/>
      <c r="D96" s="1935"/>
      <c r="E96" s="1169">
        <v>1905</v>
      </c>
      <c r="F96" s="1168" t="s">
        <v>1185</v>
      </c>
      <c r="G96" s="514"/>
      <c r="H96" s="194"/>
      <c r="I96" s="2116"/>
      <c r="J96" s="1314"/>
      <c r="K96" s="2116"/>
      <c r="L96" s="1314"/>
      <c r="M96" s="2116"/>
      <c r="N96" s="1006"/>
      <c r="O96" s="794"/>
      <c r="P96" s="2117"/>
      <c r="Q96" s="794"/>
      <c r="R96" s="1006"/>
      <c r="S96" s="947"/>
      <c r="T96" s="2118"/>
      <c r="U96" s="1006"/>
      <c r="V96" s="1006"/>
      <c r="W96" s="1006"/>
      <c r="X96" s="2118"/>
      <c r="Y96" s="2118"/>
      <c r="Z96" s="2118"/>
      <c r="AA96" s="1960"/>
      <c r="AB96" s="949"/>
      <c r="AC96" s="794"/>
      <c r="AD96" s="794"/>
      <c r="AE96" s="794"/>
      <c r="AF96" s="794"/>
      <c r="AG96" s="794"/>
      <c r="AH96" s="949"/>
      <c r="AI96" s="949"/>
      <c r="AJ96" s="794"/>
      <c r="AK96" s="794"/>
      <c r="AL96" s="794"/>
      <c r="AM96" s="794"/>
      <c r="AN96" s="794"/>
      <c r="AO96" s="794"/>
      <c r="AP96" s="794"/>
      <c r="AQ96" s="794"/>
      <c r="AR96" s="794"/>
      <c r="AS96" s="794"/>
      <c r="AT96" s="794"/>
      <c r="AU96" s="794"/>
      <c r="AV96" s="794"/>
      <c r="AW96" s="794"/>
      <c r="AX96" s="794"/>
      <c r="AY96" s="794"/>
      <c r="AZ96" s="794"/>
      <c r="BA96" s="794"/>
      <c r="BB96" s="794"/>
      <c r="BC96" s="794"/>
      <c r="BD96" s="794"/>
      <c r="BE96" s="794"/>
      <c r="BF96" s="794"/>
      <c r="BG96" s="794"/>
      <c r="BH96" s="794"/>
      <c r="BI96" s="794"/>
      <c r="BJ96" s="794"/>
      <c r="BK96" s="794"/>
      <c r="BL96" s="794"/>
      <c r="BM96" s="794"/>
      <c r="BN96" s="794"/>
      <c r="BO96" s="794"/>
      <c r="BP96" s="794"/>
      <c r="BQ96" s="2075"/>
      <c r="BR96" s="2075"/>
      <c r="BS96" s="2075"/>
      <c r="BT96" s="2075"/>
      <c r="BU96" s="863"/>
    </row>
    <row r="97" spans="1:73" s="1965" customFormat="1" ht="58.5" customHeight="1" x14ac:dyDescent="0.25">
      <c r="A97" s="2119"/>
      <c r="B97" s="1944"/>
      <c r="C97" s="1943"/>
      <c r="D97" s="25"/>
      <c r="E97" s="2120"/>
      <c r="F97" s="2121"/>
      <c r="G97" s="4518">
        <v>1905028</v>
      </c>
      <c r="H97" s="3105" t="s">
        <v>2917</v>
      </c>
      <c r="I97" s="3654">
        <v>1905028</v>
      </c>
      <c r="J97" s="3105" t="s">
        <v>2917</v>
      </c>
      <c r="K97" s="4479">
        <v>190502800</v>
      </c>
      <c r="L97" s="3105" t="s">
        <v>2918</v>
      </c>
      <c r="M97" s="4479">
        <v>190502800</v>
      </c>
      <c r="N97" s="3052" t="s">
        <v>2918</v>
      </c>
      <c r="O97" s="4498">
        <v>12</v>
      </c>
      <c r="P97" s="4649">
        <v>12</v>
      </c>
      <c r="Q97" s="4498" t="s">
        <v>2919</v>
      </c>
      <c r="R97" s="3100" t="s">
        <v>2920</v>
      </c>
      <c r="S97" s="2791">
        <v>0.5</v>
      </c>
      <c r="T97" s="4500">
        <v>76000000</v>
      </c>
      <c r="U97" s="2939" t="s">
        <v>2921</v>
      </c>
      <c r="V97" s="2939" t="s">
        <v>2922</v>
      </c>
      <c r="W97" s="1937" t="s">
        <v>2923</v>
      </c>
      <c r="X97" s="2079">
        <v>13000000</v>
      </c>
      <c r="Y97" s="2079">
        <v>13000000</v>
      </c>
      <c r="Z97" s="2079">
        <v>13000000</v>
      </c>
      <c r="AA97" s="2080" t="s">
        <v>2924</v>
      </c>
      <c r="AB97" s="2122">
        <v>61</v>
      </c>
      <c r="AC97" s="1966" t="s">
        <v>2740</v>
      </c>
      <c r="AD97" s="4640" t="s">
        <v>2870</v>
      </c>
      <c r="AE97" s="4640"/>
      <c r="AF97" s="4640" t="s">
        <v>2870</v>
      </c>
      <c r="AG97" s="4640"/>
      <c r="AH97" s="4647">
        <v>64149</v>
      </c>
      <c r="AI97" s="4640"/>
      <c r="AJ97" s="4640" t="s">
        <v>2870</v>
      </c>
      <c r="AK97" s="4640"/>
      <c r="AL97" s="4640" t="s">
        <v>2870</v>
      </c>
      <c r="AM97" s="4640"/>
      <c r="AN97" s="4640" t="s">
        <v>2870</v>
      </c>
      <c r="AO97" s="4640"/>
      <c r="AP97" s="4640" t="s">
        <v>2870</v>
      </c>
      <c r="AQ97" s="4640"/>
      <c r="AR97" s="4640" t="s">
        <v>2870</v>
      </c>
      <c r="AS97" s="4640"/>
      <c r="AT97" s="4640" t="s">
        <v>2870</v>
      </c>
      <c r="AU97" s="4640"/>
      <c r="AV97" s="4640" t="s">
        <v>2870</v>
      </c>
      <c r="AW97" s="4640"/>
      <c r="AX97" s="4640" t="s">
        <v>2870</v>
      </c>
      <c r="AY97" s="4640"/>
      <c r="AZ97" s="4640" t="s">
        <v>2870</v>
      </c>
      <c r="BA97" s="4640"/>
      <c r="BB97" s="4640" t="s">
        <v>2870</v>
      </c>
      <c r="BC97" s="4640"/>
      <c r="BD97" s="4640" t="s">
        <v>2870</v>
      </c>
      <c r="BE97" s="4640"/>
      <c r="BF97" s="4640" t="s">
        <v>2870</v>
      </c>
      <c r="BG97" s="4640"/>
      <c r="BH97" s="4640" t="s">
        <v>2870</v>
      </c>
      <c r="BI97" s="4640"/>
      <c r="BJ97" s="4640">
        <v>4</v>
      </c>
      <c r="BK97" s="4644">
        <v>76000000</v>
      </c>
      <c r="BL97" s="4644">
        <v>76000000</v>
      </c>
      <c r="BM97" s="4645">
        <v>1</v>
      </c>
      <c r="BN97" s="4640">
        <v>61</v>
      </c>
      <c r="BO97" s="4551" t="s">
        <v>2811</v>
      </c>
      <c r="BP97" s="4551" t="s">
        <v>2925</v>
      </c>
      <c r="BQ97" s="4642">
        <v>44197</v>
      </c>
      <c r="BR97" s="4642">
        <v>44249</v>
      </c>
      <c r="BS97" s="4642">
        <v>44561</v>
      </c>
      <c r="BT97" s="4642">
        <v>44561</v>
      </c>
      <c r="BU97" s="2580" t="s">
        <v>2744</v>
      </c>
    </row>
    <row r="98" spans="1:73" s="1965" customFormat="1" ht="58.5" customHeight="1" x14ac:dyDescent="0.25">
      <c r="A98" s="2119"/>
      <c r="B98" s="1944"/>
      <c r="C98" s="1943"/>
      <c r="D98" s="25"/>
      <c r="E98" s="2123"/>
      <c r="F98" s="2124"/>
      <c r="G98" s="4518"/>
      <c r="H98" s="3105"/>
      <c r="I98" s="3654"/>
      <c r="J98" s="3105"/>
      <c r="K98" s="4479"/>
      <c r="L98" s="3105"/>
      <c r="M98" s="4479"/>
      <c r="N98" s="3105"/>
      <c r="O98" s="4526"/>
      <c r="P98" s="4650"/>
      <c r="Q98" s="4526"/>
      <c r="R98" s="3100"/>
      <c r="S98" s="2791"/>
      <c r="T98" s="4485"/>
      <c r="U98" s="3089"/>
      <c r="V98" s="3089"/>
      <c r="W98" s="1940" t="s">
        <v>2926</v>
      </c>
      <c r="X98" s="829">
        <v>13000000</v>
      </c>
      <c r="Y98" s="829">
        <v>13000000</v>
      </c>
      <c r="Z98" s="829">
        <v>13000000</v>
      </c>
      <c r="AA98" s="2080" t="s">
        <v>2924</v>
      </c>
      <c r="AB98" s="2125">
        <v>61</v>
      </c>
      <c r="AC98" s="1967" t="s">
        <v>2740</v>
      </c>
      <c r="AD98" s="4640"/>
      <c r="AE98" s="4640"/>
      <c r="AF98" s="4640"/>
      <c r="AG98" s="4640"/>
      <c r="AH98" s="4647"/>
      <c r="AI98" s="4640"/>
      <c r="AJ98" s="4640"/>
      <c r="AK98" s="4640"/>
      <c r="AL98" s="4640"/>
      <c r="AM98" s="4640"/>
      <c r="AN98" s="4640"/>
      <c r="AO98" s="4640"/>
      <c r="AP98" s="4640"/>
      <c r="AQ98" s="4640"/>
      <c r="AR98" s="4640"/>
      <c r="AS98" s="4640"/>
      <c r="AT98" s="4640"/>
      <c r="AU98" s="4640"/>
      <c r="AV98" s="4640"/>
      <c r="AW98" s="4640"/>
      <c r="AX98" s="4640"/>
      <c r="AY98" s="4640"/>
      <c r="AZ98" s="4640"/>
      <c r="BA98" s="4640"/>
      <c r="BB98" s="4640"/>
      <c r="BC98" s="4640"/>
      <c r="BD98" s="4640"/>
      <c r="BE98" s="4640"/>
      <c r="BF98" s="4640"/>
      <c r="BG98" s="4640"/>
      <c r="BH98" s="4640"/>
      <c r="BI98" s="4640"/>
      <c r="BJ98" s="4640"/>
      <c r="BK98" s="4640"/>
      <c r="BL98" s="4640"/>
      <c r="BM98" s="4645"/>
      <c r="BN98" s="4640"/>
      <c r="BO98" s="4551"/>
      <c r="BP98" s="4551"/>
      <c r="BQ98" s="4642"/>
      <c r="BR98" s="4642"/>
      <c r="BS98" s="4642"/>
      <c r="BT98" s="4642"/>
      <c r="BU98" s="4612"/>
    </row>
    <row r="99" spans="1:73" s="1965" customFormat="1" ht="58.5" customHeight="1" x14ac:dyDescent="0.25">
      <c r="A99" s="2119"/>
      <c r="B99" s="1944"/>
      <c r="C99" s="1943"/>
      <c r="D99" s="25"/>
      <c r="E99" s="2123"/>
      <c r="F99" s="2124"/>
      <c r="G99" s="4518"/>
      <c r="H99" s="3105"/>
      <c r="I99" s="3654"/>
      <c r="J99" s="3105"/>
      <c r="K99" s="4479"/>
      <c r="L99" s="3105"/>
      <c r="M99" s="4479"/>
      <c r="N99" s="3105"/>
      <c r="O99" s="4526"/>
      <c r="P99" s="4650"/>
      <c r="Q99" s="4526"/>
      <c r="R99" s="3100"/>
      <c r="S99" s="2791"/>
      <c r="T99" s="4485"/>
      <c r="U99" s="3089"/>
      <c r="V99" s="3089"/>
      <c r="W99" s="1940" t="s">
        <v>2927</v>
      </c>
      <c r="X99" s="829">
        <v>5000000</v>
      </c>
      <c r="Y99" s="829">
        <v>5000000</v>
      </c>
      <c r="Z99" s="829">
        <v>5000000</v>
      </c>
      <c r="AA99" s="2080" t="s">
        <v>2924</v>
      </c>
      <c r="AB99" s="2125">
        <v>61</v>
      </c>
      <c r="AC99" s="1967" t="s">
        <v>2740</v>
      </c>
      <c r="AD99" s="4640"/>
      <c r="AE99" s="4640"/>
      <c r="AF99" s="4640"/>
      <c r="AG99" s="4640"/>
      <c r="AH99" s="4647"/>
      <c r="AI99" s="4640"/>
      <c r="AJ99" s="4640"/>
      <c r="AK99" s="4640"/>
      <c r="AL99" s="4640"/>
      <c r="AM99" s="4640"/>
      <c r="AN99" s="4640"/>
      <c r="AO99" s="4640"/>
      <c r="AP99" s="4640"/>
      <c r="AQ99" s="4640"/>
      <c r="AR99" s="4640"/>
      <c r="AS99" s="4640"/>
      <c r="AT99" s="4640"/>
      <c r="AU99" s="4640"/>
      <c r="AV99" s="4640"/>
      <c r="AW99" s="4640"/>
      <c r="AX99" s="4640"/>
      <c r="AY99" s="4640"/>
      <c r="AZ99" s="4640"/>
      <c r="BA99" s="4640"/>
      <c r="BB99" s="4640"/>
      <c r="BC99" s="4640"/>
      <c r="BD99" s="4640"/>
      <c r="BE99" s="4640"/>
      <c r="BF99" s="4640"/>
      <c r="BG99" s="4640"/>
      <c r="BH99" s="4640"/>
      <c r="BI99" s="4640"/>
      <c r="BJ99" s="4640"/>
      <c r="BK99" s="4640"/>
      <c r="BL99" s="4640"/>
      <c r="BM99" s="4645"/>
      <c r="BN99" s="4640"/>
      <c r="BO99" s="4551"/>
      <c r="BP99" s="4551"/>
      <c r="BQ99" s="4642"/>
      <c r="BR99" s="4642"/>
      <c r="BS99" s="4642"/>
      <c r="BT99" s="4642"/>
      <c r="BU99" s="4612"/>
    </row>
    <row r="100" spans="1:73" s="1965" customFormat="1" ht="58.5" customHeight="1" x14ac:dyDescent="0.25">
      <c r="A100" s="2119"/>
      <c r="B100" s="1944"/>
      <c r="C100" s="1943"/>
      <c r="D100" s="25"/>
      <c r="E100" s="2126"/>
      <c r="F100" s="2127"/>
      <c r="G100" s="4518"/>
      <c r="H100" s="3105"/>
      <c r="I100" s="3654"/>
      <c r="J100" s="3105"/>
      <c r="K100" s="4479"/>
      <c r="L100" s="3105"/>
      <c r="M100" s="4479"/>
      <c r="N100" s="3105"/>
      <c r="O100" s="4526"/>
      <c r="P100" s="4651"/>
      <c r="Q100" s="4526"/>
      <c r="R100" s="3100"/>
      <c r="S100" s="2792"/>
      <c r="T100" s="4485"/>
      <c r="U100" s="3089"/>
      <c r="V100" s="3089"/>
      <c r="W100" s="1940" t="s">
        <v>2928</v>
      </c>
      <c r="X100" s="829">
        <v>7000000</v>
      </c>
      <c r="Y100" s="829">
        <v>7000000</v>
      </c>
      <c r="Z100" s="829">
        <v>7000000</v>
      </c>
      <c r="AA100" s="2080" t="s">
        <v>2924</v>
      </c>
      <c r="AB100" s="2125">
        <v>61</v>
      </c>
      <c r="AC100" s="1967" t="s">
        <v>2740</v>
      </c>
      <c r="AD100" s="4640"/>
      <c r="AE100" s="4640"/>
      <c r="AF100" s="4640"/>
      <c r="AG100" s="4640"/>
      <c r="AH100" s="4647"/>
      <c r="AI100" s="4640"/>
      <c r="AJ100" s="4640"/>
      <c r="AK100" s="4640"/>
      <c r="AL100" s="4640"/>
      <c r="AM100" s="4640"/>
      <c r="AN100" s="4640"/>
      <c r="AO100" s="4640"/>
      <c r="AP100" s="4640"/>
      <c r="AQ100" s="4640"/>
      <c r="AR100" s="4640"/>
      <c r="AS100" s="4640"/>
      <c r="AT100" s="4640"/>
      <c r="AU100" s="4640"/>
      <c r="AV100" s="4640"/>
      <c r="AW100" s="4640"/>
      <c r="AX100" s="4640"/>
      <c r="AY100" s="4640"/>
      <c r="AZ100" s="4640"/>
      <c r="BA100" s="4640"/>
      <c r="BB100" s="4640"/>
      <c r="BC100" s="4640"/>
      <c r="BD100" s="4640"/>
      <c r="BE100" s="4640"/>
      <c r="BF100" s="4640"/>
      <c r="BG100" s="4640"/>
      <c r="BH100" s="4640"/>
      <c r="BI100" s="4640"/>
      <c r="BJ100" s="4640"/>
      <c r="BK100" s="4640"/>
      <c r="BL100" s="4640"/>
      <c r="BM100" s="4645"/>
      <c r="BN100" s="4640"/>
      <c r="BO100" s="4551"/>
      <c r="BP100" s="4551"/>
      <c r="BQ100" s="4642"/>
      <c r="BR100" s="4642"/>
      <c r="BS100" s="4642"/>
      <c r="BT100" s="4642"/>
      <c r="BU100" s="4612"/>
    </row>
    <row r="101" spans="1:73" s="1965" customFormat="1" ht="90" customHeight="1" x14ac:dyDescent="0.25">
      <c r="A101" s="2119"/>
      <c r="B101" s="1944"/>
      <c r="C101" s="1943"/>
      <c r="D101" s="1944"/>
      <c r="E101" s="2128"/>
      <c r="F101" s="2129"/>
      <c r="G101" s="4654">
        <v>1905031</v>
      </c>
      <c r="H101" s="4628" t="s">
        <v>2929</v>
      </c>
      <c r="I101" s="4536">
        <v>1905031</v>
      </c>
      <c r="J101" s="4538" t="s">
        <v>2929</v>
      </c>
      <c r="K101" s="4479">
        <v>190503100</v>
      </c>
      <c r="L101" s="3105" t="s">
        <v>2930</v>
      </c>
      <c r="M101" s="4479">
        <v>190503100</v>
      </c>
      <c r="N101" s="3105" t="s">
        <v>2930</v>
      </c>
      <c r="O101" s="4526">
        <v>12</v>
      </c>
      <c r="P101" s="4652">
        <v>10</v>
      </c>
      <c r="Q101" s="4526"/>
      <c r="R101" s="3100"/>
      <c r="S101" s="2790">
        <v>0.5</v>
      </c>
      <c r="T101" s="4485"/>
      <c r="U101" s="3089"/>
      <c r="V101" s="3089" t="s">
        <v>2931</v>
      </c>
      <c r="W101" s="1940" t="s">
        <v>2932</v>
      </c>
      <c r="X101" s="829">
        <v>8000000</v>
      </c>
      <c r="Y101" s="829">
        <v>8000000</v>
      </c>
      <c r="Z101" s="829">
        <v>8000000</v>
      </c>
      <c r="AA101" s="2080" t="s">
        <v>2933</v>
      </c>
      <c r="AB101" s="2125">
        <v>61</v>
      </c>
      <c r="AC101" s="1967" t="s">
        <v>2740</v>
      </c>
      <c r="AD101" s="4640"/>
      <c r="AE101" s="4640"/>
      <c r="AF101" s="4640"/>
      <c r="AG101" s="4640"/>
      <c r="AH101" s="4647"/>
      <c r="AI101" s="4640"/>
      <c r="AJ101" s="4640"/>
      <c r="AK101" s="4640"/>
      <c r="AL101" s="4640"/>
      <c r="AM101" s="4640"/>
      <c r="AN101" s="4640"/>
      <c r="AO101" s="4640"/>
      <c r="AP101" s="4640"/>
      <c r="AQ101" s="4640"/>
      <c r="AR101" s="4640"/>
      <c r="AS101" s="4640"/>
      <c r="AT101" s="4640"/>
      <c r="AU101" s="4640"/>
      <c r="AV101" s="4640"/>
      <c r="AW101" s="4640"/>
      <c r="AX101" s="4640"/>
      <c r="AY101" s="4640"/>
      <c r="AZ101" s="4640"/>
      <c r="BA101" s="4640"/>
      <c r="BB101" s="4640"/>
      <c r="BC101" s="4640"/>
      <c r="BD101" s="4640"/>
      <c r="BE101" s="4640"/>
      <c r="BF101" s="4640"/>
      <c r="BG101" s="4640"/>
      <c r="BH101" s="4640"/>
      <c r="BI101" s="4640"/>
      <c r="BJ101" s="4640"/>
      <c r="BK101" s="4640"/>
      <c r="BL101" s="4640"/>
      <c r="BM101" s="4645"/>
      <c r="BN101" s="4640"/>
      <c r="BO101" s="4551"/>
      <c r="BP101" s="4551"/>
      <c r="BQ101" s="4642"/>
      <c r="BR101" s="4642"/>
      <c r="BS101" s="4642"/>
      <c r="BT101" s="4642"/>
      <c r="BU101" s="4612"/>
    </row>
    <row r="102" spans="1:73" s="1965" customFormat="1" ht="105.75" customHeight="1" x14ac:dyDescent="0.25">
      <c r="A102" s="2119"/>
      <c r="B102" s="1944"/>
      <c r="C102" s="1943"/>
      <c r="D102" s="1944"/>
      <c r="E102" s="2128"/>
      <c r="F102" s="2129"/>
      <c r="G102" s="4536"/>
      <c r="H102" s="4538"/>
      <c r="I102" s="4536"/>
      <c r="J102" s="4538"/>
      <c r="K102" s="4479"/>
      <c r="L102" s="3105"/>
      <c r="M102" s="4479"/>
      <c r="N102" s="3105"/>
      <c r="O102" s="4526"/>
      <c r="P102" s="4650"/>
      <c r="Q102" s="4526"/>
      <c r="R102" s="3100"/>
      <c r="S102" s="2791"/>
      <c r="T102" s="4485"/>
      <c r="U102" s="3089"/>
      <c r="V102" s="3089"/>
      <c r="W102" s="1940" t="s">
        <v>2934</v>
      </c>
      <c r="X102" s="829">
        <v>8000000</v>
      </c>
      <c r="Y102" s="829">
        <v>8000000</v>
      </c>
      <c r="Z102" s="829">
        <v>8000000</v>
      </c>
      <c r="AA102" s="2080" t="s">
        <v>2933</v>
      </c>
      <c r="AB102" s="2125">
        <v>61</v>
      </c>
      <c r="AC102" s="1967" t="s">
        <v>2740</v>
      </c>
      <c r="AD102" s="4640"/>
      <c r="AE102" s="4640"/>
      <c r="AF102" s="4640"/>
      <c r="AG102" s="4640"/>
      <c r="AH102" s="4647"/>
      <c r="AI102" s="4640"/>
      <c r="AJ102" s="4640"/>
      <c r="AK102" s="4640"/>
      <c r="AL102" s="4640"/>
      <c r="AM102" s="4640"/>
      <c r="AN102" s="4640"/>
      <c r="AO102" s="4640"/>
      <c r="AP102" s="4640"/>
      <c r="AQ102" s="4640"/>
      <c r="AR102" s="4640"/>
      <c r="AS102" s="4640"/>
      <c r="AT102" s="4640"/>
      <c r="AU102" s="4640"/>
      <c r="AV102" s="4640"/>
      <c r="AW102" s="4640"/>
      <c r="AX102" s="4640"/>
      <c r="AY102" s="4640"/>
      <c r="AZ102" s="4640"/>
      <c r="BA102" s="4640"/>
      <c r="BB102" s="4640"/>
      <c r="BC102" s="4640"/>
      <c r="BD102" s="4640"/>
      <c r="BE102" s="4640"/>
      <c r="BF102" s="4640"/>
      <c r="BG102" s="4640"/>
      <c r="BH102" s="4640"/>
      <c r="BI102" s="4640"/>
      <c r="BJ102" s="4640"/>
      <c r="BK102" s="4640"/>
      <c r="BL102" s="4640"/>
      <c r="BM102" s="4645"/>
      <c r="BN102" s="4640"/>
      <c r="BO102" s="4551"/>
      <c r="BP102" s="4551"/>
      <c r="BQ102" s="4642"/>
      <c r="BR102" s="4642"/>
      <c r="BS102" s="4642"/>
      <c r="BT102" s="4642"/>
      <c r="BU102" s="4612"/>
    </row>
    <row r="103" spans="1:73" s="1965" customFormat="1" ht="56.25" customHeight="1" x14ac:dyDescent="0.25">
      <c r="A103" s="2119"/>
      <c r="B103" s="1944"/>
      <c r="C103" s="1943"/>
      <c r="D103" s="1944"/>
      <c r="E103" s="2128"/>
      <c r="F103" s="2129"/>
      <c r="G103" s="4536"/>
      <c r="H103" s="4538"/>
      <c r="I103" s="4536"/>
      <c r="J103" s="4538"/>
      <c r="K103" s="4479"/>
      <c r="L103" s="3105"/>
      <c r="M103" s="4479"/>
      <c r="N103" s="3105"/>
      <c r="O103" s="4526"/>
      <c r="P103" s="4650"/>
      <c r="Q103" s="4526"/>
      <c r="R103" s="3100"/>
      <c r="S103" s="2791"/>
      <c r="T103" s="4485"/>
      <c r="U103" s="3089"/>
      <c r="V103" s="3089"/>
      <c r="W103" s="1940" t="s">
        <v>2935</v>
      </c>
      <c r="X103" s="829">
        <v>8000000</v>
      </c>
      <c r="Y103" s="829">
        <v>8000000</v>
      </c>
      <c r="Z103" s="829">
        <v>8000000</v>
      </c>
      <c r="AA103" s="2080" t="s">
        <v>2933</v>
      </c>
      <c r="AB103" s="2125">
        <v>61</v>
      </c>
      <c r="AC103" s="1967" t="s">
        <v>2740</v>
      </c>
      <c r="AD103" s="4640"/>
      <c r="AE103" s="4640"/>
      <c r="AF103" s="4640"/>
      <c r="AG103" s="4640"/>
      <c r="AH103" s="4647"/>
      <c r="AI103" s="4640"/>
      <c r="AJ103" s="4640"/>
      <c r="AK103" s="4640"/>
      <c r="AL103" s="4640"/>
      <c r="AM103" s="4640"/>
      <c r="AN103" s="4640"/>
      <c r="AO103" s="4640"/>
      <c r="AP103" s="4640"/>
      <c r="AQ103" s="4640"/>
      <c r="AR103" s="4640"/>
      <c r="AS103" s="4640"/>
      <c r="AT103" s="4640"/>
      <c r="AU103" s="4640"/>
      <c r="AV103" s="4640"/>
      <c r="AW103" s="4640"/>
      <c r="AX103" s="4640"/>
      <c r="AY103" s="4640"/>
      <c r="AZ103" s="4640"/>
      <c r="BA103" s="4640"/>
      <c r="BB103" s="4640"/>
      <c r="BC103" s="4640"/>
      <c r="BD103" s="4640"/>
      <c r="BE103" s="4640"/>
      <c r="BF103" s="4640"/>
      <c r="BG103" s="4640"/>
      <c r="BH103" s="4640"/>
      <c r="BI103" s="4640"/>
      <c r="BJ103" s="4640"/>
      <c r="BK103" s="4640"/>
      <c r="BL103" s="4640"/>
      <c r="BM103" s="4645"/>
      <c r="BN103" s="4640"/>
      <c r="BO103" s="4551"/>
      <c r="BP103" s="4551"/>
      <c r="BQ103" s="4642"/>
      <c r="BR103" s="4642"/>
      <c r="BS103" s="4642"/>
      <c r="BT103" s="4642"/>
      <c r="BU103" s="4612"/>
    </row>
    <row r="104" spans="1:73" s="1965" customFormat="1" ht="65.25" customHeight="1" x14ac:dyDescent="0.25">
      <c r="A104" s="2119"/>
      <c r="B104" s="1944"/>
      <c r="C104" s="1943"/>
      <c r="D104" s="1944"/>
      <c r="E104" s="2128"/>
      <c r="F104" s="2129"/>
      <c r="G104" s="4536"/>
      <c r="H104" s="4538"/>
      <c r="I104" s="4536"/>
      <c r="J104" s="4538"/>
      <c r="K104" s="4479"/>
      <c r="L104" s="3105"/>
      <c r="M104" s="4479"/>
      <c r="N104" s="3105"/>
      <c r="O104" s="4526"/>
      <c r="P104" s="4650"/>
      <c r="Q104" s="4526"/>
      <c r="R104" s="3100"/>
      <c r="S104" s="2791"/>
      <c r="T104" s="4485"/>
      <c r="U104" s="3089"/>
      <c r="V104" s="3089"/>
      <c r="W104" s="1940" t="s">
        <v>2936</v>
      </c>
      <c r="X104" s="829">
        <v>6000000</v>
      </c>
      <c r="Y104" s="829">
        <v>6000000</v>
      </c>
      <c r="Z104" s="829">
        <v>6000000</v>
      </c>
      <c r="AA104" s="2080" t="s">
        <v>2933</v>
      </c>
      <c r="AB104" s="2125">
        <v>61</v>
      </c>
      <c r="AC104" s="1967" t="s">
        <v>2740</v>
      </c>
      <c r="AD104" s="4640"/>
      <c r="AE104" s="4640"/>
      <c r="AF104" s="4640"/>
      <c r="AG104" s="4640"/>
      <c r="AH104" s="4647"/>
      <c r="AI104" s="4640"/>
      <c r="AJ104" s="4640"/>
      <c r="AK104" s="4640"/>
      <c r="AL104" s="4640"/>
      <c r="AM104" s="4640"/>
      <c r="AN104" s="4640"/>
      <c r="AO104" s="4640"/>
      <c r="AP104" s="4640"/>
      <c r="AQ104" s="4640"/>
      <c r="AR104" s="4640"/>
      <c r="AS104" s="4640"/>
      <c r="AT104" s="4640"/>
      <c r="AU104" s="4640"/>
      <c r="AV104" s="4640"/>
      <c r="AW104" s="4640"/>
      <c r="AX104" s="4640"/>
      <c r="AY104" s="4640"/>
      <c r="AZ104" s="4640"/>
      <c r="BA104" s="4640"/>
      <c r="BB104" s="4640"/>
      <c r="BC104" s="4640"/>
      <c r="BD104" s="4640"/>
      <c r="BE104" s="4640"/>
      <c r="BF104" s="4640"/>
      <c r="BG104" s="4640"/>
      <c r="BH104" s="4640"/>
      <c r="BI104" s="4640"/>
      <c r="BJ104" s="4640"/>
      <c r="BK104" s="4640"/>
      <c r="BL104" s="4640"/>
      <c r="BM104" s="4645"/>
      <c r="BN104" s="4640"/>
      <c r="BO104" s="4551"/>
      <c r="BP104" s="4551"/>
      <c r="BQ104" s="4642"/>
      <c r="BR104" s="4642"/>
      <c r="BS104" s="4642"/>
      <c r="BT104" s="4642"/>
      <c r="BU104" s="4612"/>
    </row>
    <row r="105" spans="1:73" s="1965" customFormat="1" ht="71.25" customHeight="1" x14ac:dyDescent="0.25">
      <c r="A105" s="2119"/>
      <c r="B105" s="1944"/>
      <c r="C105" s="1943"/>
      <c r="D105" s="1944"/>
      <c r="E105" s="2128"/>
      <c r="F105" s="2129"/>
      <c r="G105" s="4536"/>
      <c r="H105" s="4538"/>
      <c r="I105" s="4536"/>
      <c r="J105" s="4538"/>
      <c r="K105" s="4479"/>
      <c r="L105" s="3105"/>
      <c r="M105" s="4479"/>
      <c r="N105" s="3105"/>
      <c r="O105" s="4526"/>
      <c r="P105" s="4651"/>
      <c r="Q105" s="4526"/>
      <c r="R105" s="2939"/>
      <c r="S105" s="2792"/>
      <c r="T105" s="4485"/>
      <c r="U105" s="3089"/>
      <c r="V105" s="3089"/>
      <c r="W105" s="1940" t="s">
        <v>2937</v>
      </c>
      <c r="X105" s="829">
        <v>8000000</v>
      </c>
      <c r="Y105" s="829">
        <v>8000000</v>
      </c>
      <c r="Z105" s="829">
        <v>8000000</v>
      </c>
      <c r="AA105" s="2080" t="s">
        <v>2933</v>
      </c>
      <c r="AB105" s="2125">
        <v>61</v>
      </c>
      <c r="AC105" s="1967" t="s">
        <v>2740</v>
      </c>
      <c r="AD105" s="4641"/>
      <c r="AE105" s="4641"/>
      <c r="AF105" s="4641"/>
      <c r="AG105" s="4641"/>
      <c r="AH105" s="4648"/>
      <c r="AI105" s="4641"/>
      <c r="AJ105" s="4641"/>
      <c r="AK105" s="4641"/>
      <c r="AL105" s="4641"/>
      <c r="AM105" s="4641"/>
      <c r="AN105" s="4641"/>
      <c r="AO105" s="4641"/>
      <c r="AP105" s="4641"/>
      <c r="AQ105" s="4641"/>
      <c r="AR105" s="4641"/>
      <c r="AS105" s="4641"/>
      <c r="AT105" s="4641"/>
      <c r="AU105" s="4641"/>
      <c r="AV105" s="4641"/>
      <c r="AW105" s="4641"/>
      <c r="AX105" s="4641"/>
      <c r="AY105" s="4641"/>
      <c r="AZ105" s="4641"/>
      <c r="BA105" s="4641"/>
      <c r="BB105" s="4641"/>
      <c r="BC105" s="4641"/>
      <c r="BD105" s="4641"/>
      <c r="BE105" s="4641"/>
      <c r="BF105" s="4641"/>
      <c r="BG105" s="4641"/>
      <c r="BH105" s="4641"/>
      <c r="BI105" s="4641"/>
      <c r="BJ105" s="4641"/>
      <c r="BK105" s="4641"/>
      <c r="BL105" s="4641"/>
      <c r="BM105" s="4646"/>
      <c r="BN105" s="4641"/>
      <c r="BO105" s="4552"/>
      <c r="BP105" s="4552"/>
      <c r="BQ105" s="4643"/>
      <c r="BR105" s="4643"/>
      <c r="BS105" s="4643"/>
      <c r="BT105" s="4643"/>
      <c r="BU105" s="4613"/>
    </row>
    <row r="106" spans="1:73" s="1965" customFormat="1" ht="81" customHeight="1" x14ac:dyDescent="0.25">
      <c r="A106" s="2119"/>
      <c r="B106" s="1944"/>
      <c r="C106" s="1943"/>
      <c r="D106" s="1944"/>
      <c r="E106" s="2128"/>
      <c r="F106" s="2129"/>
      <c r="G106" s="2130">
        <v>1905019</v>
      </c>
      <c r="H106" s="2131" t="s">
        <v>2938</v>
      </c>
      <c r="I106" s="2130">
        <v>1905019</v>
      </c>
      <c r="J106" s="2131" t="s">
        <v>2938</v>
      </c>
      <c r="K106" s="2132">
        <v>190501900</v>
      </c>
      <c r="L106" s="1934" t="s">
        <v>277</v>
      </c>
      <c r="M106" s="2132">
        <v>190501900</v>
      </c>
      <c r="N106" s="1934" t="s">
        <v>277</v>
      </c>
      <c r="O106" s="1964">
        <v>60</v>
      </c>
      <c r="P106" s="2133">
        <v>805</v>
      </c>
      <c r="Q106" s="4526" t="s">
        <v>2939</v>
      </c>
      <c r="R106" s="3089" t="s">
        <v>2940</v>
      </c>
      <c r="S106" s="2134">
        <v>0.1</v>
      </c>
      <c r="T106" s="4485">
        <v>200000000</v>
      </c>
      <c r="U106" s="3089" t="s">
        <v>2941</v>
      </c>
      <c r="V106" s="2938" t="s">
        <v>2942</v>
      </c>
      <c r="W106" s="2135" t="s">
        <v>2943</v>
      </c>
      <c r="X106" s="2136">
        <v>20000000</v>
      </c>
      <c r="Y106" s="2136">
        <v>14614667</v>
      </c>
      <c r="Z106" s="2136">
        <v>14614667</v>
      </c>
      <c r="AA106" s="2080" t="s">
        <v>2944</v>
      </c>
      <c r="AB106" s="2125">
        <v>61</v>
      </c>
      <c r="AC106" s="1966" t="s">
        <v>2740</v>
      </c>
      <c r="AD106" s="2579">
        <v>292684</v>
      </c>
      <c r="AE106" s="2579"/>
      <c r="AF106" s="2579">
        <v>282326</v>
      </c>
      <c r="AG106" s="2579"/>
      <c r="AH106" s="4483">
        <v>135912</v>
      </c>
      <c r="AI106" s="2579"/>
      <c r="AJ106" s="2579">
        <v>45122</v>
      </c>
      <c r="AK106" s="2579"/>
      <c r="AL106" s="2579">
        <v>307101</v>
      </c>
      <c r="AM106" s="2579"/>
      <c r="AN106" s="2579">
        <v>86875</v>
      </c>
      <c r="AO106" s="2579"/>
      <c r="AP106" s="2579">
        <v>2145</v>
      </c>
      <c r="AQ106" s="2579"/>
      <c r="AR106" s="2579">
        <v>12718</v>
      </c>
      <c r="AS106" s="2579"/>
      <c r="AT106" s="2579">
        <v>26</v>
      </c>
      <c r="AU106" s="2579"/>
      <c r="AV106" s="2579">
        <v>37</v>
      </c>
      <c r="AW106" s="2579"/>
      <c r="AX106" s="2579">
        <v>16897</v>
      </c>
      <c r="AY106" s="2579"/>
      <c r="AZ106" s="2579" t="s">
        <v>2870</v>
      </c>
      <c r="BA106" s="2579"/>
      <c r="BB106" s="2579">
        <v>53164</v>
      </c>
      <c r="BC106" s="2579"/>
      <c r="BD106" s="2579">
        <v>16982</v>
      </c>
      <c r="BE106" s="2579"/>
      <c r="BF106" s="2579">
        <v>60013</v>
      </c>
      <c r="BG106" s="2579"/>
      <c r="BH106" s="2579">
        <v>575010</v>
      </c>
      <c r="BI106" s="2579"/>
      <c r="BJ106" s="2745">
        <v>11</v>
      </c>
      <c r="BK106" s="4506">
        <v>177905832</v>
      </c>
      <c r="BL106" s="4506">
        <v>177705832</v>
      </c>
      <c r="BM106" s="4509">
        <v>0.99887580975985091</v>
      </c>
      <c r="BN106" s="2745">
        <v>61</v>
      </c>
      <c r="BO106" s="2745" t="s">
        <v>2811</v>
      </c>
      <c r="BP106" s="2745" t="s">
        <v>2925</v>
      </c>
      <c r="BQ106" s="4481">
        <v>44197</v>
      </c>
      <c r="BR106" s="4481">
        <v>44245</v>
      </c>
      <c r="BS106" s="4481">
        <v>44561</v>
      </c>
      <c r="BT106" s="4481">
        <v>44561</v>
      </c>
      <c r="BU106" s="2745" t="s">
        <v>2744</v>
      </c>
    </row>
    <row r="107" spans="1:73" s="1965" customFormat="1" ht="78.75" customHeight="1" x14ac:dyDescent="0.25">
      <c r="A107" s="2119"/>
      <c r="B107" s="1944"/>
      <c r="C107" s="1943"/>
      <c r="D107" s="1944"/>
      <c r="E107" s="2128"/>
      <c r="F107" s="2129"/>
      <c r="G107" s="4536" t="s">
        <v>20</v>
      </c>
      <c r="H107" s="4584" t="s">
        <v>2945</v>
      </c>
      <c r="I107" s="4536">
        <v>1905031</v>
      </c>
      <c r="J107" s="4584" t="s">
        <v>2946</v>
      </c>
      <c r="K107" s="4586" t="s">
        <v>20</v>
      </c>
      <c r="L107" s="4638" t="s">
        <v>2947</v>
      </c>
      <c r="M107" s="4586">
        <v>190503100</v>
      </c>
      <c r="N107" s="4638" t="s">
        <v>2948</v>
      </c>
      <c r="O107" s="4525">
        <v>11</v>
      </c>
      <c r="P107" s="4512">
        <v>9</v>
      </c>
      <c r="Q107" s="4526"/>
      <c r="R107" s="3089"/>
      <c r="S107" s="2790">
        <v>0.1</v>
      </c>
      <c r="T107" s="4485"/>
      <c r="U107" s="3089"/>
      <c r="V107" s="3100"/>
      <c r="W107" s="1940" t="s">
        <v>2949</v>
      </c>
      <c r="X107" s="2136">
        <v>10000000</v>
      </c>
      <c r="Y107" s="2108">
        <v>10000000</v>
      </c>
      <c r="Z107" s="2108">
        <v>10000000</v>
      </c>
      <c r="AA107" s="2080" t="s">
        <v>2950</v>
      </c>
      <c r="AB107" s="2125">
        <v>61</v>
      </c>
      <c r="AC107" s="1967" t="s">
        <v>2740</v>
      </c>
      <c r="AD107" s="2580"/>
      <c r="AE107" s="2580"/>
      <c r="AF107" s="2580"/>
      <c r="AG107" s="2580"/>
      <c r="AH107" s="4484"/>
      <c r="AI107" s="2580"/>
      <c r="AJ107" s="2580"/>
      <c r="AK107" s="2580"/>
      <c r="AL107" s="2580"/>
      <c r="AM107" s="2580"/>
      <c r="AN107" s="2580"/>
      <c r="AO107" s="2580"/>
      <c r="AP107" s="2580"/>
      <c r="AQ107" s="2580"/>
      <c r="AR107" s="2580"/>
      <c r="AS107" s="2580"/>
      <c r="AT107" s="2580"/>
      <c r="AU107" s="2580"/>
      <c r="AV107" s="2580"/>
      <c r="AW107" s="2580"/>
      <c r="AX107" s="2580"/>
      <c r="AY107" s="2580"/>
      <c r="AZ107" s="2580"/>
      <c r="BA107" s="2580"/>
      <c r="BB107" s="2580"/>
      <c r="BC107" s="2580"/>
      <c r="BD107" s="2580"/>
      <c r="BE107" s="2580"/>
      <c r="BF107" s="2580"/>
      <c r="BG107" s="2580"/>
      <c r="BH107" s="2580"/>
      <c r="BI107" s="2580"/>
      <c r="BJ107" s="2502"/>
      <c r="BK107" s="2502"/>
      <c r="BL107" s="2502"/>
      <c r="BM107" s="4510"/>
      <c r="BN107" s="2502"/>
      <c r="BO107" s="2502"/>
      <c r="BP107" s="2502"/>
      <c r="BQ107" s="4504"/>
      <c r="BR107" s="4504"/>
      <c r="BS107" s="4504"/>
      <c r="BT107" s="4504"/>
      <c r="BU107" s="2502"/>
    </row>
    <row r="108" spans="1:73" s="1965" customFormat="1" ht="78.75" customHeight="1" x14ac:dyDescent="0.25">
      <c r="A108" s="2119"/>
      <c r="B108" s="1944"/>
      <c r="C108" s="1943"/>
      <c r="D108" s="1944"/>
      <c r="E108" s="2128"/>
      <c r="F108" s="2129"/>
      <c r="G108" s="4536"/>
      <c r="H108" s="4597"/>
      <c r="I108" s="4536"/>
      <c r="J108" s="4597"/>
      <c r="K108" s="4598"/>
      <c r="L108" s="4639"/>
      <c r="M108" s="4598"/>
      <c r="N108" s="4639"/>
      <c r="O108" s="4523"/>
      <c r="P108" s="4514"/>
      <c r="Q108" s="4526"/>
      <c r="R108" s="3089"/>
      <c r="S108" s="2792"/>
      <c r="T108" s="4485"/>
      <c r="U108" s="3089"/>
      <c r="V108" s="2939"/>
      <c r="W108" s="1940" t="s">
        <v>2951</v>
      </c>
      <c r="X108" s="2137">
        <v>10000000</v>
      </c>
      <c r="Y108" s="2085">
        <v>10000000</v>
      </c>
      <c r="Z108" s="2138">
        <v>10000000</v>
      </c>
      <c r="AA108" s="2080" t="s">
        <v>2950</v>
      </c>
      <c r="AB108" s="2125">
        <v>61</v>
      </c>
      <c r="AC108" s="1967" t="s">
        <v>2740</v>
      </c>
      <c r="AD108" s="2580"/>
      <c r="AE108" s="2580"/>
      <c r="AF108" s="2580"/>
      <c r="AG108" s="2580"/>
      <c r="AH108" s="4484"/>
      <c r="AI108" s="2580"/>
      <c r="AJ108" s="2580"/>
      <c r="AK108" s="2580"/>
      <c r="AL108" s="2580"/>
      <c r="AM108" s="2580"/>
      <c r="AN108" s="2580"/>
      <c r="AO108" s="2580"/>
      <c r="AP108" s="2580"/>
      <c r="AQ108" s="2580"/>
      <c r="AR108" s="2580"/>
      <c r="AS108" s="2580"/>
      <c r="AT108" s="2580"/>
      <c r="AU108" s="2580"/>
      <c r="AV108" s="2580"/>
      <c r="AW108" s="2580"/>
      <c r="AX108" s="2580"/>
      <c r="AY108" s="2580"/>
      <c r="AZ108" s="2580"/>
      <c r="BA108" s="2580"/>
      <c r="BB108" s="2580"/>
      <c r="BC108" s="2580"/>
      <c r="BD108" s="2580"/>
      <c r="BE108" s="2580"/>
      <c r="BF108" s="2580"/>
      <c r="BG108" s="2580"/>
      <c r="BH108" s="2580"/>
      <c r="BI108" s="2580"/>
      <c r="BJ108" s="2502"/>
      <c r="BK108" s="2502"/>
      <c r="BL108" s="2502"/>
      <c r="BM108" s="4510"/>
      <c r="BN108" s="2502"/>
      <c r="BO108" s="2502"/>
      <c r="BP108" s="2502"/>
      <c r="BQ108" s="4504"/>
      <c r="BR108" s="4504"/>
      <c r="BS108" s="4504"/>
      <c r="BT108" s="4504"/>
      <c r="BU108" s="2502"/>
    </row>
    <row r="109" spans="1:73" s="1965" customFormat="1" ht="88.5" customHeight="1" x14ac:dyDescent="0.25">
      <c r="A109" s="2119"/>
      <c r="B109" s="1944"/>
      <c r="C109" s="1943"/>
      <c r="D109" s="1944"/>
      <c r="E109" s="2128"/>
      <c r="F109" s="2129"/>
      <c r="G109" s="4536" t="s">
        <v>20</v>
      </c>
      <c r="H109" s="4584" t="s">
        <v>2952</v>
      </c>
      <c r="I109" s="4536">
        <v>1905015</v>
      </c>
      <c r="J109" s="4584" t="s">
        <v>941</v>
      </c>
      <c r="K109" s="4586" t="s">
        <v>20</v>
      </c>
      <c r="L109" s="4638" t="s">
        <v>2953</v>
      </c>
      <c r="M109" s="4586">
        <v>190501501</v>
      </c>
      <c r="N109" s="4638" t="s">
        <v>2954</v>
      </c>
      <c r="O109" s="4525">
        <v>1</v>
      </c>
      <c r="P109" s="4512">
        <v>1</v>
      </c>
      <c r="Q109" s="4526"/>
      <c r="R109" s="3089"/>
      <c r="S109" s="2790">
        <v>0.1</v>
      </c>
      <c r="T109" s="4485"/>
      <c r="U109" s="3089"/>
      <c r="V109" s="2938" t="s">
        <v>2955</v>
      </c>
      <c r="W109" s="1940" t="s">
        <v>2956</v>
      </c>
      <c r="X109" s="2139">
        <v>10000000</v>
      </c>
      <c r="Y109" s="2085">
        <v>10000000</v>
      </c>
      <c r="Z109" s="2085">
        <v>10000000</v>
      </c>
      <c r="AA109" s="2080" t="s">
        <v>2957</v>
      </c>
      <c r="AB109" s="2125">
        <v>61</v>
      </c>
      <c r="AC109" s="1967" t="s">
        <v>2740</v>
      </c>
      <c r="AD109" s="2580"/>
      <c r="AE109" s="2580"/>
      <c r="AF109" s="2580"/>
      <c r="AG109" s="2580"/>
      <c r="AH109" s="4484"/>
      <c r="AI109" s="2580"/>
      <c r="AJ109" s="2580"/>
      <c r="AK109" s="2580"/>
      <c r="AL109" s="2580"/>
      <c r="AM109" s="2580"/>
      <c r="AN109" s="2580"/>
      <c r="AO109" s="2580"/>
      <c r="AP109" s="2580"/>
      <c r="AQ109" s="2580"/>
      <c r="AR109" s="2580"/>
      <c r="AS109" s="2580"/>
      <c r="AT109" s="2580"/>
      <c r="AU109" s="2580"/>
      <c r="AV109" s="2580"/>
      <c r="AW109" s="2580"/>
      <c r="AX109" s="2580"/>
      <c r="AY109" s="2580"/>
      <c r="AZ109" s="2580"/>
      <c r="BA109" s="2580"/>
      <c r="BB109" s="2580"/>
      <c r="BC109" s="2580"/>
      <c r="BD109" s="2580"/>
      <c r="BE109" s="2580"/>
      <c r="BF109" s="2580"/>
      <c r="BG109" s="2580"/>
      <c r="BH109" s="2580"/>
      <c r="BI109" s="2580"/>
      <c r="BJ109" s="2502"/>
      <c r="BK109" s="2502"/>
      <c r="BL109" s="2502"/>
      <c r="BM109" s="4510"/>
      <c r="BN109" s="2502"/>
      <c r="BO109" s="2502"/>
      <c r="BP109" s="2502"/>
      <c r="BQ109" s="4504"/>
      <c r="BR109" s="4504"/>
      <c r="BS109" s="4504"/>
      <c r="BT109" s="4504"/>
      <c r="BU109" s="2502"/>
    </row>
    <row r="110" spans="1:73" s="1965" customFormat="1" ht="79.5" customHeight="1" x14ac:dyDescent="0.25">
      <c r="A110" s="2119"/>
      <c r="B110" s="1944"/>
      <c r="C110" s="1943"/>
      <c r="D110" s="1944"/>
      <c r="E110" s="2128"/>
      <c r="F110" s="2129"/>
      <c r="G110" s="4536"/>
      <c r="H110" s="4597"/>
      <c r="I110" s="4536"/>
      <c r="J110" s="4597"/>
      <c r="K110" s="4598"/>
      <c r="L110" s="4639"/>
      <c r="M110" s="4598"/>
      <c r="N110" s="4639"/>
      <c r="O110" s="4523"/>
      <c r="P110" s="4514"/>
      <c r="Q110" s="4526"/>
      <c r="R110" s="3089"/>
      <c r="S110" s="2792"/>
      <c r="T110" s="4485"/>
      <c r="U110" s="3089"/>
      <c r="V110" s="3100"/>
      <c r="W110" s="1940" t="s">
        <v>2958</v>
      </c>
      <c r="X110" s="2136">
        <v>10000000</v>
      </c>
      <c r="Y110" s="2085">
        <v>10000000</v>
      </c>
      <c r="Z110" s="2085">
        <v>10000000</v>
      </c>
      <c r="AA110" s="2080" t="s">
        <v>2957</v>
      </c>
      <c r="AB110" s="2125">
        <v>61</v>
      </c>
      <c r="AC110" s="1967" t="s">
        <v>2740</v>
      </c>
      <c r="AD110" s="2580"/>
      <c r="AE110" s="2580"/>
      <c r="AF110" s="2580"/>
      <c r="AG110" s="2580"/>
      <c r="AH110" s="4484"/>
      <c r="AI110" s="2580"/>
      <c r="AJ110" s="2580"/>
      <c r="AK110" s="2580"/>
      <c r="AL110" s="2580"/>
      <c r="AM110" s="2580"/>
      <c r="AN110" s="2580"/>
      <c r="AO110" s="2580"/>
      <c r="AP110" s="2580"/>
      <c r="AQ110" s="2580"/>
      <c r="AR110" s="2580"/>
      <c r="AS110" s="2580"/>
      <c r="AT110" s="2580"/>
      <c r="AU110" s="2580"/>
      <c r="AV110" s="2580"/>
      <c r="AW110" s="2580"/>
      <c r="AX110" s="2580"/>
      <c r="AY110" s="2580"/>
      <c r="AZ110" s="2580"/>
      <c r="BA110" s="2580"/>
      <c r="BB110" s="2580"/>
      <c r="BC110" s="2580"/>
      <c r="BD110" s="2580"/>
      <c r="BE110" s="2580"/>
      <c r="BF110" s="2580"/>
      <c r="BG110" s="2580"/>
      <c r="BH110" s="2580"/>
      <c r="BI110" s="2580"/>
      <c r="BJ110" s="2502"/>
      <c r="BK110" s="2502"/>
      <c r="BL110" s="2502"/>
      <c r="BM110" s="4510"/>
      <c r="BN110" s="2502"/>
      <c r="BO110" s="2502"/>
      <c r="BP110" s="2502"/>
      <c r="BQ110" s="4504"/>
      <c r="BR110" s="4504"/>
      <c r="BS110" s="4504"/>
      <c r="BT110" s="4504"/>
      <c r="BU110" s="2502"/>
    </row>
    <row r="111" spans="1:73" s="1965" customFormat="1" ht="48.75" customHeight="1" x14ac:dyDescent="0.25">
      <c r="A111" s="2119"/>
      <c r="B111" s="1944"/>
      <c r="C111" s="1943"/>
      <c r="D111" s="1944"/>
      <c r="E111" s="2128"/>
      <c r="F111" s="2129"/>
      <c r="G111" s="4536" t="s">
        <v>20</v>
      </c>
      <c r="H111" s="4584" t="s">
        <v>2959</v>
      </c>
      <c r="I111" s="4536">
        <v>1905024</v>
      </c>
      <c r="J111" s="4584" t="s">
        <v>2960</v>
      </c>
      <c r="K111" s="4586" t="s">
        <v>20</v>
      </c>
      <c r="L111" s="4630" t="s">
        <v>2961</v>
      </c>
      <c r="M111" s="4586">
        <v>190502400</v>
      </c>
      <c r="N111" s="4630" t="s">
        <v>2962</v>
      </c>
      <c r="O111" s="4525">
        <v>3</v>
      </c>
      <c r="P111" s="4512">
        <v>3</v>
      </c>
      <c r="Q111" s="4526"/>
      <c r="R111" s="3089"/>
      <c r="S111" s="2790">
        <v>0.40500000000000003</v>
      </c>
      <c r="T111" s="4485"/>
      <c r="U111" s="3089"/>
      <c r="V111" s="3100"/>
      <c r="W111" s="1940" t="s">
        <v>2963</v>
      </c>
      <c r="X111" s="829">
        <v>5000000</v>
      </c>
      <c r="Y111" s="2085">
        <v>5000000</v>
      </c>
      <c r="Z111" s="2085">
        <v>5000000</v>
      </c>
      <c r="AA111" s="2080" t="s">
        <v>2964</v>
      </c>
      <c r="AB111" s="2125">
        <v>61</v>
      </c>
      <c r="AC111" s="1967" t="s">
        <v>2740</v>
      </c>
      <c r="AD111" s="2580"/>
      <c r="AE111" s="2580"/>
      <c r="AF111" s="2580"/>
      <c r="AG111" s="2580"/>
      <c r="AH111" s="4484"/>
      <c r="AI111" s="2580"/>
      <c r="AJ111" s="2580"/>
      <c r="AK111" s="2580"/>
      <c r="AL111" s="2580"/>
      <c r="AM111" s="2580"/>
      <c r="AN111" s="2580"/>
      <c r="AO111" s="2580"/>
      <c r="AP111" s="2580"/>
      <c r="AQ111" s="2580"/>
      <c r="AR111" s="2580"/>
      <c r="AS111" s="2580"/>
      <c r="AT111" s="2580"/>
      <c r="AU111" s="2580"/>
      <c r="AV111" s="2580"/>
      <c r="AW111" s="2580"/>
      <c r="AX111" s="2580"/>
      <c r="AY111" s="2580"/>
      <c r="AZ111" s="2580"/>
      <c r="BA111" s="2580"/>
      <c r="BB111" s="2580"/>
      <c r="BC111" s="2580"/>
      <c r="BD111" s="2580"/>
      <c r="BE111" s="2580"/>
      <c r="BF111" s="2580"/>
      <c r="BG111" s="2580"/>
      <c r="BH111" s="2580"/>
      <c r="BI111" s="2580"/>
      <c r="BJ111" s="2502"/>
      <c r="BK111" s="2502"/>
      <c r="BL111" s="2502"/>
      <c r="BM111" s="4510"/>
      <c r="BN111" s="2502"/>
      <c r="BO111" s="2502"/>
      <c r="BP111" s="2502"/>
      <c r="BQ111" s="4504"/>
      <c r="BR111" s="4504"/>
      <c r="BS111" s="4504"/>
      <c r="BT111" s="4504"/>
      <c r="BU111" s="2502"/>
    </row>
    <row r="112" spans="1:73" s="1965" customFormat="1" ht="48.75" customHeight="1" x14ac:dyDescent="0.25">
      <c r="A112" s="2119"/>
      <c r="B112" s="1944"/>
      <c r="C112" s="1943"/>
      <c r="D112" s="1944"/>
      <c r="E112" s="2128"/>
      <c r="F112" s="2129"/>
      <c r="G112" s="4536"/>
      <c r="H112" s="4585"/>
      <c r="I112" s="4536"/>
      <c r="J112" s="4585"/>
      <c r="K112" s="4587"/>
      <c r="L112" s="4631"/>
      <c r="M112" s="4587"/>
      <c r="N112" s="4631"/>
      <c r="O112" s="4559"/>
      <c r="P112" s="4513"/>
      <c r="Q112" s="4526"/>
      <c r="R112" s="3089"/>
      <c r="S112" s="2791"/>
      <c r="T112" s="4485"/>
      <c r="U112" s="3089"/>
      <c r="V112" s="3100"/>
      <c r="W112" s="1940" t="s">
        <v>2965</v>
      </c>
      <c r="X112" s="829">
        <v>5000000</v>
      </c>
      <c r="Y112" s="2140">
        <v>5000000</v>
      </c>
      <c r="Z112" s="2140">
        <v>5000000</v>
      </c>
      <c r="AA112" s="2080" t="s">
        <v>2964</v>
      </c>
      <c r="AB112" s="2125">
        <v>61</v>
      </c>
      <c r="AC112" s="1967" t="s">
        <v>2740</v>
      </c>
      <c r="AD112" s="2580"/>
      <c r="AE112" s="2580"/>
      <c r="AF112" s="2580"/>
      <c r="AG112" s="2580"/>
      <c r="AH112" s="4484"/>
      <c r="AI112" s="2580"/>
      <c r="AJ112" s="2580"/>
      <c r="AK112" s="2580"/>
      <c r="AL112" s="2580"/>
      <c r="AM112" s="2580"/>
      <c r="AN112" s="2580"/>
      <c r="AO112" s="2580"/>
      <c r="AP112" s="2580"/>
      <c r="AQ112" s="2580"/>
      <c r="AR112" s="2580"/>
      <c r="AS112" s="2580"/>
      <c r="AT112" s="2580"/>
      <c r="AU112" s="2580"/>
      <c r="AV112" s="2580"/>
      <c r="AW112" s="2580"/>
      <c r="AX112" s="2580"/>
      <c r="AY112" s="2580"/>
      <c r="AZ112" s="2580"/>
      <c r="BA112" s="2580"/>
      <c r="BB112" s="2580"/>
      <c r="BC112" s="2580"/>
      <c r="BD112" s="2580"/>
      <c r="BE112" s="2580"/>
      <c r="BF112" s="2580"/>
      <c r="BG112" s="2580"/>
      <c r="BH112" s="2580"/>
      <c r="BI112" s="2580"/>
      <c r="BJ112" s="2502"/>
      <c r="BK112" s="2502"/>
      <c r="BL112" s="2502"/>
      <c r="BM112" s="4510"/>
      <c r="BN112" s="2502"/>
      <c r="BO112" s="2502"/>
      <c r="BP112" s="2502"/>
      <c r="BQ112" s="4504"/>
      <c r="BR112" s="4504"/>
      <c r="BS112" s="4504"/>
      <c r="BT112" s="4504"/>
      <c r="BU112" s="2502"/>
    </row>
    <row r="113" spans="1:73" s="1965" customFormat="1" ht="73.5" customHeight="1" x14ac:dyDescent="0.25">
      <c r="A113" s="2119"/>
      <c r="B113" s="1944"/>
      <c r="C113" s="1943"/>
      <c r="D113" s="1944"/>
      <c r="E113" s="2128"/>
      <c r="F113" s="2129"/>
      <c r="G113" s="4536"/>
      <c r="H113" s="4585"/>
      <c r="I113" s="4536"/>
      <c r="J113" s="4585"/>
      <c r="K113" s="4587"/>
      <c r="L113" s="4631"/>
      <c r="M113" s="4587"/>
      <c r="N113" s="4631"/>
      <c r="O113" s="4559"/>
      <c r="P113" s="4513"/>
      <c r="Q113" s="4526"/>
      <c r="R113" s="3089"/>
      <c r="S113" s="2791"/>
      <c r="T113" s="4485"/>
      <c r="U113" s="3089"/>
      <c r="V113" s="3100"/>
      <c r="W113" s="1940" t="s">
        <v>2757</v>
      </c>
      <c r="X113" s="829">
        <v>34000000</v>
      </c>
      <c r="Y113" s="2085">
        <v>34000000</v>
      </c>
      <c r="Z113" s="2085">
        <v>34000000</v>
      </c>
      <c r="AA113" s="2080" t="s">
        <v>2964</v>
      </c>
      <c r="AB113" s="2125">
        <v>61</v>
      </c>
      <c r="AC113" s="1967" t="s">
        <v>2740</v>
      </c>
      <c r="AD113" s="2580"/>
      <c r="AE113" s="2580"/>
      <c r="AF113" s="2580"/>
      <c r="AG113" s="2580"/>
      <c r="AH113" s="4484"/>
      <c r="AI113" s="2580"/>
      <c r="AJ113" s="2580"/>
      <c r="AK113" s="2580"/>
      <c r="AL113" s="2580"/>
      <c r="AM113" s="2580"/>
      <c r="AN113" s="2580"/>
      <c r="AO113" s="2580"/>
      <c r="AP113" s="2580"/>
      <c r="AQ113" s="2580"/>
      <c r="AR113" s="2580"/>
      <c r="AS113" s="2580"/>
      <c r="AT113" s="2580"/>
      <c r="AU113" s="2580"/>
      <c r="AV113" s="2580"/>
      <c r="AW113" s="2580"/>
      <c r="AX113" s="2580"/>
      <c r="AY113" s="2580"/>
      <c r="AZ113" s="2580"/>
      <c r="BA113" s="2580"/>
      <c r="BB113" s="2580"/>
      <c r="BC113" s="2580"/>
      <c r="BD113" s="2580"/>
      <c r="BE113" s="2580"/>
      <c r="BF113" s="2580"/>
      <c r="BG113" s="2580"/>
      <c r="BH113" s="2580"/>
      <c r="BI113" s="2580"/>
      <c r="BJ113" s="2502"/>
      <c r="BK113" s="2502"/>
      <c r="BL113" s="2502"/>
      <c r="BM113" s="4510"/>
      <c r="BN113" s="2502"/>
      <c r="BO113" s="2502"/>
      <c r="BP113" s="2502"/>
      <c r="BQ113" s="4504"/>
      <c r="BR113" s="4504"/>
      <c r="BS113" s="4504"/>
      <c r="BT113" s="4504"/>
      <c r="BU113" s="2502"/>
    </row>
    <row r="114" spans="1:73" s="1965" customFormat="1" ht="84.75" customHeight="1" x14ac:dyDescent="0.25">
      <c r="A114" s="2119"/>
      <c r="B114" s="1944"/>
      <c r="C114" s="1943"/>
      <c r="D114" s="1944"/>
      <c r="E114" s="2128"/>
      <c r="F114" s="2129"/>
      <c r="G114" s="4536"/>
      <c r="H114" s="4585"/>
      <c r="I114" s="4536"/>
      <c r="J114" s="4585"/>
      <c r="K114" s="4587"/>
      <c r="L114" s="4631"/>
      <c r="M114" s="4587"/>
      <c r="N114" s="4631"/>
      <c r="O114" s="4559"/>
      <c r="P114" s="4513"/>
      <c r="Q114" s="4526"/>
      <c r="R114" s="3089"/>
      <c r="S114" s="2791"/>
      <c r="T114" s="4485"/>
      <c r="U114" s="3089"/>
      <c r="V114" s="3100"/>
      <c r="W114" s="1940" t="s">
        <v>2966</v>
      </c>
      <c r="X114" s="829">
        <v>18500000</v>
      </c>
      <c r="Y114" s="2140">
        <v>15866165</v>
      </c>
      <c r="Z114" s="2140">
        <v>15866165</v>
      </c>
      <c r="AA114" s="2080" t="s">
        <v>2964</v>
      </c>
      <c r="AB114" s="2125">
        <v>61</v>
      </c>
      <c r="AC114" s="1967" t="s">
        <v>2740</v>
      </c>
      <c r="AD114" s="2580"/>
      <c r="AE114" s="2580"/>
      <c r="AF114" s="2580"/>
      <c r="AG114" s="2580"/>
      <c r="AH114" s="4484"/>
      <c r="AI114" s="2580"/>
      <c r="AJ114" s="2580"/>
      <c r="AK114" s="2580"/>
      <c r="AL114" s="2580"/>
      <c r="AM114" s="2580"/>
      <c r="AN114" s="2580"/>
      <c r="AO114" s="2580"/>
      <c r="AP114" s="2580"/>
      <c r="AQ114" s="2580"/>
      <c r="AR114" s="2580"/>
      <c r="AS114" s="2580"/>
      <c r="AT114" s="2580"/>
      <c r="AU114" s="2580"/>
      <c r="AV114" s="2580"/>
      <c r="AW114" s="2580"/>
      <c r="AX114" s="2580"/>
      <c r="AY114" s="2580"/>
      <c r="AZ114" s="2580"/>
      <c r="BA114" s="2580"/>
      <c r="BB114" s="2580"/>
      <c r="BC114" s="2580"/>
      <c r="BD114" s="2580"/>
      <c r="BE114" s="2580"/>
      <c r="BF114" s="2580"/>
      <c r="BG114" s="2580"/>
      <c r="BH114" s="2580"/>
      <c r="BI114" s="2580"/>
      <c r="BJ114" s="2502"/>
      <c r="BK114" s="2502"/>
      <c r="BL114" s="2502"/>
      <c r="BM114" s="4510"/>
      <c r="BN114" s="2502"/>
      <c r="BO114" s="2502"/>
      <c r="BP114" s="2502"/>
      <c r="BQ114" s="4504"/>
      <c r="BR114" s="4504"/>
      <c r="BS114" s="4504"/>
      <c r="BT114" s="4504"/>
      <c r="BU114" s="2502"/>
    </row>
    <row r="115" spans="1:73" s="1965" customFormat="1" ht="73.5" customHeight="1" x14ac:dyDescent="0.25">
      <c r="A115" s="2119"/>
      <c r="B115" s="1944"/>
      <c r="C115" s="1943"/>
      <c r="D115" s="1944"/>
      <c r="E115" s="2128"/>
      <c r="F115" s="2129"/>
      <c r="G115" s="4536"/>
      <c r="H115" s="4597"/>
      <c r="I115" s="4536"/>
      <c r="J115" s="4597"/>
      <c r="K115" s="4598"/>
      <c r="L115" s="4632"/>
      <c r="M115" s="4598"/>
      <c r="N115" s="4632"/>
      <c r="O115" s="4523"/>
      <c r="P115" s="4514"/>
      <c r="Q115" s="4526"/>
      <c r="R115" s="3089"/>
      <c r="S115" s="2792"/>
      <c r="T115" s="4485"/>
      <c r="U115" s="3089"/>
      <c r="V115" s="3100"/>
      <c r="W115" s="1940" t="s">
        <v>2967</v>
      </c>
      <c r="X115" s="829">
        <v>18500000</v>
      </c>
      <c r="Y115" s="2085">
        <v>18500000</v>
      </c>
      <c r="Z115" s="2085">
        <v>18500000</v>
      </c>
      <c r="AA115" s="2080" t="s">
        <v>2964</v>
      </c>
      <c r="AB115" s="2125">
        <v>61</v>
      </c>
      <c r="AC115" s="1967" t="s">
        <v>2740</v>
      </c>
      <c r="AD115" s="2580"/>
      <c r="AE115" s="2580"/>
      <c r="AF115" s="2580"/>
      <c r="AG115" s="2580"/>
      <c r="AH115" s="4484"/>
      <c r="AI115" s="2580"/>
      <c r="AJ115" s="2580"/>
      <c r="AK115" s="2580"/>
      <c r="AL115" s="2580"/>
      <c r="AM115" s="2580"/>
      <c r="AN115" s="2580"/>
      <c r="AO115" s="2580"/>
      <c r="AP115" s="2580"/>
      <c r="AQ115" s="2580"/>
      <c r="AR115" s="2580"/>
      <c r="AS115" s="2580"/>
      <c r="AT115" s="2580"/>
      <c r="AU115" s="2580"/>
      <c r="AV115" s="2580"/>
      <c r="AW115" s="2580"/>
      <c r="AX115" s="2580"/>
      <c r="AY115" s="2580"/>
      <c r="AZ115" s="2580"/>
      <c r="BA115" s="2580"/>
      <c r="BB115" s="2580"/>
      <c r="BC115" s="2580"/>
      <c r="BD115" s="2580"/>
      <c r="BE115" s="2580"/>
      <c r="BF115" s="2580"/>
      <c r="BG115" s="2580"/>
      <c r="BH115" s="2580"/>
      <c r="BI115" s="2580"/>
      <c r="BJ115" s="2502"/>
      <c r="BK115" s="2502"/>
      <c r="BL115" s="2502"/>
      <c r="BM115" s="4510"/>
      <c r="BN115" s="2502"/>
      <c r="BO115" s="2502"/>
      <c r="BP115" s="2502"/>
      <c r="BQ115" s="4504"/>
      <c r="BR115" s="4504"/>
      <c r="BS115" s="4504"/>
      <c r="BT115" s="4504"/>
      <c r="BU115" s="2502"/>
    </row>
    <row r="116" spans="1:73" s="1965" customFormat="1" ht="48.75" customHeight="1" x14ac:dyDescent="0.25">
      <c r="A116" s="2119"/>
      <c r="B116" s="1944"/>
      <c r="C116" s="1943"/>
      <c r="D116" s="1944"/>
      <c r="E116" s="2128"/>
      <c r="F116" s="2129"/>
      <c r="G116" s="4536" t="s">
        <v>20</v>
      </c>
      <c r="H116" s="4584" t="s">
        <v>2968</v>
      </c>
      <c r="I116" s="4536">
        <v>1905015</v>
      </c>
      <c r="J116" s="4584" t="s">
        <v>941</v>
      </c>
      <c r="K116" s="4586" t="s">
        <v>20</v>
      </c>
      <c r="L116" s="4638" t="s">
        <v>2969</v>
      </c>
      <c r="M116" s="4586">
        <v>190501500</v>
      </c>
      <c r="N116" s="4638" t="s">
        <v>2954</v>
      </c>
      <c r="O116" s="4525">
        <v>4</v>
      </c>
      <c r="P116" s="4512">
        <v>2</v>
      </c>
      <c r="Q116" s="4526"/>
      <c r="R116" s="3089"/>
      <c r="S116" s="2790">
        <v>1.4999999999999999E-2</v>
      </c>
      <c r="T116" s="4485"/>
      <c r="U116" s="3089"/>
      <c r="V116" s="3100"/>
      <c r="W116" s="1940" t="s">
        <v>2970</v>
      </c>
      <c r="X116" s="2136">
        <v>1500000</v>
      </c>
      <c r="Y116" s="2140"/>
      <c r="Z116" s="2140"/>
      <c r="AA116" s="2080" t="s">
        <v>2971</v>
      </c>
      <c r="AB116" s="2125">
        <v>61</v>
      </c>
      <c r="AC116" s="1967" t="s">
        <v>2740</v>
      </c>
      <c r="AD116" s="2580"/>
      <c r="AE116" s="2580"/>
      <c r="AF116" s="2580"/>
      <c r="AG116" s="2580"/>
      <c r="AH116" s="4484"/>
      <c r="AI116" s="2580"/>
      <c r="AJ116" s="2580"/>
      <c r="AK116" s="2580"/>
      <c r="AL116" s="2580"/>
      <c r="AM116" s="2580"/>
      <c r="AN116" s="2580"/>
      <c r="AO116" s="2580"/>
      <c r="AP116" s="2580"/>
      <c r="AQ116" s="2580"/>
      <c r="AR116" s="2580"/>
      <c r="AS116" s="2580"/>
      <c r="AT116" s="2580"/>
      <c r="AU116" s="2580"/>
      <c r="AV116" s="2580"/>
      <c r="AW116" s="2580"/>
      <c r="AX116" s="2580"/>
      <c r="AY116" s="2580"/>
      <c r="AZ116" s="2580"/>
      <c r="BA116" s="2580"/>
      <c r="BB116" s="2580"/>
      <c r="BC116" s="2580"/>
      <c r="BD116" s="2580"/>
      <c r="BE116" s="2580"/>
      <c r="BF116" s="2580"/>
      <c r="BG116" s="2580"/>
      <c r="BH116" s="2580"/>
      <c r="BI116" s="2580"/>
      <c r="BJ116" s="2502"/>
      <c r="BK116" s="2502"/>
      <c r="BL116" s="2502"/>
      <c r="BM116" s="4510"/>
      <c r="BN116" s="2502"/>
      <c r="BO116" s="2502"/>
      <c r="BP116" s="2502"/>
      <c r="BQ116" s="4504"/>
      <c r="BR116" s="4504"/>
      <c r="BS116" s="4504"/>
      <c r="BT116" s="4504"/>
      <c r="BU116" s="2502"/>
    </row>
    <row r="117" spans="1:73" s="1965" customFormat="1" ht="48.75" customHeight="1" x14ac:dyDescent="0.25">
      <c r="A117" s="2119"/>
      <c r="B117" s="1944"/>
      <c r="C117" s="1943"/>
      <c r="D117" s="1944"/>
      <c r="E117" s="2128"/>
      <c r="F117" s="2129"/>
      <c r="G117" s="4536"/>
      <c r="H117" s="4597"/>
      <c r="I117" s="4536"/>
      <c r="J117" s="4597"/>
      <c r="K117" s="4598"/>
      <c r="L117" s="4639"/>
      <c r="M117" s="4598"/>
      <c r="N117" s="4639"/>
      <c r="O117" s="4523"/>
      <c r="P117" s="4514"/>
      <c r="Q117" s="4526"/>
      <c r="R117" s="3089"/>
      <c r="S117" s="2792"/>
      <c r="T117" s="4485"/>
      <c r="U117" s="3089"/>
      <c r="V117" s="3100"/>
      <c r="W117" s="1940" t="s">
        <v>2972</v>
      </c>
      <c r="X117" s="2136">
        <v>1500000</v>
      </c>
      <c r="Y117" s="2085"/>
      <c r="Z117" s="2085"/>
      <c r="AA117" s="2080" t="s">
        <v>2971</v>
      </c>
      <c r="AB117" s="2125">
        <v>61</v>
      </c>
      <c r="AC117" s="1967" t="s">
        <v>2740</v>
      </c>
      <c r="AD117" s="2580"/>
      <c r="AE117" s="2580"/>
      <c r="AF117" s="2580"/>
      <c r="AG117" s="2580"/>
      <c r="AH117" s="4484"/>
      <c r="AI117" s="2580"/>
      <c r="AJ117" s="2580"/>
      <c r="AK117" s="2580"/>
      <c r="AL117" s="2580"/>
      <c r="AM117" s="2580"/>
      <c r="AN117" s="2580"/>
      <c r="AO117" s="2580"/>
      <c r="AP117" s="2580"/>
      <c r="AQ117" s="2580"/>
      <c r="AR117" s="2580"/>
      <c r="AS117" s="2580"/>
      <c r="AT117" s="2580"/>
      <c r="AU117" s="2580"/>
      <c r="AV117" s="2580"/>
      <c r="AW117" s="2580"/>
      <c r="AX117" s="2580"/>
      <c r="AY117" s="2580"/>
      <c r="AZ117" s="2580"/>
      <c r="BA117" s="2580"/>
      <c r="BB117" s="2580"/>
      <c r="BC117" s="2580"/>
      <c r="BD117" s="2580"/>
      <c r="BE117" s="2580"/>
      <c r="BF117" s="2580"/>
      <c r="BG117" s="2580"/>
      <c r="BH117" s="2580"/>
      <c r="BI117" s="2580"/>
      <c r="BJ117" s="2502"/>
      <c r="BK117" s="2502"/>
      <c r="BL117" s="2502"/>
      <c r="BM117" s="4510"/>
      <c r="BN117" s="2502"/>
      <c r="BO117" s="2502"/>
      <c r="BP117" s="2502"/>
      <c r="BQ117" s="4504"/>
      <c r="BR117" s="4504"/>
      <c r="BS117" s="4504"/>
      <c r="BT117" s="4504"/>
      <c r="BU117" s="2502"/>
    </row>
    <row r="118" spans="1:73" s="1965" customFormat="1" ht="110.25" customHeight="1" x14ac:dyDescent="0.25">
      <c r="A118" s="2119"/>
      <c r="B118" s="1944"/>
      <c r="C118" s="1943"/>
      <c r="D118" s="1944"/>
      <c r="E118" s="2128"/>
      <c r="F118" s="2129"/>
      <c r="G118" s="4536" t="s">
        <v>20</v>
      </c>
      <c r="H118" s="4584" t="s">
        <v>2973</v>
      </c>
      <c r="I118" s="4536">
        <v>1905024</v>
      </c>
      <c r="J118" s="4584" t="s">
        <v>2960</v>
      </c>
      <c r="K118" s="4621" t="s">
        <v>20</v>
      </c>
      <c r="L118" s="4630" t="s">
        <v>2974</v>
      </c>
      <c r="M118" s="4621">
        <v>190502400</v>
      </c>
      <c r="N118" s="4630" t="s">
        <v>2962</v>
      </c>
      <c r="O118" s="4525">
        <v>12</v>
      </c>
      <c r="P118" s="4512">
        <v>12</v>
      </c>
      <c r="Q118" s="4526"/>
      <c r="R118" s="3089"/>
      <c r="S118" s="2790">
        <v>0.14000000000000001</v>
      </c>
      <c r="T118" s="4485"/>
      <c r="U118" s="3089"/>
      <c r="V118" s="3100"/>
      <c r="W118" s="1940" t="s">
        <v>2975</v>
      </c>
      <c r="X118" s="829">
        <v>10000000</v>
      </c>
      <c r="Y118" s="2101">
        <v>10000000</v>
      </c>
      <c r="Z118" s="2101">
        <v>10000000</v>
      </c>
      <c r="AA118" s="2080" t="s">
        <v>2976</v>
      </c>
      <c r="AB118" s="2125">
        <v>61</v>
      </c>
      <c r="AC118" s="1967" t="s">
        <v>2740</v>
      </c>
      <c r="AD118" s="2580"/>
      <c r="AE118" s="2580"/>
      <c r="AF118" s="2580"/>
      <c r="AG118" s="2580"/>
      <c r="AH118" s="4484"/>
      <c r="AI118" s="2580"/>
      <c r="AJ118" s="2580"/>
      <c r="AK118" s="2580"/>
      <c r="AL118" s="2580"/>
      <c r="AM118" s="2580"/>
      <c r="AN118" s="2580"/>
      <c r="AO118" s="2580"/>
      <c r="AP118" s="2580"/>
      <c r="AQ118" s="2580"/>
      <c r="AR118" s="2580"/>
      <c r="AS118" s="2580"/>
      <c r="AT118" s="2580"/>
      <c r="AU118" s="2580"/>
      <c r="AV118" s="2580"/>
      <c r="AW118" s="2580"/>
      <c r="AX118" s="2580"/>
      <c r="AY118" s="2580"/>
      <c r="AZ118" s="2580"/>
      <c r="BA118" s="2580"/>
      <c r="BB118" s="2580"/>
      <c r="BC118" s="2580"/>
      <c r="BD118" s="2580"/>
      <c r="BE118" s="2580"/>
      <c r="BF118" s="2580"/>
      <c r="BG118" s="2580"/>
      <c r="BH118" s="2580"/>
      <c r="BI118" s="2580"/>
      <c r="BJ118" s="2502"/>
      <c r="BK118" s="2502"/>
      <c r="BL118" s="2502"/>
      <c r="BM118" s="4510"/>
      <c r="BN118" s="2502"/>
      <c r="BO118" s="2502"/>
      <c r="BP118" s="2502"/>
      <c r="BQ118" s="4504"/>
      <c r="BR118" s="4504"/>
      <c r="BS118" s="4504"/>
      <c r="BT118" s="4504"/>
      <c r="BU118" s="2502"/>
    </row>
    <row r="119" spans="1:73" s="1965" customFormat="1" ht="78" customHeight="1" x14ac:dyDescent="0.25">
      <c r="A119" s="2119"/>
      <c r="B119" s="1944"/>
      <c r="C119" s="1943"/>
      <c r="D119" s="1944"/>
      <c r="E119" s="2128"/>
      <c r="F119" s="2129"/>
      <c r="G119" s="4536"/>
      <c r="H119" s="4585"/>
      <c r="I119" s="4536"/>
      <c r="J119" s="4585"/>
      <c r="K119" s="4622"/>
      <c r="L119" s="4631"/>
      <c r="M119" s="4622"/>
      <c r="N119" s="4631"/>
      <c r="O119" s="4559"/>
      <c r="P119" s="4513"/>
      <c r="Q119" s="4526"/>
      <c r="R119" s="3089"/>
      <c r="S119" s="2791"/>
      <c r="T119" s="4485"/>
      <c r="U119" s="3089"/>
      <c r="V119" s="3100"/>
      <c r="W119" s="1940" t="s">
        <v>2977</v>
      </c>
      <c r="X119" s="829">
        <v>10000000</v>
      </c>
      <c r="Y119" s="2101">
        <v>10000000</v>
      </c>
      <c r="Z119" s="2101">
        <v>10000000</v>
      </c>
      <c r="AA119" s="2080" t="s">
        <v>2976</v>
      </c>
      <c r="AB119" s="2125">
        <v>61</v>
      </c>
      <c r="AC119" s="1967" t="s">
        <v>2740</v>
      </c>
      <c r="AD119" s="2580"/>
      <c r="AE119" s="2580"/>
      <c r="AF119" s="2580"/>
      <c r="AG119" s="2580"/>
      <c r="AH119" s="4484"/>
      <c r="AI119" s="2580"/>
      <c r="AJ119" s="2580"/>
      <c r="AK119" s="2580"/>
      <c r="AL119" s="2580"/>
      <c r="AM119" s="2580"/>
      <c r="AN119" s="2580"/>
      <c r="AO119" s="2580"/>
      <c r="AP119" s="2580"/>
      <c r="AQ119" s="2580"/>
      <c r="AR119" s="2580"/>
      <c r="AS119" s="2580"/>
      <c r="AT119" s="2580"/>
      <c r="AU119" s="2580"/>
      <c r="AV119" s="2580"/>
      <c r="AW119" s="2580"/>
      <c r="AX119" s="2580"/>
      <c r="AY119" s="2580"/>
      <c r="AZ119" s="2580"/>
      <c r="BA119" s="2580"/>
      <c r="BB119" s="2580"/>
      <c r="BC119" s="2580"/>
      <c r="BD119" s="2580"/>
      <c r="BE119" s="2580"/>
      <c r="BF119" s="2580"/>
      <c r="BG119" s="2580"/>
      <c r="BH119" s="2580"/>
      <c r="BI119" s="2580"/>
      <c r="BJ119" s="2502"/>
      <c r="BK119" s="2502"/>
      <c r="BL119" s="2502"/>
      <c r="BM119" s="4510"/>
      <c r="BN119" s="2502"/>
      <c r="BO119" s="2502"/>
      <c r="BP119" s="2502"/>
      <c r="BQ119" s="4504"/>
      <c r="BR119" s="4504"/>
      <c r="BS119" s="4504"/>
      <c r="BT119" s="4504"/>
      <c r="BU119" s="2502"/>
    </row>
    <row r="120" spans="1:73" s="1965" customFormat="1" ht="75" customHeight="1" x14ac:dyDescent="0.25">
      <c r="A120" s="2119"/>
      <c r="B120" s="1944"/>
      <c r="C120" s="1943"/>
      <c r="D120" s="1944"/>
      <c r="E120" s="2128"/>
      <c r="F120" s="2129"/>
      <c r="G120" s="4536"/>
      <c r="H120" s="4597"/>
      <c r="I120" s="4536"/>
      <c r="J120" s="4597"/>
      <c r="K120" s="4637"/>
      <c r="L120" s="4632"/>
      <c r="M120" s="4637"/>
      <c r="N120" s="4632"/>
      <c r="O120" s="4523"/>
      <c r="P120" s="4514"/>
      <c r="Q120" s="4526"/>
      <c r="R120" s="3089"/>
      <c r="S120" s="2792"/>
      <c r="T120" s="4485"/>
      <c r="U120" s="3089"/>
      <c r="V120" s="3100"/>
      <c r="W120" s="1940" t="s">
        <v>2978</v>
      </c>
      <c r="X120" s="829">
        <v>8000000</v>
      </c>
      <c r="Y120" s="829"/>
      <c r="Z120" s="2105"/>
      <c r="AA120" s="2080" t="s">
        <v>2976</v>
      </c>
      <c r="AB120" s="2125">
        <v>61</v>
      </c>
      <c r="AC120" s="1967" t="s">
        <v>2740</v>
      </c>
      <c r="AD120" s="2580"/>
      <c r="AE120" s="2580"/>
      <c r="AF120" s="2580"/>
      <c r="AG120" s="2580"/>
      <c r="AH120" s="4484"/>
      <c r="AI120" s="2580"/>
      <c r="AJ120" s="2580"/>
      <c r="AK120" s="2580"/>
      <c r="AL120" s="2580"/>
      <c r="AM120" s="2580"/>
      <c r="AN120" s="2580"/>
      <c r="AO120" s="2580"/>
      <c r="AP120" s="2580"/>
      <c r="AQ120" s="2580"/>
      <c r="AR120" s="2580"/>
      <c r="AS120" s="2580"/>
      <c r="AT120" s="2580"/>
      <c r="AU120" s="2580"/>
      <c r="AV120" s="2580"/>
      <c r="AW120" s="2580"/>
      <c r="AX120" s="2580"/>
      <c r="AY120" s="2580"/>
      <c r="AZ120" s="2580"/>
      <c r="BA120" s="2580"/>
      <c r="BB120" s="2580"/>
      <c r="BC120" s="2580"/>
      <c r="BD120" s="2580"/>
      <c r="BE120" s="2580"/>
      <c r="BF120" s="2580"/>
      <c r="BG120" s="2580"/>
      <c r="BH120" s="2580"/>
      <c r="BI120" s="2580"/>
      <c r="BJ120" s="2502"/>
      <c r="BK120" s="2502"/>
      <c r="BL120" s="2502"/>
      <c r="BM120" s="4510"/>
      <c r="BN120" s="2502"/>
      <c r="BO120" s="2502"/>
      <c r="BP120" s="2502"/>
      <c r="BQ120" s="4504"/>
      <c r="BR120" s="4504"/>
      <c r="BS120" s="4504"/>
      <c r="BT120" s="4504"/>
      <c r="BU120" s="2502"/>
    </row>
    <row r="121" spans="1:73" s="1965" customFormat="1" ht="55.5" customHeight="1" x14ac:dyDescent="0.25">
      <c r="A121" s="2119"/>
      <c r="B121" s="1944"/>
      <c r="C121" s="1943"/>
      <c r="D121" s="1944"/>
      <c r="E121" s="2128"/>
      <c r="F121" s="2129"/>
      <c r="G121" s="4536" t="s">
        <v>20</v>
      </c>
      <c r="H121" s="4584" t="s">
        <v>2979</v>
      </c>
      <c r="I121" s="4536">
        <v>1905024</v>
      </c>
      <c r="J121" s="4584" t="s">
        <v>2960</v>
      </c>
      <c r="K121" s="4621" t="s">
        <v>20</v>
      </c>
      <c r="L121" s="4630" t="s">
        <v>1797</v>
      </c>
      <c r="M121" s="4621">
        <v>190502401</v>
      </c>
      <c r="N121" s="4630" t="s">
        <v>2980</v>
      </c>
      <c r="O121" s="4525">
        <v>4</v>
      </c>
      <c r="P121" s="4512">
        <v>4</v>
      </c>
      <c r="Q121" s="4526"/>
      <c r="R121" s="3089"/>
      <c r="S121" s="2790">
        <v>0.14000000000000001</v>
      </c>
      <c r="T121" s="4485"/>
      <c r="U121" s="3089"/>
      <c r="V121" s="3100"/>
      <c r="W121" s="1940" t="s">
        <v>2981</v>
      </c>
      <c r="X121" s="829">
        <v>13000000</v>
      </c>
      <c r="Y121" s="2101">
        <v>9925000</v>
      </c>
      <c r="Z121" s="2101">
        <v>9925000</v>
      </c>
      <c r="AA121" s="2080" t="s">
        <v>2982</v>
      </c>
      <c r="AB121" s="2125">
        <v>61</v>
      </c>
      <c r="AC121" s="1967" t="s">
        <v>2740</v>
      </c>
      <c r="AD121" s="2580"/>
      <c r="AE121" s="2580"/>
      <c r="AF121" s="2580"/>
      <c r="AG121" s="2580"/>
      <c r="AH121" s="4484"/>
      <c r="AI121" s="2580"/>
      <c r="AJ121" s="2580"/>
      <c r="AK121" s="2580"/>
      <c r="AL121" s="2580"/>
      <c r="AM121" s="2580"/>
      <c r="AN121" s="2580"/>
      <c r="AO121" s="2580"/>
      <c r="AP121" s="2580"/>
      <c r="AQ121" s="2580"/>
      <c r="AR121" s="2580"/>
      <c r="AS121" s="2580"/>
      <c r="AT121" s="2580"/>
      <c r="AU121" s="2580"/>
      <c r="AV121" s="2580"/>
      <c r="AW121" s="2580"/>
      <c r="AX121" s="2580"/>
      <c r="AY121" s="2580"/>
      <c r="AZ121" s="2580"/>
      <c r="BA121" s="2580"/>
      <c r="BB121" s="2580"/>
      <c r="BC121" s="2580"/>
      <c r="BD121" s="2580"/>
      <c r="BE121" s="2580"/>
      <c r="BF121" s="2580"/>
      <c r="BG121" s="2580"/>
      <c r="BH121" s="2580"/>
      <c r="BI121" s="2580"/>
      <c r="BJ121" s="2502"/>
      <c r="BK121" s="2502"/>
      <c r="BL121" s="2502"/>
      <c r="BM121" s="4510"/>
      <c r="BN121" s="2502"/>
      <c r="BO121" s="2502"/>
      <c r="BP121" s="2502"/>
      <c r="BQ121" s="4504"/>
      <c r="BR121" s="4504"/>
      <c r="BS121" s="4504"/>
      <c r="BT121" s="4504"/>
      <c r="BU121" s="2502"/>
    </row>
    <row r="122" spans="1:73" s="1965" customFormat="1" ht="55.5" customHeight="1" x14ac:dyDescent="0.25">
      <c r="A122" s="2119"/>
      <c r="B122" s="1944"/>
      <c r="C122" s="1943"/>
      <c r="D122" s="1944"/>
      <c r="E122" s="2128"/>
      <c r="F122" s="2129"/>
      <c r="G122" s="4536"/>
      <c r="H122" s="4597"/>
      <c r="I122" s="4536"/>
      <c r="J122" s="4597"/>
      <c r="K122" s="4637"/>
      <c r="L122" s="4632"/>
      <c r="M122" s="4637"/>
      <c r="N122" s="4632"/>
      <c r="O122" s="4523"/>
      <c r="P122" s="4535"/>
      <c r="Q122" s="4526"/>
      <c r="R122" s="3089"/>
      <c r="S122" s="2792"/>
      <c r="T122" s="4485"/>
      <c r="U122" s="3089"/>
      <c r="V122" s="2939"/>
      <c r="W122" s="1940" t="s">
        <v>2983</v>
      </c>
      <c r="X122" s="2136">
        <v>15000000</v>
      </c>
      <c r="Y122" s="2109">
        <v>15000000</v>
      </c>
      <c r="Z122" s="2109">
        <v>15000000</v>
      </c>
      <c r="AA122" s="2080" t="s">
        <v>2982</v>
      </c>
      <c r="AB122" s="2125">
        <v>61</v>
      </c>
      <c r="AC122" s="1967" t="s">
        <v>2740</v>
      </c>
      <c r="AD122" s="2581"/>
      <c r="AE122" s="2581"/>
      <c r="AF122" s="2581"/>
      <c r="AG122" s="2581"/>
      <c r="AH122" s="4494"/>
      <c r="AI122" s="2581"/>
      <c r="AJ122" s="2581"/>
      <c r="AK122" s="2581"/>
      <c r="AL122" s="2581"/>
      <c r="AM122" s="2581"/>
      <c r="AN122" s="2581"/>
      <c r="AO122" s="2581"/>
      <c r="AP122" s="2581"/>
      <c r="AQ122" s="2581"/>
      <c r="AR122" s="2581"/>
      <c r="AS122" s="2581"/>
      <c r="AT122" s="2581"/>
      <c r="AU122" s="2581"/>
      <c r="AV122" s="2581"/>
      <c r="AW122" s="2581"/>
      <c r="AX122" s="2581"/>
      <c r="AY122" s="2581"/>
      <c r="AZ122" s="2581"/>
      <c r="BA122" s="2581"/>
      <c r="BB122" s="2581"/>
      <c r="BC122" s="2581"/>
      <c r="BD122" s="2581"/>
      <c r="BE122" s="2581"/>
      <c r="BF122" s="2581"/>
      <c r="BG122" s="2581"/>
      <c r="BH122" s="2581"/>
      <c r="BI122" s="2581"/>
      <c r="BJ122" s="2770"/>
      <c r="BK122" s="2770"/>
      <c r="BL122" s="2770"/>
      <c r="BM122" s="4511"/>
      <c r="BN122" s="2770"/>
      <c r="BO122" s="2770"/>
      <c r="BP122" s="2770"/>
      <c r="BQ122" s="4505"/>
      <c r="BR122" s="4505"/>
      <c r="BS122" s="4505"/>
      <c r="BT122" s="4505"/>
      <c r="BU122" s="2770"/>
    </row>
    <row r="123" spans="1:73" s="1965" customFormat="1" ht="60" customHeight="1" x14ac:dyDescent="0.25">
      <c r="A123" s="2119"/>
      <c r="B123" s="1944"/>
      <c r="C123" s="1943"/>
      <c r="D123" s="1944"/>
      <c r="E123" s="2128"/>
      <c r="F123" s="2129"/>
      <c r="G123" s="4536">
        <v>1905021</v>
      </c>
      <c r="H123" s="4584" t="s">
        <v>1186</v>
      </c>
      <c r="I123" s="4536">
        <v>1905021</v>
      </c>
      <c r="J123" s="4584" t="s">
        <v>1186</v>
      </c>
      <c r="K123" s="4586">
        <v>190502100</v>
      </c>
      <c r="L123" s="3658" t="s">
        <v>1187</v>
      </c>
      <c r="M123" s="4586">
        <v>190502100</v>
      </c>
      <c r="N123" s="3658" t="s">
        <v>1187</v>
      </c>
      <c r="O123" s="4589">
        <v>12</v>
      </c>
      <c r="P123" s="4592">
        <v>12</v>
      </c>
      <c r="Q123" s="4526" t="s">
        <v>2984</v>
      </c>
      <c r="R123" s="3089" t="s">
        <v>2985</v>
      </c>
      <c r="S123" s="4527">
        <v>0.65217391304347827</v>
      </c>
      <c r="T123" s="4485">
        <v>161000000</v>
      </c>
      <c r="U123" s="3089" t="s">
        <v>2986</v>
      </c>
      <c r="V123" s="2938" t="s">
        <v>2987</v>
      </c>
      <c r="W123" s="1940" t="s">
        <v>2988</v>
      </c>
      <c r="X123" s="829">
        <v>5000000</v>
      </c>
      <c r="Y123" s="2101">
        <v>5000000</v>
      </c>
      <c r="Z123" s="2101">
        <v>5000000</v>
      </c>
      <c r="AA123" s="2080" t="s">
        <v>2989</v>
      </c>
      <c r="AB123" s="2125">
        <v>61</v>
      </c>
      <c r="AC123" s="1967" t="s">
        <v>2740</v>
      </c>
      <c r="AD123" s="4550">
        <v>289394</v>
      </c>
      <c r="AE123" s="4550"/>
      <c r="AF123" s="4550">
        <v>279112</v>
      </c>
      <c r="AG123" s="4550"/>
      <c r="AH123" s="4553">
        <v>63164</v>
      </c>
      <c r="AI123" s="4550"/>
      <c r="AJ123" s="4550">
        <v>45607</v>
      </c>
      <c r="AK123" s="4550"/>
      <c r="AL123" s="4550">
        <v>365607</v>
      </c>
      <c r="AM123" s="4550"/>
      <c r="AN123" s="4550">
        <v>75612</v>
      </c>
      <c r="AO123" s="4550"/>
      <c r="AP123" s="4550">
        <v>2145</v>
      </c>
      <c r="AQ123" s="4550"/>
      <c r="AR123" s="4550">
        <v>12718</v>
      </c>
      <c r="AS123" s="4550"/>
      <c r="AT123" s="4550">
        <v>26</v>
      </c>
      <c r="AU123" s="4550"/>
      <c r="AV123" s="4550">
        <v>37</v>
      </c>
      <c r="AW123" s="4550"/>
      <c r="AX123" s="4550">
        <v>0</v>
      </c>
      <c r="AY123" s="4550"/>
      <c r="AZ123" s="4550">
        <v>0</v>
      </c>
      <c r="BA123" s="4550"/>
      <c r="BB123" s="4550">
        <v>78</v>
      </c>
      <c r="BC123" s="4550"/>
      <c r="BD123" s="4550">
        <v>16897</v>
      </c>
      <c r="BE123" s="4550"/>
      <c r="BF123" s="4550">
        <v>852</v>
      </c>
      <c r="BG123" s="4550"/>
      <c r="BH123" s="4550">
        <v>568506</v>
      </c>
      <c r="BI123" s="4550"/>
      <c r="BJ123" s="4549">
        <v>4</v>
      </c>
      <c r="BK123" s="4545">
        <v>141544833</v>
      </c>
      <c r="BL123" s="4545">
        <v>141544833</v>
      </c>
      <c r="BM123" s="4579">
        <v>1</v>
      </c>
      <c r="BN123" s="4549">
        <v>61</v>
      </c>
      <c r="BO123" s="4549" t="s">
        <v>2811</v>
      </c>
      <c r="BP123" s="4549" t="s">
        <v>2925</v>
      </c>
      <c r="BQ123" s="4540">
        <v>44197</v>
      </c>
      <c r="BR123" s="4540">
        <v>44244</v>
      </c>
      <c r="BS123" s="4540">
        <v>44561</v>
      </c>
      <c r="BT123" s="4540">
        <v>44561</v>
      </c>
      <c r="BU123" s="2745" t="s">
        <v>2744</v>
      </c>
    </row>
    <row r="124" spans="1:73" s="1965" customFormat="1" ht="60" customHeight="1" x14ac:dyDescent="0.25">
      <c r="A124" s="2119"/>
      <c r="B124" s="1944"/>
      <c r="C124" s="1943"/>
      <c r="D124" s="1944"/>
      <c r="E124" s="2128"/>
      <c r="F124" s="2129"/>
      <c r="G124" s="4536"/>
      <c r="H124" s="4585"/>
      <c r="I124" s="4536"/>
      <c r="J124" s="4585"/>
      <c r="K124" s="4587"/>
      <c r="L124" s="4588"/>
      <c r="M124" s="4587"/>
      <c r="N124" s="4588"/>
      <c r="O124" s="4590"/>
      <c r="P124" s="4593"/>
      <c r="Q124" s="4526"/>
      <c r="R124" s="3089"/>
      <c r="S124" s="4527"/>
      <c r="T124" s="4485"/>
      <c r="U124" s="3089"/>
      <c r="V124" s="3100"/>
      <c r="W124" s="1940" t="s">
        <v>2990</v>
      </c>
      <c r="X124" s="829">
        <v>5000000</v>
      </c>
      <c r="Y124" s="2101">
        <v>5000000</v>
      </c>
      <c r="Z124" s="2101">
        <v>5000000</v>
      </c>
      <c r="AA124" s="2080" t="s">
        <v>2989</v>
      </c>
      <c r="AB124" s="2125">
        <v>61</v>
      </c>
      <c r="AC124" s="1967" t="s">
        <v>2740</v>
      </c>
      <c r="AD124" s="4551"/>
      <c r="AE124" s="4551"/>
      <c r="AF124" s="4551"/>
      <c r="AG124" s="4551"/>
      <c r="AH124" s="4554"/>
      <c r="AI124" s="4551"/>
      <c r="AJ124" s="4551"/>
      <c r="AK124" s="4551"/>
      <c r="AL124" s="4551"/>
      <c r="AM124" s="4551"/>
      <c r="AN124" s="4551"/>
      <c r="AO124" s="4551"/>
      <c r="AP124" s="4551"/>
      <c r="AQ124" s="4551"/>
      <c r="AR124" s="4551"/>
      <c r="AS124" s="4551"/>
      <c r="AT124" s="4551"/>
      <c r="AU124" s="4551"/>
      <c r="AV124" s="4551"/>
      <c r="AW124" s="4551"/>
      <c r="AX124" s="4551"/>
      <c r="AY124" s="4551"/>
      <c r="AZ124" s="4551"/>
      <c r="BA124" s="4551"/>
      <c r="BB124" s="4551"/>
      <c r="BC124" s="4551"/>
      <c r="BD124" s="4551"/>
      <c r="BE124" s="4551"/>
      <c r="BF124" s="4551"/>
      <c r="BG124" s="4551"/>
      <c r="BH124" s="4551"/>
      <c r="BI124" s="4551"/>
      <c r="BJ124" s="4541"/>
      <c r="BK124" s="4541"/>
      <c r="BL124" s="4541"/>
      <c r="BM124" s="4580"/>
      <c r="BN124" s="4541"/>
      <c r="BO124" s="4541"/>
      <c r="BP124" s="4541"/>
      <c r="BQ124" s="4629"/>
      <c r="BR124" s="4629"/>
      <c r="BS124" s="4629"/>
      <c r="BT124" s="4629"/>
      <c r="BU124" s="2502"/>
    </row>
    <row r="125" spans="1:73" s="1965" customFormat="1" ht="57.75" customHeight="1" x14ac:dyDescent="0.25">
      <c r="A125" s="2119"/>
      <c r="B125" s="1944"/>
      <c r="C125" s="1943"/>
      <c r="D125" s="1944"/>
      <c r="E125" s="2128"/>
      <c r="F125" s="2129"/>
      <c r="G125" s="4536"/>
      <c r="H125" s="4585"/>
      <c r="I125" s="4536"/>
      <c r="J125" s="4585"/>
      <c r="K125" s="4587"/>
      <c r="L125" s="4588"/>
      <c r="M125" s="4587"/>
      <c r="N125" s="4588"/>
      <c r="O125" s="4590"/>
      <c r="P125" s="4593"/>
      <c r="Q125" s="4526"/>
      <c r="R125" s="3089"/>
      <c r="S125" s="4527"/>
      <c r="T125" s="4485"/>
      <c r="U125" s="3089"/>
      <c r="V125" s="3100"/>
      <c r="W125" s="1940" t="s">
        <v>2991</v>
      </c>
      <c r="X125" s="829">
        <v>6000000</v>
      </c>
      <c r="Y125" s="2101">
        <v>6000000</v>
      </c>
      <c r="Z125" s="2101">
        <v>6000000</v>
      </c>
      <c r="AA125" s="2080" t="s">
        <v>2989</v>
      </c>
      <c r="AB125" s="2125">
        <v>61</v>
      </c>
      <c r="AC125" s="1967" t="s">
        <v>2740</v>
      </c>
      <c r="AD125" s="4551"/>
      <c r="AE125" s="4551"/>
      <c r="AF125" s="4551"/>
      <c r="AG125" s="4551"/>
      <c r="AH125" s="4554"/>
      <c r="AI125" s="4551"/>
      <c r="AJ125" s="4551"/>
      <c r="AK125" s="4551"/>
      <c r="AL125" s="4551"/>
      <c r="AM125" s="4551"/>
      <c r="AN125" s="4551"/>
      <c r="AO125" s="4551"/>
      <c r="AP125" s="4551"/>
      <c r="AQ125" s="4551"/>
      <c r="AR125" s="4551"/>
      <c r="AS125" s="4551"/>
      <c r="AT125" s="4551"/>
      <c r="AU125" s="4551"/>
      <c r="AV125" s="4551"/>
      <c r="AW125" s="4551"/>
      <c r="AX125" s="4551"/>
      <c r="AY125" s="4551"/>
      <c r="AZ125" s="4551"/>
      <c r="BA125" s="4551"/>
      <c r="BB125" s="4551"/>
      <c r="BC125" s="4551"/>
      <c r="BD125" s="4551"/>
      <c r="BE125" s="4551"/>
      <c r="BF125" s="4551"/>
      <c r="BG125" s="4551"/>
      <c r="BH125" s="4551"/>
      <c r="BI125" s="4551"/>
      <c r="BJ125" s="4541"/>
      <c r="BK125" s="4541"/>
      <c r="BL125" s="4541"/>
      <c r="BM125" s="4580"/>
      <c r="BN125" s="4541"/>
      <c r="BO125" s="4541"/>
      <c r="BP125" s="4541"/>
      <c r="BQ125" s="4629"/>
      <c r="BR125" s="4629"/>
      <c r="BS125" s="4629"/>
      <c r="BT125" s="4629"/>
      <c r="BU125" s="2502"/>
    </row>
    <row r="126" spans="1:73" s="1965" customFormat="1" ht="70.5" customHeight="1" x14ac:dyDescent="0.25">
      <c r="A126" s="2119"/>
      <c r="B126" s="1944"/>
      <c r="C126" s="1943"/>
      <c r="D126" s="1944"/>
      <c r="E126" s="2128"/>
      <c r="F126" s="2129"/>
      <c r="G126" s="4536"/>
      <c r="H126" s="4585"/>
      <c r="I126" s="4536"/>
      <c r="J126" s="4585"/>
      <c r="K126" s="4587"/>
      <c r="L126" s="4588"/>
      <c r="M126" s="4587"/>
      <c r="N126" s="4588"/>
      <c r="O126" s="4590"/>
      <c r="P126" s="4593"/>
      <c r="Q126" s="4526"/>
      <c r="R126" s="3089"/>
      <c r="S126" s="4527"/>
      <c r="T126" s="4485"/>
      <c r="U126" s="3089"/>
      <c r="V126" s="3100"/>
      <c r="W126" s="1940" t="s">
        <v>2992</v>
      </c>
      <c r="X126" s="829">
        <v>6000000</v>
      </c>
      <c r="Y126" s="2101">
        <v>6000000</v>
      </c>
      <c r="Z126" s="2101">
        <v>6000000</v>
      </c>
      <c r="AA126" s="2080" t="s">
        <v>2989</v>
      </c>
      <c r="AB126" s="2125">
        <v>61</v>
      </c>
      <c r="AC126" s="1967" t="s">
        <v>2740</v>
      </c>
      <c r="AD126" s="4551"/>
      <c r="AE126" s="4551"/>
      <c r="AF126" s="4551"/>
      <c r="AG126" s="4551"/>
      <c r="AH126" s="4554"/>
      <c r="AI126" s="4551"/>
      <c r="AJ126" s="4551"/>
      <c r="AK126" s="4551"/>
      <c r="AL126" s="4551"/>
      <c r="AM126" s="4551"/>
      <c r="AN126" s="4551"/>
      <c r="AO126" s="4551"/>
      <c r="AP126" s="4551"/>
      <c r="AQ126" s="4551"/>
      <c r="AR126" s="4551"/>
      <c r="AS126" s="4551"/>
      <c r="AT126" s="4551"/>
      <c r="AU126" s="4551"/>
      <c r="AV126" s="4551"/>
      <c r="AW126" s="4551"/>
      <c r="AX126" s="4551"/>
      <c r="AY126" s="4551"/>
      <c r="AZ126" s="4551"/>
      <c r="BA126" s="4551"/>
      <c r="BB126" s="4551"/>
      <c r="BC126" s="4551"/>
      <c r="BD126" s="4551"/>
      <c r="BE126" s="4551"/>
      <c r="BF126" s="4551"/>
      <c r="BG126" s="4551"/>
      <c r="BH126" s="4551"/>
      <c r="BI126" s="4551"/>
      <c r="BJ126" s="4541"/>
      <c r="BK126" s="4541"/>
      <c r="BL126" s="4541"/>
      <c r="BM126" s="4580"/>
      <c r="BN126" s="4541"/>
      <c r="BO126" s="4541"/>
      <c r="BP126" s="4541"/>
      <c r="BQ126" s="4629"/>
      <c r="BR126" s="4629"/>
      <c r="BS126" s="4629"/>
      <c r="BT126" s="4629"/>
      <c r="BU126" s="2502"/>
    </row>
    <row r="127" spans="1:73" s="1965" customFormat="1" ht="60" customHeight="1" x14ac:dyDescent="0.25">
      <c r="A127" s="2119"/>
      <c r="B127" s="1944"/>
      <c r="C127" s="1943"/>
      <c r="D127" s="1944"/>
      <c r="E127" s="2128"/>
      <c r="F127" s="2129"/>
      <c r="G127" s="4536"/>
      <c r="H127" s="4585"/>
      <c r="I127" s="4536"/>
      <c r="J127" s="4585"/>
      <c r="K127" s="4587"/>
      <c r="L127" s="4588"/>
      <c r="M127" s="4587"/>
      <c r="N127" s="4588"/>
      <c r="O127" s="4590"/>
      <c r="P127" s="4593"/>
      <c r="Q127" s="4526"/>
      <c r="R127" s="3089"/>
      <c r="S127" s="4527"/>
      <c r="T127" s="4485"/>
      <c r="U127" s="3089"/>
      <c r="V127" s="3100"/>
      <c r="W127" s="1940" t="s">
        <v>2993</v>
      </c>
      <c r="X127" s="829">
        <v>6000000</v>
      </c>
      <c r="Y127" s="2101">
        <v>6000000</v>
      </c>
      <c r="Z127" s="2101">
        <v>6000000</v>
      </c>
      <c r="AA127" s="2080" t="s">
        <v>2989</v>
      </c>
      <c r="AB127" s="2125">
        <v>61</v>
      </c>
      <c r="AC127" s="1967" t="s">
        <v>2740</v>
      </c>
      <c r="AD127" s="4551"/>
      <c r="AE127" s="4551"/>
      <c r="AF127" s="4551"/>
      <c r="AG127" s="4551"/>
      <c r="AH127" s="4554"/>
      <c r="AI127" s="4551"/>
      <c r="AJ127" s="4551"/>
      <c r="AK127" s="4551"/>
      <c r="AL127" s="4551"/>
      <c r="AM127" s="4551"/>
      <c r="AN127" s="4551"/>
      <c r="AO127" s="4551"/>
      <c r="AP127" s="4551"/>
      <c r="AQ127" s="4551"/>
      <c r="AR127" s="4551"/>
      <c r="AS127" s="4551"/>
      <c r="AT127" s="4551"/>
      <c r="AU127" s="4551"/>
      <c r="AV127" s="4551"/>
      <c r="AW127" s="4551"/>
      <c r="AX127" s="4551"/>
      <c r="AY127" s="4551"/>
      <c r="AZ127" s="4551"/>
      <c r="BA127" s="4551"/>
      <c r="BB127" s="4551"/>
      <c r="BC127" s="4551"/>
      <c r="BD127" s="4551"/>
      <c r="BE127" s="4551"/>
      <c r="BF127" s="4551"/>
      <c r="BG127" s="4551"/>
      <c r="BH127" s="4551"/>
      <c r="BI127" s="4551"/>
      <c r="BJ127" s="4541"/>
      <c r="BK127" s="4541"/>
      <c r="BL127" s="4541"/>
      <c r="BM127" s="4580"/>
      <c r="BN127" s="4541"/>
      <c r="BO127" s="4541"/>
      <c r="BP127" s="4541"/>
      <c r="BQ127" s="4629"/>
      <c r="BR127" s="4629"/>
      <c r="BS127" s="4629"/>
      <c r="BT127" s="4629"/>
      <c r="BU127" s="2502"/>
    </row>
    <row r="128" spans="1:73" s="1965" customFormat="1" ht="60" customHeight="1" x14ac:dyDescent="0.25">
      <c r="A128" s="2119"/>
      <c r="B128" s="1944"/>
      <c r="C128" s="1943"/>
      <c r="D128" s="1944"/>
      <c r="E128" s="2128"/>
      <c r="F128" s="2129"/>
      <c r="G128" s="4536"/>
      <c r="H128" s="4585"/>
      <c r="I128" s="4536"/>
      <c r="J128" s="4585"/>
      <c r="K128" s="4587"/>
      <c r="L128" s="4588"/>
      <c r="M128" s="4587"/>
      <c r="N128" s="4588"/>
      <c r="O128" s="4590"/>
      <c r="P128" s="4593"/>
      <c r="Q128" s="4526"/>
      <c r="R128" s="3089"/>
      <c r="S128" s="4527"/>
      <c r="T128" s="4485"/>
      <c r="U128" s="3089"/>
      <c r="V128" s="3100"/>
      <c r="W128" s="1940" t="s">
        <v>2994</v>
      </c>
      <c r="X128" s="829">
        <v>7000000</v>
      </c>
      <c r="Y128" s="2101">
        <v>7000000</v>
      </c>
      <c r="Z128" s="2101">
        <v>7000000</v>
      </c>
      <c r="AA128" s="2080" t="s">
        <v>2989</v>
      </c>
      <c r="AB128" s="2125">
        <v>61</v>
      </c>
      <c r="AC128" s="1967" t="s">
        <v>2740</v>
      </c>
      <c r="AD128" s="4551"/>
      <c r="AE128" s="4551"/>
      <c r="AF128" s="4551"/>
      <c r="AG128" s="4551"/>
      <c r="AH128" s="4554"/>
      <c r="AI128" s="4551"/>
      <c r="AJ128" s="4551"/>
      <c r="AK128" s="4551"/>
      <c r="AL128" s="4551"/>
      <c r="AM128" s="4551"/>
      <c r="AN128" s="4551"/>
      <c r="AO128" s="4551"/>
      <c r="AP128" s="4551"/>
      <c r="AQ128" s="4551"/>
      <c r="AR128" s="4551"/>
      <c r="AS128" s="4551"/>
      <c r="AT128" s="4551"/>
      <c r="AU128" s="4551"/>
      <c r="AV128" s="4551"/>
      <c r="AW128" s="4551"/>
      <c r="AX128" s="4551"/>
      <c r="AY128" s="4551"/>
      <c r="AZ128" s="4551"/>
      <c r="BA128" s="4551"/>
      <c r="BB128" s="4551"/>
      <c r="BC128" s="4551"/>
      <c r="BD128" s="4551"/>
      <c r="BE128" s="4551"/>
      <c r="BF128" s="4551"/>
      <c r="BG128" s="4551"/>
      <c r="BH128" s="4551"/>
      <c r="BI128" s="4551"/>
      <c r="BJ128" s="4541"/>
      <c r="BK128" s="4541"/>
      <c r="BL128" s="4541"/>
      <c r="BM128" s="4580"/>
      <c r="BN128" s="4541"/>
      <c r="BO128" s="4541"/>
      <c r="BP128" s="4541"/>
      <c r="BQ128" s="4629"/>
      <c r="BR128" s="4629"/>
      <c r="BS128" s="4629"/>
      <c r="BT128" s="4629"/>
      <c r="BU128" s="2502"/>
    </row>
    <row r="129" spans="1:73" s="1965" customFormat="1" ht="51.75" customHeight="1" x14ac:dyDescent="0.25">
      <c r="A129" s="2119"/>
      <c r="B129" s="1944"/>
      <c r="C129" s="1943"/>
      <c r="D129" s="1944"/>
      <c r="E129" s="2128"/>
      <c r="F129" s="2129"/>
      <c r="G129" s="4536"/>
      <c r="H129" s="4585"/>
      <c r="I129" s="4536"/>
      <c r="J129" s="4585"/>
      <c r="K129" s="4587"/>
      <c r="L129" s="4588"/>
      <c r="M129" s="4587"/>
      <c r="N129" s="4588"/>
      <c r="O129" s="4590"/>
      <c r="P129" s="4593"/>
      <c r="Q129" s="4526"/>
      <c r="R129" s="3089"/>
      <c r="S129" s="4527"/>
      <c r="T129" s="4485"/>
      <c r="U129" s="3089"/>
      <c r="V129" s="3100"/>
      <c r="W129" s="1940" t="s">
        <v>2995</v>
      </c>
      <c r="X129" s="829">
        <v>14000000</v>
      </c>
      <c r="Y129" s="2101">
        <v>12046083</v>
      </c>
      <c r="Z129" s="2101">
        <v>12046083</v>
      </c>
      <c r="AA129" s="2080" t="s">
        <v>2989</v>
      </c>
      <c r="AB129" s="2125">
        <v>61</v>
      </c>
      <c r="AC129" s="1967" t="s">
        <v>2740</v>
      </c>
      <c r="AD129" s="4551"/>
      <c r="AE129" s="4551"/>
      <c r="AF129" s="4551"/>
      <c r="AG129" s="4551"/>
      <c r="AH129" s="4554"/>
      <c r="AI129" s="4551"/>
      <c r="AJ129" s="4551"/>
      <c r="AK129" s="4551"/>
      <c r="AL129" s="4551"/>
      <c r="AM129" s="4551"/>
      <c r="AN129" s="4551"/>
      <c r="AO129" s="4551"/>
      <c r="AP129" s="4551"/>
      <c r="AQ129" s="4551"/>
      <c r="AR129" s="4551"/>
      <c r="AS129" s="4551"/>
      <c r="AT129" s="4551"/>
      <c r="AU129" s="4551"/>
      <c r="AV129" s="4551"/>
      <c r="AW129" s="4551"/>
      <c r="AX129" s="4551"/>
      <c r="AY129" s="4551"/>
      <c r="AZ129" s="4551"/>
      <c r="BA129" s="4551"/>
      <c r="BB129" s="4551"/>
      <c r="BC129" s="4551"/>
      <c r="BD129" s="4551"/>
      <c r="BE129" s="4551"/>
      <c r="BF129" s="4551"/>
      <c r="BG129" s="4551"/>
      <c r="BH129" s="4551"/>
      <c r="BI129" s="4551"/>
      <c r="BJ129" s="4541"/>
      <c r="BK129" s="4541"/>
      <c r="BL129" s="4541"/>
      <c r="BM129" s="4580"/>
      <c r="BN129" s="4541"/>
      <c r="BO129" s="4541"/>
      <c r="BP129" s="4541"/>
      <c r="BQ129" s="4629"/>
      <c r="BR129" s="4629"/>
      <c r="BS129" s="4629"/>
      <c r="BT129" s="4629"/>
      <c r="BU129" s="2502"/>
    </row>
    <row r="130" spans="1:73" s="1965" customFormat="1" ht="63" customHeight="1" x14ac:dyDescent="0.25">
      <c r="A130" s="2119"/>
      <c r="B130" s="1944"/>
      <c r="C130" s="1943"/>
      <c r="D130" s="1944"/>
      <c r="E130" s="2128"/>
      <c r="F130" s="2129"/>
      <c r="G130" s="4536"/>
      <c r="H130" s="4585"/>
      <c r="I130" s="4536"/>
      <c r="J130" s="4585"/>
      <c r="K130" s="4587"/>
      <c r="L130" s="4588"/>
      <c r="M130" s="4587"/>
      <c r="N130" s="4588"/>
      <c r="O130" s="4590"/>
      <c r="P130" s="4593"/>
      <c r="Q130" s="4526"/>
      <c r="R130" s="3089"/>
      <c r="S130" s="4527"/>
      <c r="T130" s="4485"/>
      <c r="U130" s="3089"/>
      <c r="V130" s="3100"/>
      <c r="W130" s="1940" t="s">
        <v>2996</v>
      </c>
      <c r="X130" s="829">
        <v>7000000</v>
      </c>
      <c r="Y130" s="2101">
        <v>5524583</v>
      </c>
      <c r="Z130" s="2101">
        <v>5524583</v>
      </c>
      <c r="AA130" s="2080" t="s">
        <v>2989</v>
      </c>
      <c r="AB130" s="2125">
        <v>61</v>
      </c>
      <c r="AC130" s="1967" t="s">
        <v>2740</v>
      </c>
      <c r="AD130" s="4551"/>
      <c r="AE130" s="4551"/>
      <c r="AF130" s="4551"/>
      <c r="AG130" s="4551"/>
      <c r="AH130" s="4554"/>
      <c r="AI130" s="4551"/>
      <c r="AJ130" s="4551"/>
      <c r="AK130" s="4551"/>
      <c r="AL130" s="4551"/>
      <c r="AM130" s="4551"/>
      <c r="AN130" s="4551"/>
      <c r="AO130" s="4551"/>
      <c r="AP130" s="4551"/>
      <c r="AQ130" s="4551"/>
      <c r="AR130" s="4551"/>
      <c r="AS130" s="4551"/>
      <c r="AT130" s="4551"/>
      <c r="AU130" s="4551"/>
      <c r="AV130" s="4551"/>
      <c r="AW130" s="4551"/>
      <c r="AX130" s="4551"/>
      <c r="AY130" s="4551"/>
      <c r="AZ130" s="4551"/>
      <c r="BA130" s="4551"/>
      <c r="BB130" s="4551"/>
      <c r="BC130" s="4551"/>
      <c r="BD130" s="4551"/>
      <c r="BE130" s="4551"/>
      <c r="BF130" s="4551"/>
      <c r="BG130" s="4551"/>
      <c r="BH130" s="4551"/>
      <c r="BI130" s="4551"/>
      <c r="BJ130" s="4541"/>
      <c r="BK130" s="4541"/>
      <c r="BL130" s="4541"/>
      <c r="BM130" s="4580"/>
      <c r="BN130" s="4541"/>
      <c r="BO130" s="4541"/>
      <c r="BP130" s="4541"/>
      <c r="BQ130" s="4629"/>
      <c r="BR130" s="4629"/>
      <c r="BS130" s="4629"/>
      <c r="BT130" s="4629"/>
      <c r="BU130" s="2502"/>
    </row>
    <row r="131" spans="1:73" s="1965" customFormat="1" ht="75" customHeight="1" x14ac:dyDescent="0.25">
      <c r="A131" s="2119"/>
      <c r="B131" s="1944"/>
      <c r="C131" s="1943"/>
      <c r="D131" s="1944"/>
      <c r="E131" s="2128"/>
      <c r="F131" s="2129"/>
      <c r="G131" s="4536"/>
      <c r="H131" s="4585"/>
      <c r="I131" s="4536"/>
      <c r="J131" s="4585"/>
      <c r="K131" s="4587"/>
      <c r="L131" s="4588"/>
      <c r="M131" s="4587"/>
      <c r="N131" s="4588"/>
      <c r="O131" s="4590"/>
      <c r="P131" s="4593"/>
      <c r="Q131" s="4526"/>
      <c r="R131" s="3089"/>
      <c r="S131" s="4527"/>
      <c r="T131" s="4485"/>
      <c r="U131" s="3089"/>
      <c r="V131" s="3100"/>
      <c r="W131" s="1940" t="s">
        <v>2997</v>
      </c>
      <c r="X131" s="2079">
        <v>15000000</v>
      </c>
      <c r="Y131" s="2141">
        <v>12115000</v>
      </c>
      <c r="Z131" s="2141">
        <v>12115000</v>
      </c>
      <c r="AA131" s="2080" t="s">
        <v>2989</v>
      </c>
      <c r="AB131" s="2125">
        <v>61</v>
      </c>
      <c r="AC131" s="1967" t="s">
        <v>2740</v>
      </c>
      <c r="AD131" s="4551"/>
      <c r="AE131" s="4551"/>
      <c r="AF131" s="4551"/>
      <c r="AG131" s="4551"/>
      <c r="AH131" s="4554"/>
      <c r="AI131" s="4551"/>
      <c r="AJ131" s="4551"/>
      <c r="AK131" s="4551"/>
      <c r="AL131" s="4551"/>
      <c r="AM131" s="4551"/>
      <c r="AN131" s="4551"/>
      <c r="AO131" s="4551"/>
      <c r="AP131" s="4551"/>
      <c r="AQ131" s="4551"/>
      <c r="AR131" s="4551"/>
      <c r="AS131" s="4551"/>
      <c r="AT131" s="4551"/>
      <c r="AU131" s="4551"/>
      <c r="AV131" s="4551"/>
      <c r="AW131" s="4551"/>
      <c r="AX131" s="4551"/>
      <c r="AY131" s="4551"/>
      <c r="AZ131" s="4551"/>
      <c r="BA131" s="4551"/>
      <c r="BB131" s="4551"/>
      <c r="BC131" s="4551"/>
      <c r="BD131" s="4551"/>
      <c r="BE131" s="4551"/>
      <c r="BF131" s="4551"/>
      <c r="BG131" s="4551"/>
      <c r="BH131" s="4551"/>
      <c r="BI131" s="4551"/>
      <c r="BJ131" s="4541"/>
      <c r="BK131" s="4541"/>
      <c r="BL131" s="4541"/>
      <c r="BM131" s="4580"/>
      <c r="BN131" s="4541"/>
      <c r="BO131" s="4541"/>
      <c r="BP131" s="4541"/>
      <c r="BQ131" s="4629"/>
      <c r="BR131" s="4629"/>
      <c r="BS131" s="4629"/>
      <c r="BT131" s="4629"/>
      <c r="BU131" s="2502"/>
    </row>
    <row r="132" spans="1:73" s="1965" customFormat="1" ht="63" customHeight="1" x14ac:dyDescent="0.25">
      <c r="A132" s="2119"/>
      <c r="B132" s="1944"/>
      <c r="C132" s="1943"/>
      <c r="D132" s="1944"/>
      <c r="E132" s="2128"/>
      <c r="F132" s="2129"/>
      <c r="G132" s="4536"/>
      <c r="H132" s="4585"/>
      <c r="I132" s="4536"/>
      <c r="J132" s="4585"/>
      <c r="K132" s="4587"/>
      <c r="L132" s="4588"/>
      <c r="M132" s="4587"/>
      <c r="N132" s="4588"/>
      <c r="O132" s="4590"/>
      <c r="P132" s="4593"/>
      <c r="Q132" s="4526"/>
      <c r="R132" s="3089"/>
      <c r="S132" s="4527"/>
      <c r="T132" s="4485"/>
      <c r="U132" s="3089"/>
      <c r="V132" s="3100"/>
      <c r="W132" s="1940" t="s">
        <v>2998</v>
      </c>
      <c r="X132" s="829">
        <v>8000000</v>
      </c>
      <c r="Y132" s="2141">
        <v>4546667</v>
      </c>
      <c r="Z132" s="2141">
        <v>4546667</v>
      </c>
      <c r="AA132" s="2080" t="s">
        <v>2989</v>
      </c>
      <c r="AB132" s="2125">
        <v>61</v>
      </c>
      <c r="AC132" s="1967" t="s">
        <v>2740</v>
      </c>
      <c r="AD132" s="4551"/>
      <c r="AE132" s="4551"/>
      <c r="AF132" s="4551"/>
      <c r="AG132" s="4551"/>
      <c r="AH132" s="4554"/>
      <c r="AI132" s="4551"/>
      <c r="AJ132" s="4551"/>
      <c r="AK132" s="4551"/>
      <c r="AL132" s="4551"/>
      <c r="AM132" s="4551"/>
      <c r="AN132" s="4551"/>
      <c r="AO132" s="4551"/>
      <c r="AP132" s="4551"/>
      <c r="AQ132" s="4551"/>
      <c r="AR132" s="4551"/>
      <c r="AS132" s="4551"/>
      <c r="AT132" s="4551"/>
      <c r="AU132" s="4551"/>
      <c r="AV132" s="4551"/>
      <c r="AW132" s="4551"/>
      <c r="AX132" s="4551"/>
      <c r="AY132" s="4551"/>
      <c r="AZ132" s="4551"/>
      <c r="BA132" s="4551"/>
      <c r="BB132" s="4551"/>
      <c r="BC132" s="4551"/>
      <c r="BD132" s="4551"/>
      <c r="BE132" s="4551"/>
      <c r="BF132" s="4551"/>
      <c r="BG132" s="4551"/>
      <c r="BH132" s="4551"/>
      <c r="BI132" s="4551"/>
      <c r="BJ132" s="4541"/>
      <c r="BK132" s="4541"/>
      <c r="BL132" s="4541"/>
      <c r="BM132" s="4580"/>
      <c r="BN132" s="4541"/>
      <c r="BO132" s="4541"/>
      <c r="BP132" s="4541"/>
      <c r="BQ132" s="4629"/>
      <c r="BR132" s="4629"/>
      <c r="BS132" s="4629"/>
      <c r="BT132" s="4629"/>
      <c r="BU132" s="2502"/>
    </row>
    <row r="133" spans="1:73" s="1965" customFormat="1" ht="67.5" customHeight="1" x14ac:dyDescent="0.25">
      <c r="A133" s="2119"/>
      <c r="B133" s="1944"/>
      <c r="C133" s="1943"/>
      <c r="D133" s="1944"/>
      <c r="E133" s="2128"/>
      <c r="F133" s="2129"/>
      <c r="G133" s="4536"/>
      <c r="H133" s="4585"/>
      <c r="I133" s="4536"/>
      <c r="J133" s="4585"/>
      <c r="K133" s="4587"/>
      <c r="L133" s="4588"/>
      <c r="M133" s="4587"/>
      <c r="N133" s="4588"/>
      <c r="O133" s="4590"/>
      <c r="P133" s="4593"/>
      <c r="Q133" s="4526"/>
      <c r="R133" s="3089"/>
      <c r="S133" s="4527"/>
      <c r="T133" s="4485"/>
      <c r="U133" s="3089"/>
      <c r="V133" s="3100"/>
      <c r="W133" s="1940" t="s">
        <v>2999</v>
      </c>
      <c r="X133" s="829">
        <v>12000000</v>
      </c>
      <c r="Y133" s="2141">
        <v>7405000</v>
      </c>
      <c r="Z133" s="2141">
        <v>7405000</v>
      </c>
      <c r="AA133" s="2080" t="s">
        <v>2989</v>
      </c>
      <c r="AB133" s="2125">
        <v>61</v>
      </c>
      <c r="AC133" s="1967" t="s">
        <v>2740</v>
      </c>
      <c r="AD133" s="4551"/>
      <c r="AE133" s="4551"/>
      <c r="AF133" s="4551"/>
      <c r="AG133" s="4551"/>
      <c r="AH133" s="4554"/>
      <c r="AI133" s="4551"/>
      <c r="AJ133" s="4551"/>
      <c r="AK133" s="4551"/>
      <c r="AL133" s="4551"/>
      <c r="AM133" s="4551"/>
      <c r="AN133" s="4551"/>
      <c r="AO133" s="4551"/>
      <c r="AP133" s="4551"/>
      <c r="AQ133" s="4551"/>
      <c r="AR133" s="4551"/>
      <c r="AS133" s="4551"/>
      <c r="AT133" s="4551"/>
      <c r="AU133" s="4551"/>
      <c r="AV133" s="4551"/>
      <c r="AW133" s="4551"/>
      <c r="AX133" s="4551"/>
      <c r="AY133" s="4551"/>
      <c r="AZ133" s="4551"/>
      <c r="BA133" s="4551"/>
      <c r="BB133" s="4551"/>
      <c r="BC133" s="4551"/>
      <c r="BD133" s="4551"/>
      <c r="BE133" s="4551"/>
      <c r="BF133" s="4551"/>
      <c r="BG133" s="4551"/>
      <c r="BH133" s="4551"/>
      <c r="BI133" s="4551"/>
      <c r="BJ133" s="4541"/>
      <c r="BK133" s="4541"/>
      <c r="BL133" s="4541"/>
      <c r="BM133" s="4580"/>
      <c r="BN133" s="4541"/>
      <c r="BO133" s="4541"/>
      <c r="BP133" s="4541"/>
      <c r="BQ133" s="4629"/>
      <c r="BR133" s="4629"/>
      <c r="BS133" s="4629"/>
      <c r="BT133" s="4629"/>
      <c r="BU133" s="2502"/>
    </row>
    <row r="134" spans="1:73" s="1965" customFormat="1" ht="67.5" customHeight="1" x14ac:dyDescent="0.25">
      <c r="A134" s="2119"/>
      <c r="B134" s="1944"/>
      <c r="C134" s="1943"/>
      <c r="D134" s="1944"/>
      <c r="E134" s="2128"/>
      <c r="F134" s="2129"/>
      <c r="G134" s="4536"/>
      <c r="H134" s="4585"/>
      <c r="I134" s="4536"/>
      <c r="J134" s="4585"/>
      <c r="K134" s="4587"/>
      <c r="L134" s="4588"/>
      <c r="M134" s="4587"/>
      <c r="N134" s="4588"/>
      <c r="O134" s="4590"/>
      <c r="P134" s="4594"/>
      <c r="Q134" s="4526"/>
      <c r="R134" s="3089"/>
      <c r="S134" s="4527"/>
      <c r="T134" s="4485"/>
      <c r="U134" s="3089"/>
      <c r="V134" s="3100"/>
      <c r="W134" s="1936" t="s">
        <v>3000</v>
      </c>
      <c r="X134" s="2083">
        <v>14000000</v>
      </c>
      <c r="Y134" s="2101">
        <v>14000000</v>
      </c>
      <c r="Z134" s="2101">
        <v>14000000</v>
      </c>
      <c r="AA134" s="2080" t="s">
        <v>2989</v>
      </c>
      <c r="AB134" s="2125">
        <v>61</v>
      </c>
      <c r="AC134" s="1967" t="s">
        <v>2740</v>
      </c>
      <c r="AD134" s="4551"/>
      <c r="AE134" s="4551"/>
      <c r="AF134" s="4551"/>
      <c r="AG134" s="4551"/>
      <c r="AH134" s="4554"/>
      <c r="AI134" s="4551"/>
      <c r="AJ134" s="4551"/>
      <c r="AK134" s="4551"/>
      <c r="AL134" s="4551"/>
      <c r="AM134" s="4551"/>
      <c r="AN134" s="4551"/>
      <c r="AO134" s="4551"/>
      <c r="AP134" s="4551"/>
      <c r="AQ134" s="4551"/>
      <c r="AR134" s="4551"/>
      <c r="AS134" s="4551"/>
      <c r="AT134" s="4551"/>
      <c r="AU134" s="4551"/>
      <c r="AV134" s="4551"/>
      <c r="AW134" s="4551"/>
      <c r="AX134" s="4551"/>
      <c r="AY134" s="4551"/>
      <c r="AZ134" s="4551"/>
      <c r="BA134" s="4551"/>
      <c r="BB134" s="4551"/>
      <c r="BC134" s="4551"/>
      <c r="BD134" s="4551"/>
      <c r="BE134" s="4551"/>
      <c r="BF134" s="4551"/>
      <c r="BG134" s="4551"/>
      <c r="BH134" s="4551"/>
      <c r="BI134" s="4551"/>
      <c r="BJ134" s="4541"/>
      <c r="BK134" s="4541"/>
      <c r="BL134" s="4541"/>
      <c r="BM134" s="4580"/>
      <c r="BN134" s="4541"/>
      <c r="BO134" s="4541"/>
      <c r="BP134" s="4541"/>
      <c r="BQ134" s="4629"/>
      <c r="BR134" s="4629"/>
      <c r="BS134" s="4629"/>
      <c r="BT134" s="4629"/>
      <c r="BU134" s="2502"/>
    </row>
    <row r="135" spans="1:73" s="1965" customFormat="1" ht="67.5" customHeight="1" x14ac:dyDescent="0.25">
      <c r="A135" s="2119"/>
      <c r="B135" s="1944"/>
      <c r="C135" s="1943"/>
      <c r="D135" s="1944"/>
      <c r="E135" s="2128"/>
      <c r="F135" s="2129"/>
      <c r="G135" s="4617" t="s">
        <v>20</v>
      </c>
      <c r="H135" s="4618" t="s">
        <v>3001</v>
      </c>
      <c r="I135" s="4617">
        <v>1905021</v>
      </c>
      <c r="J135" s="4618" t="s">
        <v>3002</v>
      </c>
      <c r="K135" s="4621" t="s">
        <v>20</v>
      </c>
      <c r="L135" s="4624" t="s">
        <v>2947</v>
      </c>
      <c r="M135" s="4621">
        <v>190502100</v>
      </c>
      <c r="N135" s="4624" t="s">
        <v>3003</v>
      </c>
      <c r="O135" s="4633">
        <v>11</v>
      </c>
      <c r="P135" s="4636">
        <v>11</v>
      </c>
      <c r="Q135" s="4526"/>
      <c r="R135" s="3089"/>
      <c r="S135" s="4527">
        <v>0.34782608695652173</v>
      </c>
      <c r="T135" s="4485"/>
      <c r="U135" s="3089"/>
      <c r="V135" s="3100"/>
      <c r="W135" s="1940" t="s">
        <v>3004</v>
      </c>
      <c r="X135" s="829">
        <v>6000000</v>
      </c>
      <c r="Y135" s="2101">
        <v>2907500</v>
      </c>
      <c r="Z135" s="2101">
        <v>2907500</v>
      </c>
      <c r="AA135" s="2080" t="s">
        <v>3005</v>
      </c>
      <c r="AB135" s="2125">
        <v>61</v>
      </c>
      <c r="AC135" s="1967" t="s">
        <v>2740</v>
      </c>
      <c r="AD135" s="4551"/>
      <c r="AE135" s="4551"/>
      <c r="AF135" s="4551"/>
      <c r="AG135" s="4551"/>
      <c r="AH135" s="4554"/>
      <c r="AI135" s="4551"/>
      <c r="AJ135" s="4551"/>
      <c r="AK135" s="4551"/>
      <c r="AL135" s="4551"/>
      <c r="AM135" s="4551"/>
      <c r="AN135" s="4551"/>
      <c r="AO135" s="4551"/>
      <c r="AP135" s="4551"/>
      <c r="AQ135" s="4551"/>
      <c r="AR135" s="4551"/>
      <c r="AS135" s="4551"/>
      <c r="AT135" s="4551"/>
      <c r="AU135" s="4551"/>
      <c r="AV135" s="4551"/>
      <c r="AW135" s="4551"/>
      <c r="AX135" s="4551"/>
      <c r="AY135" s="4551"/>
      <c r="AZ135" s="4551"/>
      <c r="BA135" s="4551"/>
      <c r="BB135" s="4551"/>
      <c r="BC135" s="4551"/>
      <c r="BD135" s="4551"/>
      <c r="BE135" s="4551"/>
      <c r="BF135" s="4551"/>
      <c r="BG135" s="4551"/>
      <c r="BH135" s="4551"/>
      <c r="BI135" s="4551"/>
      <c r="BJ135" s="4541"/>
      <c r="BK135" s="4541"/>
      <c r="BL135" s="4541"/>
      <c r="BM135" s="4580"/>
      <c r="BN135" s="4541"/>
      <c r="BO135" s="4541"/>
      <c r="BP135" s="4541"/>
      <c r="BQ135" s="4629"/>
      <c r="BR135" s="4629"/>
      <c r="BS135" s="4629"/>
      <c r="BT135" s="4629"/>
      <c r="BU135" s="2502"/>
    </row>
    <row r="136" spans="1:73" s="1965" customFormat="1" ht="97.5" customHeight="1" x14ac:dyDescent="0.25">
      <c r="A136" s="2119"/>
      <c r="B136" s="1944"/>
      <c r="C136" s="1943"/>
      <c r="D136" s="1944"/>
      <c r="E136" s="2128"/>
      <c r="F136" s="2129"/>
      <c r="G136" s="4617"/>
      <c r="H136" s="4619"/>
      <c r="I136" s="4617"/>
      <c r="J136" s="4619"/>
      <c r="K136" s="4622"/>
      <c r="L136" s="4625"/>
      <c r="M136" s="4622"/>
      <c r="N136" s="4625"/>
      <c r="O136" s="4634"/>
      <c r="P136" s="3716"/>
      <c r="Q136" s="4526"/>
      <c r="R136" s="3089"/>
      <c r="S136" s="4527"/>
      <c r="T136" s="4485"/>
      <c r="U136" s="3089"/>
      <c r="V136" s="3100"/>
      <c r="W136" s="1940" t="s">
        <v>3006</v>
      </c>
      <c r="X136" s="829">
        <v>6000000</v>
      </c>
      <c r="Y136" s="2101">
        <v>6000000</v>
      </c>
      <c r="Z136" s="2101">
        <v>6000000</v>
      </c>
      <c r="AA136" s="2080" t="s">
        <v>3005</v>
      </c>
      <c r="AB136" s="2125">
        <v>61</v>
      </c>
      <c r="AC136" s="1967" t="s">
        <v>2740</v>
      </c>
      <c r="AD136" s="4551"/>
      <c r="AE136" s="4551"/>
      <c r="AF136" s="4551"/>
      <c r="AG136" s="4551"/>
      <c r="AH136" s="4554"/>
      <c r="AI136" s="4551"/>
      <c r="AJ136" s="4551"/>
      <c r="AK136" s="4551"/>
      <c r="AL136" s="4551"/>
      <c r="AM136" s="4551"/>
      <c r="AN136" s="4551"/>
      <c r="AO136" s="4551"/>
      <c r="AP136" s="4551"/>
      <c r="AQ136" s="4551"/>
      <c r="AR136" s="4551"/>
      <c r="AS136" s="4551"/>
      <c r="AT136" s="4551"/>
      <c r="AU136" s="4551"/>
      <c r="AV136" s="4551"/>
      <c r="AW136" s="4551"/>
      <c r="AX136" s="4551"/>
      <c r="AY136" s="4551"/>
      <c r="AZ136" s="4551"/>
      <c r="BA136" s="4551"/>
      <c r="BB136" s="4551"/>
      <c r="BC136" s="4551"/>
      <c r="BD136" s="4551"/>
      <c r="BE136" s="4551"/>
      <c r="BF136" s="4551"/>
      <c r="BG136" s="4551"/>
      <c r="BH136" s="4551"/>
      <c r="BI136" s="4551"/>
      <c r="BJ136" s="4541"/>
      <c r="BK136" s="4541"/>
      <c r="BL136" s="4541"/>
      <c r="BM136" s="4580"/>
      <c r="BN136" s="4541"/>
      <c r="BO136" s="4541"/>
      <c r="BP136" s="4541"/>
      <c r="BQ136" s="4629"/>
      <c r="BR136" s="4629"/>
      <c r="BS136" s="4629"/>
      <c r="BT136" s="4629"/>
      <c r="BU136" s="2502"/>
    </row>
    <row r="137" spans="1:73" s="1965" customFormat="1" ht="101.25" customHeight="1" x14ac:dyDescent="0.25">
      <c r="A137" s="2119"/>
      <c r="B137" s="1944"/>
      <c r="C137" s="1943"/>
      <c r="D137" s="1944"/>
      <c r="E137" s="2128"/>
      <c r="F137" s="2129"/>
      <c r="G137" s="4617"/>
      <c r="H137" s="4619"/>
      <c r="I137" s="4617"/>
      <c r="J137" s="4619"/>
      <c r="K137" s="4622"/>
      <c r="L137" s="4625"/>
      <c r="M137" s="4622"/>
      <c r="N137" s="4625"/>
      <c r="O137" s="4634"/>
      <c r="P137" s="3716"/>
      <c r="Q137" s="4526"/>
      <c r="R137" s="3089"/>
      <c r="S137" s="4527"/>
      <c r="T137" s="4485"/>
      <c r="U137" s="3089"/>
      <c r="V137" s="3100"/>
      <c r="W137" s="1940" t="s">
        <v>3007</v>
      </c>
      <c r="X137" s="829">
        <v>6000000</v>
      </c>
      <c r="Y137" s="2101">
        <v>6000000</v>
      </c>
      <c r="Z137" s="2101">
        <v>6000000</v>
      </c>
      <c r="AA137" s="2080" t="s">
        <v>3005</v>
      </c>
      <c r="AB137" s="2125">
        <v>61</v>
      </c>
      <c r="AC137" s="1967" t="s">
        <v>2740</v>
      </c>
      <c r="AD137" s="4551"/>
      <c r="AE137" s="4551"/>
      <c r="AF137" s="4551"/>
      <c r="AG137" s="4551"/>
      <c r="AH137" s="4554"/>
      <c r="AI137" s="4551"/>
      <c r="AJ137" s="4551"/>
      <c r="AK137" s="4551"/>
      <c r="AL137" s="4551"/>
      <c r="AM137" s="4551"/>
      <c r="AN137" s="4551"/>
      <c r="AO137" s="4551"/>
      <c r="AP137" s="4551"/>
      <c r="AQ137" s="4551"/>
      <c r="AR137" s="4551"/>
      <c r="AS137" s="4551"/>
      <c r="AT137" s="4551"/>
      <c r="AU137" s="4551"/>
      <c r="AV137" s="4551"/>
      <c r="AW137" s="4551"/>
      <c r="AX137" s="4551"/>
      <c r="AY137" s="4551"/>
      <c r="AZ137" s="4551"/>
      <c r="BA137" s="4551"/>
      <c r="BB137" s="4551"/>
      <c r="BC137" s="4551"/>
      <c r="BD137" s="4551"/>
      <c r="BE137" s="4551"/>
      <c r="BF137" s="4551"/>
      <c r="BG137" s="4551"/>
      <c r="BH137" s="4551"/>
      <c r="BI137" s="4551"/>
      <c r="BJ137" s="4541"/>
      <c r="BK137" s="4541"/>
      <c r="BL137" s="4541"/>
      <c r="BM137" s="4580"/>
      <c r="BN137" s="4541"/>
      <c r="BO137" s="4541"/>
      <c r="BP137" s="4541"/>
      <c r="BQ137" s="4629"/>
      <c r="BR137" s="4629"/>
      <c r="BS137" s="4629"/>
      <c r="BT137" s="4629"/>
      <c r="BU137" s="2502"/>
    </row>
    <row r="138" spans="1:73" s="1965" customFormat="1" ht="67.5" customHeight="1" x14ac:dyDescent="0.25">
      <c r="A138" s="2119"/>
      <c r="B138" s="1944"/>
      <c r="C138" s="1943"/>
      <c r="D138" s="1944"/>
      <c r="E138" s="2128"/>
      <c r="F138" s="2129"/>
      <c r="G138" s="4617"/>
      <c r="H138" s="4619"/>
      <c r="I138" s="4617"/>
      <c r="J138" s="4619"/>
      <c r="K138" s="4622"/>
      <c r="L138" s="4625"/>
      <c r="M138" s="4622"/>
      <c r="N138" s="4625"/>
      <c r="O138" s="4634"/>
      <c r="P138" s="3716"/>
      <c r="Q138" s="4526"/>
      <c r="R138" s="3089"/>
      <c r="S138" s="4527"/>
      <c r="T138" s="4485"/>
      <c r="U138" s="3089"/>
      <c r="V138" s="3100"/>
      <c r="W138" s="1940" t="s">
        <v>3008</v>
      </c>
      <c r="X138" s="829">
        <v>6000000</v>
      </c>
      <c r="Y138" s="2101">
        <v>6000000</v>
      </c>
      <c r="Z138" s="2101">
        <v>6000000</v>
      </c>
      <c r="AA138" s="2080" t="s">
        <v>3005</v>
      </c>
      <c r="AB138" s="2125">
        <v>61</v>
      </c>
      <c r="AC138" s="1967" t="s">
        <v>2740</v>
      </c>
      <c r="AD138" s="4551"/>
      <c r="AE138" s="4551"/>
      <c r="AF138" s="4551"/>
      <c r="AG138" s="4551"/>
      <c r="AH138" s="4554"/>
      <c r="AI138" s="4551"/>
      <c r="AJ138" s="4551"/>
      <c r="AK138" s="4551"/>
      <c r="AL138" s="4551"/>
      <c r="AM138" s="4551"/>
      <c r="AN138" s="4551"/>
      <c r="AO138" s="4551"/>
      <c r="AP138" s="4551"/>
      <c r="AQ138" s="4551"/>
      <c r="AR138" s="4551"/>
      <c r="AS138" s="4551"/>
      <c r="AT138" s="4551"/>
      <c r="AU138" s="4551"/>
      <c r="AV138" s="4551"/>
      <c r="AW138" s="4551"/>
      <c r="AX138" s="4551"/>
      <c r="AY138" s="4551"/>
      <c r="AZ138" s="4551"/>
      <c r="BA138" s="4551"/>
      <c r="BB138" s="4551"/>
      <c r="BC138" s="4551"/>
      <c r="BD138" s="4551"/>
      <c r="BE138" s="4551"/>
      <c r="BF138" s="4551"/>
      <c r="BG138" s="4551"/>
      <c r="BH138" s="4551"/>
      <c r="BI138" s="4551"/>
      <c r="BJ138" s="4541"/>
      <c r="BK138" s="4541"/>
      <c r="BL138" s="4541"/>
      <c r="BM138" s="4580"/>
      <c r="BN138" s="4541"/>
      <c r="BO138" s="4541"/>
      <c r="BP138" s="4541"/>
      <c r="BQ138" s="4629"/>
      <c r="BR138" s="4629"/>
      <c r="BS138" s="4629"/>
      <c r="BT138" s="4629"/>
      <c r="BU138" s="2502"/>
    </row>
    <row r="139" spans="1:73" s="1965" customFormat="1" ht="67.5" customHeight="1" x14ac:dyDescent="0.25">
      <c r="A139" s="2119"/>
      <c r="B139" s="1944"/>
      <c r="C139" s="1943"/>
      <c r="D139" s="1944"/>
      <c r="E139" s="2128"/>
      <c r="F139" s="2129"/>
      <c r="G139" s="4617"/>
      <c r="H139" s="4619"/>
      <c r="I139" s="4617"/>
      <c r="J139" s="4619"/>
      <c r="K139" s="4622"/>
      <c r="L139" s="4625"/>
      <c r="M139" s="4622"/>
      <c r="N139" s="4625"/>
      <c r="O139" s="4634"/>
      <c r="P139" s="3716"/>
      <c r="Q139" s="4526"/>
      <c r="R139" s="3089"/>
      <c r="S139" s="4527"/>
      <c r="T139" s="4485"/>
      <c r="U139" s="3089"/>
      <c r="V139" s="3100"/>
      <c r="W139" s="1940" t="s">
        <v>3009</v>
      </c>
      <c r="X139" s="829">
        <v>6000000</v>
      </c>
      <c r="Y139" s="2101">
        <v>6000000</v>
      </c>
      <c r="Z139" s="2101">
        <v>6000000</v>
      </c>
      <c r="AA139" s="2080" t="s">
        <v>3005</v>
      </c>
      <c r="AB139" s="2125">
        <v>61</v>
      </c>
      <c r="AC139" s="1967" t="s">
        <v>2740</v>
      </c>
      <c r="AD139" s="4551"/>
      <c r="AE139" s="4551"/>
      <c r="AF139" s="4551"/>
      <c r="AG139" s="4551"/>
      <c r="AH139" s="4554"/>
      <c r="AI139" s="4551"/>
      <c r="AJ139" s="4551"/>
      <c r="AK139" s="4551"/>
      <c r="AL139" s="4551"/>
      <c r="AM139" s="4551"/>
      <c r="AN139" s="4551"/>
      <c r="AO139" s="4551"/>
      <c r="AP139" s="4551"/>
      <c r="AQ139" s="4551"/>
      <c r="AR139" s="4551"/>
      <c r="AS139" s="4551"/>
      <c r="AT139" s="4551"/>
      <c r="AU139" s="4551"/>
      <c r="AV139" s="4551"/>
      <c r="AW139" s="4551"/>
      <c r="AX139" s="4551"/>
      <c r="AY139" s="4551"/>
      <c r="AZ139" s="4551"/>
      <c r="BA139" s="4551"/>
      <c r="BB139" s="4551"/>
      <c r="BC139" s="4551"/>
      <c r="BD139" s="4551"/>
      <c r="BE139" s="4551"/>
      <c r="BF139" s="4551"/>
      <c r="BG139" s="4551"/>
      <c r="BH139" s="4551"/>
      <c r="BI139" s="4551"/>
      <c r="BJ139" s="4541"/>
      <c r="BK139" s="4541"/>
      <c r="BL139" s="4541"/>
      <c r="BM139" s="4580"/>
      <c r="BN139" s="4541"/>
      <c r="BO139" s="4541"/>
      <c r="BP139" s="4541"/>
      <c r="BQ139" s="4629"/>
      <c r="BR139" s="4629"/>
      <c r="BS139" s="4629"/>
      <c r="BT139" s="4629"/>
      <c r="BU139" s="2502"/>
    </row>
    <row r="140" spans="1:73" s="1965" customFormat="1" ht="67.5" customHeight="1" x14ac:dyDescent="0.25">
      <c r="A140" s="2119"/>
      <c r="B140" s="1944"/>
      <c r="C140" s="1943"/>
      <c r="D140" s="1944"/>
      <c r="E140" s="2128"/>
      <c r="F140" s="2129"/>
      <c r="G140" s="4617"/>
      <c r="H140" s="4619"/>
      <c r="I140" s="4617"/>
      <c r="J140" s="4619"/>
      <c r="K140" s="4622"/>
      <c r="L140" s="4625"/>
      <c r="M140" s="4622"/>
      <c r="N140" s="4625"/>
      <c r="O140" s="4634"/>
      <c r="P140" s="3716"/>
      <c r="Q140" s="4526"/>
      <c r="R140" s="3089"/>
      <c r="S140" s="4527"/>
      <c r="T140" s="4485"/>
      <c r="U140" s="3089"/>
      <c r="V140" s="3100"/>
      <c r="W140" s="1940" t="s">
        <v>3010</v>
      </c>
      <c r="X140" s="829">
        <v>6000000</v>
      </c>
      <c r="Y140" s="2101">
        <v>6000000</v>
      </c>
      <c r="Z140" s="2101">
        <v>6000000</v>
      </c>
      <c r="AA140" s="2080" t="s">
        <v>3005</v>
      </c>
      <c r="AB140" s="2125">
        <v>61</v>
      </c>
      <c r="AC140" s="1967" t="s">
        <v>2740</v>
      </c>
      <c r="AD140" s="4551"/>
      <c r="AE140" s="4551"/>
      <c r="AF140" s="4551"/>
      <c r="AG140" s="4551"/>
      <c r="AH140" s="4554"/>
      <c r="AI140" s="4551"/>
      <c r="AJ140" s="4551"/>
      <c r="AK140" s="4551"/>
      <c r="AL140" s="4551"/>
      <c r="AM140" s="4551"/>
      <c r="AN140" s="4551"/>
      <c r="AO140" s="4551"/>
      <c r="AP140" s="4551"/>
      <c r="AQ140" s="4551"/>
      <c r="AR140" s="4551"/>
      <c r="AS140" s="4551"/>
      <c r="AT140" s="4551"/>
      <c r="AU140" s="4551"/>
      <c r="AV140" s="4551"/>
      <c r="AW140" s="4551"/>
      <c r="AX140" s="4551"/>
      <c r="AY140" s="4551"/>
      <c r="AZ140" s="4551"/>
      <c r="BA140" s="4551"/>
      <c r="BB140" s="4551"/>
      <c r="BC140" s="4551"/>
      <c r="BD140" s="4551"/>
      <c r="BE140" s="4551"/>
      <c r="BF140" s="4551"/>
      <c r="BG140" s="4551"/>
      <c r="BH140" s="4551"/>
      <c r="BI140" s="4551"/>
      <c r="BJ140" s="4541"/>
      <c r="BK140" s="4541"/>
      <c r="BL140" s="4541"/>
      <c r="BM140" s="4580"/>
      <c r="BN140" s="4541"/>
      <c r="BO140" s="4541"/>
      <c r="BP140" s="4541"/>
      <c r="BQ140" s="4629"/>
      <c r="BR140" s="4629"/>
      <c r="BS140" s="4629"/>
      <c r="BT140" s="4629"/>
      <c r="BU140" s="2502"/>
    </row>
    <row r="141" spans="1:73" s="1965" customFormat="1" ht="67.5" customHeight="1" x14ac:dyDescent="0.25">
      <c r="A141" s="2119"/>
      <c r="B141" s="1944"/>
      <c r="C141" s="1943"/>
      <c r="D141" s="1944"/>
      <c r="E141" s="2128"/>
      <c r="F141" s="2129"/>
      <c r="G141" s="4617"/>
      <c r="H141" s="4619"/>
      <c r="I141" s="4617"/>
      <c r="J141" s="4619"/>
      <c r="K141" s="4622"/>
      <c r="L141" s="4625"/>
      <c r="M141" s="4622"/>
      <c r="N141" s="4625"/>
      <c r="O141" s="4634"/>
      <c r="P141" s="3716"/>
      <c r="Q141" s="4526"/>
      <c r="R141" s="3089"/>
      <c r="S141" s="4527"/>
      <c r="T141" s="4485"/>
      <c r="U141" s="3089"/>
      <c r="V141" s="3100"/>
      <c r="W141" s="1940" t="s">
        <v>3011</v>
      </c>
      <c r="X141" s="829">
        <v>6000000</v>
      </c>
      <c r="Y141" s="2101">
        <v>6000000</v>
      </c>
      <c r="Z141" s="2101">
        <v>6000000</v>
      </c>
      <c r="AA141" s="2080" t="s">
        <v>3005</v>
      </c>
      <c r="AB141" s="2125">
        <v>61</v>
      </c>
      <c r="AC141" s="1967" t="s">
        <v>2740</v>
      </c>
      <c r="AD141" s="4551"/>
      <c r="AE141" s="4551"/>
      <c r="AF141" s="4551"/>
      <c r="AG141" s="4551"/>
      <c r="AH141" s="4554"/>
      <c r="AI141" s="4551"/>
      <c r="AJ141" s="4551"/>
      <c r="AK141" s="4551"/>
      <c r="AL141" s="4551"/>
      <c r="AM141" s="4551"/>
      <c r="AN141" s="4551"/>
      <c r="AO141" s="4551"/>
      <c r="AP141" s="4551"/>
      <c r="AQ141" s="4551"/>
      <c r="AR141" s="4551"/>
      <c r="AS141" s="4551"/>
      <c r="AT141" s="4551"/>
      <c r="AU141" s="4551"/>
      <c r="AV141" s="4551"/>
      <c r="AW141" s="4551"/>
      <c r="AX141" s="4551"/>
      <c r="AY141" s="4551"/>
      <c r="AZ141" s="4551"/>
      <c r="BA141" s="4551"/>
      <c r="BB141" s="4551"/>
      <c r="BC141" s="4551"/>
      <c r="BD141" s="4551"/>
      <c r="BE141" s="4551"/>
      <c r="BF141" s="4551"/>
      <c r="BG141" s="4551"/>
      <c r="BH141" s="4551"/>
      <c r="BI141" s="4551"/>
      <c r="BJ141" s="4541"/>
      <c r="BK141" s="4541"/>
      <c r="BL141" s="4541"/>
      <c r="BM141" s="4580"/>
      <c r="BN141" s="4541"/>
      <c r="BO141" s="4541"/>
      <c r="BP141" s="4541"/>
      <c r="BQ141" s="4629"/>
      <c r="BR141" s="4629"/>
      <c r="BS141" s="4629"/>
      <c r="BT141" s="4629"/>
      <c r="BU141" s="2502"/>
    </row>
    <row r="142" spans="1:73" s="1965" customFormat="1" ht="67.5" customHeight="1" x14ac:dyDescent="0.25">
      <c r="A142" s="2119"/>
      <c r="B142" s="1944"/>
      <c r="C142" s="1943"/>
      <c r="D142" s="1944"/>
      <c r="E142" s="2128"/>
      <c r="F142" s="2129"/>
      <c r="G142" s="4617"/>
      <c r="H142" s="4619"/>
      <c r="I142" s="4617"/>
      <c r="J142" s="4619"/>
      <c r="K142" s="4622"/>
      <c r="L142" s="4625"/>
      <c r="M142" s="4622"/>
      <c r="N142" s="4625"/>
      <c r="O142" s="4634"/>
      <c r="P142" s="3716"/>
      <c r="Q142" s="4526"/>
      <c r="R142" s="3089"/>
      <c r="S142" s="4527"/>
      <c r="T142" s="4485"/>
      <c r="U142" s="3089"/>
      <c r="V142" s="3100"/>
      <c r="W142" s="1940" t="s">
        <v>3012</v>
      </c>
      <c r="X142" s="829">
        <v>6000000</v>
      </c>
      <c r="Y142" s="2101">
        <v>6000000</v>
      </c>
      <c r="Z142" s="2101">
        <v>6000000</v>
      </c>
      <c r="AA142" s="2080" t="s">
        <v>3005</v>
      </c>
      <c r="AB142" s="2125">
        <v>61</v>
      </c>
      <c r="AC142" s="1967" t="s">
        <v>2740</v>
      </c>
      <c r="AD142" s="4551"/>
      <c r="AE142" s="4551"/>
      <c r="AF142" s="4551"/>
      <c r="AG142" s="4551"/>
      <c r="AH142" s="4554"/>
      <c r="AI142" s="4551"/>
      <c r="AJ142" s="4551"/>
      <c r="AK142" s="4551"/>
      <c r="AL142" s="4551"/>
      <c r="AM142" s="4551"/>
      <c r="AN142" s="4551"/>
      <c r="AO142" s="4551"/>
      <c r="AP142" s="4551"/>
      <c r="AQ142" s="4551"/>
      <c r="AR142" s="4551"/>
      <c r="AS142" s="4551"/>
      <c r="AT142" s="4551"/>
      <c r="AU142" s="4551"/>
      <c r="AV142" s="4551"/>
      <c r="AW142" s="4551"/>
      <c r="AX142" s="4551"/>
      <c r="AY142" s="4551"/>
      <c r="AZ142" s="4551"/>
      <c r="BA142" s="4551"/>
      <c r="BB142" s="4551"/>
      <c r="BC142" s="4551"/>
      <c r="BD142" s="4551"/>
      <c r="BE142" s="4551"/>
      <c r="BF142" s="4551"/>
      <c r="BG142" s="4551"/>
      <c r="BH142" s="4551"/>
      <c r="BI142" s="4551"/>
      <c r="BJ142" s="4541"/>
      <c r="BK142" s="4541"/>
      <c r="BL142" s="4541"/>
      <c r="BM142" s="4580"/>
      <c r="BN142" s="4541"/>
      <c r="BO142" s="4541"/>
      <c r="BP142" s="4541"/>
      <c r="BQ142" s="4629"/>
      <c r="BR142" s="4629"/>
      <c r="BS142" s="4629"/>
      <c r="BT142" s="4629"/>
      <c r="BU142" s="2502"/>
    </row>
    <row r="143" spans="1:73" s="1965" customFormat="1" ht="67.5" customHeight="1" x14ac:dyDescent="0.25">
      <c r="A143" s="2119"/>
      <c r="B143" s="1944"/>
      <c r="C143" s="1943"/>
      <c r="D143" s="1944"/>
      <c r="E143" s="2128"/>
      <c r="F143" s="2129"/>
      <c r="G143" s="4617"/>
      <c r="H143" s="4619"/>
      <c r="I143" s="4617"/>
      <c r="J143" s="4619"/>
      <c r="K143" s="4622"/>
      <c r="L143" s="4625"/>
      <c r="M143" s="4622"/>
      <c r="N143" s="4625"/>
      <c r="O143" s="4634"/>
      <c r="P143" s="3716"/>
      <c r="Q143" s="4526"/>
      <c r="R143" s="3089"/>
      <c r="S143" s="4527"/>
      <c r="T143" s="4485"/>
      <c r="U143" s="3089"/>
      <c r="V143" s="3100"/>
      <c r="W143" s="1940" t="s">
        <v>3013</v>
      </c>
      <c r="X143" s="829">
        <v>4000000</v>
      </c>
      <c r="Y143" s="2101">
        <v>4000000</v>
      </c>
      <c r="Z143" s="2101">
        <v>4000000</v>
      </c>
      <c r="AA143" s="2080" t="s">
        <v>3005</v>
      </c>
      <c r="AB143" s="2125">
        <v>61</v>
      </c>
      <c r="AC143" s="1967" t="s">
        <v>2740</v>
      </c>
      <c r="AD143" s="4551"/>
      <c r="AE143" s="4551"/>
      <c r="AF143" s="4551"/>
      <c r="AG143" s="4551"/>
      <c r="AH143" s="4554"/>
      <c r="AI143" s="4551"/>
      <c r="AJ143" s="4551"/>
      <c r="AK143" s="4551"/>
      <c r="AL143" s="4551"/>
      <c r="AM143" s="4551"/>
      <c r="AN143" s="4551"/>
      <c r="AO143" s="4551"/>
      <c r="AP143" s="4551"/>
      <c r="AQ143" s="4551"/>
      <c r="AR143" s="4551"/>
      <c r="AS143" s="4551"/>
      <c r="AT143" s="4551"/>
      <c r="AU143" s="4551"/>
      <c r="AV143" s="4551"/>
      <c r="AW143" s="4551"/>
      <c r="AX143" s="4551"/>
      <c r="AY143" s="4551"/>
      <c r="AZ143" s="4551"/>
      <c r="BA143" s="4551"/>
      <c r="BB143" s="4551"/>
      <c r="BC143" s="4551"/>
      <c r="BD143" s="4551"/>
      <c r="BE143" s="4551"/>
      <c r="BF143" s="4551"/>
      <c r="BG143" s="4551"/>
      <c r="BH143" s="4551"/>
      <c r="BI143" s="4551"/>
      <c r="BJ143" s="4541"/>
      <c r="BK143" s="4541"/>
      <c r="BL143" s="4541"/>
      <c r="BM143" s="4580"/>
      <c r="BN143" s="4541"/>
      <c r="BO143" s="4541"/>
      <c r="BP143" s="4541"/>
      <c r="BQ143" s="4629"/>
      <c r="BR143" s="4629"/>
      <c r="BS143" s="4629"/>
      <c r="BT143" s="4629"/>
      <c r="BU143" s="2502"/>
    </row>
    <row r="144" spans="1:73" s="1965" customFormat="1" ht="67.5" customHeight="1" x14ac:dyDescent="0.25">
      <c r="A144" s="2119"/>
      <c r="B144" s="1944"/>
      <c r="C144" s="1943"/>
      <c r="D144" s="1944"/>
      <c r="E144" s="2128"/>
      <c r="F144" s="2129"/>
      <c r="G144" s="4617"/>
      <c r="H144" s="4620"/>
      <c r="I144" s="4617"/>
      <c r="J144" s="4620"/>
      <c r="K144" s="4623"/>
      <c r="L144" s="4626"/>
      <c r="M144" s="4623"/>
      <c r="N144" s="4626"/>
      <c r="O144" s="4635"/>
      <c r="P144" s="3717"/>
      <c r="Q144" s="4526"/>
      <c r="R144" s="3089"/>
      <c r="S144" s="4527"/>
      <c r="T144" s="4485"/>
      <c r="U144" s="3089"/>
      <c r="V144" s="2939"/>
      <c r="W144" s="1940" t="s">
        <v>3014</v>
      </c>
      <c r="X144" s="829">
        <v>4000000</v>
      </c>
      <c r="Y144" s="2101">
        <v>2000000</v>
      </c>
      <c r="Z144" s="2101">
        <v>2000000</v>
      </c>
      <c r="AA144" s="2080" t="s">
        <v>3005</v>
      </c>
      <c r="AB144" s="2125">
        <v>61</v>
      </c>
      <c r="AC144" s="1967" t="s">
        <v>2740</v>
      </c>
      <c r="AD144" s="4551"/>
      <c r="AE144" s="4551"/>
      <c r="AF144" s="4551"/>
      <c r="AG144" s="4551"/>
      <c r="AH144" s="4554"/>
      <c r="AI144" s="4551"/>
      <c r="AJ144" s="4551"/>
      <c r="AK144" s="4551"/>
      <c r="AL144" s="4551"/>
      <c r="AM144" s="4551"/>
      <c r="AN144" s="4551"/>
      <c r="AO144" s="4551"/>
      <c r="AP144" s="4551"/>
      <c r="AQ144" s="4551"/>
      <c r="AR144" s="4551"/>
      <c r="AS144" s="4551"/>
      <c r="AT144" s="4551"/>
      <c r="AU144" s="4551"/>
      <c r="AV144" s="4551"/>
      <c r="AW144" s="4551"/>
      <c r="AX144" s="4551"/>
      <c r="AY144" s="4551"/>
      <c r="AZ144" s="4551"/>
      <c r="BA144" s="4551"/>
      <c r="BB144" s="4551"/>
      <c r="BC144" s="4551"/>
      <c r="BD144" s="4551"/>
      <c r="BE144" s="4551"/>
      <c r="BF144" s="4551"/>
      <c r="BG144" s="4551"/>
      <c r="BH144" s="4551"/>
      <c r="BI144" s="4551"/>
      <c r="BJ144" s="4541"/>
      <c r="BK144" s="4541"/>
      <c r="BL144" s="4541"/>
      <c r="BM144" s="4580"/>
      <c r="BN144" s="4541"/>
      <c r="BO144" s="4541"/>
      <c r="BP144" s="4541"/>
      <c r="BQ144" s="4629"/>
      <c r="BR144" s="4629"/>
      <c r="BS144" s="4629"/>
      <c r="BT144" s="4629"/>
      <c r="BU144" s="2770"/>
    </row>
    <row r="145" spans="1:73" s="1965" customFormat="1" ht="67.5" customHeight="1" x14ac:dyDescent="0.25">
      <c r="A145" s="2119"/>
      <c r="B145" s="1944"/>
      <c r="C145" s="1943"/>
      <c r="D145" s="1944"/>
      <c r="E145" s="2128"/>
      <c r="F145" s="2129"/>
      <c r="G145" s="4536">
        <v>1905020</v>
      </c>
      <c r="H145" s="4538" t="s">
        <v>3015</v>
      </c>
      <c r="I145" s="4536">
        <v>1905020</v>
      </c>
      <c r="J145" s="4538" t="s">
        <v>3015</v>
      </c>
      <c r="K145" s="4487">
        <v>190502000</v>
      </c>
      <c r="L145" s="3105" t="s">
        <v>3016</v>
      </c>
      <c r="M145" s="4487">
        <v>190502000</v>
      </c>
      <c r="N145" s="3105" t="s">
        <v>3003</v>
      </c>
      <c r="O145" s="3104">
        <v>12</v>
      </c>
      <c r="P145" s="3715">
        <v>12</v>
      </c>
      <c r="Q145" s="4526" t="s">
        <v>3017</v>
      </c>
      <c r="R145" s="3089" t="s">
        <v>3018</v>
      </c>
      <c r="S145" s="2790">
        <v>0.83608838914516082</v>
      </c>
      <c r="T145" s="4485">
        <v>701597644</v>
      </c>
      <c r="U145" s="3089" t="s">
        <v>3019</v>
      </c>
      <c r="V145" s="3089" t="s">
        <v>3020</v>
      </c>
      <c r="W145" s="1940" t="s">
        <v>3021</v>
      </c>
      <c r="X145" s="829">
        <v>10000000</v>
      </c>
      <c r="Y145" s="2101">
        <v>10000000</v>
      </c>
      <c r="Z145" s="2101">
        <v>10000000</v>
      </c>
      <c r="AA145" s="2080" t="s">
        <v>3022</v>
      </c>
      <c r="AB145" s="2125">
        <v>61</v>
      </c>
      <c r="AC145" s="1967" t="s">
        <v>2740</v>
      </c>
      <c r="AD145" s="2579">
        <v>283947</v>
      </c>
      <c r="AE145" s="2579"/>
      <c r="AF145" s="2579">
        <v>294321</v>
      </c>
      <c r="AG145" s="2579"/>
      <c r="AH145" s="4483">
        <v>135754</v>
      </c>
      <c r="AI145" s="2579"/>
      <c r="AJ145" s="2579">
        <v>44640</v>
      </c>
      <c r="AK145" s="2579"/>
      <c r="AL145" s="2579">
        <v>308178</v>
      </c>
      <c r="AM145" s="2579"/>
      <c r="AN145" s="2579">
        <v>89696</v>
      </c>
      <c r="AO145" s="2579"/>
      <c r="AP145" s="2579">
        <v>2145</v>
      </c>
      <c r="AQ145" s="2579"/>
      <c r="AR145" s="2579">
        <v>12718</v>
      </c>
      <c r="AS145" s="2579"/>
      <c r="AT145" s="2579">
        <v>26</v>
      </c>
      <c r="AU145" s="2579"/>
      <c r="AV145" s="2579">
        <v>37</v>
      </c>
      <c r="AW145" s="2579"/>
      <c r="AX145" s="2579">
        <v>0</v>
      </c>
      <c r="AY145" s="2579"/>
      <c r="AZ145" s="2579">
        <v>0</v>
      </c>
      <c r="BA145" s="2579"/>
      <c r="BB145" s="2579">
        <v>88560</v>
      </c>
      <c r="BC145" s="2579"/>
      <c r="BD145" s="2579">
        <v>24486</v>
      </c>
      <c r="BE145" s="2579"/>
      <c r="BF145" s="2579">
        <v>0</v>
      </c>
      <c r="BG145" s="2579"/>
      <c r="BH145" s="2579">
        <v>578268</v>
      </c>
      <c r="BI145" s="2579"/>
      <c r="BJ145" s="2745">
        <v>5</v>
      </c>
      <c r="BK145" s="4506">
        <v>120302495</v>
      </c>
      <c r="BL145" s="4506">
        <v>120302495</v>
      </c>
      <c r="BM145" s="4509">
        <v>1</v>
      </c>
      <c r="BN145" s="2745">
        <v>61</v>
      </c>
      <c r="BO145" s="2745" t="s">
        <v>2811</v>
      </c>
      <c r="BP145" s="2745" t="s">
        <v>2925</v>
      </c>
      <c r="BQ145" s="4481">
        <v>44197</v>
      </c>
      <c r="BR145" s="4481">
        <v>44239</v>
      </c>
      <c r="BS145" s="4481">
        <v>44561</v>
      </c>
      <c r="BT145" s="4481">
        <v>44561</v>
      </c>
      <c r="BU145" s="2745" t="s">
        <v>2744</v>
      </c>
    </row>
    <row r="146" spans="1:73" s="1965" customFormat="1" ht="67.5" customHeight="1" x14ac:dyDescent="0.25">
      <c r="A146" s="2119"/>
      <c r="B146" s="1944"/>
      <c r="C146" s="1943"/>
      <c r="D146" s="1944"/>
      <c r="E146" s="2128"/>
      <c r="F146" s="2129"/>
      <c r="G146" s="4536"/>
      <c r="H146" s="4538"/>
      <c r="I146" s="4536"/>
      <c r="J146" s="4538"/>
      <c r="K146" s="4487"/>
      <c r="L146" s="3105"/>
      <c r="M146" s="4487"/>
      <c r="N146" s="3105"/>
      <c r="O146" s="3104"/>
      <c r="P146" s="3716"/>
      <c r="Q146" s="4526"/>
      <c r="R146" s="3089"/>
      <c r="S146" s="2791"/>
      <c r="T146" s="4485"/>
      <c r="U146" s="3089"/>
      <c r="V146" s="3089"/>
      <c r="W146" s="1940" t="s">
        <v>3023</v>
      </c>
      <c r="X146" s="829">
        <v>10000000</v>
      </c>
      <c r="Y146" s="2101">
        <v>9800000</v>
      </c>
      <c r="Z146" s="2101">
        <v>9800000</v>
      </c>
      <c r="AA146" s="2080" t="s">
        <v>3022</v>
      </c>
      <c r="AB146" s="2125">
        <v>61</v>
      </c>
      <c r="AC146" s="1967" t="s">
        <v>2740</v>
      </c>
      <c r="AD146" s="2580"/>
      <c r="AE146" s="2580"/>
      <c r="AF146" s="2580"/>
      <c r="AG146" s="2580"/>
      <c r="AH146" s="4484"/>
      <c r="AI146" s="2580"/>
      <c r="AJ146" s="2580"/>
      <c r="AK146" s="2580"/>
      <c r="AL146" s="2580"/>
      <c r="AM146" s="2580"/>
      <c r="AN146" s="2580"/>
      <c r="AO146" s="2580"/>
      <c r="AP146" s="2580"/>
      <c r="AQ146" s="2580"/>
      <c r="AR146" s="2580"/>
      <c r="AS146" s="2580"/>
      <c r="AT146" s="2580"/>
      <c r="AU146" s="2580"/>
      <c r="AV146" s="2580"/>
      <c r="AW146" s="2580"/>
      <c r="AX146" s="2580"/>
      <c r="AY146" s="2580"/>
      <c r="AZ146" s="2580"/>
      <c r="BA146" s="2580"/>
      <c r="BB146" s="2580"/>
      <c r="BC146" s="2580"/>
      <c r="BD146" s="2580"/>
      <c r="BE146" s="2580"/>
      <c r="BF146" s="2580"/>
      <c r="BG146" s="2580"/>
      <c r="BH146" s="2580"/>
      <c r="BI146" s="2580"/>
      <c r="BJ146" s="2502"/>
      <c r="BK146" s="2502"/>
      <c r="BL146" s="2502"/>
      <c r="BM146" s="4510"/>
      <c r="BN146" s="2502"/>
      <c r="BO146" s="2502"/>
      <c r="BP146" s="2502"/>
      <c r="BQ146" s="4504"/>
      <c r="BR146" s="4504"/>
      <c r="BS146" s="4504"/>
      <c r="BT146" s="4504"/>
      <c r="BU146" s="2502"/>
    </row>
    <row r="147" spans="1:73" s="1965" customFormat="1" ht="67.5" customHeight="1" x14ac:dyDescent="0.25">
      <c r="A147" s="2119"/>
      <c r="B147" s="1944"/>
      <c r="C147" s="1943"/>
      <c r="D147" s="1944"/>
      <c r="E147" s="2128"/>
      <c r="F147" s="2129"/>
      <c r="G147" s="4536"/>
      <c r="H147" s="4538"/>
      <c r="I147" s="4536"/>
      <c r="J147" s="4538"/>
      <c r="K147" s="4487"/>
      <c r="L147" s="3105"/>
      <c r="M147" s="4487"/>
      <c r="N147" s="3105"/>
      <c r="O147" s="3104"/>
      <c r="P147" s="3716"/>
      <c r="Q147" s="4526"/>
      <c r="R147" s="3089"/>
      <c r="S147" s="2791"/>
      <c r="T147" s="4485"/>
      <c r="U147" s="3089"/>
      <c r="V147" s="3089"/>
      <c r="W147" s="1940" t="s">
        <v>3024</v>
      </c>
      <c r="X147" s="829">
        <v>8000000</v>
      </c>
      <c r="Y147" s="2101">
        <v>8000000</v>
      </c>
      <c r="Z147" s="2101">
        <v>8000000</v>
      </c>
      <c r="AA147" s="2080" t="s">
        <v>3022</v>
      </c>
      <c r="AB147" s="2125">
        <v>61</v>
      </c>
      <c r="AC147" s="1967" t="s">
        <v>2740</v>
      </c>
      <c r="AD147" s="2580"/>
      <c r="AE147" s="2580"/>
      <c r="AF147" s="2580"/>
      <c r="AG147" s="2580"/>
      <c r="AH147" s="4484"/>
      <c r="AI147" s="2580"/>
      <c r="AJ147" s="2580"/>
      <c r="AK147" s="2580"/>
      <c r="AL147" s="2580"/>
      <c r="AM147" s="2580"/>
      <c r="AN147" s="2580"/>
      <c r="AO147" s="2580"/>
      <c r="AP147" s="2580"/>
      <c r="AQ147" s="2580"/>
      <c r="AR147" s="2580"/>
      <c r="AS147" s="2580"/>
      <c r="AT147" s="2580"/>
      <c r="AU147" s="2580"/>
      <c r="AV147" s="2580"/>
      <c r="AW147" s="2580"/>
      <c r="AX147" s="2580"/>
      <c r="AY147" s="2580"/>
      <c r="AZ147" s="2580"/>
      <c r="BA147" s="2580"/>
      <c r="BB147" s="2580"/>
      <c r="BC147" s="2580"/>
      <c r="BD147" s="2580"/>
      <c r="BE147" s="2580"/>
      <c r="BF147" s="2580"/>
      <c r="BG147" s="2580"/>
      <c r="BH147" s="2580"/>
      <c r="BI147" s="2580"/>
      <c r="BJ147" s="2502"/>
      <c r="BK147" s="2502"/>
      <c r="BL147" s="2502"/>
      <c r="BM147" s="4510"/>
      <c r="BN147" s="2502"/>
      <c r="BO147" s="2502"/>
      <c r="BP147" s="2502"/>
      <c r="BQ147" s="4504"/>
      <c r="BR147" s="4504"/>
      <c r="BS147" s="4504"/>
      <c r="BT147" s="4504"/>
      <c r="BU147" s="2502"/>
    </row>
    <row r="148" spans="1:73" s="1965" customFormat="1" ht="67.5" customHeight="1" x14ac:dyDescent="0.25">
      <c r="A148" s="2119"/>
      <c r="B148" s="1944"/>
      <c r="C148" s="1943"/>
      <c r="D148" s="1944"/>
      <c r="E148" s="2128"/>
      <c r="F148" s="2129"/>
      <c r="G148" s="4536"/>
      <c r="H148" s="4538"/>
      <c r="I148" s="4536"/>
      <c r="J148" s="4538"/>
      <c r="K148" s="4487"/>
      <c r="L148" s="3105"/>
      <c r="M148" s="4487"/>
      <c r="N148" s="3105"/>
      <c r="O148" s="3104"/>
      <c r="P148" s="3716"/>
      <c r="Q148" s="4526"/>
      <c r="R148" s="3089"/>
      <c r="S148" s="2791"/>
      <c r="T148" s="4485"/>
      <c r="U148" s="3089"/>
      <c r="V148" s="3089"/>
      <c r="W148" s="1936" t="s">
        <v>3025</v>
      </c>
      <c r="X148" s="2083">
        <v>548597644</v>
      </c>
      <c r="Y148" s="2142">
        <v>0</v>
      </c>
      <c r="Z148" s="2142">
        <v>0</v>
      </c>
      <c r="AA148" s="2080" t="s">
        <v>3026</v>
      </c>
      <c r="AB148" s="2125">
        <v>203</v>
      </c>
      <c r="AC148" s="1967"/>
      <c r="AD148" s="2580"/>
      <c r="AE148" s="2580"/>
      <c r="AF148" s="2580"/>
      <c r="AG148" s="2580"/>
      <c r="AH148" s="4484"/>
      <c r="AI148" s="2580"/>
      <c r="AJ148" s="2580"/>
      <c r="AK148" s="2580"/>
      <c r="AL148" s="2580"/>
      <c r="AM148" s="2580"/>
      <c r="AN148" s="2580"/>
      <c r="AO148" s="2580"/>
      <c r="AP148" s="2580"/>
      <c r="AQ148" s="2580"/>
      <c r="AR148" s="2580"/>
      <c r="AS148" s="2580"/>
      <c r="AT148" s="2580"/>
      <c r="AU148" s="2580"/>
      <c r="AV148" s="2580"/>
      <c r="AW148" s="2580"/>
      <c r="AX148" s="2580"/>
      <c r="AY148" s="2580"/>
      <c r="AZ148" s="2580"/>
      <c r="BA148" s="2580"/>
      <c r="BB148" s="2580"/>
      <c r="BC148" s="2580"/>
      <c r="BD148" s="2580"/>
      <c r="BE148" s="2580"/>
      <c r="BF148" s="2580"/>
      <c r="BG148" s="2580"/>
      <c r="BH148" s="2580"/>
      <c r="BI148" s="2580"/>
      <c r="BJ148" s="2502"/>
      <c r="BK148" s="2502"/>
      <c r="BL148" s="2502"/>
      <c r="BM148" s="4510"/>
      <c r="BN148" s="2502"/>
      <c r="BO148" s="2502"/>
      <c r="BP148" s="2502"/>
      <c r="BQ148" s="4504"/>
      <c r="BR148" s="4504"/>
      <c r="BS148" s="4504"/>
      <c r="BT148" s="4504"/>
      <c r="BU148" s="2502"/>
    </row>
    <row r="149" spans="1:73" s="1965" customFormat="1" ht="67.5" customHeight="1" x14ac:dyDescent="0.25">
      <c r="A149" s="2119"/>
      <c r="B149" s="1944"/>
      <c r="C149" s="1943"/>
      <c r="D149" s="1944"/>
      <c r="E149" s="2128"/>
      <c r="F149" s="2129"/>
      <c r="G149" s="4536"/>
      <c r="H149" s="4538"/>
      <c r="I149" s="4536"/>
      <c r="J149" s="4538"/>
      <c r="K149" s="4487"/>
      <c r="L149" s="3105"/>
      <c r="M149" s="4487"/>
      <c r="N149" s="3105"/>
      <c r="O149" s="3104">
        <v>12</v>
      </c>
      <c r="P149" s="3717"/>
      <c r="Q149" s="4526"/>
      <c r="R149" s="3089"/>
      <c r="S149" s="2792"/>
      <c r="T149" s="4485"/>
      <c r="U149" s="3089"/>
      <c r="V149" s="3089"/>
      <c r="W149" s="1936" t="s">
        <v>3027</v>
      </c>
      <c r="X149" s="2083">
        <v>10000000</v>
      </c>
      <c r="Y149" s="2142">
        <v>10000000</v>
      </c>
      <c r="Z149" s="2142">
        <v>10000000</v>
      </c>
      <c r="AA149" s="2080" t="s">
        <v>3022</v>
      </c>
      <c r="AB149" s="2125">
        <v>61</v>
      </c>
      <c r="AC149" s="1967" t="s">
        <v>2740</v>
      </c>
      <c r="AD149" s="2580"/>
      <c r="AE149" s="2580"/>
      <c r="AF149" s="2580"/>
      <c r="AG149" s="2580"/>
      <c r="AH149" s="4484"/>
      <c r="AI149" s="2580"/>
      <c r="AJ149" s="2580"/>
      <c r="AK149" s="2580"/>
      <c r="AL149" s="2580"/>
      <c r="AM149" s="2580"/>
      <c r="AN149" s="2580"/>
      <c r="AO149" s="2580"/>
      <c r="AP149" s="2580"/>
      <c r="AQ149" s="2580"/>
      <c r="AR149" s="2580"/>
      <c r="AS149" s="2580"/>
      <c r="AT149" s="2580"/>
      <c r="AU149" s="2580"/>
      <c r="AV149" s="2580"/>
      <c r="AW149" s="2580"/>
      <c r="AX149" s="2580"/>
      <c r="AY149" s="2580"/>
      <c r="AZ149" s="2580"/>
      <c r="BA149" s="2580"/>
      <c r="BB149" s="2580"/>
      <c r="BC149" s="2580"/>
      <c r="BD149" s="2580"/>
      <c r="BE149" s="2580"/>
      <c r="BF149" s="2580"/>
      <c r="BG149" s="2580"/>
      <c r="BH149" s="2580"/>
      <c r="BI149" s="2580"/>
      <c r="BJ149" s="2502"/>
      <c r="BK149" s="2502"/>
      <c r="BL149" s="2502"/>
      <c r="BM149" s="4510"/>
      <c r="BN149" s="2502"/>
      <c r="BO149" s="2502"/>
      <c r="BP149" s="2502"/>
      <c r="BQ149" s="4504"/>
      <c r="BR149" s="4504"/>
      <c r="BS149" s="4504"/>
      <c r="BT149" s="4504"/>
      <c r="BU149" s="2502"/>
    </row>
    <row r="150" spans="1:73" s="1965" customFormat="1" ht="67.5" customHeight="1" x14ac:dyDescent="0.25">
      <c r="A150" s="2119"/>
      <c r="B150" s="1944"/>
      <c r="C150" s="1943"/>
      <c r="D150" s="1944"/>
      <c r="E150" s="2128"/>
      <c r="F150" s="2129"/>
      <c r="G150" s="4536">
        <v>1905022</v>
      </c>
      <c r="H150" s="4539" t="s">
        <v>1197</v>
      </c>
      <c r="I150" s="4536">
        <v>1905022</v>
      </c>
      <c r="J150" s="4539" t="s">
        <v>1197</v>
      </c>
      <c r="K150" s="4483">
        <v>190502200</v>
      </c>
      <c r="L150" s="3024" t="s">
        <v>1198</v>
      </c>
      <c r="M150" s="4483">
        <v>190502200</v>
      </c>
      <c r="N150" s="3024" t="s">
        <v>1198</v>
      </c>
      <c r="O150" s="4611">
        <v>12</v>
      </c>
      <c r="P150" s="4614">
        <v>12</v>
      </c>
      <c r="Q150" s="4526"/>
      <c r="R150" s="3089"/>
      <c r="S150" s="2790">
        <v>9.5068734295806728E-2</v>
      </c>
      <c r="T150" s="4485"/>
      <c r="U150" s="3089"/>
      <c r="V150" s="3089" t="s">
        <v>3028</v>
      </c>
      <c r="W150" s="1940" t="s">
        <v>3029</v>
      </c>
      <c r="X150" s="829">
        <v>14000000</v>
      </c>
      <c r="Y150" s="2101">
        <v>7576996</v>
      </c>
      <c r="Z150" s="2101">
        <v>7576996</v>
      </c>
      <c r="AA150" s="2080" t="s">
        <v>3030</v>
      </c>
      <c r="AB150" s="2125">
        <v>61</v>
      </c>
      <c r="AC150" s="1967" t="s">
        <v>2740</v>
      </c>
      <c r="AD150" s="2580"/>
      <c r="AE150" s="2580"/>
      <c r="AF150" s="2580"/>
      <c r="AG150" s="2580"/>
      <c r="AH150" s="4484"/>
      <c r="AI150" s="2580"/>
      <c r="AJ150" s="2580"/>
      <c r="AK150" s="2580"/>
      <c r="AL150" s="2580"/>
      <c r="AM150" s="2580"/>
      <c r="AN150" s="2580"/>
      <c r="AO150" s="2580"/>
      <c r="AP150" s="2580"/>
      <c r="AQ150" s="2580"/>
      <c r="AR150" s="2580"/>
      <c r="AS150" s="2580"/>
      <c r="AT150" s="2580"/>
      <c r="AU150" s="2580"/>
      <c r="AV150" s="2580"/>
      <c r="AW150" s="2580"/>
      <c r="AX150" s="2580"/>
      <c r="AY150" s="2580"/>
      <c r="AZ150" s="2580"/>
      <c r="BA150" s="2580"/>
      <c r="BB150" s="2580"/>
      <c r="BC150" s="2580"/>
      <c r="BD150" s="2580"/>
      <c r="BE150" s="2580"/>
      <c r="BF150" s="2580"/>
      <c r="BG150" s="2580"/>
      <c r="BH150" s="2580"/>
      <c r="BI150" s="2580"/>
      <c r="BJ150" s="2502"/>
      <c r="BK150" s="2502"/>
      <c r="BL150" s="2502"/>
      <c r="BM150" s="4510"/>
      <c r="BN150" s="2502"/>
      <c r="BO150" s="2502"/>
      <c r="BP150" s="2502"/>
      <c r="BQ150" s="4504"/>
      <c r="BR150" s="4504"/>
      <c r="BS150" s="4504"/>
      <c r="BT150" s="4504"/>
      <c r="BU150" s="2502"/>
    </row>
    <row r="151" spans="1:73" s="1965" customFormat="1" ht="86.25" customHeight="1" x14ac:dyDescent="0.25">
      <c r="A151" s="2119"/>
      <c r="B151" s="1944"/>
      <c r="C151" s="1943"/>
      <c r="D151" s="1944"/>
      <c r="E151" s="2128"/>
      <c r="F151" s="2129"/>
      <c r="G151" s="4536"/>
      <c r="H151" s="4627"/>
      <c r="I151" s="4536"/>
      <c r="J151" s="4627"/>
      <c r="K151" s="4484"/>
      <c r="L151" s="3025"/>
      <c r="M151" s="4484"/>
      <c r="N151" s="3025"/>
      <c r="O151" s="4612"/>
      <c r="P151" s="4615"/>
      <c r="Q151" s="4526"/>
      <c r="R151" s="3089"/>
      <c r="S151" s="2791"/>
      <c r="T151" s="4485"/>
      <c r="U151" s="3089"/>
      <c r="V151" s="3089"/>
      <c r="W151" s="1940" t="s">
        <v>3031</v>
      </c>
      <c r="X151" s="829">
        <v>19000000</v>
      </c>
      <c r="Y151" s="2101">
        <v>19000000</v>
      </c>
      <c r="Z151" s="2101">
        <v>19000000</v>
      </c>
      <c r="AA151" s="2080" t="s">
        <v>3030</v>
      </c>
      <c r="AB151" s="2125">
        <v>61</v>
      </c>
      <c r="AC151" s="1967" t="s">
        <v>2740</v>
      </c>
      <c r="AD151" s="2580"/>
      <c r="AE151" s="2580"/>
      <c r="AF151" s="2580"/>
      <c r="AG151" s="2580"/>
      <c r="AH151" s="4484"/>
      <c r="AI151" s="2580"/>
      <c r="AJ151" s="2580"/>
      <c r="AK151" s="2580"/>
      <c r="AL151" s="2580"/>
      <c r="AM151" s="2580"/>
      <c r="AN151" s="2580"/>
      <c r="AO151" s="2580"/>
      <c r="AP151" s="2580"/>
      <c r="AQ151" s="2580"/>
      <c r="AR151" s="2580"/>
      <c r="AS151" s="2580"/>
      <c r="AT151" s="2580"/>
      <c r="AU151" s="2580"/>
      <c r="AV151" s="2580"/>
      <c r="AW151" s="2580"/>
      <c r="AX151" s="2580"/>
      <c r="AY151" s="2580"/>
      <c r="AZ151" s="2580"/>
      <c r="BA151" s="2580"/>
      <c r="BB151" s="2580"/>
      <c r="BC151" s="2580"/>
      <c r="BD151" s="2580"/>
      <c r="BE151" s="2580"/>
      <c r="BF151" s="2580"/>
      <c r="BG151" s="2580"/>
      <c r="BH151" s="2580"/>
      <c r="BI151" s="2580"/>
      <c r="BJ151" s="2502"/>
      <c r="BK151" s="2502"/>
      <c r="BL151" s="2502"/>
      <c r="BM151" s="4510"/>
      <c r="BN151" s="2502"/>
      <c r="BO151" s="2502"/>
      <c r="BP151" s="2502"/>
      <c r="BQ151" s="4504"/>
      <c r="BR151" s="4504"/>
      <c r="BS151" s="4504"/>
      <c r="BT151" s="4504"/>
      <c r="BU151" s="2502"/>
    </row>
    <row r="152" spans="1:73" s="1965" customFormat="1" ht="103.5" customHeight="1" x14ac:dyDescent="0.25">
      <c r="A152" s="2119"/>
      <c r="B152" s="1944"/>
      <c r="C152" s="1943"/>
      <c r="D152" s="1944"/>
      <c r="E152" s="2128"/>
      <c r="F152" s="2129"/>
      <c r="G152" s="4536"/>
      <c r="H152" s="4627"/>
      <c r="I152" s="4536"/>
      <c r="J152" s="4627"/>
      <c r="K152" s="4484"/>
      <c r="L152" s="3025"/>
      <c r="M152" s="4484"/>
      <c r="N152" s="3025"/>
      <c r="O152" s="4612"/>
      <c r="P152" s="4615"/>
      <c r="Q152" s="4526"/>
      <c r="R152" s="3089"/>
      <c r="S152" s="2791"/>
      <c r="T152" s="4485"/>
      <c r="U152" s="3089"/>
      <c r="V152" s="3089"/>
      <c r="W152" s="1940" t="s">
        <v>3032</v>
      </c>
      <c r="X152" s="829">
        <v>9700000</v>
      </c>
      <c r="Y152" s="2142"/>
      <c r="Z152" s="2105"/>
      <c r="AA152" s="2080" t="s">
        <v>3030</v>
      </c>
      <c r="AB152" s="2125"/>
      <c r="AC152" s="1967"/>
      <c r="AD152" s="2580"/>
      <c r="AE152" s="2580"/>
      <c r="AF152" s="2580"/>
      <c r="AG152" s="2580"/>
      <c r="AH152" s="4484"/>
      <c r="AI152" s="2580"/>
      <c r="AJ152" s="2580"/>
      <c r="AK152" s="2580"/>
      <c r="AL152" s="2580"/>
      <c r="AM152" s="2580"/>
      <c r="AN152" s="2580"/>
      <c r="AO152" s="2580"/>
      <c r="AP152" s="2580"/>
      <c r="AQ152" s="2580"/>
      <c r="AR152" s="2580"/>
      <c r="AS152" s="2580"/>
      <c r="AT152" s="2580"/>
      <c r="AU152" s="2580"/>
      <c r="AV152" s="2580"/>
      <c r="AW152" s="2580"/>
      <c r="AX152" s="2580"/>
      <c r="AY152" s="2580"/>
      <c r="AZ152" s="2580"/>
      <c r="BA152" s="2580"/>
      <c r="BB152" s="2580"/>
      <c r="BC152" s="2580"/>
      <c r="BD152" s="2580"/>
      <c r="BE152" s="2580"/>
      <c r="BF152" s="2580"/>
      <c r="BG152" s="2580"/>
      <c r="BH152" s="2580"/>
      <c r="BI152" s="2580"/>
      <c r="BJ152" s="2502"/>
      <c r="BK152" s="2502"/>
      <c r="BL152" s="2502"/>
      <c r="BM152" s="4510"/>
      <c r="BN152" s="2502"/>
      <c r="BO152" s="2502"/>
      <c r="BP152" s="2502"/>
      <c r="BQ152" s="4504"/>
      <c r="BR152" s="4504"/>
      <c r="BS152" s="4504"/>
      <c r="BT152" s="4504"/>
      <c r="BU152" s="2502"/>
    </row>
    <row r="153" spans="1:73" s="1965" customFormat="1" ht="90" customHeight="1" x14ac:dyDescent="0.25">
      <c r="A153" s="2119"/>
      <c r="B153" s="1944"/>
      <c r="C153" s="1943"/>
      <c r="D153" s="1944"/>
      <c r="E153" s="2128"/>
      <c r="F153" s="2129"/>
      <c r="G153" s="4536"/>
      <c r="H153" s="4627"/>
      <c r="I153" s="4536"/>
      <c r="J153" s="4627"/>
      <c r="K153" s="4484"/>
      <c r="L153" s="3025"/>
      <c r="M153" s="4484"/>
      <c r="N153" s="3025"/>
      <c r="O153" s="4612"/>
      <c r="P153" s="4615"/>
      <c r="Q153" s="4526"/>
      <c r="R153" s="3089"/>
      <c r="S153" s="2791"/>
      <c r="T153" s="4485"/>
      <c r="U153" s="3089"/>
      <c r="V153" s="3089"/>
      <c r="W153" s="1940" t="s">
        <v>3033</v>
      </c>
      <c r="X153" s="829">
        <v>12000000</v>
      </c>
      <c r="Y153" s="2142">
        <v>12000000</v>
      </c>
      <c r="Z153" s="2142">
        <v>12000000</v>
      </c>
      <c r="AA153" s="2080" t="s">
        <v>3030</v>
      </c>
      <c r="AB153" s="2125">
        <v>61</v>
      </c>
      <c r="AC153" s="1967" t="s">
        <v>2740</v>
      </c>
      <c r="AD153" s="2580"/>
      <c r="AE153" s="2580"/>
      <c r="AF153" s="2580"/>
      <c r="AG153" s="2580"/>
      <c r="AH153" s="4484"/>
      <c r="AI153" s="2580"/>
      <c r="AJ153" s="2580"/>
      <c r="AK153" s="2580"/>
      <c r="AL153" s="2580"/>
      <c r="AM153" s="2580"/>
      <c r="AN153" s="2580"/>
      <c r="AO153" s="2580"/>
      <c r="AP153" s="2580"/>
      <c r="AQ153" s="2580"/>
      <c r="AR153" s="2580"/>
      <c r="AS153" s="2580"/>
      <c r="AT153" s="2580"/>
      <c r="AU153" s="2580"/>
      <c r="AV153" s="2580"/>
      <c r="AW153" s="2580"/>
      <c r="AX153" s="2580"/>
      <c r="AY153" s="2580"/>
      <c r="AZ153" s="2580"/>
      <c r="BA153" s="2580"/>
      <c r="BB153" s="2580"/>
      <c r="BC153" s="2580"/>
      <c r="BD153" s="2580"/>
      <c r="BE153" s="2580"/>
      <c r="BF153" s="2580"/>
      <c r="BG153" s="2580"/>
      <c r="BH153" s="2580"/>
      <c r="BI153" s="2580"/>
      <c r="BJ153" s="2502"/>
      <c r="BK153" s="2502"/>
      <c r="BL153" s="2502"/>
      <c r="BM153" s="4510"/>
      <c r="BN153" s="2502"/>
      <c r="BO153" s="2502"/>
      <c r="BP153" s="2502"/>
      <c r="BQ153" s="4504"/>
      <c r="BR153" s="4504"/>
      <c r="BS153" s="4504"/>
      <c r="BT153" s="4504"/>
      <c r="BU153" s="2502"/>
    </row>
    <row r="154" spans="1:73" s="1965" customFormat="1" ht="67.5" customHeight="1" x14ac:dyDescent="0.25">
      <c r="A154" s="2119"/>
      <c r="B154" s="1944"/>
      <c r="C154" s="1943"/>
      <c r="D154" s="1944"/>
      <c r="E154" s="2128"/>
      <c r="F154" s="2129"/>
      <c r="G154" s="4536"/>
      <c r="H154" s="4628"/>
      <c r="I154" s="4536"/>
      <c r="J154" s="4628"/>
      <c r="K154" s="4494"/>
      <c r="L154" s="3052"/>
      <c r="M154" s="4494"/>
      <c r="N154" s="3052"/>
      <c r="O154" s="4613"/>
      <c r="P154" s="4616"/>
      <c r="Q154" s="4526"/>
      <c r="R154" s="3089"/>
      <c r="S154" s="2792"/>
      <c r="T154" s="4485"/>
      <c r="U154" s="3089"/>
      <c r="V154" s="3089"/>
      <c r="W154" s="1936" t="s">
        <v>3034</v>
      </c>
      <c r="X154" s="2083">
        <v>12000000</v>
      </c>
      <c r="Y154" s="2083">
        <v>9000000</v>
      </c>
      <c r="Z154" s="2083">
        <v>9000000</v>
      </c>
      <c r="AA154" s="2080" t="s">
        <v>3030</v>
      </c>
      <c r="AB154" s="2125">
        <v>61</v>
      </c>
      <c r="AC154" s="1967" t="s">
        <v>2740</v>
      </c>
      <c r="AD154" s="2580"/>
      <c r="AE154" s="2580"/>
      <c r="AF154" s="2580"/>
      <c r="AG154" s="2580"/>
      <c r="AH154" s="4484"/>
      <c r="AI154" s="2580"/>
      <c r="AJ154" s="2580"/>
      <c r="AK154" s="2580"/>
      <c r="AL154" s="2580"/>
      <c r="AM154" s="2580"/>
      <c r="AN154" s="2580"/>
      <c r="AO154" s="2580"/>
      <c r="AP154" s="2580"/>
      <c r="AQ154" s="2580"/>
      <c r="AR154" s="2580"/>
      <c r="AS154" s="2580"/>
      <c r="AT154" s="2580"/>
      <c r="AU154" s="2580"/>
      <c r="AV154" s="2580"/>
      <c r="AW154" s="2580"/>
      <c r="AX154" s="2580"/>
      <c r="AY154" s="2580"/>
      <c r="AZ154" s="2580"/>
      <c r="BA154" s="2580"/>
      <c r="BB154" s="2580"/>
      <c r="BC154" s="2580"/>
      <c r="BD154" s="2580"/>
      <c r="BE154" s="2580"/>
      <c r="BF154" s="2580"/>
      <c r="BG154" s="2580"/>
      <c r="BH154" s="2580"/>
      <c r="BI154" s="2580"/>
      <c r="BJ154" s="2502"/>
      <c r="BK154" s="2502"/>
      <c r="BL154" s="2502"/>
      <c r="BM154" s="4510"/>
      <c r="BN154" s="2502"/>
      <c r="BO154" s="2502"/>
      <c r="BP154" s="2502"/>
      <c r="BQ154" s="4504"/>
      <c r="BR154" s="4504"/>
      <c r="BS154" s="4504"/>
      <c r="BT154" s="4504"/>
      <c r="BU154" s="2502"/>
    </row>
    <row r="155" spans="1:73" s="1965" customFormat="1" ht="67.5" customHeight="1" x14ac:dyDescent="0.25">
      <c r="A155" s="2119"/>
      <c r="B155" s="1944"/>
      <c r="C155" s="1943"/>
      <c r="D155" s="1944"/>
      <c r="E155" s="2128"/>
      <c r="F155" s="2129"/>
      <c r="G155" s="4536" t="s">
        <v>20</v>
      </c>
      <c r="H155" s="4538" t="s">
        <v>3035</v>
      </c>
      <c r="I155" s="4536">
        <v>1905015</v>
      </c>
      <c r="J155" s="4538" t="s">
        <v>941</v>
      </c>
      <c r="K155" s="4487" t="s">
        <v>20</v>
      </c>
      <c r="L155" s="3105" t="s">
        <v>3036</v>
      </c>
      <c r="M155" s="4487" t="s">
        <v>3037</v>
      </c>
      <c r="N155" s="3105" t="s">
        <v>2954</v>
      </c>
      <c r="O155" s="4596">
        <v>1</v>
      </c>
      <c r="P155" s="3715">
        <v>1</v>
      </c>
      <c r="Q155" s="4526"/>
      <c r="R155" s="3089"/>
      <c r="S155" s="4527">
        <v>6.8842876559032457E-2</v>
      </c>
      <c r="T155" s="4485"/>
      <c r="U155" s="3089"/>
      <c r="V155" s="3089" t="s">
        <v>3038</v>
      </c>
      <c r="W155" s="1940" t="s">
        <v>3039</v>
      </c>
      <c r="X155" s="829">
        <v>8300000</v>
      </c>
      <c r="Y155" s="2101">
        <v>8300000</v>
      </c>
      <c r="Z155" s="2101">
        <v>8300000</v>
      </c>
      <c r="AA155" s="2080" t="s">
        <v>3040</v>
      </c>
      <c r="AB155" s="2125">
        <v>61</v>
      </c>
      <c r="AC155" s="1967" t="s">
        <v>2740</v>
      </c>
      <c r="AD155" s="2580"/>
      <c r="AE155" s="2580"/>
      <c r="AF155" s="2580"/>
      <c r="AG155" s="2580"/>
      <c r="AH155" s="4484"/>
      <c r="AI155" s="2580"/>
      <c r="AJ155" s="2580"/>
      <c r="AK155" s="2580"/>
      <c r="AL155" s="2580"/>
      <c r="AM155" s="2580"/>
      <c r="AN155" s="2580"/>
      <c r="AO155" s="2580"/>
      <c r="AP155" s="2580"/>
      <c r="AQ155" s="2580"/>
      <c r="AR155" s="2580"/>
      <c r="AS155" s="2580"/>
      <c r="AT155" s="2580"/>
      <c r="AU155" s="2580"/>
      <c r="AV155" s="2580"/>
      <c r="AW155" s="2580"/>
      <c r="AX155" s="2580"/>
      <c r="AY155" s="2580"/>
      <c r="AZ155" s="2580"/>
      <c r="BA155" s="2580"/>
      <c r="BB155" s="2580"/>
      <c r="BC155" s="2580"/>
      <c r="BD155" s="2580"/>
      <c r="BE155" s="2580"/>
      <c r="BF155" s="2580"/>
      <c r="BG155" s="2580"/>
      <c r="BH155" s="2580"/>
      <c r="BI155" s="2580"/>
      <c r="BJ155" s="2502"/>
      <c r="BK155" s="2502"/>
      <c r="BL155" s="2502"/>
      <c r="BM155" s="4510"/>
      <c r="BN155" s="2502"/>
      <c r="BO155" s="2502"/>
      <c r="BP155" s="2502"/>
      <c r="BQ155" s="4504"/>
      <c r="BR155" s="4504"/>
      <c r="BS155" s="4504"/>
      <c r="BT155" s="4504"/>
      <c r="BU155" s="2502"/>
    </row>
    <row r="156" spans="1:73" s="1965" customFormat="1" ht="58.5" customHeight="1" x14ac:dyDescent="0.25">
      <c r="A156" s="2119"/>
      <c r="B156" s="1944"/>
      <c r="C156" s="1943"/>
      <c r="D156" s="1944"/>
      <c r="E156" s="2128"/>
      <c r="F156" s="2129"/>
      <c r="G156" s="4536"/>
      <c r="H156" s="4538"/>
      <c r="I156" s="4536"/>
      <c r="J156" s="4538"/>
      <c r="K156" s="4487"/>
      <c r="L156" s="3105"/>
      <c r="M156" s="4487"/>
      <c r="N156" s="3105"/>
      <c r="O156" s="4596"/>
      <c r="P156" s="3716"/>
      <c r="Q156" s="4526"/>
      <c r="R156" s="3089"/>
      <c r="S156" s="4527"/>
      <c r="T156" s="4485"/>
      <c r="U156" s="3089"/>
      <c r="V156" s="3089"/>
      <c r="W156" s="1940" t="s">
        <v>3041</v>
      </c>
      <c r="X156" s="829">
        <v>8000000</v>
      </c>
      <c r="Y156" s="2101"/>
      <c r="Z156" s="2105"/>
      <c r="AA156" s="2080" t="s">
        <v>3040</v>
      </c>
      <c r="AB156" s="2125">
        <v>61</v>
      </c>
      <c r="AC156" s="1967" t="s">
        <v>2740</v>
      </c>
      <c r="AD156" s="2580"/>
      <c r="AE156" s="2580"/>
      <c r="AF156" s="2580"/>
      <c r="AG156" s="2580"/>
      <c r="AH156" s="4484"/>
      <c r="AI156" s="2580"/>
      <c r="AJ156" s="2580"/>
      <c r="AK156" s="2580"/>
      <c r="AL156" s="2580"/>
      <c r="AM156" s="2580"/>
      <c r="AN156" s="2580"/>
      <c r="AO156" s="2580"/>
      <c r="AP156" s="2580"/>
      <c r="AQ156" s="2580"/>
      <c r="AR156" s="2580"/>
      <c r="AS156" s="2580"/>
      <c r="AT156" s="2580"/>
      <c r="AU156" s="2580"/>
      <c r="AV156" s="2580"/>
      <c r="AW156" s="2580"/>
      <c r="AX156" s="2580"/>
      <c r="AY156" s="2580"/>
      <c r="AZ156" s="2580"/>
      <c r="BA156" s="2580"/>
      <c r="BB156" s="2580"/>
      <c r="BC156" s="2580"/>
      <c r="BD156" s="2580"/>
      <c r="BE156" s="2580"/>
      <c r="BF156" s="2580"/>
      <c r="BG156" s="2580"/>
      <c r="BH156" s="2580"/>
      <c r="BI156" s="2580"/>
      <c r="BJ156" s="2502"/>
      <c r="BK156" s="2502"/>
      <c r="BL156" s="2502"/>
      <c r="BM156" s="4510"/>
      <c r="BN156" s="2502"/>
      <c r="BO156" s="2502"/>
      <c r="BP156" s="2502"/>
      <c r="BQ156" s="4504"/>
      <c r="BR156" s="4504"/>
      <c r="BS156" s="4504"/>
      <c r="BT156" s="4504"/>
      <c r="BU156" s="2502"/>
    </row>
    <row r="157" spans="1:73" s="1965" customFormat="1" ht="58.5" customHeight="1" x14ac:dyDescent="0.25">
      <c r="A157" s="2119"/>
      <c r="B157" s="1944"/>
      <c r="C157" s="1943"/>
      <c r="D157" s="1944"/>
      <c r="E157" s="2128"/>
      <c r="F157" s="2129"/>
      <c r="G157" s="4536"/>
      <c r="H157" s="4538"/>
      <c r="I157" s="4536"/>
      <c r="J157" s="4538"/>
      <c r="K157" s="4487"/>
      <c r="L157" s="3105"/>
      <c r="M157" s="4487"/>
      <c r="N157" s="3105"/>
      <c r="O157" s="4596"/>
      <c r="P157" s="3716"/>
      <c r="Q157" s="4526"/>
      <c r="R157" s="3089"/>
      <c r="S157" s="4527"/>
      <c r="T157" s="4485"/>
      <c r="U157" s="3089"/>
      <c r="V157" s="3089"/>
      <c r="W157" s="1940" t="s">
        <v>3042</v>
      </c>
      <c r="X157" s="829">
        <v>8000000</v>
      </c>
      <c r="Y157" s="2101">
        <v>8000000</v>
      </c>
      <c r="Z157" s="2101">
        <v>8000000</v>
      </c>
      <c r="AA157" s="2080" t="s">
        <v>3040</v>
      </c>
      <c r="AB157" s="2125">
        <v>61</v>
      </c>
      <c r="AC157" s="1967" t="s">
        <v>2740</v>
      </c>
      <c r="AD157" s="2580"/>
      <c r="AE157" s="2580"/>
      <c r="AF157" s="2580"/>
      <c r="AG157" s="2580"/>
      <c r="AH157" s="4484"/>
      <c r="AI157" s="2580"/>
      <c r="AJ157" s="2580"/>
      <c r="AK157" s="2580"/>
      <c r="AL157" s="2580"/>
      <c r="AM157" s="2580"/>
      <c r="AN157" s="2580"/>
      <c r="AO157" s="2580"/>
      <c r="AP157" s="2580"/>
      <c r="AQ157" s="2580"/>
      <c r="AR157" s="2580"/>
      <c r="AS157" s="2580"/>
      <c r="AT157" s="2580"/>
      <c r="AU157" s="2580"/>
      <c r="AV157" s="2580"/>
      <c r="AW157" s="2580"/>
      <c r="AX157" s="2580"/>
      <c r="AY157" s="2580"/>
      <c r="AZ157" s="2580"/>
      <c r="BA157" s="2580"/>
      <c r="BB157" s="2580"/>
      <c r="BC157" s="2580"/>
      <c r="BD157" s="2580"/>
      <c r="BE157" s="2580"/>
      <c r="BF157" s="2580"/>
      <c r="BG157" s="2580"/>
      <c r="BH157" s="2580"/>
      <c r="BI157" s="2580"/>
      <c r="BJ157" s="2502"/>
      <c r="BK157" s="2502"/>
      <c r="BL157" s="2502"/>
      <c r="BM157" s="4510"/>
      <c r="BN157" s="2502"/>
      <c r="BO157" s="2502"/>
      <c r="BP157" s="2502"/>
      <c r="BQ157" s="4504"/>
      <c r="BR157" s="4504"/>
      <c r="BS157" s="4504"/>
      <c r="BT157" s="4504"/>
      <c r="BU157" s="2502"/>
    </row>
    <row r="158" spans="1:73" s="1965" customFormat="1" ht="58.5" customHeight="1" x14ac:dyDescent="0.25">
      <c r="A158" s="2119"/>
      <c r="B158" s="1944"/>
      <c r="C158" s="1943"/>
      <c r="D158" s="1944"/>
      <c r="E158" s="2128"/>
      <c r="F158" s="2129"/>
      <c r="G158" s="4536"/>
      <c r="H158" s="4538"/>
      <c r="I158" s="4536"/>
      <c r="J158" s="4538"/>
      <c r="K158" s="4487"/>
      <c r="L158" s="3105"/>
      <c r="M158" s="4487"/>
      <c r="N158" s="3105"/>
      <c r="O158" s="4596"/>
      <c r="P158" s="3716"/>
      <c r="Q158" s="4526"/>
      <c r="R158" s="3089"/>
      <c r="S158" s="4527"/>
      <c r="T158" s="4485"/>
      <c r="U158" s="3089"/>
      <c r="V158" s="3089"/>
      <c r="W158" s="1940" t="s">
        <v>3043</v>
      </c>
      <c r="X158" s="829">
        <v>8000000</v>
      </c>
      <c r="Y158" s="2101">
        <v>4000000</v>
      </c>
      <c r="Z158" s="2101">
        <v>4000000</v>
      </c>
      <c r="AA158" s="2080" t="s">
        <v>3040</v>
      </c>
      <c r="AB158" s="2125">
        <v>61</v>
      </c>
      <c r="AC158" s="1967" t="s">
        <v>2740</v>
      </c>
      <c r="AD158" s="2580"/>
      <c r="AE158" s="2580"/>
      <c r="AF158" s="2580"/>
      <c r="AG158" s="2580"/>
      <c r="AH158" s="4484"/>
      <c r="AI158" s="2580"/>
      <c r="AJ158" s="2580"/>
      <c r="AK158" s="2580"/>
      <c r="AL158" s="2580"/>
      <c r="AM158" s="2580"/>
      <c r="AN158" s="2580"/>
      <c r="AO158" s="2580"/>
      <c r="AP158" s="2580"/>
      <c r="AQ158" s="2580"/>
      <c r="AR158" s="2580"/>
      <c r="AS158" s="2580"/>
      <c r="AT158" s="2580"/>
      <c r="AU158" s="2580"/>
      <c r="AV158" s="2580"/>
      <c r="AW158" s="2580"/>
      <c r="AX158" s="2580"/>
      <c r="AY158" s="2580"/>
      <c r="AZ158" s="2580"/>
      <c r="BA158" s="2580"/>
      <c r="BB158" s="2580"/>
      <c r="BC158" s="2580"/>
      <c r="BD158" s="2580"/>
      <c r="BE158" s="2580"/>
      <c r="BF158" s="2580"/>
      <c r="BG158" s="2580"/>
      <c r="BH158" s="2580"/>
      <c r="BI158" s="2580"/>
      <c r="BJ158" s="2502"/>
      <c r="BK158" s="2502"/>
      <c r="BL158" s="2502"/>
      <c r="BM158" s="4510"/>
      <c r="BN158" s="2502"/>
      <c r="BO158" s="2502"/>
      <c r="BP158" s="2502"/>
      <c r="BQ158" s="4504"/>
      <c r="BR158" s="4504"/>
      <c r="BS158" s="4504"/>
      <c r="BT158" s="4504"/>
      <c r="BU158" s="2502"/>
    </row>
    <row r="159" spans="1:73" s="1965" customFormat="1" ht="58.5" customHeight="1" x14ac:dyDescent="0.25">
      <c r="A159" s="2119"/>
      <c r="B159" s="1944"/>
      <c r="C159" s="1943"/>
      <c r="D159" s="1944"/>
      <c r="E159" s="2128"/>
      <c r="F159" s="2129"/>
      <c r="G159" s="4536"/>
      <c r="H159" s="4538"/>
      <c r="I159" s="4536"/>
      <c r="J159" s="4538"/>
      <c r="K159" s="4487"/>
      <c r="L159" s="3105"/>
      <c r="M159" s="4487"/>
      <c r="N159" s="3105"/>
      <c r="O159" s="4596"/>
      <c r="P159" s="3716"/>
      <c r="Q159" s="4526"/>
      <c r="R159" s="3089"/>
      <c r="S159" s="4527"/>
      <c r="T159" s="4485"/>
      <c r="U159" s="3089"/>
      <c r="V159" s="3089"/>
      <c r="W159" s="1940" t="s">
        <v>3044</v>
      </c>
      <c r="X159" s="829">
        <v>9475000</v>
      </c>
      <c r="Y159" s="2101">
        <v>8100499</v>
      </c>
      <c r="Z159" s="2101">
        <v>8100499</v>
      </c>
      <c r="AA159" s="2080" t="s">
        <v>3040</v>
      </c>
      <c r="AB159" s="2125">
        <v>61</v>
      </c>
      <c r="AC159" s="1967" t="s">
        <v>2740</v>
      </c>
      <c r="AD159" s="2580"/>
      <c r="AE159" s="2580"/>
      <c r="AF159" s="2580"/>
      <c r="AG159" s="2580"/>
      <c r="AH159" s="4484"/>
      <c r="AI159" s="2580"/>
      <c r="AJ159" s="2580"/>
      <c r="AK159" s="2580"/>
      <c r="AL159" s="2580"/>
      <c r="AM159" s="2580"/>
      <c r="AN159" s="2580"/>
      <c r="AO159" s="2580"/>
      <c r="AP159" s="2580"/>
      <c r="AQ159" s="2580"/>
      <c r="AR159" s="2580"/>
      <c r="AS159" s="2580"/>
      <c r="AT159" s="2580"/>
      <c r="AU159" s="2580"/>
      <c r="AV159" s="2580"/>
      <c r="AW159" s="2580"/>
      <c r="AX159" s="2580"/>
      <c r="AY159" s="2580"/>
      <c r="AZ159" s="2580"/>
      <c r="BA159" s="2580"/>
      <c r="BB159" s="2580"/>
      <c r="BC159" s="2580"/>
      <c r="BD159" s="2580"/>
      <c r="BE159" s="2580"/>
      <c r="BF159" s="2580"/>
      <c r="BG159" s="2580"/>
      <c r="BH159" s="2580"/>
      <c r="BI159" s="2580"/>
      <c r="BJ159" s="2502"/>
      <c r="BK159" s="2502"/>
      <c r="BL159" s="2502"/>
      <c r="BM159" s="4510"/>
      <c r="BN159" s="2502"/>
      <c r="BO159" s="2502"/>
      <c r="BP159" s="2502"/>
      <c r="BQ159" s="4504"/>
      <c r="BR159" s="4504"/>
      <c r="BS159" s="4504"/>
      <c r="BT159" s="4504"/>
      <c r="BU159" s="2502"/>
    </row>
    <row r="160" spans="1:73" s="1965" customFormat="1" ht="58.5" customHeight="1" x14ac:dyDescent="0.25">
      <c r="A160" s="2119"/>
      <c r="B160" s="1944"/>
      <c r="C160" s="1943"/>
      <c r="D160" s="1944"/>
      <c r="E160" s="2128"/>
      <c r="F160" s="2129"/>
      <c r="G160" s="4536"/>
      <c r="H160" s="4538"/>
      <c r="I160" s="4536"/>
      <c r="J160" s="4538"/>
      <c r="K160" s="4487"/>
      <c r="L160" s="3105"/>
      <c r="M160" s="4487"/>
      <c r="N160" s="3105"/>
      <c r="O160" s="4596"/>
      <c r="P160" s="3717"/>
      <c r="Q160" s="4526"/>
      <c r="R160" s="3089"/>
      <c r="S160" s="4527"/>
      <c r="T160" s="4485"/>
      <c r="U160" s="3089"/>
      <c r="V160" s="3089"/>
      <c r="W160" s="1940" t="s">
        <v>3045</v>
      </c>
      <c r="X160" s="829">
        <v>6525000</v>
      </c>
      <c r="Y160" s="2101">
        <v>6525000</v>
      </c>
      <c r="Z160" s="2101">
        <v>6525000</v>
      </c>
      <c r="AA160" s="2080" t="s">
        <v>3040</v>
      </c>
      <c r="AB160" s="2125">
        <v>61</v>
      </c>
      <c r="AC160" s="1967" t="s">
        <v>2740</v>
      </c>
      <c r="AD160" s="2581"/>
      <c r="AE160" s="2581"/>
      <c r="AF160" s="2580"/>
      <c r="AG160" s="2581"/>
      <c r="AH160" s="4484"/>
      <c r="AI160" s="2581"/>
      <c r="AJ160" s="2580"/>
      <c r="AK160" s="2581"/>
      <c r="AL160" s="2580"/>
      <c r="AM160" s="2581"/>
      <c r="AN160" s="2580"/>
      <c r="AO160" s="2581"/>
      <c r="AP160" s="2580"/>
      <c r="AQ160" s="2581"/>
      <c r="AR160" s="2580"/>
      <c r="AS160" s="2581"/>
      <c r="AT160" s="2580"/>
      <c r="AU160" s="2581"/>
      <c r="AV160" s="2580"/>
      <c r="AW160" s="2581"/>
      <c r="AX160" s="2580"/>
      <c r="AY160" s="2581"/>
      <c r="AZ160" s="2580"/>
      <c r="BA160" s="2581"/>
      <c r="BB160" s="2580"/>
      <c r="BC160" s="2581"/>
      <c r="BD160" s="2580"/>
      <c r="BE160" s="2581"/>
      <c r="BF160" s="2580"/>
      <c r="BG160" s="2581"/>
      <c r="BH160" s="2580"/>
      <c r="BI160" s="2581"/>
      <c r="BJ160" s="2770"/>
      <c r="BK160" s="2770"/>
      <c r="BL160" s="2770"/>
      <c r="BM160" s="4511"/>
      <c r="BN160" s="2770"/>
      <c r="BO160" s="2770"/>
      <c r="BP160" s="2770"/>
      <c r="BQ160" s="4504"/>
      <c r="BR160" s="4504"/>
      <c r="BS160" s="4504"/>
      <c r="BT160" s="4504"/>
      <c r="BU160" s="2502"/>
    </row>
    <row r="161" spans="1:73" s="1965" customFormat="1" ht="101.25" customHeight="1" x14ac:dyDescent="0.25">
      <c r="A161" s="2119"/>
      <c r="B161" s="1944"/>
      <c r="C161" s="1943"/>
      <c r="D161" s="1944"/>
      <c r="E161" s="2128"/>
      <c r="F161" s="2129"/>
      <c r="G161" s="4536">
        <v>1905023</v>
      </c>
      <c r="H161" s="4610" t="s">
        <v>3046</v>
      </c>
      <c r="I161" s="4536">
        <v>1905023</v>
      </c>
      <c r="J161" s="4610" t="s">
        <v>3046</v>
      </c>
      <c r="K161" s="4601">
        <v>190502300</v>
      </c>
      <c r="L161" s="4602" t="s">
        <v>3047</v>
      </c>
      <c r="M161" s="4601">
        <v>190502300</v>
      </c>
      <c r="N161" s="4602" t="s">
        <v>3047</v>
      </c>
      <c r="O161" s="4603">
        <v>12</v>
      </c>
      <c r="P161" s="4604">
        <v>12</v>
      </c>
      <c r="Q161" s="4605" t="s">
        <v>3048</v>
      </c>
      <c r="R161" s="4606" t="s">
        <v>3049</v>
      </c>
      <c r="S161" s="4527">
        <v>0.58011049723756902</v>
      </c>
      <c r="T161" s="4485">
        <v>181000000</v>
      </c>
      <c r="U161" s="3089" t="s">
        <v>3050</v>
      </c>
      <c r="V161" s="3089" t="s">
        <v>3051</v>
      </c>
      <c r="W161" s="1940" t="s">
        <v>3052</v>
      </c>
      <c r="X161" s="829">
        <v>21000000</v>
      </c>
      <c r="Y161" s="2101">
        <v>21000000</v>
      </c>
      <c r="Z161" s="2101">
        <v>21000000</v>
      </c>
      <c r="AA161" s="2080" t="s">
        <v>3053</v>
      </c>
      <c r="AB161" s="2125">
        <v>61</v>
      </c>
      <c r="AC161" s="1967" t="s">
        <v>2740</v>
      </c>
      <c r="AD161" s="2579">
        <v>289394</v>
      </c>
      <c r="AE161" s="2579"/>
      <c r="AF161" s="2579">
        <v>279112</v>
      </c>
      <c r="AG161" s="2579"/>
      <c r="AH161" s="4483">
        <v>63164</v>
      </c>
      <c r="AI161" s="2579"/>
      <c r="AJ161" s="2579">
        <v>45607</v>
      </c>
      <c r="AK161" s="2579"/>
      <c r="AL161" s="2579">
        <v>365607</v>
      </c>
      <c r="AM161" s="2579"/>
      <c r="AN161" s="2579">
        <v>75612</v>
      </c>
      <c r="AO161" s="2579"/>
      <c r="AP161" s="2579">
        <v>2145</v>
      </c>
      <c r="AQ161" s="2579"/>
      <c r="AR161" s="2579">
        <v>12718</v>
      </c>
      <c r="AS161" s="2579"/>
      <c r="AT161" s="2579">
        <v>26</v>
      </c>
      <c r="AU161" s="2579"/>
      <c r="AV161" s="2579">
        <v>37</v>
      </c>
      <c r="AW161" s="2579"/>
      <c r="AX161" s="2579">
        <v>0</v>
      </c>
      <c r="AY161" s="2579"/>
      <c r="AZ161" s="2579">
        <v>0</v>
      </c>
      <c r="BA161" s="2579"/>
      <c r="BB161" s="2579">
        <v>78</v>
      </c>
      <c r="BC161" s="2579"/>
      <c r="BD161" s="2579">
        <v>16897</v>
      </c>
      <c r="BE161" s="2579"/>
      <c r="BF161" s="2579">
        <v>852</v>
      </c>
      <c r="BG161" s="2579"/>
      <c r="BH161" s="2579">
        <v>568506</v>
      </c>
      <c r="BI161" s="2579"/>
      <c r="BJ161" s="2745">
        <v>8</v>
      </c>
      <c r="BK161" s="4506">
        <v>179846000</v>
      </c>
      <c r="BL161" s="4506">
        <v>161256000</v>
      </c>
      <c r="BM161" s="4509">
        <v>0.89663378668416316</v>
      </c>
      <c r="BN161" s="2745">
        <v>61</v>
      </c>
      <c r="BO161" s="2745" t="s">
        <v>2811</v>
      </c>
      <c r="BP161" s="2745" t="s">
        <v>2925</v>
      </c>
      <c r="BQ161" s="4481">
        <v>44197</v>
      </c>
      <c r="BR161" s="4481">
        <v>44243</v>
      </c>
      <c r="BS161" s="4481">
        <v>44561</v>
      </c>
      <c r="BT161" s="4481">
        <v>44561</v>
      </c>
      <c r="BU161" s="2745" t="s">
        <v>2744</v>
      </c>
    </row>
    <row r="162" spans="1:73" s="1965" customFormat="1" ht="72.75" customHeight="1" x14ac:dyDescent="0.25">
      <c r="A162" s="2119"/>
      <c r="B162" s="1944"/>
      <c r="C162" s="1943"/>
      <c r="D162" s="1944"/>
      <c r="E162" s="2128"/>
      <c r="F162" s="2129"/>
      <c r="G162" s="4536"/>
      <c r="H162" s="4599"/>
      <c r="I162" s="4536"/>
      <c r="J162" s="4599"/>
      <c r="K162" s="4600"/>
      <c r="L162" s="3657"/>
      <c r="M162" s="4600"/>
      <c r="N162" s="3657"/>
      <c r="O162" s="3656"/>
      <c r="P162" s="4188"/>
      <c r="Q162" s="3622"/>
      <c r="R162" s="4607"/>
      <c r="S162" s="4527"/>
      <c r="T162" s="4485"/>
      <c r="U162" s="3089"/>
      <c r="V162" s="3089"/>
      <c r="W162" s="1940" t="s">
        <v>3054</v>
      </c>
      <c r="X162" s="829">
        <v>20000000</v>
      </c>
      <c r="Y162" s="2101">
        <v>20000000</v>
      </c>
      <c r="Z162" s="2101">
        <v>20000000</v>
      </c>
      <c r="AA162" s="2080" t="s">
        <v>3053</v>
      </c>
      <c r="AB162" s="2125">
        <v>61</v>
      </c>
      <c r="AC162" s="1967" t="s">
        <v>2740</v>
      </c>
      <c r="AD162" s="2580"/>
      <c r="AE162" s="2580"/>
      <c r="AF162" s="2580"/>
      <c r="AG162" s="2580"/>
      <c r="AH162" s="4484"/>
      <c r="AI162" s="2580"/>
      <c r="AJ162" s="2580"/>
      <c r="AK162" s="2580"/>
      <c r="AL162" s="2580"/>
      <c r="AM162" s="2580"/>
      <c r="AN162" s="2580"/>
      <c r="AO162" s="2580"/>
      <c r="AP162" s="2580"/>
      <c r="AQ162" s="2580"/>
      <c r="AR162" s="2580"/>
      <c r="AS162" s="2580"/>
      <c r="AT162" s="2580"/>
      <c r="AU162" s="2580"/>
      <c r="AV162" s="2580"/>
      <c r="AW162" s="2580"/>
      <c r="AX162" s="2580"/>
      <c r="AY162" s="2580"/>
      <c r="AZ162" s="2580"/>
      <c r="BA162" s="2580"/>
      <c r="BB162" s="2580"/>
      <c r="BC162" s="2580"/>
      <c r="BD162" s="2580"/>
      <c r="BE162" s="2580"/>
      <c r="BF162" s="2580"/>
      <c r="BG162" s="2580"/>
      <c r="BH162" s="2580"/>
      <c r="BI162" s="2580"/>
      <c r="BJ162" s="2502"/>
      <c r="BK162" s="2502"/>
      <c r="BL162" s="2502"/>
      <c r="BM162" s="4510"/>
      <c r="BN162" s="2502"/>
      <c r="BO162" s="2502"/>
      <c r="BP162" s="2502"/>
      <c r="BQ162" s="4504"/>
      <c r="BR162" s="4504"/>
      <c r="BS162" s="4504"/>
      <c r="BT162" s="4504"/>
      <c r="BU162" s="2502"/>
    </row>
    <row r="163" spans="1:73" s="1965" customFormat="1" ht="82.5" customHeight="1" x14ac:dyDescent="0.25">
      <c r="A163" s="2119"/>
      <c r="B163" s="1944"/>
      <c r="C163" s="1943"/>
      <c r="D163" s="1944"/>
      <c r="E163" s="2128"/>
      <c r="F163" s="2129"/>
      <c r="G163" s="4536"/>
      <c r="H163" s="4599"/>
      <c r="I163" s="4536"/>
      <c r="J163" s="4599"/>
      <c r="K163" s="4600"/>
      <c r="L163" s="3657"/>
      <c r="M163" s="4600"/>
      <c r="N163" s="3657"/>
      <c r="O163" s="3656"/>
      <c r="P163" s="4188"/>
      <c r="Q163" s="3622"/>
      <c r="R163" s="4607"/>
      <c r="S163" s="4527"/>
      <c r="T163" s="4485"/>
      <c r="U163" s="3089"/>
      <c r="V163" s="3089"/>
      <c r="W163" s="1940" t="s">
        <v>3055</v>
      </c>
      <c r="X163" s="829">
        <v>22000000</v>
      </c>
      <c r="Y163" s="2101">
        <v>22000000</v>
      </c>
      <c r="Z163" s="2101">
        <v>22000000</v>
      </c>
      <c r="AA163" s="2080" t="s">
        <v>3053</v>
      </c>
      <c r="AB163" s="2125">
        <v>61</v>
      </c>
      <c r="AC163" s="1967" t="s">
        <v>2740</v>
      </c>
      <c r="AD163" s="2580"/>
      <c r="AE163" s="2580"/>
      <c r="AF163" s="2580"/>
      <c r="AG163" s="2580"/>
      <c r="AH163" s="4484"/>
      <c r="AI163" s="2580"/>
      <c r="AJ163" s="2580"/>
      <c r="AK163" s="2580"/>
      <c r="AL163" s="2580"/>
      <c r="AM163" s="2580"/>
      <c r="AN163" s="2580"/>
      <c r="AO163" s="2580"/>
      <c r="AP163" s="2580"/>
      <c r="AQ163" s="2580"/>
      <c r="AR163" s="2580"/>
      <c r="AS163" s="2580"/>
      <c r="AT163" s="2580"/>
      <c r="AU163" s="2580"/>
      <c r="AV163" s="2580"/>
      <c r="AW163" s="2580"/>
      <c r="AX163" s="2580"/>
      <c r="AY163" s="2580"/>
      <c r="AZ163" s="2580"/>
      <c r="BA163" s="2580"/>
      <c r="BB163" s="2580"/>
      <c r="BC163" s="2580"/>
      <c r="BD163" s="2580"/>
      <c r="BE163" s="2580"/>
      <c r="BF163" s="2580"/>
      <c r="BG163" s="2580"/>
      <c r="BH163" s="2580"/>
      <c r="BI163" s="2580"/>
      <c r="BJ163" s="2502"/>
      <c r="BK163" s="2502"/>
      <c r="BL163" s="2502"/>
      <c r="BM163" s="4510"/>
      <c r="BN163" s="2502"/>
      <c r="BO163" s="2502"/>
      <c r="BP163" s="2502"/>
      <c r="BQ163" s="4504"/>
      <c r="BR163" s="4504"/>
      <c r="BS163" s="4504"/>
      <c r="BT163" s="4504"/>
      <c r="BU163" s="2502"/>
    </row>
    <row r="164" spans="1:73" s="1965" customFormat="1" ht="56.25" customHeight="1" x14ac:dyDescent="0.25">
      <c r="A164" s="2119"/>
      <c r="B164" s="1944"/>
      <c r="C164" s="1943"/>
      <c r="D164" s="1944"/>
      <c r="E164" s="2128"/>
      <c r="F164" s="2129"/>
      <c r="G164" s="4536"/>
      <c r="H164" s="4599"/>
      <c r="I164" s="4536"/>
      <c r="J164" s="4599"/>
      <c r="K164" s="4600"/>
      <c r="L164" s="3657"/>
      <c r="M164" s="4600"/>
      <c r="N164" s="3657"/>
      <c r="O164" s="3656"/>
      <c r="P164" s="4188"/>
      <c r="Q164" s="3622"/>
      <c r="R164" s="4607"/>
      <c r="S164" s="4527"/>
      <c r="T164" s="4485"/>
      <c r="U164" s="3089"/>
      <c r="V164" s="3089"/>
      <c r="W164" s="1940" t="s">
        <v>3056</v>
      </c>
      <c r="X164" s="829">
        <v>22000000</v>
      </c>
      <c r="Y164" s="2101">
        <v>22000000</v>
      </c>
      <c r="Z164" s="2101">
        <v>22000000</v>
      </c>
      <c r="AA164" s="2080" t="s">
        <v>3053</v>
      </c>
      <c r="AB164" s="2125">
        <v>61</v>
      </c>
      <c r="AC164" s="1967" t="s">
        <v>2740</v>
      </c>
      <c r="AD164" s="2580"/>
      <c r="AE164" s="2580"/>
      <c r="AF164" s="2580"/>
      <c r="AG164" s="2580"/>
      <c r="AH164" s="4484"/>
      <c r="AI164" s="2580"/>
      <c r="AJ164" s="2580"/>
      <c r="AK164" s="2580"/>
      <c r="AL164" s="2580"/>
      <c r="AM164" s="2580"/>
      <c r="AN164" s="2580"/>
      <c r="AO164" s="2580"/>
      <c r="AP164" s="2580"/>
      <c r="AQ164" s="2580"/>
      <c r="AR164" s="2580"/>
      <c r="AS164" s="2580"/>
      <c r="AT164" s="2580"/>
      <c r="AU164" s="2580"/>
      <c r="AV164" s="2580"/>
      <c r="AW164" s="2580"/>
      <c r="AX164" s="2580"/>
      <c r="AY164" s="2580"/>
      <c r="AZ164" s="2580"/>
      <c r="BA164" s="2580"/>
      <c r="BB164" s="2580"/>
      <c r="BC164" s="2580"/>
      <c r="BD164" s="2580"/>
      <c r="BE164" s="2580"/>
      <c r="BF164" s="2580"/>
      <c r="BG164" s="2580"/>
      <c r="BH164" s="2580"/>
      <c r="BI164" s="2580"/>
      <c r="BJ164" s="2502"/>
      <c r="BK164" s="2502"/>
      <c r="BL164" s="2502"/>
      <c r="BM164" s="4510"/>
      <c r="BN164" s="2502"/>
      <c r="BO164" s="2502"/>
      <c r="BP164" s="2502"/>
      <c r="BQ164" s="4504"/>
      <c r="BR164" s="4504"/>
      <c r="BS164" s="4504"/>
      <c r="BT164" s="4504"/>
      <c r="BU164" s="2502"/>
    </row>
    <row r="165" spans="1:73" s="1965" customFormat="1" ht="108" customHeight="1" x14ac:dyDescent="0.25">
      <c r="A165" s="2119"/>
      <c r="B165" s="1944"/>
      <c r="C165" s="1943"/>
      <c r="D165" s="1944"/>
      <c r="E165" s="2128"/>
      <c r="F165" s="2129"/>
      <c r="G165" s="4536"/>
      <c r="H165" s="4599"/>
      <c r="I165" s="4536"/>
      <c r="J165" s="4599"/>
      <c r="K165" s="4600"/>
      <c r="L165" s="3657"/>
      <c r="M165" s="4600"/>
      <c r="N165" s="3657"/>
      <c r="O165" s="3656"/>
      <c r="P165" s="4097"/>
      <c r="Q165" s="3622"/>
      <c r="R165" s="4607"/>
      <c r="S165" s="4527"/>
      <c r="T165" s="4485"/>
      <c r="U165" s="3089"/>
      <c r="V165" s="3089"/>
      <c r="W165" s="1940" t="s">
        <v>3057</v>
      </c>
      <c r="X165" s="829">
        <v>20000000</v>
      </c>
      <c r="Y165" s="2101">
        <v>20000000</v>
      </c>
      <c r="Z165" s="2101">
        <v>20000000</v>
      </c>
      <c r="AA165" s="2080" t="s">
        <v>3053</v>
      </c>
      <c r="AB165" s="2125">
        <v>61</v>
      </c>
      <c r="AC165" s="1967" t="s">
        <v>2740</v>
      </c>
      <c r="AD165" s="2580"/>
      <c r="AE165" s="2580"/>
      <c r="AF165" s="2580"/>
      <c r="AG165" s="2580"/>
      <c r="AH165" s="4484"/>
      <c r="AI165" s="2580"/>
      <c r="AJ165" s="2580"/>
      <c r="AK165" s="2580"/>
      <c r="AL165" s="2580"/>
      <c r="AM165" s="2580"/>
      <c r="AN165" s="2580"/>
      <c r="AO165" s="2580"/>
      <c r="AP165" s="2580"/>
      <c r="AQ165" s="2580"/>
      <c r="AR165" s="2580"/>
      <c r="AS165" s="2580"/>
      <c r="AT165" s="2580"/>
      <c r="AU165" s="2580"/>
      <c r="AV165" s="2580"/>
      <c r="AW165" s="2580"/>
      <c r="AX165" s="2580"/>
      <c r="AY165" s="2580"/>
      <c r="AZ165" s="2580"/>
      <c r="BA165" s="2580"/>
      <c r="BB165" s="2580"/>
      <c r="BC165" s="2580"/>
      <c r="BD165" s="2580"/>
      <c r="BE165" s="2580"/>
      <c r="BF165" s="2580"/>
      <c r="BG165" s="2580"/>
      <c r="BH165" s="2580"/>
      <c r="BI165" s="2580"/>
      <c r="BJ165" s="2502"/>
      <c r="BK165" s="2502"/>
      <c r="BL165" s="2502"/>
      <c r="BM165" s="4510"/>
      <c r="BN165" s="2502"/>
      <c r="BO165" s="2502"/>
      <c r="BP165" s="2502"/>
      <c r="BQ165" s="4504"/>
      <c r="BR165" s="4504"/>
      <c r="BS165" s="4504"/>
      <c r="BT165" s="4504"/>
      <c r="BU165" s="2502"/>
    </row>
    <row r="166" spans="1:73" s="1965" customFormat="1" ht="57.75" customHeight="1" x14ac:dyDescent="0.25">
      <c r="A166" s="2119"/>
      <c r="B166" s="1944"/>
      <c r="C166" s="1943"/>
      <c r="D166" s="1944"/>
      <c r="E166" s="2128"/>
      <c r="F166" s="2129"/>
      <c r="G166" s="4536">
        <v>1905031</v>
      </c>
      <c r="H166" s="4599" t="s">
        <v>2929</v>
      </c>
      <c r="I166" s="4536">
        <v>1905031</v>
      </c>
      <c r="J166" s="4599" t="s">
        <v>2929</v>
      </c>
      <c r="K166" s="4600">
        <v>190503100</v>
      </c>
      <c r="L166" s="3657" t="s">
        <v>2930</v>
      </c>
      <c r="M166" s="4600">
        <v>190503100</v>
      </c>
      <c r="N166" s="3657" t="s">
        <v>2930</v>
      </c>
      <c r="O166" s="4609">
        <v>12</v>
      </c>
      <c r="P166" s="4187">
        <v>12</v>
      </c>
      <c r="Q166" s="3622"/>
      <c r="R166" s="4607"/>
      <c r="S166" s="4527">
        <v>0.41988950276243092</v>
      </c>
      <c r="T166" s="4485"/>
      <c r="U166" s="3089"/>
      <c r="V166" s="3089" t="s">
        <v>3058</v>
      </c>
      <c r="W166" s="1940" t="s">
        <v>3059</v>
      </c>
      <c r="X166" s="829">
        <v>26000000</v>
      </c>
      <c r="Y166" s="2101">
        <v>24846000</v>
      </c>
      <c r="Z166" s="2101">
        <v>24846000</v>
      </c>
      <c r="AA166" s="2080" t="s">
        <v>3060</v>
      </c>
      <c r="AB166" s="2125">
        <v>61</v>
      </c>
      <c r="AC166" s="1967" t="s">
        <v>2740</v>
      </c>
      <c r="AD166" s="2580"/>
      <c r="AE166" s="2580"/>
      <c r="AF166" s="2580"/>
      <c r="AG166" s="2580"/>
      <c r="AH166" s="4484"/>
      <c r="AI166" s="2580"/>
      <c r="AJ166" s="2580"/>
      <c r="AK166" s="2580"/>
      <c r="AL166" s="2580"/>
      <c r="AM166" s="2580"/>
      <c r="AN166" s="2580"/>
      <c r="AO166" s="2580"/>
      <c r="AP166" s="2580"/>
      <c r="AQ166" s="2580"/>
      <c r="AR166" s="2580"/>
      <c r="AS166" s="2580"/>
      <c r="AT166" s="2580"/>
      <c r="AU166" s="2580"/>
      <c r="AV166" s="2580"/>
      <c r="AW166" s="2580"/>
      <c r="AX166" s="2580"/>
      <c r="AY166" s="2580"/>
      <c r="AZ166" s="2580"/>
      <c r="BA166" s="2580"/>
      <c r="BB166" s="2580"/>
      <c r="BC166" s="2580"/>
      <c r="BD166" s="2580"/>
      <c r="BE166" s="2580"/>
      <c r="BF166" s="2580"/>
      <c r="BG166" s="2580"/>
      <c r="BH166" s="2580"/>
      <c r="BI166" s="2580"/>
      <c r="BJ166" s="2502"/>
      <c r="BK166" s="2502"/>
      <c r="BL166" s="2502"/>
      <c r="BM166" s="4510"/>
      <c r="BN166" s="2502"/>
      <c r="BO166" s="2502"/>
      <c r="BP166" s="2502"/>
      <c r="BQ166" s="4504"/>
      <c r="BR166" s="4504"/>
      <c r="BS166" s="4504"/>
      <c r="BT166" s="4504"/>
      <c r="BU166" s="2502"/>
    </row>
    <row r="167" spans="1:73" s="1965" customFormat="1" ht="75" customHeight="1" x14ac:dyDescent="0.25">
      <c r="A167" s="2119"/>
      <c r="B167" s="1944"/>
      <c r="C167" s="1943"/>
      <c r="D167" s="1944"/>
      <c r="E167" s="2128"/>
      <c r="F167" s="2129"/>
      <c r="G167" s="4536"/>
      <c r="H167" s="4599"/>
      <c r="I167" s="4536"/>
      <c r="J167" s="4599"/>
      <c r="K167" s="4600"/>
      <c r="L167" s="3657"/>
      <c r="M167" s="4600"/>
      <c r="N167" s="3657"/>
      <c r="O167" s="4609"/>
      <c r="P167" s="4188"/>
      <c r="Q167" s="3622"/>
      <c r="R167" s="4607"/>
      <c r="S167" s="4527"/>
      <c r="T167" s="4485"/>
      <c r="U167" s="3089"/>
      <c r="V167" s="3089"/>
      <c r="W167" s="1940" t="s">
        <v>3054</v>
      </c>
      <c r="X167" s="829">
        <v>20000000</v>
      </c>
      <c r="Y167" s="2101">
        <v>20000000</v>
      </c>
      <c r="Z167" s="2101">
        <v>20000000</v>
      </c>
      <c r="AA167" s="2080" t="s">
        <v>3060</v>
      </c>
      <c r="AB167" s="2125">
        <v>61</v>
      </c>
      <c r="AC167" s="1967" t="s">
        <v>2740</v>
      </c>
      <c r="AD167" s="2580"/>
      <c r="AE167" s="2580"/>
      <c r="AF167" s="2580"/>
      <c r="AG167" s="2580"/>
      <c r="AH167" s="4484"/>
      <c r="AI167" s="2580"/>
      <c r="AJ167" s="2580"/>
      <c r="AK167" s="2580"/>
      <c r="AL167" s="2580"/>
      <c r="AM167" s="2580"/>
      <c r="AN167" s="2580"/>
      <c r="AO167" s="2580"/>
      <c r="AP167" s="2580"/>
      <c r="AQ167" s="2580"/>
      <c r="AR167" s="2580"/>
      <c r="AS167" s="2580"/>
      <c r="AT167" s="2580"/>
      <c r="AU167" s="2580"/>
      <c r="AV167" s="2580"/>
      <c r="AW167" s="2580"/>
      <c r="AX167" s="2580"/>
      <c r="AY167" s="2580"/>
      <c r="AZ167" s="2580"/>
      <c r="BA167" s="2580"/>
      <c r="BB167" s="2580"/>
      <c r="BC167" s="2580"/>
      <c r="BD167" s="2580"/>
      <c r="BE167" s="2580"/>
      <c r="BF167" s="2580"/>
      <c r="BG167" s="2580"/>
      <c r="BH167" s="2580"/>
      <c r="BI167" s="2580"/>
      <c r="BJ167" s="2502"/>
      <c r="BK167" s="2502"/>
      <c r="BL167" s="2502"/>
      <c r="BM167" s="4510"/>
      <c r="BN167" s="2502"/>
      <c r="BO167" s="2502"/>
      <c r="BP167" s="2502"/>
      <c r="BQ167" s="4504"/>
      <c r="BR167" s="4504"/>
      <c r="BS167" s="4504"/>
      <c r="BT167" s="4504"/>
      <c r="BU167" s="2502"/>
    </row>
    <row r="168" spans="1:73" s="1965" customFormat="1" ht="57.75" customHeight="1" x14ac:dyDescent="0.25">
      <c r="A168" s="2119"/>
      <c r="B168" s="1944"/>
      <c r="C168" s="1943"/>
      <c r="D168" s="1944"/>
      <c r="E168" s="2128"/>
      <c r="F168" s="2129"/>
      <c r="G168" s="4536"/>
      <c r="H168" s="4599"/>
      <c r="I168" s="4536"/>
      <c r="J168" s="4599"/>
      <c r="K168" s="4600"/>
      <c r="L168" s="3657"/>
      <c r="M168" s="4600"/>
      <c r="N168" s="3657"/>
      <c r="O168" s="4609"/>
      <c r="P168" s="4188"/>
      <c r="Q168" s="3622"/>
      <c r="R168" s="4607"/>
      <c r="S168" s="4527"/>
      <c r="T168" s="4485"/>
      <c r="U168" s="3089"/>
      <c r="V168" s="3089"/>
      <c r="W168" s="1940" t="s">
        <v>3061</v>
      </c>
      <c r="X168" s="829">
        <v>10000000</v>
      </c>
      <c r="Y168" s="2101">
        <v>10000000</v>
      </c>
      <c r="Z168" s="2105">
        <v>10000000</v>
      </c>
      <c r="AA168" s="2080" t="s">
        <v>3060</v>
      </c>
      <c r="AB168" s="2125">
        <v>61</v>
      </c>
      <c r="AC168" s="1967" t="s">
        <v>2740</v>
      </c>
      <c r="AD168" s="2580"/>
      <c r="AE168" s="2580"/>
      <c r="AF168" s="2580"/>
      <c r="AG168" s="2580"/>
      <c r="AH168" s="4484"/>
      <c r="AI168" s="2580"/>
      <c r="AJ168" s="2580"/>
      <c r="AK168" s="2580"/>
      <c r="AL168" s="2580"/>
      <c r="AM168" s="2580"/>
      <c r="AN168" s="2580"/>
      <c r="AO168" s="2580"/>
      <c r="AP168" s="2580"/>
      <c r="AQ168" s="2580"/>
      <c r="AR168" s="2580"/>
      <c r="AS168" s="2580"/>
      <c r="AT168" s="2580"/>
      <c r="AU168" s="2580"/>
      <c r="AV168" s="2580"/>
      <c r="AW168" s="2580"/>
      <c r="AX168" s="2580"/>
      <c r="AY168" s="2580"/>
      <c r="AZ168" s="2580"/>
      <c r="BA168" s="2580"/>
      <c r="BB168" s="2580"/>
      <c r="BC168" s="2580"/>
      <c r="BD168" s="2580"/>
      <c r="BE168" s="2580"/>
      <c r="BF168" s="2580"/>
      <c r="BG168" s="2580"/>
      <c r="BH168" s="2580"/>
      <c r="BI168" s="2580"/>
      <c r="BJ168" s="2502"/>
      <c r="BK168" s="2502"/>
      <c r="BL168" s="2502"/>
      <c r="BM168" s="4510"/>
      <c r="BN168" s="2502"/>
      <c r="BO168" s="2502"/>
      <c r="BP168" s="2502"/>
      <c r="BQ168" s="4504"/>
      <c r="BR168" s="4504"/>
      <c r="BS168" s="4504"/>
      <c r="BT168" s="4504"/>
      <c r="BU168" s="2502"/>
    </row>
    <row r="169" spans="1:73" s="1965" customFormat="1" ht="86.25" customHeight="1" x14ac:dyDescent="0.25">
      <c r="A169" s="2119"/>
      <c r="B169" s="1944"/>
      <c r="C169" s="1943"/>
      <c r="D169" s="1944"/>
      <c r="E169" s="2128"/>
      <c r="F169" s="2129"/>
      <c r="G169" s="4536"/>
      <c r="H169" s="4599"/>
      <c r="I169" s="4536"/>
      <c r="J169" s="4599"/>
      <c r="K169" s="4600"/>
      <c r="L169" s="3657"/>
      <c r="M169" s="4600"/>
      <c r="N169" s="3657"/>
      <c r="O169" s="4609"/>
      <c r="P169" s="4097"/>
      <c r="Q169" s="3604"/>
      <c r="R169" s="4608"/>
      <c r="S169" s="2790"/>
      <c r="T169" s="4486"/>
      <c r="U169" s="2938"/>
      <c r="V169" s="3089"/>
      <c r="W169" s="1940" t="s">
        <v>3062</v>
      </c>
      <c r="X169" s="829">
        <v>20000000</v>
      </c>
      <c r="Y169" s="2101">
        <v>20000000</v>
      </c>
      <c r="Z169" s="2101">
        <v>20000000</v>
      </c>
      <c r="AA169" s="2080" t="s">
        <v>3060</v>
      </c>
      <c r="AB169" s="2125">
        <v>61</v>
      </c>
      <c r="AC169" s="1967" t="s">
        <v>2740</v>
      </c>
      <c r="AD169" s="2581"/>
      <c r="AE169" s="2581"/>
      <c r="AF169" s="2580"/>
      <c r="AG169" s="2581"/>
      <c r="AH169" s="4484"/>
      <c r="AI169" s="2581"/>
      <c r="AJ169" s="2580"/>
      <c r="AK169" s="2581"/>
      <c r="AL169" s="2580"/>
      <c r="AM169" s="2581"/>
      <c r="AN169" s="2580"/>
      <c r="AO169" s="2581"/>
      <c r="AP169" s="2580"/>
      <c r="AQ169" s="2581"/>
      <c r="AR169" s="2580"/>
      <c r="AS169" s="2581"/>
      <c r="AT169" s="2580"/>
      <c r="AU169" s="2581"/>
      <c r="AV169" s="2580"/>
      <c r="AW169" s="2581"/>
      <c r="AX169" s="2580"/>
      <c r="AY169" s="2581"/>
      <c r="AZ169" s="2580"/>
      <c r="BA169" s="2581"/>
      <c r="BB169" s="2580"/>
      <c r="BC169" s="2581"/>
      <c r="BD169" s="2580"/>
      <c r="BE169" s="2581"/>
      <c r="BF169" s="2580"/>
      <c r="BG169" s="2581"/>
      <c r="BH169" s="2580"/>
      <c r="BI169" s="2581"/>
      <c r="BJ169" s="2770"/>
      <c r="BK169" s="2770"/>
      <c r="BL169" s="2770"/>
      <c r="BM169" s="4511"/>
      <c r="BN169" s="2770"/>
      <c r="BO169" s="2770"/>
      <c r="BP169" s="2770"/>
      <c r="BQ169" s="4504"/>
      <c r="BR169" s="4504"/>
      <c r="BS169" s="4504"/>
      <c r="BT169" s="4504"/>
      <c r="BU169" s="2502"/>
    </row>
    <row r="170" spans="1:73" s="1965" customFormat="1" ht="69" customHeight="1" x14ac:dyDescent="0.25">
      <c r="A170" s="2119"/>
      <c r="B170" s="1944"/>
      <c r="C170" s="1943"/>
      <c r="D170" s="1944"/>
      <c r="E170" s="2128"/>
      <c r="F170" s="2129"/>
      <c r="G170" s="4536">
        <v>1905012</v>
      </c>
      <c r="H170" s="4584" t="s">
        <v>3063</v>
      </c>
      <c r="I170" s="4536">
        <v>1905012</v>
      </c>
      <c r="J170" s="4584" t="s">
        <v>3063</v>
      </c>
      <c r="K170" s="4586">
        <v>190501200</v>
      </c>
      <c r="L170" s="3658" t="s">
        <v>3063</v>
      </c>
      <c r="M170" s="4586">
        <v>190501200</v>
      </c>
      <c r="N170" s="3658" t="s">
        <v>3063</v>
      </c>
      <c r="O170" s="4589">
        <v>1</v>
      </c>
      <c r="P170" s="4592">
        <v>1</v>
      </c>
      <c r="Q170" s="4526" t="s">
        <v>3064</v>
      </c>
      <c r="R170" s="3089" t="s">
        <v>3065</v>
      </c>
      <c r="S170" s="4527">
        <f>SUM(X170:X176)/T170</f>
        <v>0.89765957578206834</v>
      </c>
      <c r="T170" s="4485">
        <f>SUM(X170:X187)</f>
        <v>1299584216.27</v>
      </c>
      <c r="U170" s="3105" t="s">
        <v>3066</v>
      </c>
      <c r="V170" s="3089" t="s">
        <v>3067</v>
      </c>
      <c r="W170" s="1940" t="s">
        <v>3068</v>
      </c>
      <c r="X170" s="1946">
        <v>6000000</v>
      </c>
      <c r="Y170" s="2101">
        <v>6000000</v>
      </c>
      <c r="Z170" s="2105">
        <v>6000000</v>
      </c>
      <c r="AA170" s="2080" t="s">
        <v>3069</v>
      </c>
      <c r="AB170" s="2125">
        <v>61</v>
      </c>
      <c r="AC170" s="1967" t="s">
        <v>2740</v>
      </c>
      <c r="AD170" s="2579">
        <v>289394</v>
      </c>
      <c r="AE170" s="2579"/>
      <c r="AF170" s="2579">
        <v>279112</v>
      </c>
      <c r="AG170" s="2579"/>
      <c r="AH170" s="4483">
        <v>63164</v>
      </c>
      <c r="AI170" s="2579"/>
      <c r="AJ170" s="2579">
        <v>45607</v>
      </c>
      <c r="AK170" s="2579"/>
      <c r="AL170" s="2579">
        <v>365607</v>
      </c>
      <c r="AM170" s="2579"/>
      <c r="AN170" s="2579">
        <v>75612</v>
      </c>
      <c r="AO170" s="2579"/>
      <c r="AP170" s="2579">
        <v>2145</v>
      </c>
      <c r="AQ170" s="2579"/>
      <c r="AR170" s="2579">
        <v>12718</v>
      </c>
      <c r="AS170" s="2579"/>
      <c r="AT170" s="2579">
        <v>26</v>
      </c>
      <c r="AU170" s="2579"/>
      <c r="AV170" s="2579">
        <v>37</v>
      </c>
      <c r="AW170" s="2579"/>
      <c r="AX170" s="2579">
        <v>0</v>
      </c>
      <c r="AY170" s="2579"/>
      <c r="AZ170" s="2579">
        <v>0</v>
      </c>
      <c r="BA170" s="2579"/>
      <c r="BB170" s="2579">
        <v>78</v>
      </c>
      <c r="BC170" s="2579"/>
      <c r="BD170" s="2579">
        <v>16897</v>
      </c>
      <c r="BE170" s="2579"/>
      <c r="BF170" s="2579">
        <v>852</v>
      </c>
      <c r="BG170" s="2579"/>
      <c r="BH170" s="2579">
        <v>568506</v>
      </c>
      <c r="BI170" s="2579"/>
      <c r="BJ170" s="2745">
        <v>9</v>
      </c>
      <c r="BK170" s="4506">
        <f>SUM(Y170:Y187)</f>
        <v>138487565.75999999</v>
      </c>
      <c r="BL170" s="4506">
        <f>SUM(Z170:Z187)</f>
        <v>138487565.75999999</v>
      </c>
      <c r="BM170" s="4509">
        <f>BL170/BK170</f>
        <v>1</v>
      </c>
      <c r="BN170" s="2745">
        <v>61</v>
      </c>
      <c r="BO170" s="2745" t="s">
        <v>2811</v>
      </c>
      <c r="BP170" s="2745" t="s">
        <v>2925</v>
      </c>
      <c r="BQ170" s="4481">
        <v>44197</v>
      </c>
      <c r="BR170" s="4481">
        <v>44239</v>
      </c>
      <c r="BS170" s="4481">
        <v>44561</v>
      </c>
      <c r="BT170" s="4481">
        <v>44561</v>
      </c>
      <c r="BU170" s="2745" t="s">
        <v>2744</v>
      </c>
    </row>
    <row r="171" spans="1:73" s="1965" customFormat="1" ht="45" customHeight="1" x14ac:dyDescent="0.25">
      <c r="A171" s="2119"/>
      <c r="B171" s="1944"/>
      <c r="C171" s="1943"/>
      <c r="D171" s="1944"/>
      <c r="E171" s="2128"/>
      <c r="F171" s="2129"/>
      <c r="G171" s="4536"/>
      <c r="H171" s="4585"/>
      <c r="I171" s="4536"/>
      <c r="J171" s="4585"/>
      <c r="K171" s="4587"/>
      <c r="L171" s="4588"/>
      <c r="M171" s="4587"/>
      <c r="N171" s="4588"/>
      <c r="O171" s="4590"/>
      <c r="P171" s="4593"/>
      <c r="Q171" s="4526"/>
      <c r="R171" s="3089"/>
      <c r="S171" s="4527"/>
      <c r="T171" s="4485"/>
      <c r="U171" s="3105"/>
      <c r="V171" s="3089"/>
      <c r="W171" s="1940" t="s">
        <v>3070</v>
      </c>
      <c r="X171" s="1946">
        <v>6000000</v>
      </c>
      <c r="Y171" s="2101">
        <v>6000000</v>
      </c>
      <c r="Z171" s="2105">
        <v>6000000</v>
      </c>
      <c r="AA171" s="2080" t="s">
        <v>3069</v>
      </c>
      <c r="AB171" s="2125">
        <v>61</v>
      </c>
      <c r="AC171" s="1967" t="s">
        <v>2740</v>
      </c>
      <c r="AD171" s="2580"/>
      <c r="AE171" s="2580"/>
      <c r="AF171" s="2580"/>
      <c r="AG171" s="2580"/>
      <c r="AH171" s="4484"/>
      <c r="AI171" s="2580"/>
      <c r="AJ171" s="2580"/>
      <c r="AK171" s="2580"/>
      <c r="AL171" s="2580"/>
      <c r="AM171" s="2580"/>
      <c r="AN171" s="2580"/>
      <c r="AO171" s="2580"/>
      <c r="AP171" s="2580"/>
      <c r="AQ171" s="2580"/>
      <c r="AR171" s="2580"/>
      <c r="AS171" s="2580"/>
      <c r="AT171" s="2580"/>
      <c r="AU171" s="2580"/>
      <c r="AV171" s="2580"/>
      <c r="AW171" s="2580"/>
      <c r="AX171" s="2580"/>
      <c r="AY171" s="2580"/>
      <c r="AZ171" s="2580"/>
      <c r="BA171" s="2580"/>
      <c r="BB171" s="2580"/>
      <c r="BC171" s="2580"/>
      <c r="BD171" s="2580"/>
      <c r="BE171" s="2580"/>
      <c r="BF171" s="2580"/>
      <c r="BG171" s="2580"/>
      <c r="BH171" s="2580"/>
      <c r="BI171" s="2580"/>
      <c r="BJ171" s="2502"/>
      <c r="BK171" s="2502"/>
      <c r="BL171" s="2502"/>
      <c r="BM171" s="4510"/>
      <c r="BN171" s="2502"/>
      <c r="BO171" s="2502"/>
      <c r="BP171" s="2502"/>
      <c r="BQ171" s="4504"/>
      <c r="BR171" s="4504"/>
      <c r="BS171" s="4504"/>
      <c r="BT171" s="4504"/>
      <c r="BU171" s="2502"/>
    </row>
    <row r="172" spans="1:73" s="1965" customFormat="1" ht="45" customHeight="1" x14ac:dyDescent="0.25">
      <c r="A172" s="2119"/>
      <c r="B172" s="1944"/>
      <c r="C172" s="1943"/>
      <c r="D172" s="1944"/>
      <c r="E172" s="2128"/>
      <c r="F172" s="2129"/>
      <c r="G172" s="4536"/>
      <c r="H172" s="4585"/>
      <c r="I172" s="4536"/>
      <c r="J172" s="4585"/>
      <c r="K172" s="4587"/>
      <c r="L172" s="4588"/>
      <c r="M172" s="4587"/>
      <c r="N172" s="4588"/>
      <c r="O172" s="4590"/>
      <c r="P172" s="4593"/>
      <c r="Q172" s="4526"/>
      <c r="R172" s="3089"/>
      <c r="S172" s="4527"/>
      <c r="T172" s="4485"/>
      <c r="U172" s="3105"/>
      <c r="V172" s="3089"/>
      <c r="W172" s="1940" t="s">
        <v>3071</v>
      </c>
      <c r="X172" s="1946">
        <v>4000000</v>
      </c>
      <c r="Y172" s="2101">
        <v>2960000</v>
      </c>
      <c r="Z172" s="2105">
        <v>2960000</v>
      </c>
      <c r="AA172" s="2080" t="s">
        <v>3069</v>
      </c>
      <c r="AB172" s="2125">
        <v>61</v>
      </c>
      <c r="AC172" s="1967" t="s">
        <v>2740</v>
      </c>
      <c r="AD172" s="2580"/>
      <c r="AE172" s="2580"/>
      <c r="AF172" s="2580"/>
      <c r="AG172" s="2580"/>
      <c r="AH172" s="4484"/>
      <c r="AI172" s="2580"/>
      <c r="AJ172" s="2580"/>
      <c r="AK172" s="2580"/>
      <c r="AL172" s="2580"/>
      <c r="AM172" s="2580"/>
      <c r="AN172" s="2580"/>
      <c r="AO172" s="2580"/>
      <c r="AP172" s="2580"/>
      <c r="AQ172" s="2580"/>
      <c r="AR172" s="2580"/>
      <c r="AS172" s="2580"/>
      <c r="AT172" s="2580"/>
      <c r="AU172" s="2580"/>
      <c r="AV172" s="2580"/>
      <c r="AW172" s="2580"/>
      <c r="AX172" s="2580"/>
      <c r="AY172" s="2580"/>
      <c r="AZ172" s="2580"/>
      <c r="BA172" s="2580"/>
      <c r="BB172" s="2580"/>
      <c r="BC172" s="2580"/>
      <c r="BD172" s="2580"/>
      <c r="BE172" s="2580"/>
      <c r="BF172" s="2580"/>
      <c r="BG172" s="2580"/>
      <c r="BH172" s="2580"/>
      <c r="BI172" s="2580"/>
      <c r="BJ172" s="2502"/>
      <c r="BK172" s="2502"/>
      <c r="BL172" s="2502"/>
      <c r="BM172" s="4510"/>
      <c r="BN172" s="2502"/>
      <c r="BO172" s="2502"/>
      <c r="BP172" s="2502"/>
      <c r="BQ172" s="4504"/>
      <c r="BR172" s="4504"/>
      <c r="BS172" s="4504"/>
      <c r="BT172" s="4504"/>
      <c r="BU172" s="2502"/>
    </row>
    <row r="173" spans="1:73" s="1965" customFormat="1" ht="45" customHeight="1" x14ac:dyDescent="0.25">
      <c r="A173" s="2119"/>
      <c r="B173" s="1944"/>
      <c r="C173" s="1943"/>
      <c r="D173" s="1944"/>
      <c r="E173" s="2128"/>
      <c r="F173" s="2129"/>
      <c r="G173" s="4536"/>
      <c r="H173" s="4585"/>
      <c r="I173" s="4536"/>
      <c r="J173" s="4585"/>
      <c r="K173" s="4587"/>
      <c r="L173" s="4588"/>
      <c r="M173" s="4587"/>
      <c r="N173" s="4588"/>
      <c r="O173" s="4590"/>
      <c r="P173" s="4593"/>
      <c r="Q173" s="4526"/>
      <c r="R173" s="3089"/>
      <c r="S173" s="4527"/>
      <c r="T173" s="4485"/>
      <c r="U173" s="3105"/>
      <c r="V173" s="3089"/>
      <c r="W173" s="1940" t="s">
        <v>3072</v>
      </c>
      <c r="X173" s="1946">
        <v>1086584216.27</v>
      </c>
      <c r="Y173" s="2101">
        <v>8956232.7599999998</v>
      </c>
      <c r="Z173" s="2101">
        <v>8956232.7599999998</v>
      </c>
      <c r="AA173" s="2080" t="s">
        <v>3073</v>
      </c>
      <c r="AB173" s="2125">
        <v>98</v>
      </c>
      <c r="AC173" s="1967" t="s">
        <v>3074</v>
      </c>
      <c r="AD173" s="2580"/>
      <c r="AE173" s="2580"/>
      <c r="AF173" s="2580"/>
      <c r="AG173" s="2580"/>
      <c r="AH173" s="4484"/>
      <c r="AI173" s="2580"/>
      <c r="AJ173" s="2580"/>
      <c r="AK173" s="2580"/>
      <c r="AL173" s="2580"/>
      <c r="AM173" s="2580"/>
      <c r="AN173" s="2580"/>
      <c r="AO173" s="2580"/>
      <c r="AP173" s="2580"/>
      <c r="AQ173" s="2580"/>
      <c r="AR173" s="2580"/>
      <c r="AS173" s="2580"/>
      <c r="AT173" s="2580"/>
      <c r="AU173" s="2580"/>
      <c r="AV173" s="2580"/>
      <c r="AW173" s="2580"/>
      <c r="AX173" s="2580"/>
      <c r="AY173" s="2580"/>
      <c r="AZ173" s="2580"/>
      <c r="BA173" s="2580"/>
      <c r="BB173" s="2580"/>
      <c r="BC173" s="2580"/>
      <c r="BD173" s="2580"/>
      <c r="BE173" s="2580"/>
      <c r="BF173" s="2580"/>
      <c r="BG173" s="2580"/>
      <c r="BH173" s="2580"/>
      <c r="BI173" s="2580"/>
      <c r="BJ173" s="2502"/>
      <c r="BK173" s="2502"/>
      <c r="BL173" s="2502"/>
      <c r="BM173" s="4510"/>
      <c r="BN173" s="2502"/>
      <c r="BO173" s="2502"/>
      <c r="BP173" s="2502"/>
      <c r="BQ173" s="4504"/>
      <c r="BR173" s="4504"/>
      <c r="BS173" s="4504"/>
      <c r="BT173" s="4504"/>
      <c r="BU173" s="2502"/>
    </row>
    <row r="174" spans="1:73" s="1965" customFormat="1" ht="62.25" customHeight="1" x14ac:dyDescent="0.25">
      <c r="A174" s="2119"/>
      <c r="B174" s="1944"/>
      <c r="C174" s="1943"/>
      <c r="D174" s="1944"/>
      <c r="E174" s="2128"/>
      <c r="F174" s="2129"/>
      <c r="G174" s="4536"/>
      <c r="H174" s="4585"/>
      <c r="I174" s="4536"/>
      <c r="J174" s="4585"/>
      <c r="K174" s="4587"/>
      <c r="L174" s="4588"/>
      <c r="M174" s="4587"/>
      <c r="N174" s="4588"/>
      <c r="O174" s="4590"/>
      <c r="P174" s="4593"/>
      <c r="Q174" s="4526"/>
      <c r="R174" s="3089"/>
      <c r="S174" s="4527"/>
      <c r="T174" s="4485"/>
      <c r="U174" s="3105"/>
      <c r="V174" s="3089"/>
      <c r="W174" s="1940" t="s">
        <v>3075</v>
      </c>
      <c r="X174" s="1946">
        <v>25000000</v>
      </c>
      <c r="Y174" s="2101"/>
      <c r="Z174" s="2105"/>
      <c r="AA174" s="2080" t="s">
        <v>3076</v>
      </c>
      <c r="AB174" s="2125">
        <v>98</v>
      </c>
      <c r="AC174" s="1967" t="s">
        <v>3074</v>
      </c>
      <c r="AD174" s="2580"/>
      <c r="AE174" s="2580"/>
      <c r="AF174" s="2580"/>
      <c r="AG174" s="2580"/>
      <c r="AH174" s="4484"/>
      <c r="AI174" s="2580"/>
      <c r="AJ174" s="2580"/>
      <c r="AK174" s="2580"/>
      <c r="AL174" s="2580"/>
      <c r="AM174" s="2580"/>
      <c r="AN174" s="2580"/>
      <c r="AO174" s="2580"/>
      <c r="AP174" s="2580"/>
      <c r="AQ174" s="2580"/>
      <c r="AR174" s="2580"/>
      <c r="AS174" s="2580"/>
      <c r="AT174" s="2580"/>
      <c r="AU174" s="2580"/>
      <c r="AV174" s="2580"/>
      <c r="AW174" s="2580"/>
      <c r="AX174" s="2580"/>
      <c r="AY174" s="2580"/>
      <c r="AZ174" s="2580"/>
      <c r="BA174" s="2580"/>
      <c r="BB174" s="2580"/>
      <c r="BC174" s="2580"/>
      <c r="BD174" s="2580"/>
      <c r="BE174" s="2580"/>
      <c r="BF174" s="2580"/>
      <c r="BG174" s="2580"/>
      <c r="BH174" s="2580"/>
      <c r="BI174" s="2580"/>
      <c r="BJ174" s="2502"/>
      <c r="BK174" s="2502"/>
      <c r="BL174" s="2502"/>
      <c r="BM174" s="4510"/>
      <c r="BN174" s="2502"/>
      <c r="BO174" s="2502"/>
      <c r="BP174" s="2502"/>
      <c r="BQ174" s="4504"/>
      <c r="BR174" s="4504"/>
      <c r="BS174" s="4504"/>
      <c r="BT174" s="4504"/>
      <c r="BU174" s="2502"/>
    </row>
    <row r="175" spans="1:73" s="1965" customFormat="1" ht="62.25" customHeight="1" x14ac:dyDescent="0.25">
      <c r="A175" s="2119"/>
      <c r="B175" s="1944"/>
      <c r="C175" s="1943"/>
      <c r="D175" s="1944"/>
      <c r="E175" s="2128"/>
      <c r="F175" s="2129"/>
      <c r="G175" s="4536"/>
      <c r="H175" s="4585"/>
      <c r="I175" s="4536"/>
      <c r="J175" s="4585"/>
      <c r="K175" s="4587"/>
      <c r="L175" s="4588"/>
      <c r="M175" s="4587"/>
      <c r="N175" s="4588"/>
      <c r="O175" s="4590"/>
      <c r="P175" s="4593"/>
      <c r="Q175" s="4526"/>
      <c r="R175" s="3089"/>
      <c r="S175" s="4527"/>
      <c r="T175" s="4485"/>
      <c r="U175" s="3105"/>
      <c r="V175" s="3089"/>
      <c r="W175" s="1940" t="s">
        <v>3077</v>
      </c>
      <c r="X175" s="1946">
        <v>35000000</v>
      </c>
      <c r="Y175" s="2143">
        <v>0</v>
      </c>
      <c r="Z175" s="2143">
        <v>0</v>
      </c>
      <c r="AA175" s="2080" t="s">
        <v>3078</v>
      </c>
      <c r="AB175" s="2125">
        <v>98</v>
      </c>
      <c r="AC175" s="1967" t="s">
        <v>3074</v>
      </c>
      <c r="AD175" s="2580"/>
      <c r="AE175" s="2580"/>
      <c r="AF175" s="2580"/>
      <c r="AG175" s="2580"/>
      <c r="AH175" s="4484"/>
      <c r="AI175" s="2580"/>
      <c r="AJ175" s="2580"/>
      <c r="AK175" s="2580"/>
      <c r="AL175" s="2580"/>
      <c r="AM175" s="2580"/>
      <c r="AN175" s="2580"/>
      <c r="AO175" s="2580"/>
      <c r="AP175" s="2580"/>
      <c r="AQ175" s="2580"/>
      <c r="AR175" s="2580"/>
      <c r="AS175" s="2580"/>
      <c r="AT175" s="2580"/>
      <c r="AU175" s="2580"/>
      <c r="AV175" s="2580"/>
      <c r="AW175" s="2580"/>
      <c r="AX175" s="2580"/>
      <c r="AY175" s="2580"/>
      <c r="AZ175" s="2580"/>
      <c r="BA175" s="2580"/>
      <c r="BB175" s="2580"/>
      <c r="BC175" s="2580"/>
      <c r="BD175" s="2580"/>
      <c r="BE175" s="2580"/>
      <c r="BF175" s="2580"/>
      <c r="BG175" s="2580"/>
      <c r="BH175" s="2580"/>
      <c r="BI175" s="2580"/>
      <c r="BJ175" s="2502"/>
      <c r="BK175" s="2502"/>
      <c r="BL175" s="2502"/>
      <c r="BM175" s="4510"/>
      <c r="BN175" s="2502"/>
      <c r="BO175" s="2502"/>
      <c r="BP175" s="2502"/>
      <c r="BQ175" s="4504"/>
      <c r="BR175" s="4504"/>
      <c r="BS175" s="4504"/>
      <c r="BT175" s="4504"/>
      <c r="BU175" s="2502"/>
    </row>
    <row r="176" spans="1:73" s="1965" customFormat="1" ht="60" customHeight="1" x14ac:dyDescent="0.25">
      <c r="A176" s="2119"/>
      <c r="B176" s="1944"/>
      <c r="C176" s="1943"/>
      <c r="D176" s="1944"/>
      <c r="E176" s="2128"/>
      <c r="F176" s="2129"/>
      <c r="G176" s="4536"/>
      <c r="H176" s="4597"/>
      <c r="I176" s="4536"/>
      <c r="J176" s="4597"/>
      <c r="K176" s="4598"/>
      <c r="L176" s="3671"/>
      <c r="M176" s="4598"/>
      <c r="N176" s="3671"/>
      <c r="O176" s="4591"/>
      <c r="P176" s="4594"/>
      <c r="Q176" s="4526"/>
      <c r="R176" s="3089"/>
      <c r="S176" s="4527"/>
      <c r="T176" s="4485"/>
      <c r="U176" s="3105"/>
      <c r="V176" s="3089"/>
      <c r="W176" s="1940" t="s">
        <v>3079</v>
      </c>
      <c r="X176" s="1946">
        <v>4000000</v>
      </c>
      <c r="Y176" s="2101">
        <v>4000000</v>
      </c>
      <c r="Z176" s="2105">
        <v>4000000</v>
      </c>
      <c r="AA176" s="2080" t="s">
        <v>3069</v>
      </c>
      <c r="AB176" s="2125">
        <v>61</v>
      </c>
      <c r="AC176" s="1967" t="s">
        <v>2740</v>
      </c>
      <c r="AD176" s="2580"/>
      <c r="AE176" s="2580"/>
      <c r="AF176" s="2580"/>
      <c r="AG176" s="2580"/>
      <c r="AH176" s="4484"/>
      <c r="AI176" s="2580"/>
      <c r="AJ176" s="2580"/>
      <c r="AK176" s="2580"/>
      <c r="AL176" s="2580"/>
      <c r="AM176" s="2580"/>
      <c r="AN176" s="2580"/>
      <c r="AO176" s="2580"/>
      <c r="AP176" s="2580"/>
      <c r="AQ176" s="2580"/>
      <c r="AR176" s="2580"/>
      <c r="AS176" s="2580"/>
      <c r="AT176" s="2580"/>
      <c r="AU176" s="2580"/>
      <c r="AV176" s="2580"/>
      <c r="AW176" s="2580"/>
      <c r="AX176" s="2580"/>
      <c r="AY176" s="2580"/>
      <c r="AZ176" s="2580"/>
      <c r="BA176" s="2580"/>
      <c r="BB176" s="2580"/>
      <c r="BC176" s="2580"/>
      <c r="BD176" s="2580"/>
      <c r="BE176" s="2580"/>
      <c r="BF176" s="2580"/>
      <c r="BG176" s="2580"/>
      <c r="BH176" s="2580"/>
      <c r="BI176" s="2580"/>
      <c r="BJ176" s="2502"/>
      <c r="BK176" s="2502"/>
      <c r="BL176" s="2502"/>
      <c r="BM176" s="4510"/>
      <c r="BN176" s="2502"/>
      <c r="BO176" s="2502"/>
      <c r="BP176" s="2502"/>
      <c r="BQ176" s="4504"/>
      <c r="BR176" s="4504"/>
      <c r="BS176" s="4504"/>
      <c r="BT176" s="4504"/>
      <c r="BU176" s="2502"/>
    </row>
    <row r="177" spans="1:73" s="1965" customFormat="1" ht="45" customHeight="1" x14ac:dyDescent="0.25">
      <c r="A177" s="2119"/>
      <c r="B177" s="1944"/>
      <c r="C177" s="1943"/>
      <c r="D177" s="1944"/>
      <c r="E177" s="2128"/>
      <c r="F177" s="2129"/>
      <c r="G177" s="4536">
        <v>1905026</v>
      </c>
      <c r="H177" s="4584" t="s">
        <v>3080</v>
      </c>
      <c r="I177" s="4536">
        <v>1905026</v>
      </c>
      <c r="J177" s="4584" t="s">
        <v>3080</v>
      </c>
      <c r="K177" s="4586">
        <v>190502600</v>
      </c>
      <c r="L177" s="3658" t="s">
        <v>3081</v>
      </c>
      <c r="M177" s="4586">
        <v>190502600</v>
      </c>
      <c r="N177" s="3658" t="s">
        <v>3081</v>
      </c>
      <c r="O177" s="4589">
        <v>12</v>
      </c>
      <c r="P177" s="4592">
        <v>12</v>
      </c>
      <c r="Q177" s="4526"/>
      <c r="R177" s="3089"/>
      <c r="S177" s="4527">
        <f>SUM(X177:X182)/T170</f>
        <v>4.4629658681504016E-2</v>
      </c>
      <c r="T177" s="4485"/>
      <c r="U177" s="3105"/>
      <c r="V177" s="2938" t="s">
        <v>3082</v>
      </c>
      <c r="W177" s="1940" t="s">
        <v>3083</v>
      </c>
      <c r="X177" s="1946">
        <v>10000000</v>
      </c>
      <c r="Y177" s="2101">
        <v>10000000</v>
      </c>
      <c r="Z177" s="2101">
        <v>10000000</v>
      </c>
      <c r="AA177" s="2080" t="s">
        <v>3084</v>
      </c>
      <c r="AB177" s="2125">
        <v>61</v>
      </c>
      <c r="AC177" s="1967" t="s">
        <v>2740</v>
      </c>
      <c r="AD177" s="2580"/>
      <c r="AE177" s="2580"/>
      <c r="AF177" s="2580"/>
      <c r="AG177" s="2580"/>
      <c r="AH177" s="4484"/>
      <c r="AI177" s="2580"/>
      <c r="AJ177" s="2580"/>
      <c r="AK177" s="2580"/>
      <c r="AL177" s="2580"/>
      <c r="AM177" s="2580"/>
      <c r="AN177" s="2580"/>
      <c r="AO177" s="2580"/>
      <c r="AP177" s="2580"/>
      <c r="AQ177" s="2580"/>
      <c r="AR177" s="2580"/>
      <c r="AS177" s="2580"/>
      <c r="AT177" s="2580"/>
      <c r="AU177" s="2580"/>
      <c r="AV177" s="2580"/>
      <c r="AW177" s="2580"/>
      <c r="AX177" s="2580"/>
      <c r="AY177" s="2580"/>
      <c r="AZ177" s="2580"/>
      <c r="BA177" s="2580"/>
      <c r="BB177" s="2580"/>
      <c r="BC177" s="2580"/>
      <c r="BD177" s="2580"/>
      <c r="BE177" s="2580"/>
      <c r="BF177" s="2580"/>
      <c r="BG177" s="2580"/>
      <c r="BH177" s="2580"/>
      <c r="BI177" s="2580"/>
      <c r="BJ177" s="2502"/>
      <c r="BK177" s="2502"/>
      <c r="BL177" s="2502"/>
      <c r="BM177" s="4510"/>
      <c r="BN177" s="2502"/>
      <c r="BO177" s="2502"/>
      <c r="BP177" s="2502"/>
      <c r="BQ177" s="4504"/>
      <c r="BR177" s="4504"/>
      <c r="BS177" s="4504"/>
      <c r="BT177" s="4504"/>
      <c r="BU177" s="2502"/>
    </row>
    <row r="178" spans="1:73" s="1965" customFormat="1" ht="67.5" customHeight="1" x14ac:dyDescent="0.25">
      <c r="A178" s="2119"/>
      <c r="B178" s="1944"/>
      <c r="C178" s="1943"/>
      <c r="D178" s="1944"/>
      <c r="E178" s="2128"/>
      <c r="F178" s="2129"/>
      <c r="G178" s="4536"/>
      <c r="H178" s="4585"/>
      <c r="I178" s="4536"/>
      <c r="J178" s="4585"/>
      <c r="K178" s="4587"/>
      <c r="L178" s="4588"/>
      <c r="M178" s="4587"/>
      <c r="N178" s="4588"/>
      <c r="O178" s="4590"/>
      <c r="P178" s="4593"/>
      <c r="Q178" s="4526"/>
      <c r="R178" s="3089"/>
      <c r="S178" s="4527"/>
      <c r="T178" s="4485"/>
      <c r="U178" s="3105"/>
      <c r="V178" s="3100"/>
      <c r="W178" s="1940" t="s">
        <v>3085</v>
      </c>
      <c r="X178" s="1946">
        <v>10000000</v>
      </c>
      <c r="Y178" s="2101">
        <v>6500000</v>
      </c>
      <c r="Z178" s="2101">
        <v>6500000</v>
      </c>
      <c r="AA178" s="2080" t="s">
        <v>3084</v>
      </c>
      <c r="AB178" s="2125">
        <v>61</v>
      </c>
      <c r="AC178" s="1967" t="s">
        <v>2740</v>
      </c>
      <c r="AD178" s="2580"/>
      <c r="AE178" s="2580"/>
      <c r="AF178" s="2580"/>
      <c r="AG178" s="2580"/>
      <c r="AH178" s="4484"/>
      <c r="AI178" s="2580"/>
      <c r="AJ178" s="2580"/>
      <c r="AK178" s="2580"/>
      <c r="AL178" s="2580"/>
      <c r="AM178" s="2580"/>
      <c r="AN178" s="2580"/>
      <c r="AO178" s="2580"/>
      <c r="AP178" s="2580"/>
      <c r="AQ178" s="2580"/>
      <c r="AR178" s="2580"/>
      <c r="AS178" s="2580"/>
      <c r="AT178" s="2580"/>
      <c r="AU178" s="2580"/>
      <c r="AV178" s="2580"/>
      <c r="AW178" s="2580"/>
      <c r="AX178" s="2580"/>
      <c r="AY178" s="2580"/>
      <c r="AZ178" s="2580"/>
      <c r="BA178" s="2580"/>
      <c r="BB178" s="2580"/>
      <c r="BC178" s="2580"/>
      <c r="BD178" s="2580"/>
      <c r="BE178" s="2580"/>
      <c r="BF178" s="2580"/>
      <c r="BG178" s="2580"/>
      <c r="BH178" s="2580"/>
      <c r="BI178" s="2580"/>
      <c r="BJ178" s="2502"/>
      <c r="BK178" s="2502"/>
      <c r="BL178" s="2502"/>
      <c r="BM178" s="4510"/>
      <c r="BN178" s="2502"/>
      <c r="BO178" s="2502"/>
      <c r="BP178" s="2502"/>
      <c r="BQ178" s="4504"/>
      <c r="BR178" s="4504"/>
      <c r="BS178" s="4504"/>
      <c r="BT178" s="4504"/>
      <c r="BU178" s="2502"/>
    </row>
    <row r="179" spans="1:73" s="1965" customFormat="1" ht="67.5" customHeight="1" x14ac:dyDescent="0.25">
      <c r="A179" s="2119"/>
      <c r="B179" s="1944"/>
      <c r="C179" s="1943"/>
      <c r="D179" s="1944"/>
      <c r="E179" s="2128"/>
      <c r="F179" s="2129"/>
      <c r="G179" s="4536"/>
      <c r="H179" s="4585"/>
      <c r="I179" s="4536"/>
      <c r="J179" s="4585"/>
      <c r="K179" s="4587"/>
      <c r="L179" s="4588"/>
      <c r="M179" s="4587"/>
      <c r="N179" s="4588"/>
      <c r="O179" s="4590"/>
      <c r="P179" s="4593"/>
      <c r="Q179" s="4526"/>
      <c r="R179" s="3089"/>
      <c r="S179" s="4527"/>
      <c r="T179" s="4485"/>
      <c r="U179" s="3105"/>
      <c r="V179" s="3100"/>
      <c r="W179" s="1940" t="s">
        <v>3086</v>
      </c>
      <c r="X179" s="1946">
        <v>10000000</v>
      </c>
      <c r="Y179" s="2101">
        <v>6500000</v>
      </c>
      <c r="Z179" s="2101">
        <v>6500000</v>
      </c>
      <c r="AA179" s="2080" t="s">
        <v>3084</v>
      </c>
      <c r="AB179" s="2125">
        <v>61</v>
      </c>
      <c r="AC179" s="1967" t="s">
        <v>2740</v>
      </c>
      <c r="AD179" s="2580"/>
      <c r="AE179" s="2580"/>
      <c r="AF179" s="2580"/>
      <c r="AG179" s="2580"/>
      <c r="AH179" s="4484"/>
      <c r="AI179" s="2580"/>
      <c r="AJ179" s="2580"/>
      <c r="AK179" s="2580"/>
      <c r="AL179" s="2580"/>
      <c r="AM179" s="2580"/>
      <c r="AN179" s="2580"/>
      <c r="AO179" s="2580"/>
      <c r="AP179" s="2580"/>
      <c r="AQ179" s="2580"/>
      <c r="AR179" s="2580"/>
      <c r="AS179" s="2580"/>
      <c r="AT179" s="2580"/>
      <c r="AU179" s="2580"/>
      <c r="AV179" s="2580"/>
      <c r="AW179" s="2580"/>
      <c r="AX179" s="2580"/>
      <c r="AY179" s="2580"/>
      <c r="AZ179" s="2580"/>
      <c r="BA179" s="2580"/>
      <c r="BB179" s="2580"/>
      <c r="BC179" s="2580"/>
      <c r="BD179" s="2580"/>
      <c r="BE179" s="2580"/>
      <c r="BF179" s="2580"/>
      <c r="BG179" s="2580"/>
      <c r="BH179" s="2580"/>
      <c r="BI179" s="2580"/>
      <c r="BJ179" s="2502"/>
      <c r="BK179" s="2502"/>
      <c r="BL179" s="2502"/>
      <c r="BM179" s="4510"/>
      <c r="BN179" s="2502"/>
      <c r="BO179" s="2502"/>
      <c r="BP179" s="2502"/>
      <c r="BQ179" s="4504"/>
      <c r="BR179" s="4504"/>
      <c r="BS179" s="4504"/>
      <c r="BT179" s="4504"/>
      <c r="BU179" s="2502"/>
    </row>
    <row r="180" spans="1:73" s="1965" customFormat="1" ht="67.5" customHeight="1" x14ac:dyDescent="0.25">
      <c r="A180" s="2119"/>
      <c r="B180" s="1944"/>
      <c r="C180" s="1943"/>
      <c r="D180" s="1944"/>
      <c r="E180" s="2128"/>
      <c r="F180" s="2129"/>
      <c r="G180" s="4536"/>
      <c r="H180" s="4585"/>
      <c r="I180" s="4536"/>
      <c r="J180" s="4585"/>
      <c r="K180" s="4587"/>
      <c r="L180" s="4588"/>
      <c r="M180" s="4587"/>
      <c r="N180" s="4588"/>
      <c r="O180" s="4590"/>
      <c r="P180" s="4593"/>
      <c r="Q180" s="4526"/>
      <c r="R180" s="3089"/>
      <c r="S180" s="4527"/>
      <c r="T180" s="4485"/>
      <c r="U180" s="3105"/>
      <c r="V180" s="3100"/>
      <c r="W180" s="1940" t="s">
        <v>3087</v>
      </c>
      <c r="X180" s="1946">
        <v>10000000</v>
      </c>
      <c r="Y180" s="2101">
        <v>5460000</v>
      </c>
      <c r="Z180" s="2101">
        <v>5460000</v>
      </c>
      <c r="AA180" s="2080" t="s">
        <v>3084</v>
      </c>
      <c r="AB180" s="2125">
        <v>61</v>
      </c>
      <c r="AC180" s="1967" t="s">
        <v>2740</v>
      </c>
      <c r="AD180" s="2580"/>
      <c r="AE180" s="2580"/>
      <c r="AF180" s="2580"/>
      <c r="AG180" s="2580"/>
      <c r="AH180" s="4484"/>
      <c r="AI180" s="2580"/>
      <c r="AJ180" s="2580"/>
      <c r="AK180" s="2580"/>
      <c r="AL180" s="2580"/>
      <c r="AM180" s="2580"/>
      <c r="AN180" s="2580"/>
      <c r="AO180" s="2580"/>
      <c r="AP180" s="2580"/>
      <c r="AQ180" s="2580"/>
      <c r="AR180" s="2580"/>
      <c r="AS180" s="2580"/>
      <c r="AT180" s="2580"/>
      <c r="AU180" s="2580"/>
      <c r="AV180" s="2580"/>
      <c r="AW180" s="2580"/>
      <c r="AX180" s="2580"/>
      <c r="AY180" s="2580"/>
      <c r="AZ180" s="2580"/>
      <c r="BA180" s="2580"/>
      <c r="BB180" s="2580"/>
      <c r="BC180" s="2580"/>
      <c r="BD180" s="2580"/>
      <c r="BE180" s="2580"/>
      <c r="BF180" s="2580"/>
      <c r="BG180" s="2580"/>
      <c r="BH180" s="2580"/>
      <c r="BI180" s="2580"/>
      <c r="BJ180" s="2502"/>
      <c r="BK180" s="2502"/>
      <c r="BL180" s="2502"/>
      <c r="BM180" s="4510"/>
      <c r="BN180" s="2502"/>
      <c r="BO180" s="2502"/>
      <c r="BP180" s="2502"/>
      <c r="BQ180" s="4504"/>
      <c r="BR180" s="4504"/>
      <c r="BS180" s="4504"/>
      <c r="BT180" s="4504"/>
      <c r="BU180" s="2502"/>
    </row>
    <row r="181" spans="1:73" s="1965" customFormat="1" ht="67.5" customHeight="1" x14ac:dyDescent="0.25">
      <c r="A181" s="2119"/>
      <c r="B181" s="1944"/>
      <c r="C181" s="1943"/>
      <c r="D181" s="1944"/>
      <c r="E181" s="2128"/>
      <c r="F181" s="2129"/>
      <c r="G181" s="4536"/>
      <c r="H181" s="4585"/>
      <c r="I181" s="4536"/>
      <c r="J181" s="4585"/>
      <c r="K181" s="4587"/>
      <c r="L181" s="4588"/>
      <c r="M181" s="4587"/>
      <c r="N181" s="4588"/>
      <c r="O181" s="4590"/>
      <c r="P181" s="4593"/>
      <c r="Q181" s="4526"/>
      <c r="R181" s="3089"/>
      <c r="S181" s="4527"/>
      <c r="T181" s="4485"/>
      <c r="U181" s="3105"/>
      <c r="V181" s="3100"/>
      <c r="W181" s="1940" t="s">
        <v>3088</v>
      </c>
      <c r="X181" s="1946">
        <v>10000000</v>
      </c>
      <c r="Y181" s="2101">
        <v>10000000</v>
      </c>
      <c r="Z181" s="2101">
        <v>10000000</v>
      </c>
      <c r="AA181" s="2080" t="s">
        <v>3084</v>
      </c>
      <c r="AB181" s="2125">
        <v>61</v>
      </c>
      <c r="AC181" s="1967" t="s">
        <v>2740</v>
      </c>
      <c r="AD181" s="2580"/>
      <c r="AE181" s="2580"/>
      <c r="AF181" s="2580"/>
      <c r="AG181" s="2580"/>
      <c r="AH181" s="4484"/>
      <c r="AI181" s="2580"/>
      <c r="AJ181" s="2580"/>
      <c r="AK181" s="2580"/>
      <c r="AL181" s="2580"/>
      <c r="AM181" s="2580"/>
      <c r="AN181" s="2580"/>
      <c r="AO181" s="2580"/>
      <c r="AP181" s="2580"/>
      <c r="AQ181" s="2580"/>
      <c r="AR181" s="2580"/>
      <c r="AS181" s="2580"/>
      <c r="AT181" s="2580"/>
      <c r="AU181" s="2580"/>
      <c r="AV181" s="2580"/>
      <c r="AW181" s="2580"/>
      <c r="AX181" s="2580"/>
      <c r="AY181" s="2580"/>
      <c r="AZ181" s="2580"/>
      <c r="BA181" s="2580"/>
      <c r="BB181" s="2580"/>
      <c r="BC181" s="2580"/>
      <c r="BD181" s="2580"/>
      <c r="BE181" s="2580"/>
      <c r="BF181" s="2580"/>
      <c r="BG181" s="2580"/>
      <c r="BH181" s="2580"/>
      <c r="BI181" s="2580"/>
      <c r="BJ181" s="2502"/>
      <c r="BK181" s="2502"/>
      <c r="BL181" s="2502"/>
      <c r="BM181" s="4510"/>
      <c r="BN181" s="2502"/>
      <c r="BO181" s="2502"/>
      <c r="BP181" s="2502"/>
      <c r="BQ181" s="4504"/>
      <c r="BR181" s="4504"/>
      <c r="BS181" s="4504"/>
      <c r="BT181" s="4504"/>
      <c r="BU181" s="2502"/>
    </row>
    <row r="182" spans="1:73" s="1965" customFormat="1" ht="67.5" customHeight="1" x14ac:dyDescent="0.25">
      <c r="A182" s="2119"/>
      <c r="B182" s="1944"/>
      <c r="C182" s="1943"/>
      <c r="D182" s="1944"/>
      <c r="E182" s="2128"/>
      <c r="F182" s="2129"/>
      <c r="G182" s="4536"/>
      <c r="H182" s="4585"/>
      <c r="I182" s="4536"/>
      <c r="J182" s="4585"/>
      <c r="K182" s="4587"/>
      <c r="L182" s="4588"/>
      <c r="M182" s="4587"/>
      <c r="N182" s="4588"/>
      <c r="O182" s="4590"/>
      <c r="P182" s="4595"/>
      <c r="Q182" s="4526"/>
      <c r="R182" s="3089"/>
      <c r="S182" s="4527"/>
      <c r="T182" s="4485"/>
      <c r="U182" s="3105"/>
      <c r="V182" s="3100"/>
      <c r="W182" s="1940" t="s">
        <v>3089</v>
      </c>
      <c r="X182" s="1946">
        <v>8000000</v>
      </c>
      <c r="Y182" s="2101">
        <v>8000000</v>
      </c>
      <c r="Z182" s="2101">
        <v>8000000</v>
      </c>
      <c r="AA182" s="2080" t="s">
        <v>3084</v>
      </c>
      <c r="AB182" s="2125">
        <v>61</v>
      </c>
      <c r="AC182" s="1967" t="s">
        <v>2740</v>
      </c>
      <c r="AD182" s="2580"/>
      <c r="AE182" s="2580"/>
      <c r="AF182" s="2580"/>
      <c r="AG182" s="2580"/>
      <c r="AH182" s="4484"/>
      <c r="AI182" s="2580"/>
      <c r="AJ182" s="2580"/>
      <c r="AK182" s="2580"/>
      <c r="AL182" s="2580"/>
      <c r="AM182" s="2580"/>
      <c r="AN182" s="2580"/>
      <c r="AO182" s="2580"/>
      <c r="AP182" s="2580"/>
      <c r="AQ182" s="2580"/>
      <c r="AR182" s="2580"/>
      <c r="AS182" s="2580"/>
      <c r="AT182" s="2580"/>
      <c r="AU182" s="2580"/>
      <c r="AV182" s="2580"/>
      <c r="AW182" s="2580"/>
      <c r="AX182" s="2580"/>
      <c r="AY182" s="2580"/>
      <c r="AZ182" s="2580"/>
      <c r="BA182" s="2580"/>
      <c r="BB182" s="2580"/>
      <c r="BC182" s="2580"/>
      <c r="BD182" s="2580"/>
      <c r="BE182" s="2580"/>
      <c r="BF182" s="2580"/>
      <c r="BG182" s="2580"/>
      <c r="BH182" s="2580"/>
      <c r="BI182" s="2580"/>
      <c r="BJ182" s="2502"/>
      <c r="BK182" s="2502"/>
      <c r="BL182" s="2502"/>
      <c r="BM182" s="4510"/>
      <c r="BN182" s="2502"/>
      <c r="BO182" s="2502"/>
      <c r="BP182" s="2502"/>
      <c r="BQ182" s="4504"/>
      <c r="BR182" s="4504"/>
      <c r="BS182" s="4504"/>
      <c r="BT182" s="4504"/>
      <c r="BU182" s="2502"/>
    </row>
    <row r="183" spans="1:73" s="1965" customFormat="1" ht="54.75" customHeight="1" x14ac:dyDescent="0.25">
      <c r="A183" s="2119"/>
      <c r="B183" s="1944"/>
      <c r="C183" s="1943"/>
      <c r="D183" s="1944"/>
      <c r="E183" s="2128"/>
      <c r="F183" s="2129"/>
      <c r="G183" s="4536">
        <v>1905027</v>
      </c>
      <c r="H183" s="4538" t="s">
        <v>3090</v>
      </c>
      <c r="I183" s="4536">
        <v>1905027</v>
      </c>
      <c r="J183" s="4538" t="s">
        <v>3090</v>
      </c>
      <c r="K183" s="4487">
        <v>190502700</v>
      </c>
      <c r="L183" s="3105" t="s">
        <v>3091</v>
      </c>
      <c r="M183" s="4487">
        <v>190502700</v>
      </c>
      <c r="N183" s="3105" t="s">
        <v>3091</v>
      </c>
      <c r="O183" s="4596">
        <v>12</v>
      </c>
      <c r="P183" s="3715">
        <v>12</v>
      </c>
      <c r="Q183" s="4526"/>
      <c r="R183" s="3089"/>
      <c r="S183" s="4527">
        <f>SUM(X183:X187)/T170</f>
        <v>5.7710765536427608E-2</v>
      </c>
      <c r="T183" s="4485"/>
      <c r="U183" s="3105"/>
      <c r="V183" s="3100"/>
      <c r="W183" s="1940" t="s">
        <v>3092</v>
      </c>
      <c r="X183" s="1946">
        <f>7000000+7000000+7000000</f>
        <v>21000000</v>
      </c>
      <c r="Y183" s="2101">
        <v>21000000</v>
      </c>
      <c r="Z183" s="2101">
        <v>21000000</v>
      </c>
      <c r="AA183" s="2080" t="s">
        <v>3093</v>
      </c>
      <c r="AB183" s="2125">
        <v>61</v>
      </c>
      <c r="AC183" s="1967" t="s">
        <v>2740</v>
      </c>
      <c r="AD183" s="2580"/>
      <c r="AE183" s="2580"/>
      <c r="AF183" s="2580"/>
      <c r="AG183" s="2580"/>
      <c r="AH183" s="4484"/>
      <c r="AI183" s="2580"/>
      <c r="AJ183" s="2580"/>
      <c r="AK183" s="2580"/>
      <c r="AL183" s="2580"/>
      <c r="AM183" s="2580"/>
      <c r="AN183" s="2580"/>
      <c r="AO183" s="2580"/>
      <c r="AP183" s="2580"/>
      <c r="AQ183" s="2580"/>
      <c r="AR183" s="2580"/>
      <c r="AS183" s="2580"/>
      <c r="AT183" s="2580"/>
      <c r="AU183" s="2580"/>
      <c r="AV183" s="2580"/>
      <c r="AW183" s="2580"/>
      <c r="AX183" s="2580"/>
      <c r="AY183" s="2580"/>
      <c r="AZ183" s="2580"/>
      <c r="BA183" s="2580"/>
      <c r="BB183" s="2580"/>
      <c r="BC183" s="2580"/>
      <c r="BD183" s="2580"/>
      <c r="BE183" s="2580"/>
      <c r="BF183" s="2580"/>
      <c r="BG183" s="2580"/>
      <c r="BH183" s="2580"/>
      <c r="BI183" s="2580"/>
      <c r="BJ183" s="2502"/>
      <c r="BK183" s="2502"/>
      <c r="BL183" s="2502"/>
      <c r="BM183" s="4510"/>
      <c r="BN183" s="2502"/>
      <c r="BO183" s="2502"/>
      <c r="BP183" s="2502"/>
      <c r="BQ183" s="4504"/>
      <c r="BR183" s="4504"/>
      <c r="BS183" s="4504"/>
      <c r="BT183" s="4504"/>
      <c r="BU183" s="2502"/>
    </row>
    <row r="184" spans="1:73" s="1965" customFormat="1" ht="54.75" customHeight="1" x14ac:dyDescent="0.25">
      <c r="A184" s="2119"/>
      <c r="B184" s="1944"/>
      <c r="C184" s="1943"/>
      <c r="D184" s="1944"/>
      <c r="E184" s="2128"/>
      <c r="F184" s="2129"/>
      <c r="G184" s="4536"/>
      <c r="H184" s="4538"/>
      <c r="I184" s="4536"/>
      <c r="J184" s="4538"/>
      <c r="K184" s="4487"/>
      <c r="L184" s="3105"/>
      <c r="M184" s="4487"/>
      <c r="N184" s="3105"/>
      <c r="O184" s="4596"/>
      <c r="P184" s="3716"/>
      <c r="Q184" s="4526"/>
      <c r="R184" s="3089"/>
      <c r="S184" s="4527"/>
      <c r="T184" s="4485"/>
      <c r="U184" s="3105"/>
      <c r="V184" s="3100"/>
      <c r="W184" s="1940" t="s">
        <v>3094</v>
      </c>
      <c r="X184" s="1946">
        <f>5000000+7000000</f>
        <v>12000000</v>
      </c>
      <c r="Y184" s="2101">
        <f>12000000-568667</f>
        <v>11431333</v>
      </c>
      <c r="Z184" s="2101">
        <f>12000000-568667</f>
        <v>11431333</v>
      </c>
      <c r="AA184" s="2080" t="s">
        <v>3093</v>
      </c>
      <c r="AB184" s="2125">
        <v>61</v>
      </c>
      <c r="AC184" s="1967" t="s">
        <v>2740</v>
      </c>
      <c r="AD184" s="2580"/>
      <c r="AE184" s="2580"/>
      <c r="AF184" s="2580"/>
      <c r="AG184" s="2580"/>
      <c r="AH184" s="4484"/>
      <c r="AI184" s="2580"/>
      <c r="AJ184" s="2580"/>
      <c r="AK184" s="2580"/>
      <c r="AL184" s="2580"/>
      <c r="AM184" s="2580"/>
      <c r="AN184" s="2580"/>
      <c r="AO184" s="2580"/>
      <c r="AP184" s="2580"/>
      <c r="AQ184" s="2580"/>
      <c r="AR184" s="2580"/>
      <c r="AS184" s="2580"/>
      <c r="AT184" s="2580"/>
      <c r="AU184" s="2580"/>
      <c r="AV184" s="2580"/>
      <c r="AW184" s="2580"/>
      <c r="AX184" s="2580"/>
      <c r="AY184" s="2580"/>
      <c r="AZ184" s="2580"/>
      <c r="BA184" s="2580"/>
      <c r="BB184" s="2580"/>
      <c r="BC184" s="2580"/>
      <c r="BD184" s="2580"/>
      <c r="BE184" s="2580"/>
      <c r="BF184" s="2580"/>
      <c r="BG184" s="2580"/>
      <c r="BH184" s="2580"/>
      <c r="BI184" s="2580"/>
      <c r="BJ184" s="2502"/>
      <c r="BK184" s="2502"/>
      <c r="BL184" s="2502"/>
      <c r="BM184" s="4510"/>
      <c r="BN184" s="2502"/>
      <c r="BO184" s="2502"/>
      <c r="BP184" s="2502"/>
      <c r="BQ184" s="4504"/>
      <c r="BR184" s="4504"/>
      <c r="BS184" s="4504"/>
      <c r="BT184" s="4504"/>
      <c r="BU184" s="2502"/>
    </row>
    <row r="185" spans="1:73" s="1965" customFormat="1" ht="54.75" customHeight="1" x14ac:dyDescent="0.25">
      <c r="A185" s="2119"/>
      <c r="B185" s="1944"/>
      <c r="C185" s="1943"/>
      <c r="D185" s="1944"/>
      <c r="E185" s="2128"/>
      <c r="F185" s="2129"/>
      <c r="G185" s="4536"/>
      <c r="H185" s="4538"/>
      <c r="I185" s="4536"/>
      <c r="J185" s="4538"/>
      <c r="K185" s="4487"/>
      <c r="L185" s="3105"/>
      <c r="M185" s="4487"/>
      <c r="N185" s="3105"/>
      <c r="O185" s="4596"/>
      <c r="P185" s="3716"/>
      <c r="Q185" s="4526"/>
      <c r="R185" s="3089"/>
      <c r="S185" s="4527"/>
      <c r="T185" s="4485"/>
      <c r="U185" s="3105"/>
      <c r="V185" s="3100"/>
      <c r="W185" s="1940" t="s">
        <v>3095</v>
      </c>
      <c r="X185" s="1946">
        <v>14000000</v>
      </c>
      <c r="Y185" s="2101">
        <f>14000000-6740000</f>
        <v>7260000</v>
      </c>
      <c r="Z185" s="2101">
        <f>14000000-6740000</f>
        <v>7260000</v>
      </c>
      <c r="AA185" s="2080" t="s">
        <v>3093</v>
      </c>
      <c r="AB185" s="2125">
        <v>61</v>
      </c>
      <c r="AC185" s="1967" t="s">
        <v>2740</v>
      </c>
      <c r="AD185" s="2580"/>
      <c r="AE185" s="2580"/>
      <c r="AF185" s="2580"/>
      <c r="AG185" s="2580"/>
      <c r="AH185" s="4484"/>
      <c r="AI185" s="2580"/>
      <c r="AJ185" s="2580"/>
      <c r="AK185" s="2580"/>
      <c r="AL185" s="2580"/>
      <c r="AM185" s="2580"/>
      <c r="AN185" s="2580"/>
      <c r="AO185" s="2580"/>
      <c r="AP185" s="2580"/>
      <c r="AQ185" s="2580"/>
      <c r="AR185" s="2580"/>
      <c r="AS185" s="2580"/>
      <c r="AT185" s="2580"/>
      <c r="AU185" s="2580"/>
      <c r="AV185" s="2580"/>
      <c r="AW185" s="2580"/>
      <c r="AX185" s="2580"/>
      <c r="AY185" s="2580"/>
      <c r="AZ185" s="2580"/>
      <c r="BA185" s="2580"/>
      <c r="BB185" s="2580"/>
      <c r="BC185" s="2580"/>
      <c r="BD185" s="2580"/>
      <c r="BE185" s="2580"/>
      <c r="BF185" s="2580"/>
      <c r="BG185" s="2580"/>
      <c r="BH185" s="2580"/>
      <c r="BI185" s="2580"/>
      <c r="BJ185" s="2502"/>
      <c r="BK185" s="2502"/>
      <c r="BL185" s="2502"/>
      <c r="BM185" s="4510"/>
      <c r="BN185" s="2502"/>
      <c r="BO185" s="2502"/>
      <c r="BP185" s="2502"/>
      <c r="BQ185" s="4504"/>
      <c r="BR185" s="4504"/>
      <c r="BS185" s="4504"/>
      <c r="BT185" s="4504"/>
      <c r="BU185" s="2502"/>
    </row>
    <row r="186" spans="1:73" s="1965" customFormat="1" ht="54.75" customHeight="1" x14ac:dyDescent="0.25">
      <c r="A186" s="2119"/>
      <c r="B186" s="1944"/>
      <c r="C186" s="1943"/>
      <c r="D186" s="1944"/>
      <c r="E186" s="2128"/>
      <c r="F186" s="2129"/>
      <c r="G186" s="4536"/>
      <c r="H186" s="4538"/>
      <c r="I186" s="4536"/>
      <c r="J186" s="4538"/>
      <c r="K186" s="4487"/>
      <c r="L186" s="3105"/>
      <c r="M186" s="4487"/>
      <c r="N186" s="3105"/>
      <c r="O186" s="4596"/>
      <c r="P186" s="3716"/>
      <c r="Q186" s="4526"/>
      <c r="R186" s="3089"/>
      <c r="S186" s="4527"/>
      <c r="T186" s="4485"/>
      <c r="U186" s="3105"/>
      <c r="V186" s="3100"/>
      <c r="W186" s="1940" t="s">
        <v>3089</v>
      </c>
      <c r="X186" s="1946">
        <v>10000000</v>
      </c>
      <c r="Y186" s="2101">
        <v>10000000</v>
      </c>
      <c r="Z186" s="2101">
        <v>10000000</v>
      </c>
      <c r="AA186" s="2080" t="s">
        <v>3093</v>
      </c>
      <c r="AB186" s="2125">
        <v>61</v>
      </c>
      <c r="AC186" s="1967" t="s">
        <v>2740</v>
      </c>
      <c r="AD186" s="2580"/>
      <c r="AE186" s="2580"/>
      <c r="AF186" s="2580"/>
      <c r="AG186" s="2580"/>
      <c r="AH186" s="4484"/>
      <c r="AI186" s="2580"/>
      <c r="AJ186" s="2580"/>
      <c r="AK186" s="2580"/>
      <c r="AL186" s="2580"/>
      <c r="AM186" s="2580"/>
      <c r="AN186" s="2580"/>
      <c r="AO186" s="2580"/>
      <c r="AP186" s="2580"/>
      <c r="AQ186" s="2580"/>
      <c r="AR186" s="2580"/>
      <c r="AS186" s="2580"/>
      <c r="AT186" s="2580"/>
      <c r="AU186" s="2580"/>
      <c r="AV186" s="2580"/>
      <c r="AW186" s="2580"/>
      <c r="AX186" s="2580"/>
      <c r="AY186" s="2580"/>
      <c r="AZ186" s="2580"/>
      <c r="BA186" s="2580"/>
      <c r="BB186" s="2580"/>
      <c r="BC186" s="2580"/>
      <c r="BD186" s="2580"/>
      <c r="BE186" s="2580"/>
      <c r="BF186" s="2580"/>
      <c r="BG186" s="2580"/>
      <c r="BH186" s="2580"/>
      <c r="BI186" s="2580"/>
      <c r="BJ186" s="2502"/>
      <c r="BK186" s="2502"/>
      <c r="BL186" s="2502"/>
      <c r="BM186" s="4510"/>
      <c r="BN186" s="2502"/>
      <c r="BO186" s="2502"/>
      <c r="BP186" s="2502"/>
      <c r="BQ186" s="4504"/>
      <c r="BR186" s="4504"/>
      <c r="BS186" s="4504"/>
      <c r="BT186" s="4504"/>
      <c r="BU186" s="2502"/>
    </row>
    <row r="187" spans="1:73" s="1965" customFormat="1" ht="54.75" customHeight="1" x14ac:dyDescent="0.25">
      <c r="A187" s="2119"/>
      <c r="B187" s="1944"/>
      <c r="C187" s="1943"/>
      <c r="D187" s="1944"/>
      <c r="E187" s="2128"/>
      <c r="F187" s="2129"/>
      <c r="G187" s="4536"/>
      <c r="H187" s="4538"/>
      <c r="I187" s="4536"/>
      <c r="J187" s="4538"/>
      <c r="K187" s="4487"/>
      <c r="L187" s="3105"/>
      <c r="M187" s="4487"/>
      <c r="N187" s="3105"/>
      <c r="O187" s="4596"/>
      <c r="P187" s="3717"/>
      <c r="Q187" s="4526"/>
      <c r="R187" s="3089"/>
      <c r="S187" s="4527"/>
      <c r="T187" s="4485"/>
      <c r="U187" s="3105"/>
      <c r="V187" s="2939"/>
      <c r="W187" s="1940" t="s">
        <v>3096</v>
      </c>
      <c r="X187" s="1946">
        <f>11000000+7000000</f>
        <v>18000000</v>
      </c>
      <c r="Y187" s="2101">
        <v>14420000</v>
      </c>
      <c r="Z187" s="2101">
        <v>14420000</v>
      </c>
      <c r="AA187" s="2080" t="s">
        <v>3093</v>
      </c>
      <c r="AB187" s="2125">
        <v>61</v>
      </c>
      <c r="AC187" s="1967" t="s">
        <v>2740</v>
      </c>
      <c r="AD187" s="2581"/>
      <c r="AE187" s="2581"/>
      <c r="AF187" s="2581"/>
      <c r="AG187" s="2581"/>
      <c r="AH187" s="4494"/>
      <c r="AI187" s="2581"/>
      <c r="AJ187" s="2581"/>
      <c r="AK187" s="2581"/>
      <c r="AL187" s="2581"/>
      <c r="AM187" s="2581"/>
      <c r="AN187" s="2581"/>
      <c r="AO187" s="2581"/>
      <c r="AP187" s="2581"/>
      <c r="AQ187" s="2581"/>
      <c r="AR187" s="2581"/>
      <c r="AS187" s="2581"/>
      <c r="AT187" s="2581"/>
      <c r="AU187" s="2581"/>
      <c r="AV187" s="2581"/>
      <c r="AW187" s="2581"/>
      <c r="AX187" s="2581"/>
      <c r="AY187" s="2581"/>
      <c r="AZ187" s="2581"/>
      <c r="BA187" s="2581"/>
      <c r="BB187" s="2581"/>
      <c r="BC187" s="2581"/>
      <c r="BD187" s="2581"/>
      <c r="BE187" s="2581"/>
      <c r="BF187" s="2581"/>
      <c r="BG187" s="2581"/>
      <c r="BH187" s="2581"/>
      <c r="BI187" s="2581"/>
      <c r="BJ187" s="2770"/>
      <c r="BK187" s="2770"/>
      <c r="BL187" s="2770"/>
      <c r="BM187" s="4511"/>
      <c r="BN187" s="2770"/>
      <c r="BO187" s="2770"/>
      <c r="BP187" s="2770"/>
      <c r="BQ187" s="4505"/>
      <c r="BR187" s="4505"/>
      <c r="BS187" s="4505"/>
      <c r="BT187" s="4505"/>
      <c r="BU187" s="2770"/>
    </row>
    <row r="188" spans="1:73" s="1965" customFormat="1" ht="69" customHeight="1" x14ac:dyDescent="0.25">
      <c r="A188" s="2119"/>
      <c r="B188" s="1944"/>
      <c r="C188" s="1943"/>
      <c r="D188" s="1944"/>
      <c r="E188" s="2128"/>
      <c r="F188" s="2129"/>
      <c r="G188" s="4536" t="s">
        <v>20</v>
      </c>
      <c r="H188" s="4538" t="s">
        <v>3097</v>
      </c>
      <c r="I188" s="4536" t="s">
        <v>3098</v>
      </c>
      <c r="J188" s="4538" t="s">
        <v>1586</v>
      </c>
      <c r="K188" s="4487" t="s">
        <v>20</v>
      </c>
      <c r="L188" s="3105" t="s">
        <v>2969</v>
      </c>
      <c r="M188" s="4487" t="s">
        <v>3099</v>
      </c>
      <c r="N188" s="3105" t="s">
        <v>2161</v>
      </c>
      <c r="O188" s="4488">
        <v>4</v>
      </c>
      <c r="P188" s="4512">
        <v>2</v>
      </c>
      <c r="Q188" s="4526" t="s">
        <v>3100</v>
      </c>
      <c r="R188" s="3089" t="s">
        <v>3101</v>
      </c>
      <c r="S188" s="4527">
        <f>SUM(X188:X194)/T188</f>
        <v>0.17465574236302736</v>
      </c>
      <c r="T188" s="4485">
        <f>SUM(X188:X200)</f>
        <v>543927149</v>
      </c>
      <c r="U188" s="3089" t="s">
        <v>3102</v>
      </c>
      <c r="V188" s="3089" t="s">
        <v>3103</v>
      </c>
      <c r="W188" s="1940" t="s">
        <v>3104</v>
      </c>
      <c r="X188" s="829">
        <v>20000000</v>
      </c>
      <c r="Y188" s="2101">
        <v>20000000</v>
      </c>
      <c r="Z188" s="2101">
        <v>20000000</v>
      </c>
      <c r="AA188" s="2080" t="s">
        <v>3105</v>
      </c>
      <c r="AB188" s="2125">
        <v>61</v>
      </c>
      <c r="AC188" s="1967" t="s">
        <v>2740</v>
      </c>
      <c r="AD188" s="2579">
        <v>292684</v>
      </c>
      <c r="AE188" s="2579"/>
      <c r="AF188" s="2579">
        <v>282326</v>
      </c>
      <c r="AG188" s="2579"/>
      <c r="AH188" s="4483">
        <v>135912</v>
      </c>
      <c r="AI188" s="2579"/>
      <c r="AJ188" s="2579">
        <v>45122</v>
      </c>
      <c r="AK188" s="2579"/>
      <c r="AL188" s="2579">
        <v>307101</v>
      </c>
      <c r="AM188" s="2579"/>
      <c r="AN188" s="2579">
        <v>86875</v>
      </c>
      <c r="AO188" s="2579"/>
      <c r="AP188" s="2579">
        <v>2145</v>
      </c>
      <c r="AQ188" s="2579"/>
      <c r="AR188" s="2579">
        <v>12718</v>
      </c>
      <c r="AS188" s="2579"/>
      <c r="AT188" s="2579">
        <v>26</v>
      </c>
      <c r="AU188" s="2579"/>
      <c r="AV188" s="2579">
        <v>37</v>
      </c>
      <c r="AW188" s="2579"/>
      <c r="AX188" s="2579">
        <v>0</v>
      </c>
      <c r="AY188" s="2579"/>
      <c r="AZ188" s="2579">
        <v>0</v>
      </c>
      <c r="BA188" s="2579"/>
      <c r="BB188" s="2579">
        <v>53164</v>
      </c>
      <c r="BC188" s="2579"/>
      <c r="BD188" s="2579">
        <v>16982</v>
      </c>
      <c r="BE188" s="2579"/>
      <c r="BF188" s="2579">
        <v>60013</v>
      </c>
      <c r="BG188" s="2579"/>
      <c r="BH188" s="2579">
        <v>575010</v>
      </c>
      <c r="BI188" s="2579"/>
      <c r="BJ188" s="2745">
        <v>15</v>
      </c>
      <c r="BK188" s="4506">
        <f>SUM(Y188:Y200)</f>
        <v>509922588</v>
      </c>
      <c r="BL188" s="4506">
        <f>SUM(Z188:Z200)</f>
        <v>509922588</v>
      </c>
      <c r="BM188" s="4509">
        <f>BL188/BK188</f>
        <v>1</v>
      </c>
      <c r="BN188" s="2745" t="s">
        <v>3106</v>
      </c>
      <c r="BO188" s="2745" t="s">
        <v>3107</v>
      </c>
      <c r="BP188" s="2745" t="s">
        <v>2925</v>
      </c>
      <c r="BQ188" s="4481">
        <v>44197</v>
      </c>
      <c r="BR188" s="4481">
        <v>44251</v>
      </c>
      <c r="BS188" s="4481">
        <v>44561</v>
      </c>
      <c r="BT188" s="4481">
        <v>44561</v>
      </c>
      <c r="BU188" s="2745" t="s">
        <v>2744</v>
      </c>
    </row>
    <row r="189" spans="1:73" s="1965" customFormat="1" ht="69" customHeight="1" x14ac:dyDescent="0.25">
      <c r="A189" s="2119"/>
      <c r="B189" s="1944"/>
      <c r="C189" s="1943"/>
      <c r="D189" s="1944"/>
      <c r="E189" s="2128"/>
      <c r="F189" s="2129"/>
      <c r="G189" s="4536"/>
      <c r="H189" s="4538"/>
      <c r="I189" s="4536"/>
      <c r="J189" s="4538"/>
      <c r="K189" s="4487"/>
      <c r="L189" s="3105"/>
      <c r="M189" s="4487"/>
      <c r="N189" s="3105"/>
      <c r="O189" s="4488"/>
      <c r="P189" s="4513"/>
      <c r="Q189" s="4526"/>
      <c r="R189" s="3089"/>
      <c r="S189" s="4527"/>
      <c r="T189" s="4485"/>
      <c r="U189" s="3089"/>
      <c r="V189" s="3089"/>
      <c r="W189" s="1940" t="s">
        <v>3108</v>
      </c>
      <c r="X189" s="829">
        <v>10000000</v>
      </c>
      <c r="Y189" s="2101">
        <v>10000000</v>
      </c>
      <c r="Z189" s="2101">
        <v>10000000</v>
      </c>
      <c r="AA189" s="2080" t="s">
        <v>3105</v>
      </c>
      <c r="AB189" s="2125">
        <v>61</v>
      </c>
      <c r="AC189" s="1967" t="s">
        <v>2740</v>
      </c>
      <c r="AD189" s="2580"/>
      <c r="AE189" s="2580"/>
      <c r="AF189" s="2580"/>
      <c r="AG189" s="2580"/>
      <c r="AH189" s="4484"/>
      <c r="AI189" s="2580"/>
      <c r="AJ189" s="2580"/>
      <c r="AK189" s="2580"/>
      <c r="AL189" s="2580"/>
      <c r="AM189" s="2580"/>
      <c r="AN189" s="2580"/>
      <c r="AO189" s="2580"/>
      <c r="AP189" s="2580"/>
      <c r="AQ189" s="2580"/>
      <c r="AR189" s="2580"/>
      <c r="AS189" s="2580"/>
      <c r="AT189" s="2580"/>
      <c r="AU189" s="2580"/>
      <c r="AV189" s="2580"/>
      <c r="AW189" s="2580"/>
      <c r="AX189" s="2580"/>
      <c r="AY189" s="2580"/>
      <c r="AZ189" s="2580"/>
      <c r="BA189" s="2580"/>
      <c r="BB189" s="2580"/>
      <c r="BC189" s="2580"/>
      <c r="BD189" s="2580"/>
      <c r="BE189" s="2580"/>
      <c r="BF189" s="2580"/>
      <c r="BG189" s="2580"/>
      <c r="BH189" s="2580"/>
      <c r="BI189" s="2580"/>
      <c r="BJ189" s="2502"/>
      <c r="BK189" s="2502"/>
      <c r="BL189" s="2502"/>
      <c r="BM189" s="4510"/>
      <c r="BN189" s="2502"/>
      <c r="BO189" s="2502"/>
      <c r="BP189" s="2502"/>
      <c r="BQ189" s="4504"/>
      <c r="BR189" s="4504"/>
      <c r="BS189" s="4504"/>
      <c r="BT189" s="4504"/>
      <c r="BU189" s="2502"/>
    </row>
    <row r="190" spans="1:73" s="1965" customFormat="1" ht="69" customHeight="1" x14ac:dyDescent="0.25">
      <c r="A190" s="2119"/>
      <c r="B190" s="1944"/>
      <c r="C190" s="1943"/>
      <c r="D190" s="1944"/>
      <c r="E190" s="2128"/>
      <c r="F190" s="2129"/>
      <c r="G190" s="4536"/>
      <c r="H190" s="4538"/>
      <c r="I190" s="4536"/>
      <c r="J190" s="4538"/>
      <c r="K190" s="4487"/>
      <c r="L190" s="3105"/>
      <c r="M190" s="4487"/>
      <c r="N190" s="3105"/>
      <c r="O190" s="4488"/>
      <c r="P190" s="4513"/>
      <c r="Q190" s="4526"/>
      <c r="R190" s="3089"/>
      <c r="S190" s="4527"/>
      <c r="T190" s="4485"/>
      <c r="U190" s="3089"/>
      <c r="V190" s="3089"/>
      <c r="W190" s="2938" t="s">
        <v>3109</v>
      </c>
      <c r="X190" s="829">
        <v>10000000</v>
      </c>
      <c r="Y190" s="2101">
        <v>10000000</v>
      </c>
      <c r="Z190" s="2101">
        <v>10000000</v>
      </c>
      <c r="AA190" s="2080" t="s">
        <v>3105</v>
      </c>
      <c r="AB190" s="2125">
        <v>61</v>
      </c>
      <c r="AC190" s="1967" t="s">
        <v>2740</v>
      </c>
      <c r="AD190" s="2580"/>
      <c r="AE190" s="2580"/>
      <c r="AF190" s="2580"/>
      <c r="AG190" s="2580"/>
      <c r="AH190" s="4484"/>
      <c r="AI190" s="2580"/>
      <c r="AJ190" s="2580"/>
      <c r="AK190" s="2580"/>
      <c r="AL190" s="2580"/>
      <c r="AM190" s="2580"/>
      <c r="AN190" s="2580"/>
      <c r="AO190" s="2580"/>
      <c r="AP190" s="2580"/>
      <c r="AQ190" s="2580"/>
      <c r="AR190" s="2580"/>
      <c r="AS190" s="2580"/>
      <c r="AT190" s="2580"/>
      <c r="AU190" s="2580"/>
      <c r="AV190" s="2580"/>
      <c r="AW190" s="2580"/>
      <c r="AX190" s="2580"/>
      <c r="AY190" s="2580"/>
      <c r="AZ190" s="2580"/>
      <c r="BA190" s="2580"/>
      <c r="BB190" s="2580"/>
      <c r="BC190" s="2580"/>
      <c r="BD190" s="2580"/>
      <c r="BE190" s="2580"/>
      <c r="BF190" s="2580"/>
      <c r="BG190" s="2580"/>
      <c r="BH190" s="2580"/>
      <c r="BI190" s="2580"/>
      <c r="BJ190" s="2502"/>
      <c r="BK190" s="2502"/>
      <c r="BL190" s="2502"/>
      <c r="BM190" s="4510"/>
      <c r="BN190" s="2502"/>
      <c r="BO190" s="2502"/>
      <c r="BP190" s="2502"/>
      <c r="BQ190" s="4504"/>
      <c r="BR190" s="4504"/>
      <c r="BS190" s="4504"/>
      <c r="BT190" s="4504"/>
      <c r="BU190" s="2502"/>
    </row>
    <row r="191" spans="1:73" s="1965" customFormat="1" ht="69" customHeight="1" x14ac:dyDescent="0.25">
      <c r="A191" s="2119"/>
      <c r="B191" s="1944"/>
      <c r="C191" s="1943"/>
      <c r="D191" s="1944"/>
      <c r="E191" s="2128"/>
      <c r="F191" s="2129"/>
      <c r="G191" s="4536"/>
      <c r="H191" s="4538"/>
      <c r="I191" s="4536"/>
      <c r="J191" s="4538"/>
      <c r="K191" s="4487"/>
      <c r="L191" s="3105"/>
      <c r="M191" s="4487"/>
      <c r="N191" s="3105"/>
      <c r="O191" s="4488"/>
      <c r="P191" s="4513"/>
      <c r="Q191" s="4526"/>
      <c r="R191" s="3089"/>
      <c r="S191" s="4527"/>
      <c r="T191" s="4485"/>
      <c r="U191" s="3089"/>
      <c r="V191" s="3089"/>
      <c r="W191" s="2939"/>
      <c r="X191" s="829">
        <v>10000000</v>
      </c>
      <c r="Y191" s="2101">
        <v>8545000</v>
      </c>
      <c r="Z191" s="2101">
        <v>8545000</v>
      </c>
      <c r="AA191" s="2080" t="s">
        <v>3105</v>
      </c>
      <c r="AB191" s="2125">
        <v>61</v>
      </c>
      <c r="AC191" s="1967" t="s">
        <v>2740</v>
      </c>
      <c r="AD191" s="2580"/>
      <c r="AE191" s="2580"/>
      <c r="AF191" s="2580"/>
      <c r="AG191" s="2580"/>
      <c r="AH191" s="4484"/>
      <c r="AI191" s="2580"/>
      <c r="AJ191" s="2580"/>
      <c r="AK191" s="2580"/>
      <c r="AL191" s="2580"/>
      <c r="AM191" s="2580"/>
      <c r="AN191" s="2580"/>
      <c r="AO191" s="2580"/>
      <c r="AP191" s="2580"/>
      <c r="AQ191" s="2580"/>
      <c r="AR191" s="2580"/>
      <c r="AS191" s="2580"/>
      <c r="AT191" s="2580"/>
      <c r="AU191" s="2580"/>
      <c r="AV191" s="2580"/>
      <c r="AW191" s="2580"/>
      <c r="AX191" s="2580"/>
      <c r="AY191" s="2580"/>
      <c r="AZ191" s="2580"/>
      <c r="BA191" s="2580"/>
      <c r="BB191" s="2580"/>
      <c r="BC191" s="2580"/>
      <c r="BD191" s="2580"/>
      <c r="BE191" s="2580"/>
      <c r="BF191" s="2580"/>
      <c r="BG191" s="2580"/>
      <c r="BH191" s="2580"/>
      <c r="BI191" s="2580"/>
      <c r="BJ191" s="2502"/>
      <c r="BK191" s="2502"/>
      <c r="BL191" s="2502"/>
      <c r="BM191" s="4510"/>
      <c r="BN191" s="2502"/>
      <c r="BO191" s="2502"/>
      <c r="BP191" s="2502"/>
      <c r="BQ191" s="4504"/>
      <c r="BR191" s="4504"/>
      <c r="BS191" s="4504"/>
      <c r="BT191" s="4504"/>
      <c r="BU191" s="2502"/>
    </row>
    <row r="192" spans="1:73" s="1965" customFormat="1" ht="69" customHeight="1" x14ac:dyDescent="0.25">
      <c r="A192" s="2119"/>
      <c r="B192" s="1944"/>
      <c r="C192" s="1943"/>
      <c r="D192" s="1944"/>
      <c r="E192" s="2128"/>
      <c r="F192" s="2129"/>
      <c r="G192" s="4536"/>
      <c r="H192" s="4538"/>
      <c r="I192" s="4536"/>
      <c r="J192" s="4538"/>
      <c r="K192" s="4487"/>
      <c r="L192" s="3105"/>
      <c r="M192" s="4487"/>
      <c r="N192" s="3105"/>
      <c r="O192" s="4488"/>
      <c r="P192" s="4513"/>
      <c r="Q192" s="4526"/>
      <c r="R192" s="3089"/>
      <c r="S192" s="4527"/>
      <c r="T192" s="4485"/>
      <c r="U192" s="3089"/>
      <c r="V192" s="3089"/>
      <c r="W192" s="1940" t="s">
        <v>3110</v>
      </c>
      <c r="X192" s="829">
        <v>10000000</v>
      </c>
      <c r="Y192" s="2101">
        <v>10000000</v>
      </c>
      <c r="Z192" s="2101">
        <v>10000000</v>
      </c>
      <c r="AA192" s="2080" t="s">
        <v>3105</v>
      </c>
      <c r="AB192" s="2125">
        <v>61</v>
      </c>
      <c r="AC192" s="1967" t="s">
        <v>2740</v>
      </c>
      <c r="AD192" s="2580"/>
      <c r="AE192" s="2580"/>
      <c r="AF192" s="2580"/>
      <c r="AG192" s="2580"/>
      <c r="AH192" s="4484"/>
      <c r="AI192" s="2580"/>
      <c r="AJ192" s="2580"/>
      <c r="AK192" s="2580"/>
      <c r="AL192" s="2580"/>
      <c r="AM192" s="2580"/>
      <c r="AN192" s="2580"/>
      <c r="AO192" s="2580"/>
      <c r="AP192" s="2580"/>
      <c r="AQ192" s="2580"/>
      <c r="AR192" s="2580"/>
      <c r="AS192" s="2580"/>
      <c r="AT192" s="2580"/>
      <c r="AU192" s="2580"/>
      <c r="AV192" s="2580"/>
      <c r="AW192" s="2580"/>
      <c r="AX192" s="2580"/>
      <c r="AY192" s="2580"/>
      <c r="AZ192" s="2580"/>
      <c r="BA192" s="2580"/>
      <c r="BB192" s="2580"/>
      <c r="BC192" s="2580"/>
      <c r="BD192" s="2580"/>
      <c r="BE192" s="2580"/>
      <c r="BF192" s="2580"/>
      <c r="BG192" s="2580"/>
      <c r="BH192" s="2580"/>
      <c r="BI192" s="2580"/>
      <c r="BJ192" s="2502"/>
      <c r="BK192" s="2502"/>
      <c r="BL192" s="2502"/>
      <c r="BM192" s="4510"/>
      <c r="BN192" s="2502"/>
      <c r="BO192" s="2502"/>
      <c r="BP192" s="2502"/>
      <c r="BQ192" s="4504"/>
      <c r="BR192" s="4504"/>
      <c r="BS192" s="4504"/>
      <c r="BT192" s="4504"/>
      <c r="BU192" s="2502"/>
    </row>
    <row r="193" spans="1:73" s="1965" customFormat="1" ht="69" customHeight="1" x14ac:dyDescent="0.25">
      <c r="A193" s="2119"/>
      <c r="B193" s="1944"/>
      <c r="C193" s="1943"/>
      <c r="D193" s="1944"/>
      <c r="E193" s="2128"/>
      <c r="F193" s="2129"/>
      <c r="G193" s="4536"/>
      <c r="H193" s="4538"/>
      <c r="I193" s="4536"/>
      <c r="J193" s="4538"/>
      <c r="K193" s="4487"/>
      <c r="L193" s="3105"/>
      <c r="M193" s="4487"/>
      <c r="N193" s="3105"/>
      <c r="O193" s="4488"/>
      <c r="P193" s="4513"/>
      <c r="Q193" s="4526"/>
      <c r="R193" s="3089"/>
      <c r="S193" s="4527"/>
      <c r="T193" s="4485"/>
      <c r="U193" s="3089"/>
      <c r="V193" s="3089"/>
      <c r="W193" s="1940" t="s">
        <v>3111</v>
      </c>
      <c r="X193" s="829">
        <v>25000000</v>
      </c>
      <c r="Y193" s="2101">
        <v>25000000</v>
      </c>
      <c r="Z193" s="2101">
        <v>25000000</v>
      </c>
      <c r="AA193" s="2080" t="s">
        <v>3105</v>
      </c>
      <c r="AB193" s="2125">
        <v>61</v>
      </c>
      <c r="AC193" s="1967" t="s">
        <v>2740</v>
      </c>
      <c r="AD193" s="2580"/>
      <c r="AE193" s="2580"/>
      <c r="AF193" s="2580"/>
      <c r="AG193" s="2580"/>
      <c r="AH193" s="4484"/>
      <c r="AI193" s="2580"/>
      <c r="AJ193" s="2580"/>
      <c r="AK193" s="2580"/>
      <c r="AL193" s="2580"/>
      <c r="AM193" s="2580"/>
      <c r="AN193" s="2580"/>
      <c r="AO193" s="2580"/>
      <c r="AP193" s="2580"/>
      <c r="AQ193" s="2580"/>
      <c r="AR193" s="2580"/>
      <c r="AS193" s="2580"/>
      <c r="AT193" s="2580"/>
      <c r="AU193" s="2580"/>
      <c r="AV193" s="2580"/>
      <c r="AW193" s="2580"/>
      <c r="AX193" s="2580"/>
      <c r="AY193" s="2580"/>
      <c r="AZ193" s="2580"/>
      <c r="BA193" s="2580"/>
      <c r="BB193" s="2580"/>
      <c r="BC193" s="2580"/>
      <c r="BD193" s="2580"/>
      <c r="BE193" s="2580"/>
      <c r="BF193" s="2580"/>
      <c r="BG193" s="2580"/>
      <c r="BH193" s="2580"/>
      <c r="BI193" s="2580"/>
      <c r="BJ193" s="2502"/>
      <c r="BK193" s="2502"/>
      <c r="BL193" s="2502"/>
      <c r="BM193" s="4510"/>
      <c r="BN193" s="2502"/>
      <c r="BO193" s="2502"/>
      <c r="BP193" s="2502"/>
      <c r="BQ193" s="4504"/>
      <c r="BR193" s="4504"/>
      <c r="BS193" s="4504"/>
      <c r="BT193" s="4504"/>
      <c r="BU193" s="2502"/>
    </row>
    <row r="194" spans="1:73" s="1965" customFormat="1" ht="69" customHeight="1" x14ac:dyDescent="0.25">
      <c r="A194" s="2119"/>
      <c r="B194" s="1944"/>
      <c r="C194" s="1943"/>
      <c r="D194" s="1944"/>
      <c r="E194" s="2128"/>
      <c r="F194" s="2129"/>
      <c r="G194" s="4536"/>
      <c r="H194" s="4538"/>
      <c r="I194" s="4536"/>
      <c r="J194" s="4538"/>
      <c r="K194" s="4487"/>
      <c r="L194" s="3105"/>
      <c r="M194" s="4487"/>
      <c r="N194" s="3105"/>
      <c r="O194" s="4488"/>
      <c r="P194" s="4514"/>
      <c r="Q194" s="4526"/>
      <c r="R194" s="3089"/>
      <c r="S194" s="4527"/>
      <c r="T194" s="4485"/>
      <c r="U194" s="3089"/>
      <c r="V194" s="3089"/>
      <c r="W194" s="1940" t="s">
        <v>3112</v>
      </c>
      <c r="X194" s="829">
        <v>10000000</v>
      </c>
      <c r="Y194" s="2101">
        <v>9500000</v>
      </c>
      <c r="Z194" s="2101">
        <v>9500000</v>
      </c>
      <c r="AA194" s="2080" t="s">
        <v>3105</v>
      </c>
      <c r="AB194" s="2125">
        <v>61</v>
      </c>
      <c r="AC194" s="1967" t="s">
        <v>2740</v>
      </c>
      <c r="AD194" s="2580"/>
      <c r="AE194" s="2580"/>
      <c r="AF194" s="2580"/>
      <c r="AG194" s="2580"/>
      <c r="AH194" s="4484"/>
      <c r="AI194" s="2580"/>
      <c r="AJ194" s="2580"/>
      <c r="AK194" s="2580"/>
      <c r="AL194" s="2580"/>
      <c r="AM194" s="2580"/>
      <c r="AN194" s="2580"/>
      <c r="AO194" s="2580"/>
      <c r="AP194" s="2580"/>
      <c r="AQ194" s="2580"/>
      <c r="AR194" s="2580"/>
      <c r="AS194" s="2580"/>
      <c r="AT194" s="2580"/>
      <c r="AU194" s="2580"/>
      <c r="AV194" s="2580"/>
      <c r="AW194" s="2580"/>
      <c r="AX194" s="2580"/>
      <c r="AY194" s="2580"/>
      <c r="AZ194" s="2580"/>
      <c r="BA194" s="2580"/>
      <c r="BB194" s="2580"/>
      <c r="BC194" s="2580"/>
      <c r="BD194" s="2580"/>
      <c r="BE194" s="2580"/>
      <c r="BF194" s="2580"/>
      <c r="BG194" s="2580"/>
      <c r="BH194" s="2580"/>
      <c r="BI194" s="2580"/>
      <c r="BJ194" s="2502"/>
      <c r="BK194" s="2502"/>
      <c r="BL194" s="2502"/>
      <c r="BM194" s="4510"/>
      <c r="BN194" s="2502"/>
      <c r="BO194" s="2502"/>
      <c r="BP194" s="2502"/>
      <c r="BQ194" s="4504"/>
      <c r="BR194" s="4504"/>
      <c r="BS194" s="4504"/>
      <c r="BT194" s="4504"/>
      <c r="BU194" s="2502"/>
    </row>
    <row r="195" spans="1:73" s="1965" customFormat="1" ht="62.25" customHeight="1" x14ac:dyDescent="0.25">
      <c r="A195" s="2119"/>
      <c r="B195" s="1944"/>
      <c r="C195" s="1943"/>
      <c r="D195" s="1944"/>
      <c r="E195" s="2128"/>
      <c r="F195" s="2129"/>
      <c r="G195" s="4536">
        <v>1905026</v>
      </c>
      <c r="H195" s="4538" t="s">
        <v>3080</v>
      </c>
      <c r="I195" s="4536">
        <v>1905026</v>
      </c>
      <c r="J195" s="4538" t="s">
        <v>3080</v>
      </c>
      <c r="K195" s="4487">
        <v>190502600</v>
      </c>
      <c r="L195" s="3105" t="s">
        <v>3081</v>
      </c>
      <c r="M195" s="4487">
        <v>190502600</v>
      </c>
      <c r="N195" s="3105" t="s">
        <v>3081</v>
      </c>
      <c r="O195" s="4525">
        <v>12</v>
      </c>
      <c r="P195" s="4512">
        <v>11</v>
      </c>
      <c r="Q195" s="4526"/>
      <c r="R195" s="3089"/>
      <c r="S195" s="4527">
        <f>SUM(X195:X200)/T188</f>
        <v>0.82534425763697261</v>
      </c>
      <c r="T195" s="4485"/>
      <c r="U195" s="3089"/>
      <c r="V195" s="3089" t="s">
        <v>3113</v>
      </c>
      <c r="W195" s="2938" t="s">
        <v>3114</v>
      </c>
      <c r="X195" s="829">
        <f>36000000</f>
        <v>36000000</v>
      </c>
      <c r="Y195" s="829">
        <v>34350000</v>
      </c>
      <c r="Z195" s="829">
        <v>34350000</v>
      </c>
      <c r="AA195" s="2080" t="s">
        <v>3115</v>
      </c>
      <c r="AB195" s="2125">
        <v>61</v>
      </c>
      <c r="AC195" s="1967" t="s">
        <v>2740</v>
      </c>
      <c r="AD195" s="2580"/>
      <c r="AE195" s="2580"/>
      <c r="AF195" s="2580"/>
      <c r="AG195" s="2580"/>
      <c r="AH195" s="4484"/>
      <c r="AI195" s="2580"/>
      <c r="AJ195" s="2580"/>
      <c r="AK195" s="2580"/>
      <c r="AL195" s="2580"/>
      <c r="AM195" s="2580"/>
      <c r="AN195" s="2580"/>
      <c r="AO195" s="2580"/>
      <c r="AP195" s="2580"/>
      <c r="AQ195" s="2580"/>
      <c r="AR195" s="2580"/>
      <c r="AS195" s="2580"/>
      <c r="AT195" s="2580"/>
      <c r="AU195" s="2580"/>
      <c r="AV195" s="2580"/>
      <c r="AW195" s="2580"/>
      <c r="AX195" s="2580"/>
      <c r="AY195" s="2580"/>
      <c r="AZ195" s="2580"/>
      <c r="BA195" s="2580"/>
      <c r="BB195" s="2580"/>
      <c r="BC195" s="2580"/>
      <c r="BD195" s="2580"/>
      <c r="BE195" s="2580"/>
      <c r="BF195" s="2580"/>
      <c r="BG195" s="2580"/>
      <c r="BH195" s="2580"/>
      <c r="BI195" s="2580"/>
      <c r="BJ195" s="2502"/>
      <c r="BK195" s="2502"/>
      <c r="BL195" s="2502"/>
      <c r="BM195" s="4510"/>
      <c r="BN195" s="2502"/>
      <c r="BO195" s="2502"/>
      <c r="BP195" s="2502"/>
      <c r="BQ195" s="4504"/>
      <c r="BR195" s="4504"/>
      <c r="BS195" s="4504"/>
      <c r="BT195" s="4504"/>
      <c r="BU195" s="2502"/>
    </row>
    <row r="196" spans="1:73" s="1965" customFormat="1" ht="62.25" customHeight="1" x14ac:dyDescent="0.25">
      <c r="A196" s="2119"/>
      <c r="B196" s="1944"/>
      <c r="C196" s="1943"/>
      <c r="D196" s="1944"/>
      <c r="E196" s="2128"/>
      <c r="F196" s="2129"/>
      <c r="G196" s="4536"/>
      <c r="H196" s="4538"/>
      <c r="I196" s="4536"/>
      <c r="J196" s="4538"/>
      <c r="K196" s="4487"/>
      <c r="L196" s="3105"/>
      <c r="M196" s="4487"/>
      <c r="N196" s="3105"/>
      <c r="O196" s="4559"/>
      <c r="P196" s="4513"/>
      <c r="Q196" s="4526"/>
      <c r="R196" s="3089"/>
      <c r="S196" s="4527"/>
      <c r="T196" s="4485"/>
      <c r="U196" s="3089"/>
      <c r="V196" s="3089"/>
      <c r="W196" s="3100"/>
      <c r="X196" s="829">
        <v>130000000</v>
      </c>
      <c r="Y196" s="829">
        <v>130000000</v>
      </c>
      <c r="Z196" s="829">
        <v>130000000</v>
      </c>
      <c r="AA196" s="2080" t="s">
        <v>3116</v>
      </c>
      <c r="AB196" s="2125">
        <v>20</v>
      </c>
      <c r="AC196" s="1967" t="s">
        <v>1</v>
      </c>
      <c r="AD196" s="2580"/>
      <c r="AE196" s="2580"/>
      <c r="AF196" s="2580"/>
      <c r="AG196" s="2580"/>
      <c r="AH196" s="4484"/>
      <c r="AI196" s="2580"/>
      <c r="AJ196" s="2580"/>
      <c r="AK196" s="2580"/>
      <c r="AL196" s="2580"/>
      <c r="AM196" s="2580"/>
      <c r="AN196" s="2580"/>
      <c r="AO196" s="2580"/>
      <c r="AP196" s="2580"/>
      <c r="AQ196" s="2580"/>
      <c r="AR196" s="2580"/>
      <c r="AS196" s="2580"/>
      <c r="AT196" s="2580"/>
      <c r="AU196" s="2580"/>
      <c r="AV196" s="2580"/>
      <c r="AW196" s="2580"/>
      <c r="AX196" s="2580"/>
      <c r="AY196" s="2580"/>
      <c r="AZ196" s="2580"/>
      <c r="BA196" s="2580"/>
      <c r="BB196" s="2580"/>
      <c r="BC196" s="2580"/>
      <c r="BD196" s="2580"/>
      <c r="BE196" s="2580"/>
      <c r="BF196" s="2580"/>
      <c r="BG196" s="2580"/>
      <c r="BH196" s="2580"/>
      <c r="BI196" s="2580"/>
      <c r="BJ196" s="2502"/>
      <c r="BK196" s="2502"/>
      <c r="BL196" s="2502"/>
      <c r="BM196" s="4510"/>
      <c r="BN196" s="2502"/>
      <c r="BO196" s="2502"/>
      <c r="BP196" s="2502"/>
      <c r="BQ196" s="4504"/>
      <c r="BR196" s="4504"/>
      <c r="BS196" s="4504"/>
      <c r="BT196" s="4504"/>
      <c r="BU196" s="2502"/>
    </row>
    <row r="197" spans="1:73" s="1965" customFormat="1" ht="62.25" customHeight="1" x14ac:dyDescent="0.25">
      <c r="A197" s="2119"/>
      <c r="B197" s="1944"/>
      <c r="C197" s="1943"/>
      <c r="D197" s="1944"/>
      <c r="E197" s="2128"/>
      <c r="F197" s="2129"/>
      <c r="G197" s="4536"/>
      <c r="H197" s="4538"/>
      <c r="I197" s="4536"/>
      <c r="J197" s="4538"/>
      <c r="K197" s="4487"/>
      <c r="L197" s="3105"/>
      <c r="M197" s="4487"/>
      <c r="N197" s="3105"/>
      <c r="O197" s="4559"/>
      <c r="P197" s="4513"/>
      <c r="Q197" s="4526"/>
      <c r="R197" s="3089"/>
      <c r="S197" s="4527"/>
      <c r="T197" s="4485"/>
      <c r="U197" s="3089"/>
      <c r="V197" s="3089"/>
      <c r="W197" s="3100"/>
      <c r="X197" s="829">
        <v>222927149</v>
      </c>
      <c r="Y197" s="1276">
        <v>216088755</v>
      </c>
      <c r="Z197" s="1276">
        <v>216088755</v>
      </c>
      <c r="AA197" s="2080" t="s">
        <v>3117</v>
      </c>
      <c r="AB197" s="2125">
        <v>111</v>
      </c>
      <c r="AC197" s="1967" t="s">
        <v>3118</v>
      </c>
      <c r="AD197" s="2580"/>
      <c r="AE197" s="2580"/>
      <c r="AF197" s="2580"/>
      <c r="AG197" s="2580"/>
      <c r="AH197" s="4484"/>
      <c r="AI197" s="2580"/>
      <c r="AJ197" s="2580"/>
      <c r="AK197" s="2580"/>
      <c r="AL197" s="2580"/>
      <c r="AM197" s="2580"/>
      <c r="AN197" s="2580"/>
      <c r="AO197" s="2580"/>
      <c r="AP197" s="2580"/>
      <c r="AQ197" s="2580"/>
      <c r="AR197" s="2580"/>
      <c r="AS197" s="2580"/>
      <c r="AT197" s="2580"/>
      <c r="AU197" s="2580"/>
      <c r="AV197" s="2580"/>
      <c r="AW197" s="2580"/>
      <c r="AX197" s="2580"/>
      <c r="AY197" s="2580"/>
      <c r="AZ197" s="2580"/>
      <c r="BA197" s="2580"/>
      <c r="BB197" s="2580"/>
      <c r="BC197" s="2580"/>
      <c r="BD197" s="2580"/>
      <c r="BE197" s="2580"/>
      <c r="BF197" s="2580"/>
      <c r="BG197" s="2580"/>
      <c r="BH197" s="2580"/>
      <c r="BI197" s="2580"/>
      <c r="BJ197" s="4581"/>
      <c r="BK197" s="4581"/>
      <c r="BL197" s="4581"/>
      <c r="BM197" s="4583"/>
      <c r="BN197" s="4581"/>
      <c r="BO197" s="4581"/>
      <c r="BP197" s="4581"/>
      <c r="BQ197" s="4582"/>
      <c r="BR197" s="4582"/>
      <c r="BS197" s="4582"/>
      <c r="BT197" s="4582"/>
      <c r="BU197" s="4581"/>
    </row>
    <row r="198" spans="1:73" s="1965" customFormat="1" ht="62.25" customHeight="1" x14ac:dyDescent="0.25">
      <c r="A198" s="2119"/>
      <c r="B198" s="1944"/>
      <c r="C198" s="1943"/>
      <c r="D198" s="1944"/>
      <c r="E198" s="2128"/>
      <c r="F198" s="2129"/>
      <c r="G198" s="4536"/>
      <c r="H198" s="4538"/>
      <c r="I198" s="4536"/>
      <c r="J198" s="4538"/>
      <c r="K198" s="4487"/>
      <c r="L198" s="3105"/>
      <c r="M198" s="4487"/>
      <c r="N198" s="3105"/>
      <c r="O198" s="4559"/>
      <c r="P198" s="4513"/>
      <c r="Q198" s="4526"/>
      <c r="R198" s="3089"/>
      <c r="S198" s="4527"/>
      <c r="T198" s="4485"/>
      <c r="U198" s="3089"/>
      <c r="V198" s="3089"/>
      <c r="W198" s="1940" t="s">
        <v>3119</v>
      </c>
      <c r="X198" s="829">
        <v>10000000</v>
      </c>
      <c r="Y198" s="829">
        <v>10000000</v>
      </c>
      <c r="Z198" s="829">
        <v>10000000</v>
      </c>
      <c r="AA198" s="2080" t="s">
        <v>3115</v>
      </c>
      <c r="AB198" s="2125">
        <v>61</v>
      </c>
      <c r="AC198" s="1967" t="s">
        <v>2740</v>
      </c>
      <c r="AD198" s="2580"/>
      <c r="AE198" s="2580"/>
      <c r="AF198" s="2580"/>
      <c r="AG198" s="2580"/>
      <c r="AH198" s="4484"/>
      <c r="AI198" s="2580"/>
      <c r="AJ198" s="2580"/>
      <c r="AK198" s="2580"/>
      <c r="AL198" s="2580"/>
      <c r="AM198" s="2580"/>
      <c r="AN198" s="2580"/>
      <c r="AO198" s="2580"/>
      <c r="AP198" s="2580"/>
      <c r="AQ198" s="2580"/>
      <c r="AR198" s="2580"/>
      <c r="AS198" s="2580"/>
      <c r="AT198" s="2580"/>
      <c r="AU198" s="2580"/>
      <c r="AV198" s="2580"/>
      <c r="AW198" s="2580"/>
      <c r="AX198" s="2580"/>
      <c r="AY198" s="2580"/>
      <c r="AZ198" s="2580"/>
      <c r="BA198" s="2580"/>
      <c r="BB198" s="2580"/>
      <c r="BC198" s="2580"/>
      <c r="BD198" s="2580"/>
      <c r="BE198" s="2580"/>
      <c r="BF198" s="2580"/>
      <c r="BG198" s="2580"/>
      <c r="BH198" s="2580"/>
      <c r="BI198" s="2580"/>
      <c r="BJ198" s="2502"/>
      <c r="BK198" s="2502"/>
      <c r="BL198" s="2502"/>
      <c r="BM198" s="4510"/>
      <c r="BN198" s="2502"/>
      <c r="BO198" s="2502"/>
      <c r="BP198" s="2502"/>
      <c r="BQ198" s="4504"/>
      <c r="BR198" s="4504"/>
      <c r="BS198" s="4504"/>
      <c r="BT198" s="4504"/>
      <c r="BU198" s="2502"/>
    </row>
    <row r="199" spans="1:73" s="1965" customFormat="1" ht="92.25" customHeight="1" x14ac:dyDescent="0.25">
      <c r="A199" s="2119"/>
      <c r="B199" s="1944"/>
      <c r="C199" s="1943"/>
      <c r="D199" s="1944"/>
      <c r="E199" s="2128"/>
      <c r="F199" s="2129"/>
      <c r="G199" s="4536"/>
      <c r="H199" s="4538"/>
      <c r="I199" s="4536"/>
      <c r="J199" s="4538"/>
      <c r="K199" s="4487"/>
      <c r="L199" s="3105"/>
      <c r="M199" s="4487"/>
      <c r="N199" s="3105"/>
      <c r="O199" s="4559"/>
      <c r="P199" s="4513"/>
      <c r="Q199" s="4526"/>
      <c r="R199" s="3089"/>
      <c r="S199" s="4527"/>
      <c r="T199" s="4485"/>
      <c r="U199" s="3089"/>
      <c r="V199" s="3089"/>
      <c r="W199" s="1940" t="s">
        <v>3120</v>
      </c>
      <c r="X199" s="829">
        <f>26000000+14000000</f>
        <v>40000000</v>
      </c>
      <c r="Y199" s="829">
        <f>25092500+1346333</f>
        <v>26438833</v>
      </c>
      <c r="Z199" s="829">
        <f>25092500+1346333</f>
        <v>26438833</v>
      </c>
      <c r="AA199" s="2080" t="s">
        <v>3115</v>
      </c>
      <c r="AB199" s="2125">
        <v>61</v>
      </c>
      <c r="AC199" s="1967" t="s">
        <v>2740</v>
      </c>
      <c r="AD199" s="2580"/>
      <c r="AE199" s="2580"/>
      <c r="AF199" s="2580"/>
      <c r="AG199" s="2580"/>
      <c r="AH199" s="4484"/>
      <c r="AI199" s="2580"/>
      <c r="AJ199" s="2580"/>
      <c r="AK199" s="2580"/>
      <c r="AL199" s="2580"/>
      <c r="AM199" s="2580"/>
      <c r="AN199" s="2580"/>
      <c r="AO199" s="2580"/>
      <c r="AP199" s="2580"/>
      <c r="AQ199" s="2580"/>
      <c r="AR199" s="2580"/>
      <c r="AS199" s="2580"/>
      <c r="AT199" s="2580"/>
      <c r="AU199" s="2580"/>
      <c r="AV199" s="2580"/>
      <c r="AW199" s="2580"/>
      <c r="AX199" s="2580"/>
      <c r="AY199" s="2580"/>
      <c r="AZ199" s="2580"/>
      <c r="BA199" s="2580"/>
      <c r="BB199" s="2580"/>
      <c r="BC199" s="2580"/>
      <c r="BD199" s="2580"/>
      <c r="BE199" s="2580"/>
      <c r="BF199" s="2580"/>
      <c r="BG199" s="2580"/>
      <c r="BH199" s="2580"/>
      <c r="BI199" s="2580"/>
      <c r="BJ199" s="2502"/>
      <c r="BK199" s="2502"/>
      <c r="BL199" s="2502"/>
      <c r="BM199" s="4510"/>
      <c r="BN199" s="2502"/>
      <c r="BO199" s="2502"/>
      <c r="BP199" s="2502"/>
      <c r="BQ199" s="4504"/>
      <c r="BR199" s="4504"/>
      <c r="BS199" s="4504"/>
      <c r="BT199" s="4504"/>
      <c r="BU199" s="2502"/>
    </row>
    <row r="200" spans="1:73" s="1965" customFormat="1" ht="78.75" customHeight="1" x14ac:dyDescent="0.25">
      <c r="A200" s="2119"/>
      <c r="B200" s="1944"/>
      <c r="C200" s="1943"/>
      <c r="D200" s="1944"/>
      <c r="E200" s="2128"/>
      <c r="F200" s="2129"/>
      <c r="G200" s="4536"/>
      <c r="H200" s="4538"/>
      <c r="I200" s="4536"/>
      <c r="J200" s="4538"/>
      <c r="K200" s="4487"/>
      <c r="L200" s="3105"/>
      <c r="M200" s="4487"/>
      <c r="N200" s="3105"/>
      <c r="O200" s="4523"/>
      <c r="P200" s="4514"/>
      <c r="Q200" s="4526"/>
      <c r="R200" s="3089"/>
      <c r="S200" s="4527"/>
      <c r="T200" s="4485"/>
      <c r="U200" s="3089"/>
      <c r="V200" s="3089"/>
      <c r="W200" s="1940" t="s">
        <v>3121</v>
      </c>
      <c r="X200" s="2136">
        <v>10000000</v>
      </c>
      <c r="Y200" s="2136"/>
      <c r="Z200" s="2137"/>
      <c r="AA200" s="2080" t="s">
        <v>3115</v>
      </c>
      <c r="AB200" s="2125">
        <v>61</v>
      </c>
      <c r="AC200" s="1967" t="s">
        <v>2740</v>
      </c>
      <c r="AD200" s="2581"/>
      <c r="AE200" s="2581"/>
      <c r="AF200" s="2580"/>
      <c r="AG200" s="2581"/>
      <c r="AH200" s="4484"/>
      <c r="AI200" s="2581"/>
      <c r="AJ200" s="2580"/>
      <c r="AK200" s="2581"/>
      <c r="AL200" s="2580"/>
      <c r="AM200" s="2581"/>
      <c r="AN200" s="2580"/>
      <c r="AO200" s="2581"/>
      <c r="AP200" s="2580"/>
      <c r="AQ200" s="2581"/>
      <c r="AR200" s="2580"/>
      <c r="AS200" s="2581"/>
      <c r="AT200" s="2580"/>
      <c r="AU200" s="2581"/>
      <c r="AV200" s="2580"/>
      <c r="AW200" s="2581"/>
      <c r="AX200" s="2580"/>
      <c r="AY200" s="2581"/>
      <c r="AZ200" s="2580"/>
      <c r="BA200" s="2581"/>
      <c r="BB200" s="2580"/>
      <c r="BC200" s="2581"/>
      <c r="BD200" s="2580"/>
      <c r="BE200" s="2581"/>
      <c r="BF200" s="2580"/>
      <c r="BG200" s="2581"/>
      <c r="BH200" s="2580"/>
      <c r="BI200" s="2581"/>
      <c r="BJ200" s="2770"/>
      <c r="BK200" s="2770"/>
      <c r="BL200" s="2770"/>
      <c r="BM200" s="4511"/>
      <c r="BN200" s="2770"/>
      <c r="BO200" s="2770"/>
      <c r="BP200" s="2770"/>
      <c r="BQ200" s="4504"/>
      <c r="BR200" s="4504"/>
      <c r="BS200" s="4504"/>
      <c r="BT200" s="4504"/>
      <c r="BU200" s="2502"/>
    </row>
    <row r="201" spans="1:73" s="1965" customFormat="1" ht="99.75" customHeight="1" x14ac:dyDescent="0.25">
      <c r="A201" s="2119"/>
      <c r="B201" s="1944"/>
      <c r="C201" s="1943"/>
      <c r="D201" s="1944"/>
      <c r="E201" s="2128"/>
      <c r="F201" s="2129"/>
      <c r="G201" s="2130">
        <v>1905014</v>
      </c>
      <c r="H201" s="2144" t="s">
        <v>1218</v>
      </c>
      <c r="I201" s="2130">
        <v>1905014</v>
      </c>
      <c r="J201" s="2144" t="s">
        <v>1218</v>
      </c>
      <c r="K201" s="2145">
        <v>190501400</v>
      </c>
      <c r="L201" s="1951" t="s">
        <v>1958</v>
      </c>
      <c r="M201" s="2145">
        <v>190501400</v>
      </c>
      <c r="N201" s="1951" t="s">
        <v>1958</v>
      </c>
      <c r="O201" s="24">
        <v>12</v>
      </c>
      <c r="P201" s="2133">
        <v>12</v>
      </c>
      <c r="Q201" s="4526" t="s">
        <v>3122</v>
      </c>
      <c r="R201" s="3089" t="s">
        <v>3123</v>
      </c>
      <c r="S201" s="2134">
        <f>X201/T201</f>
        <v>0.19332425365744424</v>
      </c>
      <c r="T201" s="4485">
        <f>SUM(X201:X215)</f>
        <v>222424239</v>
      </c>
      <c r="U201" s="3089" t="s">
        <v>3124</v>
      </c>
      <c r="V201" s="2135" t="s">
        <v>3125</v>
      </c>
      <c r="W201" s="1936" t="s">
        <v>3126</v>
      </c>
      <c r="X201" s="2083">
        <v>43000000</v>
      </c>
      <c r="Y201" s="2146">
        <v>42988636</v>
      </c>
      <c r="Z201" s="2146">
        <v>42988636</v>
      </c>
      <c r="AA201" s="2086" t="s">
        <v>3127</v>
      </c>
      <c r="AB201" s="2147">
        <v>61</v>
      </c>
      <c r="AC201" s="1948" t="s">
        <v>2740</v>
      </c>
      <c r="AD201" s="4550">
        <v>289394</v>
      </c>
      <c r="AE201" s="4550"/>
      <c r="AF201" s="4550">
        <v>279112</v>
      </c>
      <c r="AG201" s="4550"/>
      <c r="AH201" s="4553">
        <v>63164</v>
      </c>
      <c r="AI201" s="4550"/>
      <c r="AJ201" s="4550">
        <v>45607</v>
      </c>
      <c r="AK201" s="4550"/>
      <c r="AL201" s="4550">
        <v>365607</v>
      </c>
      <c r="AM201" s="4550"/>
      <c r="AN201" s="4550">
        <v>75612</v>
      </c>
      <c r="AO201" s="4550"/>
      <c r="AP201" s="4550">
        <v>2145</v>
      </c>
      <c r="AQ201" s="4550"/>
      <c r="AR201" s="4550">
        <v>12718</v>
      </c>
      <c r="AS201" s="4550"/>
      <c r="AT201" s="4550">
        <v>26</v>
      </c>
      <c r="AU201" s="4550"/>
      <c r="AV201" s="4550">
        <v>37</v>
      </c>
      <c r="AW201" s="4550"/>
      <c r="AX201" s="4550">
        <v>0</v>
      </c>
      <c r="AY201" s="4550"/>
      <c r="AZ201" s="4550">
        <v>0</v>
      </c>
      <c r="BA201" s="4550"/>
      <c r="BB201" s="4550">
        <v>78</v>
      </c>
      <c r="BC201" s="4550"/>
      <c r="BD201" s="4550">
        <v>16897</v>
      </c>
      <c r="BE201" s="4550"/>
      <c r="BF201" s="4550">
        <v>852</v>
      </c>
      <c r="BG201" s="4550"/>
      <c r="BH201" s="4550">
        <v>568506</v>
      </c>
      <c r="BI201" s="4550"/>
      <c r="BJ201" s="4549">
        <v>6</v>
      </c>
      <c r="BK201" s="4545">
        <f>SUM(Y201:Y215)</f>
        <v>177129469</v>
      </c>
      <c r="BL201" s="4545">
        <f>SUM(Z201:Z215)</f>
        <v>177129469</v>
      </c>
      <c r="BM201" s="4579">
        <f>BL201/BK201</f>
        <v>1</v>
      </c>
      <c r="BN201" s="4549" t="s">
        <v>3128</v>
      </c>
      <c r="BO201" s="4549" t="s">
        <v>3129</v>
      </c>
      <c r="BP201" s="4549" t="s">
        <v>2925</v>
      </c>
      <c r="BQ201" s="4481">
        <v>44197</v>
      </c>
      <c r="BR201" s="4481"/>
      <c r="BS201" s="4481">
        <v>44561</v>
      </c>
      <c r="BT201" s="4481"/>
      <c r="BU201" s="2745" t="s">
        <v>2744</v>
      </c>
    </row>
    <row r="202" spans="1:73" s="1965" customFormat="1" ht="45" customHeight="1" x14ac:dyDescent="0.25">
      <c r="A202" s="2119"/>
      <c r="B202" s="1944"/>
      <c r="C202" s="1943"/>
      <c r="D202" s="1944"/>
      <c r="E202" s="2128"/>
      <c r="F202" s="2129"/>
      <c r="G202" s="4536">
        <v>1905026</v>
      </c>
      <c r="H202" s="4538" t="s">
        <v>3130</v>
      </c>
      <c r="I202" s="4536">
        <v>1905026</v>
      </c>
      <c r="J202" s="4538" t="s">
        <v>3130</v>
      </c>
      <c r="K202" s="4487">
        <v>190502600</v>
      </c>
      <c r="L202" s="3105" t="s">
        <v>3081</v>
      </c>
      <c r="M202" s="4487">
        <v>190502600</v>
      </c>
      <c r="N202" s="3105" t="s">
        <v>3081</v>
      </c>
      <c r="O202" s="4488">
        <v>12</v>
      </c>
      <c r="P202" s="4512">
        <v>12</v>
      </c>
      <c r="Q202" s="4526"/>
      <c r="R202" s="3089"/>
      <c r="S202" s="4527">
        <f>SUM(X202:X215)/T201</f>
        <v>0.80667574634255579</v>
      </c>
      <c r="T202" s="4485"/>
      <c r="U202" s="3089"/>
      <c r="V202" s="3089" t="s">
        <v>3131</v>
      </c>
      <c r="W202" s="2938" t="s">
        <v>3132</v>
      </c>
      <c r="X202" s="2083">
        <v>17000000</v>
      </c>
      <c r="Y202" s="2083">
        <v>17000000</v>
      </c>
      <c r="Z202" s="2083">
        <v>17000000</v>
      </c>
      <c r="AA202" s="2080" t="s">
        <v>3133</v>
      </c>
      <c r="AB202" s="2147">
        <v>113</v>
      </c>
      <c r="AC202" s="1948" t="s">
        <v>3134</v>
      </c>
      <c r="AD202" s="4551"/>
      <c r="AE202" s="4551"/>
      <c r="AF202" s="4551"/>
      <c r="AG202" s="4551"/>
      <c r="AH202" s="4554"/>
      <c r="AI202" s="4551"/>
      <c r="AJ202" s="4551"/>
      <c r="AK202" s="4551"/>
      <c r="AL202" s="4551"/>
      <c r="AM202" s="4551"/>
      <c r="AN202" s="4551"/>
      <c r="AO202" s="4551"/>
      <c r="AP202" s="4551"/>
      <c r="AQ202" s="4551"/>
      <c r="AR202" s="4551"/>
      <c r="AS202" s="4551"/>
      <c r="AT202" s="4551"/>
      <c r="AU202" s="4551"/>
      <c r="AV202" s="4551"/>
      <c r="AW202" s="4551"/>
      <c r="AX202" s="4551"/>
      <c r="AY202" s="4551"/>
      <c r="AZ202" s="4551"/>
      <c r="BA202" s="4551"/>
      <c r="BB202" s="4551"/>
      <c r="BC202" s="4551"/>
      <c r="BD202" s="4551"/>
      <c r="BE202" s="4551"/>
      <c r="BF202" s="4551"/>
      <c r="BG202" s="4551"/>
      <c r="BH202" s="4551"/>
      <c r="BI202" s="4551"/>
      <c r="BJ202" s="4541"/>
      <c r="BK202" s="4541"/>
      <c r="BL202" s="4541"/>
      <c r="BM202" s="4580"/>
      <c r="BN202" s="4541"/>
      <c r="BO202" s="4541"/>
      <c r="BP202" s="4541"/>
      <c r="BQ202" s="4504"/>
      <c r="BR202" s="4504"/>
      <c r="BS202" s="4504"/>
      <c r="BT202" s="4504"/>
      <c r="BU202" s="2502"/>
    </row>
    <row r="203" spans="1:73" s="1965" customFormat="1" ht="45" customHeight="1" x14ac:dyDescent="0.25">
      <c r="A203" s="2119"/>
      <c r="B203" s="1944"/>
      <c r="C203" s="1943"/>
      <c r="D203" s="1944"/>
      <c r="E203" s="2128"/>
      <c r="F203" s="2129"/>
      <c r="G203" s="4536"/>
      <c r="H203" s="4538"/>
      <c r="I203" s="4536"/>
      <c r="J203" s="4538"/>
      <c r="K203" s="4487"/>
      <c r="L203" s="3105"/>
      <c r="M203" s="4487"/>
      <c r="N203" s="3105"/>
      <c r="O203" s="4488"/>
      <c r="P203" s="4513"/>
      <c r="Q203" s="4526"/>
      <c r="R203" s="3089"/>
      <c r="S203" s="4527"/>
      <c r="T203" s="4485"/>
      <c r="U203" s="3089"/>
      <c r="V203" s="3089"/>
      <c r="W203" s="2939"/>
      <c r="X203" s="829">
        <v>12927171</v>
      </c>
      <c r="Y203" s="829">
        <v>11000000</v>
      </c>
      <c r="Z203" s="829">
        <v>11000000</v>
      </c>
      <c r="AA203" s="2080" t="s">
        <v>3135</v>
      </c>
      <c r="AB203" s="2148">
        <v>114</v>
      </c>
      <c r="AC203" s="1967" t="s">
        <v>3136</v>
      </c>
      <c r="AD203" s="4551"/>
      <c r="AE203" s="4551"/>
      <c r="AF203" s="4551"/>
      <c r="AG203" s="4551"/>
      <c r="AH203" s="4554"/>
      <c r="AI203" s="4551"/>
      <c r="AJ203" s="4551"/>
      <c r="AK203" s="4551"/>
      <c r="AL203" s="4551"/>
      <c r="AM203" s="4551"/>
      <c r="AN203" s="4551"/>
      <c r="AO203" s="4551"/>
      <c r="AP203" s="4551"/>
      <c r="AQ203" s="4551"/>
      <c r="AR203" s="4551"/>
      <c r="AS203" s="4551"/>
      <c r="AT203" s="4551"/>
      <c r="AU203" s="4551"/>
      <c r="AV203" s="4551"/>
      <c r="AW203" s="4551"/>
      <c r="AX203" s="4551"/>
      <c r="AY203" s="4551"/>
      <c r="AZ203" s="4551"/>
      <c r="BA203" s="4551"/>
      <c r="BB203" s="4551"/>
      <c r="BC203" s="4551"/>
      <c r="BD203" s="4551"/>
      <c r="BE203" s="4551"/>
      <c r="BF203" s="4551"/>
      <c r="BG203" s="4551"/>
      <c r="BH203" s="4551"/>
      <c r="BI203" s="4551"/>
      <c r="BJ203" s="4541"/>
      <c r="BK203" s="4541"/>
      <c r="BL203" s="4541"/>
      <c r="BM203" s="4580"/>
      <c r="BN203" s="4541"/>
      <c r="BO203" s="4541"/>
      <c r="BP203" s="4541"/>
      <c r="BQ203" s="4504"/>
      <c r="BR203" s="4504"/>
      <c r="BS203" s="4504"/>
      <c r="BT203" s="4504"/>
      <c r="BU203" s="2502"/>
    </row>
    <row r="204" spans="1:73" s="1965" customFormat="1" ht="45" customHeight="1" x14ac:dyDescent="0.25">
      <c r="A204" s="2119"/>
      <c r="B204" s="1944"/>
      <c r="C204" s="1943"/>
      <c r="D204" s="1944"/>
      <c r="E204" s="2128"/>
      <c r="F204" s="2129"/>
      <c r="G204" s="4536"/>
      <c r="H204" s="4538"/>
      <c r="I204" s="4536"/>
      <c r="J204" s="4538"/>
      <c r="K204" s="4487"/>
      <c r="L204" s="3105"/>
      <c r="M204" s="4487"/>
      <c r="N204" s="3105"/>
      <c r="O204" s="4488"/>
      <c r="P204" s="4513"/>
      <c r="Q204" s="4526"/>
      <c r="R204" s="3089"/>
      <c r="S204" s="4527"/>
      <c r="T204" s="4485"/>
      <c r="U204" s="3089"/>
      <c r="V204" s="3089"/>
      <c r="W204" s="1940" t="s">
        <v>3137</v>
      </c>
      <c r="X204" s="829">
        <f>15000000+838724</f>
        <v>15838724</v>
      </c>
      <c r="Y204" s="829">
        <v>15838724</v>
      </c>
      <c r="Z204" s="829">
        <v>15838724</v>
      </c>
      <c r="AA204" s="2080" t="s">
        <v>3133</v>
      </c>
      <c r="AB204" s="2148">
        <v>113</v>
      </c>
      <c r="AC204" s="1948" t="s">
        <v>3134</v>
      </c>
      <c r="AD204" s="4551"/>
      <c r="AE204" s="4551"/>
      <c r="AF204" s="4551"/>
      <c r="AG204" s="4551"/>
      <c r="AH204" s="4554"/>
      <c r="AI204" s="4551"/>
      <c r="AJ204" s="4551"/>
      <c r="AK204" s="4551"/>
      <c r="AL204" s="4551"/>
      <c r="AM204" s="4551"/>
      <c r="AN204" s="4551"/>
      <c r="AO204" s="4551"/>
      <c r="AP204" s="4551"/>
      <c r="AQ204" s="4551"/>
      <c r="AR204" s="4551"/>
      <c r="AS204" s="4551"/>
      <c r="AT204" s="4551"/>
      <c r="AU204" s="4551"/>
      <c r="AV204" s="4551"/>
      <c r="AW204" s="4551"/>
      <c r="AX204" s="4551"/>
      <c r="AY204" s="4551"/>
      <c r="AZ204" s="4551"/>
      <c r="BA204" s="4551"/>
      <c r="BB204" s="4551"/>
      <c r="BC204" s="4551"/>
      <c r="BD204" s="4551"/>
      <c r="BE204" s="4551"/>
      <c r="BF204" s="4551"/>
      <c r="BG204" s="4551"/>
      <c r="BH204" s="4551"/>
      <c r="BI204" s="4551"/>
      <c r="BJ204" s="4541"/>
      <c r="BK204" s="4541"/>
      <c r="BL204" s="4541"/>
      <c r="BM204" s="4580"/>
      <c r="BN204" s="4541"/>
      <c r="BO204" s="4541"/>
      <c r="BP204" s="4541"/>
      <c r="BQ204" s="4504"/>
      <c r="BR204" s="4504"/>
      <c r="BS204" s="4504"/>
      <c r="BT204" s="4504"/>
      <c r="BU204" s="2502"/>
    </row>
    <row r="205" spans="1:73" s="1965" customFormat="1" ht="45" customHeight="1" x14ac:dyDescent="0.25">
      <c r="A205" s="2119"/>
      <c r="B205" s="1944"/>
      <c r="C205" s="1943"/>
      <c r="D205" s="1944"/>
      <c r="E205" s="2128"/>
      <c r="F205" s="2129"/>
      <c r="G205" s="4536"/>
      <c r="H205" s="4538"/>
      <c r="I205" s="4536"/>
      <c r="J205" s="4538"/>
      <c r="K205" s="4487"/>
      <c r="L205" s="3105"/>
      <c r="M205" s="4487"/>
      <c r="N205" s="3105"/>
      <c r="O205" s="4488"/>
      <c r="P205" s="4513"/>
      <c r="Q205" s="4526"/>
      <c r="R205" s="3089"/>
      <c r="S205" s="4527"/>
      <c r="T205" s="4485"/>
      <c r="U205" s="3089"/>
      <c r="V205" s="3089"/>
      <c r="W205" s="2938" t="s">
        <v>3138</v>
      </c>
      <c r="X205" s="2083">
        <v>13000000</v>
      </c>
      <c r="Y205" s="2083">
        <v>8500000</v>
      </c>
      <c r="Z205" s="2083">
        <v>8500000</v>
      </c>
      <c r="AA205" s="2080" t="s">
        <v>3133</v>
      </c>
      <c r="AB205" s="2147">
        <v>113</v>
      </c>
      <c r="AC205" s="1948" t="s">
        <v>3134</v>
      </c>
      <c r="AD205" s="4551"/>
      <c r="AE205" s="4551"/>
      <c r="AF205" s="4551"/>
      <c r="AG205" s="4551"/>
      <c r="AH205" s="4554"/>
      <c r="AI205" s="4551"/>
      <c r="AJ205" s="4551"/>
      <c r="AK205" s="4551"/>
      <c r="AL205" s="4551"/>
      <c r="AM205" s="4551"/>
      <c r="AN205" s="4551"/>
      <c r="AO205" s="4551"/>
      <c r="AP205" s="4551"/>
      <c r="AQ205" s="4551"/>
      <c r="AR205" s="4551"/>
      <c r="AS205" s="4551"/>
      <c r="AT205" s="4551"/>
      <c r="AU205" s="4551"/>
      <c r="AV205" s="4551"/>
      <c r="AW205" s="4551"/>
      <c r="AX205" s="4551"/>
      <c r="AY205" s="4551"/>
      <c r="AZ205" s="4551"/>
      <c r="BA205" s="4551"/>
      <c r="BB205" s="4551"/>
      <c r="BC205" s="4551"/>
      <c r="BD205" s="4551"/>
      <c r="BE205" s="4551"/>
      <c r="BF205" s="4551"/>
      <c r="BG205" s="4551"/>
      <c r="BH205" s="4551"/>
      <c r="BI205" s="4551"/>
      <c r="BJ205" s="4541"/>
      <c r="BK205" s="4541"/>
      <c r="BL205" s="4541"/>
      <c r="BM205" s="4580"/>
      <c r="BN205" s="4541"/>
      <c r="BO205" s="4541"/>
      <c r="BP205" s="4541"/>
      <c r="BQ205" s="4504"/>
      <c r="BR205" s="4504"/>
      <c r="BS205" s="4504"/>
      <c r="BT205" s="4504"/>
      <c r="BU205" s="2502"/>
    </row>
    <row r="206" spans="1:73" s="1965" customFormat="1" ht="45" customHeight="1" x14ac:dyDescent="0.25">
      <c r="A206" s="2119"/>
      <c r="B206" s="1944"/>
      <c r="C206" s="1943"/>
      <c r="D206" s="1944"/>
      <c r="E206" s="2128"/>
      <c r="F206" s="2129"/>
      <c r="G206" s="4536"/>
      <c r="H206" s="4538"/>
      <c r="I206" s="4536"/>
      <c r="J206" s="4538"/>
      <c r="K206" s="4487"/>
      <c r="L206" s="3105"/>
      <c r="M206" s="4487"/>
      <c r="N206" s="3105"/>
      <c r="O206" s="4488"/>
      <c r="P206" s="4513"/>
      <c r="Q206" s="4526"/>
      <c r="R206" s="3089"/>
      <c r="S206" s="4527"/>
      <c r="T206" s="4485"/>
      <c r="U206" s="3089"/>
      <c r="V206" s="3089"/>
      <c r="W206" s="2939"/>
      <c r="X206" s="829">
        <v>1000000</v>
      </c>
      <c r="Y206" s="829">
        <v>1000000</v>
      </c>
      <c r="Z206" s="829">
        <v>1000000</v>
      </c>
      <c r="AA206" s="2149" t="s">
        <v>3135</v>
      </c>
      <c r="AB206" s="2148">
        <v>114</v>
      </c>
      <c r="AC206" s="1967" t="s">
        <v>3136</v>
      </c>
      <c r="AD206" s="4551"/>
      <c r="AE206" s="4551"/>
      <c r="AF206" s="4551"/>
      <c r="AG206" s="4551"/>
      <c r="AH206" s="4554"/>
      <c r="AI206" s="4551"/>
      <c r="AJ206" s="4551"/>
      <c r="AK206" s="4551"/>
      <c r="AL206" s="4551"/>
      <c r="AM206" s="4551"/>
      <c r="AN206" s="4551"/>
      <c r="AO206" s="4551"/>
      <c r="AP206" s="4551"/>
      <c r="AQ206" s="4551"/>
      <c r="AR206" s="4551"/>
      <c r="AS206" s="4551"/>
      <c r="AT206" s="4551"/>
      <c r="AU206" s="4551"/>
      <c r="AV206" s="4551"/>
      <c r="AW206" s="4551"/>
      <c r="AX206" s="4551"/>
      <c r="AY206" s="4551"/>
      <c r="AZ206" s="4551"/>
      <c r="BA206" s="4551"/>
      <c r="BB206" s="4551"/>
      <c r="BC206" s="4551"/>
      <c r="BD206" s="4551"/>
      <c r="BE206" s="4551"/>
      <c r="BF206" s="4551"/>
      <c r="BG206" s="4551"/>
      <c r="BH206" s="4551"/>
      <c r="BI206" s="4551"/>
      <c r="BJ206" s="4541"/>
      <c r="BK206" s="4541"/>
      <c r="BL206" s="4541"/>
      <c r="BM206" s="4580"/>
      <c r="BN206" s="4541"/>
      <c r="BO206" s="4541"/>
      <c r="BP206" s="4541"/>
      <c r="BQ206" s="4504"/>
      <c r="BR206" s="4504"/>
      <c r="BS206" s="4504"/>
      <c r="BT206" s="4504"/>
      <c r="BU206" s="2502"/>
    </row>
    <row r="207" spans="1:73" s="1965" customFormat="1" ht="45" customHeight="1" x14ac:dyDescent="0.25">
      <c r="A207" s="2119"/>
      <c r="B207" s="1944"/>
      <c r="C207" s="1943"/>
      <c r="D207" s="1944"/>
      <c r="E207" s="2128"/>
      <c r="F207" s="2129"/>
      <c r="G207" s="4536"/>
      <c r="H207" s="4538"/>
      <c r="I207" s="4536"/>
      <c r="J207" s="4538"/>
      <c r="K207" s="4487"/>
      <c r="L207" s="3105"/>
      <c r="M207" s="4487"/>
      <c r="N207" s="3105"/>
      <c r="O207" s="4488"/>
      <c r="P207" s="4513"/>
      <c r="Q207" s="4526"/>
      <c r="R207" s="3089"/>
      <c r="S207" s="4527"/>
      <c r="T207" s="4485"/>
      <c r="U207" s="3089"/>
      <c r="V207" s="3089"/>
      <c r="W207" s="2938" t="s">
        <v>3139</v>
      </c>
      <c r="X207" s="2083">
        <v>11458887</v>
      </c>
      <c r="Y207" s="2083">
        <v>1080000</v>
      </c>
      <c r="Z207" s="2083">
        <v>1080000</v>
      </c>
      <c r="AA207" s="2080" t="s">
        <v>3133</v>
      </c>
      <c r="AB207" s="2147">
        <v>113</v>
      </c>
      <c r="AC207" s="1948" t="s">
        <v>3134</v>
      </c>
      <c r="AD207" s="4551"/>
      <c r="AE207" s="4551"/>
      <c r="AF207" s="4551"/>
      <c r="AG207" s="4551"/>
      <c r="AH207" s="4554"/>
      <c r="AI207" s="4551"/>
      <c r="AJ207" s="4551"/>
      <c r="AK207" s="4551"/>
      <c r="AL207" s="4551"/>
      <c r="AM207" s="4551"/>
      <c r="AN207" s="4551"/>
      <c r="AO207" s="4551"/>
      <c r="AP207" s="4551"/>
      <c r="AQ207" s="4551"/>
      <c r="AR207" s="4551"/>
      <c r="AS207" s="4551"/>
      <c r="AT207" s="4551"/>
      <c r="AU207" s="4551"/>
      <c r="AV207" s="4551"/>
      <c r="AW207" s="4551"/>
      <c r="AX207" s="4551"/>
      <c r="AY207" s="4551"/>
      <c r="AZ207" s="4551"/>
      <c r="BA207" s="4551"/>
      <c r="BB207" s="4551"/>
      <c r="BC207" s="4551"/>
      <c r="BD207" s="4551"/>
      <c r="BE207" s="4551"/>
      <c r="BF207" s="4551"/>
      <c r="BG207" s="4551"/>
      <c r="BH207" s="4551"/>
      <c r="BI207" s="4551"/>
      <c r="BJ207" s="4541"/>
      <c r="BK207" s="4541"/>
      <c r="BL207" s="4541"/>
      <c r="BM207" s="4580"/>
      <c r="BN207" s="4541"/>
      <c r="BO207" s="4541"/>
      <c r="BP207" s="4541"/>
      <c r="BQ207" s="4504"/>
      <c r="BR207" s="4504"/>
      <c r="BS207" s="4504"/>
      <c r="BT207" s="4504"/>
      <c r="BU207" s="2502"/>
    </row>
    <row r="208" spans="1:73" s="1965" customFormat="1" ht="45" customHeight="1" x14ac:dyDescent="0.25">
      <c r="A208" s="2119"/>
      <c r="B208" s="1944"/>
      <c r="C208" s="1943"/>
      <c r="D208" s="1944"/>
      <c r="E208" s="2128"/>
      <c r="F208" s="2129"/>
      <c r="G208" s="4536"/>
      <c r="H208" s="4538"/>
      <c r="I208" s="4536"/>
      <c r="J208" s="4538"/>
      <c r="K208" s="4487"/>
      <c r="L208" s="3105"/>
      <c r="M208" s="4487"/>
      <c r="N208" s="3105"/>
      <c r="O208" s="4488"/>
      <c r="P208" s="4513"/>
      <c r="Q208" s="4526"/>
      <c r="R208" s="3089"/>
      <c r="S208" s="4527"/>
      <c r="T208" s="4485"/>
      <c r="U208" s="3089"/>
      <c r="V208" s="3089"/>
      <c r="W208" s="2939"/>
      <c r="X208" s="829">
        <v>1000000</v>
      </c>
      <c r="Y208" s="829">
        <v>97500</v>
      </c>
      <c r="Z208" s="829">
        <v>97500</v>
      </c>
      <c r="AA208" s="2080" t="s">
        <v>3135</v>
      </c>
      <c r="AB208" s="2148">
        <v>114</v>
      </c>
      <c r="AC208" s="1967" t="s">
        <v>3136</v>
      </c>
      <c r="AD208" s="4551"/>
      <c r="AE208" s="4551"/>
      <c r="AF208" s="4551"/>
      <c r="AG208" s="4551"/>
      <c r="AH208" s="4554"/>
      <c r="AI208" s="4551"/>
      <c r="AJ208" s="4551"/>
      <c r="AK208" s="4551"/>
      <c r="AL208" s="4551"/>
      <c r="AM208" s="4551"/>
      <c r="AN208" s="4551"/>
      <c r="AO208" s="4551"/>
      <c r="AP208" s="4551"/>
      <c r="AQ208" s="4551"/>
      <c r="AR208" s="4551"/>
      <c r="AS208" s="4551"/>
      <c r="AT208" s="4551"/>
      <c r="AU208" s="4551"/>
      <c r="AV208" s="4551"/>
      <c r="AW208" s="4551"/>
      <c r="AX208" s="4551"/>
      <c r="AY208" s="4551"/>
      <c r="AZ208" s="4551"/>
      <c r="BA208" s="4551"/>
      <c r="BB208" s="4551"/>
      <c r="BC208" s="4551"/>
      <c r="BD208" s="4551"/>
      <c r="BE208" s="4551"/>
      <c r="BF208" s="4551"/>
      <c r="BG208" s="4551"/>
      <c r="BH208" s="4551"/>
      <c r="BI208" s="4551"/>
      <c r="BJ208" s="4541"/>
      <c r="BK208" s="4541"/>
      <c r="BL208" s="4541"/>
      <c r="BM208" s="4580"/>
      <c r="BN208" s="4541"/>
      <c r="BO208" s="4541"/>
      <c r="BP208" s="4541"/>
      <c r="BQ208" s="4504"/>
      <c r="BR208" s="4504"/>
      <c r="BS208" s="4504"/>
      <c r="BT208" s="4504"/>
      <c r="BU208" s="2502"/>
    </row>
    <row r="209" spans="1:73" s="1965" customFormat="1" ht="45" customHeight="1" x14ac:dyDescent="0.25">
      <c r="A209" s="2119"/>
      <c r="B209" s="1944"/>
      <c r="C209" s="1943"/>
      <c r="D209" s="1944"/>
      <c r="E209" s="2128"/>
      <c r="F209" s="2129"/>
      <c r="G209" s="4536"/>
      <c r="H209" s="4538"/>
      <c r="I209" s="4536"/>
      <c r="J209" s="4538"/>
      <c r="K209" s="4487"/>
      <c r="L209" s="3105"/>
      <c r="M209" s="4487"/>
      <c r="N209" s="3105"/>
      <c r="O209" s="4488"/>
      <c r="P209" s="4513"/>
      <c r="Q209" s="4526"/>
      <c r="R209" s="3089"/>
      <c r="S209" s="4527"/>
      <c r="T209" s="4485"/>
      <c r="U209" s="3089"/>
      <c r="V209" s="3089"/>
      <c r="W209" s="2938" t="s">
        <v>3140</v>
      </c>
      <c r="X209" s="2083">
        <v>14000000</v>
      </c>
      <c r="Y209" s="2083">
        <v>14000000</v>
      </c>
      <c r="Z209" s="2083">
        <v>14000000</v>
      </c>
      <c r="AA209" s="2080" t="s">
        <v>3133</v>
      </c>
      <c r="AB209" s="2147">
        <v>113</v>
      </c>
      <c r="AC209" s="1948" t="s">
        <v>3134</v>
      </c>
      <c r="AD209" s="4551"/>
      <c r="AE209" s="4551"/>
      <c r="AF209" s="4551"/>
      <c r="AG209" s="4551"/>
      <c r="AH209" s="4554"/>
      <c r="AI209" s="4551"/>
      <c r="AJ209" s="4551"/>
      <c r="AK209" s="4551"/>
      <c r="AL209" s="4551"/>
      <c r="AM209" s="4551"/>
      <c r="AN209" s="4551"/>
      <c r="AO209" s="4551"/>
      <c r="AP209" s="4551"/>
      <c r="AQ209" s="4551"/>
      <c r="AR209" s="4551"/>
      <c r="AS209" s="4551"/>
      <c r="AT209" s="4551"/>
      <c r="AU209" s="4551"/>
      <c r="AV209" s="4551"/>
      <c r="AW209" s="4551"/>
      <c r="AX209" s="4551"/>
      <c r="AY209" s="4551"/>
      <c r="AZ209" s="4551"/>
      <c r="BA209" s="4551"/>
      <c r="BB209" s="4551"/>
      <c r="BC209" s="4551"/>
      <c r="BD209" s="4551"/>
      <c r="BE209" s="4551"/>
      <c r="BF209" s="4551"/>
      <c r="BG209" s="4551"/>
      <c r="BH209" s="4551"/>
      <c r="BI209" s="4551"/>
      <c r="BJ209" s="4541"/>
      <c r="BK209" s="4541"/>
      <c r="BL209" s="4541"/>
      <c r="BM209" s="4580"/>
      <c r="BN209" s="4541"/>
      <c r="BO209" s="4541"/>
      <c r="BP209" s="4541"/>
      <c r="BQ209" s="4504"/>
      <c r="BR209" s="4504"/>
      <c r="BS209" s="4504"/>
      <c r="BT209" s="4504"/>
      <c r="BU209" s="2502"/>
    </row>
    <row r="210" spans="1:73" s="1965" customFormat="1" ht="45" customHeight="1" x14ac:dyDescent="0.25">
      <c r="A210" s="2119"/>
      <c r="B210" s="1944"/>
      <c r="C210" s="1943"/>
      <c r="D210" s="1944"/>
      <c r="E210" s="2128"/>
      <c r="F210" s="2129"/>
      <c r="G210" s="4536"/>
      <c r="H210" s="4538"/>
      <c r="I210" s="4536"/>
      <c r="J210" s="4538"/>
      <c r="K210" s="4487"/>
      <c r="L210" s="3105"/>
      <c r="M210" s="4487"/>
      <c r="N210" s="3105"/>
      <c r="O210" s="4488"/>
      <c r="P210" s="4513"/>
      <c r="Q210" s="4526"/>
      <c r="R210" s="3089"/>
      <c r="S210" s="4527"/>
      <c r="T210" s="4485"/>
      <c r="U210" s="3089"/>
      <c r="V210" s="3089"/>
      <c r="W210" s="2939"/>
      <c r="X210" s="829">
        <v>1000000</v>
      </c>
      <c r="Y210" s="829"/>
      <c r="Z210" s="829"/>
      <c r="AA210" s="2080" t="s">
        <v>3135</v>
      </c>
      <c r="AB210" s="2148">
        <v>114</v>
      </c>
      <c r="AC210" s="1967" t="s">
        <v>3136</v>
      </c>
      <c r="AD210" s="4551"/>
      <c r="AE210" s="4551"/>
      <c r="AF210" s="4551"/>
      <c r="AG210" s="4551"/>
      <c r="AH210" s="4554"/>
      <c r="AI210" s="4551"/>
      <c r="AJ210" s="4551"/>
      <c r="AK210" s="4551"/>
      <c r="AL210" s="4551"/>
      <c r="AM210" s="4551"/>
      <c r="AN210" s="4551"/>
      <c r="AO210" s="4551"/>
      <c r="AP210" s="4551"/>
      <c r="AQ210" s="4551"/>
      <c r="AR210" s="4551"/>
      <c r="AS210" s="4551"/>
      <c r="AT210" s="4551"/>
      <c r="AU210" s="4551"/>
      <c r="AV210" s="4551"/>
      <c r="AW210" s="4551"/>
      <c r="AX210" s="4551"/>
      <c r="AY210" s="4551"/>
      <c r="AZ210" s="4551"/>
      <c r="BA210" s="4551"/>
      <c r="BB210" s="4551"/>
      <c r="BC210" s="4551"/>
      <c r="BD210" s="4551"/>
      <c r="BE210" s="4551"/>
      <c r="BF210" s="4551"/>
      <c r="BG210" s="4551"/>
      <c r="BH210" s="4551"/>
      <c r="BI210" s="4551"/>
      <c r="BJ210" s="4541"/>
      <c r="BK210" s="4541"/>
      <c r="BL210" s="4541"/>
      <c r="BM210" s="4580"/>
      <c r="BN210" s="4541"/>
      <c r="BO210" s="4541"/>
      <c r="BP210" s="4541"/>
      <c r="BQ210" s="4504"/>
      <c r="BR210" s="4504"/>
      <c r="BS210" s="4504"/>
      <c r="BT210" s="4504"/>
      <c r="BU210" s="2502"/>
    </row>
    <row r="211" spans="1:73" s="1965" customFormat="1" ht="45" customHeight="1" x14ac:dyDescent="0.25">
      <c r="A211" s="2119"/>
      <c r="B211" s="1944"/>
      <c r="C211" s="1943"/>
      <c r="D211" s="1944"/>
      <c r="E211" s="2128"/>
      <c r="F211" s="2129"/>
      <c r="G211" s="4536"/>
      <c r="H211" s="4538"/>
      <c r="I211" s="4536"/>
      <c r="J211" s="4538"/>
      <c r="K211" s="4487"/>
      <c r="L211" s="3105"/>
      <c r="M211" s="4487"/>
      <c r="N211" s="3105"/>
      <c r="O211" s="4488"/>
      <c r="P211" s="4513"/>
      <c r="Q211" s="4526"/>
      <c r="R211" s="3089"/>
      <c r="S211" s="4527"/>
      <c r="T211" s="4485"/>
      <c r="U211" s="3089"/>
      <c r="V211" s="3089"/>
      <c r="W211" s="1942" t="s">
        <v>3141</v>
      </c>
      <c r="X211" s="829">
        <v>15000000</v>
      </c>
      <c r="Y211" s="829">
        <v>11819671</v>
      </c>
      <c r="Z211" s="829">
        <v>11819671</v>
      </c>
      <c r="AA211" s="2080" t="s">
        <v>3133</v>
      </c>
      <c r="AB211" s="2148">
        <v>113</v>
      </c>
      <c r="AC211" s="1948" t="s">
        <v>3134</v>
      </c>
      <c r="AD211" s="4551"/>
      <c r="AE211" s="4551"/>
      <c r="AF211" s="4551"/>
      <c r="AG211" s="4551"/>
      <c r="AH211" s="4554"/>
      <c r="AI211" s="4551"/>
      <c r="AJ211" s="4551"/>
      <c r="AK211" s="4551"/>
      <c r="AL211" s="4551"/>
      <c r="AM211" s="4551"/>
      <c r="AN211" s="4551"/>
      <c r="AO211" s="4551"/>
      <c r="AP211" s="4551"/>
      <c r="AQ211" s="4551"/>
      <c r="AR211" s="4551"/>
      <c r="AS211" s="4551"/>
      <c r="AT211" s="4551"/>
      <c r="AU211" s="4551"/>
      <c r="AV211" s="4551"/>
      <c r="AW211" s="4551"/>
      <c r="AX211" s="4551"/>
      <c r="AY211" s="4551"/>
      <c r="AZ211" s="4551"/>
      <c r="BA211" s="4551"/>
      <c r="BB211" s="4551"/>
      <c r="BC211" s="4551"/>
      <c r="BD211" s="4551"/>
      <c r="BE211" s="4551"/>
      <c r="BF211" s="4551"/>
      <c r="BG211" s="4551"/>
      <c r="BH211" s="4551"/>
      <c r="BI211" s="4551"/>
      <c r="BJ211" s="4541"/>
      <c r="BK211" s="4541"/>
      <c r="BL211" s="4541"/>
      <c r="BM211" s="4580"/>
      <c r="BN211" s="4541"/>
      <c r="BO211" s="4541"/>
      <c r="BP211" s="4541"/>
      <c r="BQ211" s="4504"/>
      <c r="BR211" s="4504"/>
      <c r="BS211" s="4504"/>
      <c r="BT211" s="4504"/>
      <c r="BU211" s="2502"/>
    </row>
    <row r="212" spans="1:73" s="1965" customFormat="1" ht="45" customHeight="1" x14ac:dyDescent="0.25">
      <c r="A212" s="2119"/>
      <c r="B212" s="1944"/>
      <c r="C212" s="1943"/>
      <c r="D212" s="1944"/>
      <c r="E212" s="2128"/>
      <c r="F212" s="2129"/>
      <c r="G212" s="4536"/>
      <c r="H212" s="4538"/>
      <c r="I212" s="4536"/>
      <c r="J212" s="4538"/>
      <c r="K212" s="4487"/>
      <c r="L212" s="3105"/>
      <c r="M212" s="4487"/>
      <c r="N212" s="3105"/>
      <c r="O212" s="4488"/>
      <c r="P212" s="4513"/>
      <c r="Q212" s="4526"/>
      <c r="R212" s="3089"/>
      <c r="S212" s="4527"/>
      <c r="T212" s="4485"/>
      <c r="U212" s="3089"/>
      <c r="V212" s="3089"/>
      <c r="W212" s="2938" t="s">
        <v>3142</v>
      </c>
      <c r="X212" s="2083">
        <v>35000000</v>
      </c>
      <c r="Y212" s="2083">
        <v>20091276</v>
      </c>
      <c r="Z212" s="2083">
        <v>20091276</v>
      </c>
      <c r="AA212" s="2080" t="s">
        <v>3133</v>
      </c>
      <c r="AB212" s="2147">
        <v>113</v>
      </c>
      <c r="AC212" s="1948" t="s">
        <v>3134</v>
      </c>
      <c r="AD212" s="4551"/>
      <c r="AE212" s="4551"/>
      <c r="AF212" s="4551"/>
      <c r="AG212" s="4551"/>
      <c r="AH212" s="4554"/>
      <c r="AI212" s="4551"/>
      <c r="AJ212" s="4551"/>
      <c r="AK212" s="4551"/>
      <c r="AL212" s="4551"/>
      <c r="AM212" s="4551"/>
      <c r="AN212" s="4551"/>
      <c r="AO212" s="4551"/>
      <c r="AP212" s="4551"/>
      <c r="AQ212" s="4551"/>
      <c r="AR212" s="4551"/>
      <c r="AS212" s="4551"/>
      <c r="AT212" s="4551"/>
      <c r="AU212" s="4551"/>
      <c r="AV212" s="4551"/>
      <c r="AW212" s="4551"/>
      <c r="AX212" s="4551"/>
      <c r="AY212" s="4551"/>
      <c r="AZ212" s="4551"/>
      <c r="BA212" s="4551"/>
      <c r="BB212" s="4551"/>
      <c r="BC212" s="4551"/>
      <c r="BD212" s="4551"/>
      <c r="BE212" s="4551"/>
      <c r="BF212" s="4551"/>
      <c r="BG212" s="4551"/>
      <c r="BH212" s="4551"/>
      <c r="BI212" s="4551"/>
      <c r="BJ212" s="4541"/>
      <c r="BK212" s="4541"/>
      <c r="BL212" s="4541"/>
      <c r="BM212" s="4580"/>
      <c r="BN212" s="4541"/>
      <c r="BO212" s="4541"/>
      <c r="BP212" s="4541"/>
      <c r="BQ212" s="4504"/>
      <c r="BR212" s="4504"/>
      <c r="BS212" s="4504"/>
      <c r="BT212" s="4504"/>
      <c r="BU212" s="2502"/>
    </row>
    <row r="213" spans="1:73" s="1965" customFormat="1" ht="45" customHeight="1" x14ac:dyDescent="0.25">
      <c r="A213" s="2119"/>
      <c r="B213" s="1944"/>
      <c r="C213" s="1943"/>
      <c r="D213" s="1944"/>
      <c r="E213" s="2128"/>
      <c r="F213" s="2129"/>
      <c r="G213" s="4536"/>
      <c r="H213" s="4538"/>
      <c r="I213" s="4536"/>
      <c r="J213" s="4538"/>
      <c r="K213" s="4487"/>
      <c r="L213" s="3105"/>
      <c r="M213" s="4487"/>
      <c r="N213" s="3105"/>
      <c r="O213" s="4488"/>
      <c r="P213" s="4513"/>
      <c r="Q213" s="4526"/>
      <c r="R213" s="3089"/>
      <c r="S213" s="4527"/>
      <c r="T213" s="4485"/>
      <c r="U213" s="3089"/>
      <c r="V213" s="3089"/>
      <c r="W213" s="2939"/>
      <c r="X213" s="829">
        <v>0</v>
      </c>
      <c r="Y213" s="829"/>
      <c r="Z213" s="829"/>
      <c r="AA213" s="2080" t="s">
        <v>3135</v>
      </c>
      <c r="AB213" s="2148">
        <v>114</v>
      </c>
      <c r="AC213" s="1967" t="s">
        <v>3136</v>
      </c>
      <c r="AD213" s="4551"/>
      <c r="AE213" s="4551"/>
      <c r="AF213" s="4551"/>
      <c r="AG213" s="4551"/>
      <c r="AH213" s="4554"/>
      <c r="AI213" s="4551"/>
      <c r="AJ213" s="4551"/>
      <c r="AK213" s="4551"/>
      <c r="AL213" s="4551"/>
      <c r="AM213" s="4551"/>
      <c r="AN213" s="4551"/>
      <c r="AO213" s="4551"/>
      <c r="AP213" s="4551"/>
      <c r="AQ213" s="4551"/>
      <c r="AR213" s="4551"/>
      <c r="AS213" s="4551"/>
      <c r="AT213" s="4551"/>
      <c r="AU213" s="4551"/>
      <c r="AV213" s="4551"/>
      <c r="AW213" s="4551"/>
      <c r="AX213" s="4551"/>
      <c r="AY213" s="4551"/>
      <c r="AZ213" s="4551"/>
      <c r="BA213" s="4551"/>
      <c r="BB213" s="4551"/>
      <c r="BC213" s="4551"/>
      <c r="BD213" s="4551"/>
      <c r="BE213" s="4551"/>
      <c r="BF213" s="4551"/>
      <c r="BG213" s="4551"/>
      <c r="BH213" s="4551"/>
      <c r="BI213" s="4551"/>
      <c r="BJ213" s="4541"/>
      <c r="BK213" s="4541"/>
      <c r="BL213" s="4541"/>
      <c r="BM213" s="4580"/>
      <c r="BN213" s="4541"/>
      <c r="BO213" s="4541"/>
      <c r="BP213" s="4541"/>
      <c r="BQ213" s="4504"/>
      <c r="BR213" s="4504"/>
      <c r="BS213" s="4504"/>
      <c r="BT213" s="4504"/>
      <c r="BU213" s="2502"/>
    </row>
    <row r="214" spans="1:73" s="1965" customFormat="1" ht="45" customHeight="1" x14ac:dyDescent="0.25">
      <c r="A214" s="2119"/>
      <c r="B214" s="1944"/>
      <c r="C214" s="1943"/>
      <c r="D214" s="1944"/>
      <c r="E214" s="2128"/>
      <c r="F214" s="2129"/>
      <c r="G214" s="4536"/>
      <c r="H214" s="4538"/>
      <c r="I214" s="4536"/>
      <c r="J214" s="4538"/>
      <c r="K214" s="4487"/>
      <c r="L214" s="3105"/>
      <c r="M214" s="4487"/>
      <c r="N214" s="3105"/>
      <c r="O214" s="4488"/>
      <c r="P214" s="4513"/>
      <c r="Q214" s="4526"/>
      <c r="R214" s="3089"/>
      <c r="S214" s="4527"/>
      <c r="T214" s="4485"/>
      <c r="U214" s="3089"/>
      <c r="V214" s="3089"/>
      <c r="W214" s="2938" t="s">
        <v>3143</v>
      </c>
      <c r="X214" s="2083">
        <v>31072829</v>
      </c>
      <c r="Y214" s="2083">
        <v>31001162</v>
      </c>
      <c r="Z214" s="2083">
        <v>31001162</v>
      </c>
      <c r="AA214" s="2080" t="s">
        <v>3133</v>
      </c>
      <c r="AB214" s="2147">
        <v>113</v>
      </c>
      <c r="AC214" s="1948" t="s">
        <v>3134</v>
      </c>
      <c r="AD214" s="4551"/>
      <c r="AE214" s="4551"/>
      <c r="AF214" s="4551"/>
      <c r="AG214" s="4551"/>
      <c r="AH214" s="4554"/>
      <c r="AI214" s="4551"/>
      <c r="AJ214" s="4551"/>
      <c r="AK214" s="4551"/>
      <c r="AL214" s="4551"/>
      <c r="AM214" s="4551"/>
      <c r="AN214" s="4551"/>
      <c r="AO214" s="4551"/>
      <c r="AP214" s="4551"/>
      <c r="AQ214" s="4551"/>
      <c r="AR214" s="4551"/>
      <c r="AS214" s="4551"/>
      <c r="AT214" s="4551"/>
      <c r="AU214" s="4551"/>
      <c r="AV214" s="4551"/>
      <c r="AW214" s="4551"/>
      <c r="AX214" s="4551"/>
      <c r="AY214" s="4551"/>
      <c r="AZ214" s="4551"/>
      <c r="BA214" s="4551"/>
      <c r="BB214" s="4551"/>
      <c r="BC214" s="4551"/>
      <c r="BD214" s="4551"/>
      <c r="BE214" s="4551"/>
      <c r="BF214" s="4551"/>
      <c r="BG214" s="4551"/>
      <c r="BH214" s="4551"/>
      <c r="BI214" s="4551"/>
      <c r="BJ214" s="4541"/>
      <c r="BK214" s="4541"/>
      <c r="BL214" s="4541"/>
      <c r="BM214" s="4580"/>
      <c r="BN214" s="4541"/>
      <c r="BO214" s="4541"/>
      <c r="BP214" s="4541"/>
      <c r="BQ214" s="4504"/>
      <c r="BR214" s="4504"/>
      <c r="BS214" s="4504"/>
      <c r="BT214" s="4504"/>
      <c r="BU214" s="2502"/>
    </row>
    <row r="215" spans="1:73" s="1965" customFormat="1" ht="45" customHeight="1" x14ac:dyDescent="0.25">
      <c r="A215" s="2119"/>
      <c r="B215" s="1944"/>
      <c r="C215" s="1943"/>
      <c r="D215" s="1944"/>
      <c r="E215" s="2128"/>
      <c r="F215" s="2129"/>
      <c r="G215" s="4536"/>
      <c r="H215" s="4538"/>
      <c r="I215" s="4536"/>
      <c r="J215" s="4538"/>
      <c r="K215" s="4487"/>
      <c r="L215" s="3105"/>
      <c r="M215" s="4487"/>
      <c r="N215" s="3105"/>
      <c r="O215" s="4488"/>
      <c r="P215" s="4514"/>
      <c r="Q215" s="4526"/>
      <c r="R215" s="3089"/>
      <c r="S215" s="4527"/>
      <c r="T215" s="4485"/>
      <c r="U215" s="3089"/>
      <c r="V215" s="3089"/>
      <c r="W215" s="2939"/>
      <c r="X215" s="829">
        <v>11126628</v>
      </c>
      <c r="Y215" s="829">
        <v>2712500</v>
      </c>
      <c r="Z215" s="829">
        <v>2712500</v>
      </c>
      <c r="AA215" s="2080" t="s">
        <v>3135</v>
      </c>
      <c r="AB215" s="2148">
        <v>114</v>
      </c>
      <c r="AC215" s="1967" t="s">
        <v>3136</v>
      </c>
      <c r="AD215" s="4551"/>
      <c r="AE215" s="4551"/>
      <c r="AF215" s="4551"/>
      <c r="AG215" s="4551"/>
      <c r="AH215" s="4554"/>
      <c r="AI215" s="4551"/>
      <c r="AJ215" s="4551"/>
      <c r="AK215" s="4551"/>
      <c r="AL215" s="4551"/>
      <c r="AM215" s="4551"/>
      <c r="AN215" s="4551"/>
      <c r="AO215" s="4551"/>
      <c r="AP215" s="4551"/>
      <c r="AQ215" s="4551"/>
      <c r="AR215" s="4551"/>
      <c r="AS215" s="4551"/>
      <c r="AT215" s="4551"/>
      <c r="AU215" s="4551"/>
      <c r="AV215" s="4551"/>
      <c r="AW215" s="4551"/>
      <c r="AX215" s="4551"/>
      <c r="AY215" s="4551"/>
      <c r="AZ215" s="4551"/>
      <c r="BA215" s="4551"/>
      <c r="BB215" s="4551"/>
      <c r="BC215" s="4551"/>
      <c r="BD215" s="4551"/>
      <c r="BE215" s="4551"/>
      <c r="BF215" s="4551"/>
      <c r="BG215" s="4551"/>
      <c r="BH215" s="4551"/>
      <c r="BI215" s="4551"/>
      <c r="BJ215" s="4541"/>
      <c r="BK215" s="4541"/>
      <c r="BL215" s="4541"/>
      <c r="BM215" s="4580"/>
      <c r="BN215" s="4541"/>
      <c r="BO215" s="4541"/>
      <c r="BP215" s="4541"/>
      <c r="BQ215" s="4504"/>
      <c r="BR215" s="4504"/>
      <c r="BS215" s="4504"/>
      <c r="BT215" s="4504"/>
      <c r="BU215" s="2502"/>
    </row>
    <row r="216" spans="1:73" s="1965" customFormat="1" ht="56.25" customHeight="1" x14ac:dyDescent="0.25">
      <c r="A216" s="2119"/>
      <c r="B216" s="1944"/>
      <c r="C216" s="1943"/>
      <c r="D216" s="1944"/>
      <c r="E216" s="2128"/>
      <c r="F216" s="2129"/>
      <c r="G216" s="3694">
        <v>1905026</v>
      </c>
      <c r="H216" s="4576" t="s">
        <v>3080</v>
      </c>
      <c r="I216" s="3694">
        <v>1905026</v>
      </c>
      <c r="J216" s="4576" t="s">
        <v>3080</v>
      </c>
      <c r="K216" s="4483">
        <v>190502600</v>
      </c>
      <c r="L216" s="3024" t="s">
        <v>3081</v>
      </c>
      <c r="M216" s="4483">
        <v>190502600</v>
      </c>
      <c r="N216" s="3024" t="s">
        <v>3081</v>
      </c>
      <c r="O216" s="2579">
        <v>12</v>
      </c>
      <c r="P216" s="3715">
        <v>12</v>
      </c>
      <c r="Q216" s="3615" t="s">
        <v>3144</v>
      </c>
      <c r="R216" s="2938" t="s">
        <v>3145</v>
      </c>
      <c r="S216" s="2790">
        <f>SUM(X216:X219)/T216</f>
        <v>1</v>
      </c>
      <c r="T216" s="4486">
        <f>SUM(X216:X219)</f>
        <v>1100000000</v>
      </c>
      <c r="U216" s="2938" t="s">
        <v>3146</v>
      </c>
      <c r="V216" s="2938" t="s">
        <v>3147</v>
      </c>
      <c r="W216" s="1940" t="s">
        <v>3148</v>
      </c>
      <c r="X216" s="829">
        <v>0</v>
      </c>
      <c r="Y216" s="829"/>
      <c r="Z216" s="2105"/>
      <c r="AA216" s="2091" t="s">
        <v>3149</v>
      </c>
      <c r="AB216" s="2148">
        <v>20</v>
      </c>
      <c r="AC216" s="1864" t="s">
        <v>1</v>
      </c>
      <c r="AD216" s="4573">
        <v>295972</v>
      </c>
      <c r="AE216" s="4573"/>
      <c r="AF216" s="4573">
        <v>285580</v>
      </c>
      <c r="AG216" s="4573"/>
      <c r="AH216" s="4574">
        <v>135545</v>
      </c>
      <c r="AI216" s="4573"/>
      <c r="AJ216" s="4573">
        <v>44254</v>
      </c>
      <c r="AK216" s="4573"/>
      <c r="AL216" s="4573">
        <v>309146</v>
      </c>
      <c r="AM216" s="4573"/>
      <c r="AN216" s="4573">
        <v>92607</v>
      </c>
      <c r="AO216" s="4573"/>
      <c r="AP216" s="4573">
        <v>2145</v>
      </c>
      <c r="AQ216" s="4573"/>
      <c r="AR216" s="4573">
        <v>12718</v>
      </c>
      <c r="AS216" s="4573"/>
      <c r="AT216" s="4573">
        <v>26</v>
      </c>
      <c r="AU216" s="4573"/>
      <c r="AV216" s="4573">
        <v>37</v>
      </c>
      <c r="AW216" s="4573"/>
      <c r="AX216" s="4573">
        <v>0</v>
      </c>
      <c r="AY216" s="4573"/>
      <c r="AZ216" s="4573">
        <v>0</v>
      </c>
      <c r="BA216" s="4573"/>
      <c r="BB216" s="4573">
        <v>44350</v>
      </c>
      <c r="BC216" s="4573"/>
      <c r="BD216" s="4573">
        <v>21944</v>
      </c>
      <c r="BE216" s="4573"/>
      <c r="BF216" s="4573">
        <v>75687</v>
      </c>
      <c r="BG216" s="4573"/>
      <c r="BH216" s="4573">
        <v>59.68</v>
      </c>
      <c r="BI216" s="4573"/>
      <c r="BJ216" s="4570">
        <v>17</v>
      </c>
      <c r="BK216" s="4570">
        <f>SUM(Y216:Y219)</f>
        <v>1059833419</v>
      </c>
      <c r="BL216" s="4570">
        <f>SUM(Z216:Z219)</f>
        <v>1059833419</v>
      </c>
      <c r="BM216" s="3957">
        <f>BL216/BK216</f>
        <v>1</v>
      </c>
      <c r="BN216" s="4570" t="s">
        <v>3150</v>
      </c>
      <c r="BO216" s="4244" t="s">
        <v>3151</v>
      </c>
      <c r="BP216" s="4244" t="s">
        <v>2903</v>
      </c>
      <c r="BQ216" s="4569">
        <v>44197</v>
      </c>
      <c r="BR216" s="4569">
        <v>44244</v>
      </c>
      <c r="BS216" s="4569">
        <v>44561</v>
      </c>
      <c r="BT216" s="4569">
        <v>44561</v>
      </c>
      <c r="BU216" s="4244" t="s">
        <v>2744</v>
      </c>
    </row>
    <row r="217" spans="1:73" s="1965" customFormat="1" ht="56.25" customHeight="1" x14ac:dyDescent="0.25">
      <c r="A217" s="2119"/>
      <c r="B217" s="1944"/>
      <c r="C217" s="1943"/>
      <c r="D217" s="1944"/>
      <c r="E217" s="2128"/>
      <c r="F217" s="2129"/>
      <c r="G217" s="4575"/>
      <c r="H217" s="4577"/>
      <c r="I217" s="4575"/>
      <c r="J217" s="4577"/>
      <c r="K217" s="4484"/>
      <c r="L217" s="3025"/>
      <c r="M217" s="4484"/>
      <c r="N217" s="3025"/>
      <c r="O217" s="2580"/>
      <c r="P217" s="3716"/>
      <c r="Q217" s="3616"/>
      <c r="R217" s="3100"/>
      <c r="S217" s="2791"/>
      <c r="T217" s="4499"/>
      <c r="U217" s="3100"/>
      <c r="V217" s="3100"/>
      <c r="W217" s="1940" t="s">
        <v>3152</v>
      </c>
      <c r="X217" s="829">
        <v>418569526</v>
      </c>
      <c r="Y217" s="2109">
        <f>378717987+4180000</f>
        <v>382897987</v>
      </c>
      <c r="Z217" s="2109">
        <f>378717987+4180000</f>
        <v>382897987</v>
      </c>
      <c r="AA217" s="2080" t="s">
        <v>3149</v>
      </c>
      <c r="AB217" s="2150">
        <v>20</v>
      </c>
      <c r="AC217" s="2151" t="s">
        <v>1</v>
      </c>
      <c r="AD217" s="4573"/>
      <c r="AE217" s="4573"/>
      <c r="AF217" s="4573"/>
      <c r="AG217" s="4573"/>
      <c r="AH217" s="4574"/>
      <c r="AI217" s="4573"/>
      <c r="AJ217" s="4573"/>
      <c r="AK217" s="4573"/>
      <c r="AL217" s="4573"/>
      <c r="AM217" s="4573"/>
      <c r="AN217" s="4573"/>
      <c r="AO217" s="4573"/>
      <c r="AP217" s="4573"/>
      <c r="AQ217" s="4573"/>
      <c r="AR217" s="4573"/>
      <c r="AS217" s="4573"/>
      <c r="AT217" s="4573"/>
      <c r="AU217" s="4573"/>
      <c r="AV217" s="4573"/>
      <c r="AW217" s="4573"/>
      <c r="AX217" s="4573"/>
      <c r="AY217" s="4573"/>
      <c r="AZ217" s="4573"/>
      <c r="BA217" s="4573"/>
      <c r="BB217" s="4573"/>
      <c r="BC217" s="4573"/>
      <c r="BD217" s="4573"/>
      <c r="BE217" s="4573"/>
      <c r="BF217" s="4573"/>
      <c r="BG217" s="4573"/>
      <c r="BH217" s="4573"/>
      <c r="BI217" s="4573"/>
      <c r="BJ217" s="4570"/>
      <c r="BK217" s="4570"/>
      <c r="BL217" s="4570"/>
      <c r="BM217" s="3957"/>
      <c r="BN217" s="4570"/>
      <c r="BO217" s="4244"/>
      <c r="BP217" s="4244"/>
      <c r="BQ217" s="4569"/>
      <c r="BR217" s="4569"/>
      <c r="BS217" s="4569"/>
      <c r="BT217" s="4569"/>
      <c r="BU217" s="4570"/>
    </row>
    <row r="218" spans="1:73" s="1965" customFormat="1" ht="36" customHeight="1" x14ac:dyDescent="0.25">
      <c r="A218" s="2119"/>
      <c r="B218" s="1944"/>
      <c r="C218" s="1943"/>
      <c r="D218" s="1944"/>
      <c r="E218" s="2128"/>
      <c r="F218" s="2129"/>
      <c r="G218" s="4575"/>
      <c r="H218" s="4577"/>
      <c r="I218" s="4575"/>
      <c r="J218" s="4577"/>
      <c r="K218" s="4484"/>
      <c r="L218" s="3025"/>
      <c r="M218" s="4484"/>
      <c r="N218" s="3025"/>
      <c r="O218" s="2580"/>
      <c r="P218" s="3716"/>
      <c r="Q218" s="3616"/>
      <c r="R218" s="3100"/>
      <c r="S218" s="2791"/>
      <c r="T218" s="4499"/>
      <c r="U218" s="3100"/>
      <c r="V218" s="3100"/>
      <c r="W218" s="2938" t="s">
        <v>3153</v>
      </c>
      <c r="X218" s="829">
        <v>81430474</v>
      </c>
      <c r="Y218" s="829">
        <v>81430474</v>
      </c>
      <c r="Z218" s="829">
        <v>81430474</v>
      </c>
      <c r="AA218" s="2080" t="s">
        <v>3149</v>
      </c>
      <c r="AB218" s="2150">
        <v>20</v>
      </c>
      <c r="AC218" s="2151" t="s">
        <v>1</v>
      </c>
      <c r="AD218" s="4573"/>
      <c r="AE218" s="4573"/>
      <c r="AF218" s="4573"/>
      <c r="AG218" s="4573"/>
      <c r="AH218" s="4574"/>
      <c r="AI218" s="4573"/>
      <c r="AJ218" s="4573"/>
      <c r="AK218" s="4573"/>
      <c r="AL218" s="4573"/>
      <c r="AM218" s="4573"/>
      <c r="AN218" s="4573"/>
      <c r="AO218" s="4573"/>
      <c r="AP218" s="4573"/>
      <c r="AQ218" s="4573"/>
      <c r="AR218" s="4573"/>
      <c r="AS218" s="4573"/>
      <c r="AT218" s="4573"/>
      <c r="AU218" s="4573"/>
      <c r="AV218" s="4573"/>
      <c r="AW218" s="4573"/>
      <c r="AX218" s="4573"/>
      <c r="AY218" s="4573"/>
      <c r="AZ218" s="4573"/>
      <c r="BA218" s="4573"/>
      <c r="BB218" s="4573"/>
      <c r="BC218" s="4573"/>
      <c r="BD218" s="4573"/>
      <c r="BE218" s="4573"/>
      <c r="BF218" s="4573"/>
      <c r="BG218" s="4573"/>
      <c r="BH218" s="4573"/>
      <c r="BI218" s="4573"/>
      <c r="BJ218" s="4570"/>
      <c r="BK218" s="4570"/>
      <c r="BL218" s="4570"/>
      <c r="BM218" s="3957"/>
      <c r="BN218" s="4570"/>
      <c r="BO218" s="4244"/>
      <c r="BP218" s="4244"/>
      <c r="BQ218" s="4569"/>
      <c r="BR218" s="4569"/>
      <c r="BS218" s="4569"/>
      <c r="BT218" s="4569"/>
      <c r="BU218" s="4570"/>
    </row>
    <row r="219" spans="1:73" s="1965" customFormat="1" ht="36" customHeight="1" x14ac:dyDescent="0.25">
      <c r="A219" s="2119"/>
      <c r="B219" s="1944"/>
      <c r="C219" s="1943"/>
      <c r="D219" s="1944"/>
      <c r="E219" s="2128"/>
      <c r="F219" s="2129"/>
      <c r="G219" s="3692"/>
      <c r="H219" s="4578"/>
      <c r="I219" s="3692"/>
      <c r="J219" s="4578"/>
      <c r="K219" s="4494"/>
      <c r="L219" s="3052"/>
      <c r="M219" s="4494"/>
      <c r="N219" s="3052"/>
      <c r="O219" s="2581"/>
      <c r="P219" s="3717"/>
      <c r="Q219" s="4498"/>
      <c r="R219" s="2939"/>
      <c r="S219" s="2792"/>
      <c r="T219" s="4500"/>
      <c r="U219" s="2939"/>
      <c r="V219" s="2939"/>
      <c r="W219" s="2939"/>
      <c r="X219" s="829">
        <v>600000000</v>
      </c>
      <c r="Y219" s="829">
        <v>595504958</v>
      </c>
      <c r="Z219" s="829">
        <v>595504958</v>
      </c>
      <c r="AA219" s="2080" t="s">
        <v>3154</v>
      </c>
      <c r="AB219" s="2150">
        <v>88</v>
      </c>
      <c r="AC219" s="2151" t="s">
        <v>2174</v>
      </c>
      <c r="AD219" s="4573"/>
      <c r="AE219" s="4573"/>
      <c r="AF219" s="4573"/>
      <c r="AG219" s="4573"/>
      <c r="AH219" s="4574"/>
      <c r="AI219" s="4573"/>
      <c r="AJ219" s="4573"/>
      <c r="AK219" s="4573"/>
      <c r="AL219" s="4573"/>
      <c r="AM219" s="4573"/>
      <c r="AN219" s="4573"/>
      <c r="AO219" s="4573"/>
      <c r="AP219" s="4573"/>
      <c r="AQ219" s="4573"/>
      <c r="AR219" s="4573"/>
      <c r="AS219" s="4573"/>
      <c r="AT219" s="4573"/>
      <c r="AU219" s="4573"/>
      <c r="AV219" s="4573"/>
      <c r="AW219" s="4573"/>
      <c r="AX219" s="4573"/>
      <c r="AY219" s="4573"/>
      <c r="AZ219" s="4573"/>
      <c r="BA219" s="4573"/>
      <c r="BB219" s="4573"/>
      <c r="BC219" s="4573"/>
      <c r="BD219" s="4573"/>
      <c r="BE219" s="4573"/>
      <c r="BF219" s="4573"/>
      <c r="BG219" s="4573"/>
      <c r="BH219" s="4573"/>
      <c r="BI219" s="4573"/>
      <c r="BJ219" s="4570"/>
      <c r="BK219" s="4570"/>
      <c r="BL219" s="4570"/>
      <c r="BM219" s="3957"/>
      <c r="BN219" s="4570"/>
      <c r="BO219" s="4244"/>
      <c r="BP219" s="4244"/>
      <c r="BQ219" s="4569"/>
      <c r="BR219" s="4569"/>
      <c r="BS219" s="4569"/>
      <c r="BT219" s="4569"/>
      <c r="BU219" s="4570"/>
    </row>
    <row r="220" spans="1:73" s="1965" customFormat="1" ht="119.25" customHeight="1" x14ac:dyDescent="0.25">
      <c r="A220" s="2119"/>
      <c r="B220" s="1944"/>
      <c r="C220" s="1943"/>
      <c r="D220" s="1944"/>
      <c r="E220" s="2128"/>
      <c r="F220" s="2129"/>
      <c r="G220" s="4571">
        <v>1905029</v>
      </c>
      <c r="H220" s="4572" t="s">
        <v>3155</v>
      </c>
      <c r="I220" s="4571">
        <v>1905030</v>
      </c>
      <c r="J220" s="4572" t="s">
        <v>3155</v>
      </c>
      <c r="K220" s="2937">
        <v>190502900</v>
      </c>
      <c r="L220" s="3089" t="s">
        <v>3156</v>
      </c>
      <c r="M220" s="2937">
        <v>190503000</v>
      </c>
      <c r="N220" s="3089" t="s">
        <v>3156</v>
      </c>
      <c r="O220" s="4488">
        <v>60</v>
      </c>
      <c r="P220" s="4512">
        <v>57</v>
      </c>
      <c r="Q220" s="4526" t="s">
        <v>3157</v>
      </c>
      <c r="R220" s="3089" t="s">
        <v>3158</v>
      </c>
      <c r="S220" s="4527">
        <f>SUM(X220:X221)/T220</f>
        <v>1</v>
      </c>
      <c r="T220" s="4485">
        <f>SUM(X220:X221)</f>
        <v>20000000</v>
      </c>
      <c r="U220" s="3089" t="s">
        <v>3159</v>
      </c>
      <c r="V220" s="3089" t="s">
        <v>3160</v>
      </c>
      <c r="W220" s="1940" t="s">
        <v>3161</v>
      </c>
      <c r="X220" s="829">
        <v>10000000</v>
      </c>
      <c r="Y220" s="2142">
        <v>10000000</v>
      </c>
      <c r="Z220" s="2105">
        <v>10000000</v>
      </c>
      <c r="AA220" s="2080" t="s">
        <v>3162</v>
      </c>
      <c r="AB220" s="2148">
        <v>61</v>
      </c>
      <c r="AC220" s="1967" t="s">
        <v>2740</v>
      </c>
      <c r="AD220" s="4562">
        <v>292684</v>
      </c>
      <c r="AE220" s="4562"/>
      <c r="AF220" s="4562">
        <v>282326</v>
      </c>
      <c r="AG220" s="4562"/>
      <c r="AH220" s="4567">
        <v>135912</v>
      </c>
      <c r="AI220" s="4562"/>
      <c r="AJ220" s="4562">
        <v>45122</v>
      </c>
      <c r="AK220" s="4562"/>
      <c r="AL220" s="4562">
        <v>307101</v>
      </c>
      <c r="AM220" s="4562"/>
      <c r="AN220" s="4562">
        <v>86875</v>
      </c>
      <c r="AO220" s="4562"/>
      <c r="AP220" s="4562">
        <v>2145</v>
      </c>
      <c r="AQ220" s="4562"/>
      <c r="AR220" s="4562">
        <v>12718</v>
      </c>
      <c r="AS220" s="4562"/>
      <c r="AT220" s="4562">
        <v>26</v>
      </c>
      <c r="AU220" s="4562"/>
      <c r="AV220" s="4562">
        <v>37</v>
      </c>
      <c r="AW220" s="4562"/>
      <c r="AX220" s="4562">
        <v>0</v>
      </c>
      <c r="AY220" s="4562"/>
      <c r="AZ220" s="4562">
        <v>0</v>
      </c>
      <c r="BA220" s="4562"/>
      <c r="BB220" s="4562">
        <v>0</v>
      </c>
      <c r="BC220" s="4562"/>
      <c r="BD220" s="4562">
        <v>41.542999999999999</v>
      </c>
      <c r="BE220" s="4562"/>
      <c r="BF220" s="4562">
        <v>88.56</v>
      </c>
      <c r="BG220" s="4562"/>
      <c r="BH220" s="4562">
        <v>575010</v>
      </c>
      <c r="BI220" s="4562"/>
      <c r="BJ220" s="4560">
        <v>2</v>
      </c>
      <c r="BK220" s="4564">
        <f>SUM(Y220:Y221)</f>
        <v>19906500</v>
      </c>
      <c r="BL220" s="4564">
        <f>SUM(Z220:Z221)</f>
        <v>19906500</v>
      </c>
      <c r="BM220" s="4565">
        <f>BL220/BK220</f>
        <v>1</v>
      </c>
      <c r="BN220" s="4560">
        <v>61</v>
      </c>
      <c r="BO220" s="4560" t="s">
        <v>2811</v>
      </c>
      <c r="BP220" s="4560" t="s">
        <v>2925</v>
      </c>
      <c r="BQ220" s="2736">
        <v>44197</v>
      </c>
      <c r="BR220" s="2736">
        <v>44245</v>
      </c>
      <c r="BS220" s="2736">
        <v>44561</v>
      </c>
      <c r="BT220" s="2736">
        <v>44561</v>
      </c>
      <c r="BU220" s="4100" t="s">
        <v>2744</v>
      </c>
    </row>
    <row r="221" spans="1:73" s="1965" customFormat="1" ht="154.5" customHeight="1" x14ac:dyDescent="0.25">
      <c r="A221" s="2119"/>
      <c r="B221" s="1944"/>
      <c r="C221" s="1943"/>
      <c r="D221" s="1944"/>
      <c r="E221" s="2128"/>
      <c r="F221" s="2129"/>
      <c r="G221" s="4571"/>
      <c r="H221" s="4572"/>
      <c r="I221" s="4571"/>
      <c r="J221" s="4572"/>
      <c r="K221" s="2937"/>
      <c r="L221" s="3089"/>
      <c r="M221" s="2937"/>
      <c r="N221" s="3089"/>
      <c r="O221" s="4488"/>
      <c r="P221" s="4514"/>
      <c r="Q221" s="4526"/>
      <c r="R221" s="3089"/>
      <c r="S221" s="4527"/>
      <c r="T221" s="4485"/>
      <c r="U221" s="3089"/>
      <c r="V221" s="3089"/>
      <c r="W221" s="1940" t="s">
        <v>3163</v>
      </c>
      <c r="X221" s="829">
        <v>10000000</v>
      </c>
      <c r="Y221" s="2101">
        <v>9906500</v>
      </c>
      <c r="Z221" s="2105">
        <v>9906500</v>
      </c>
      <c r="AA221" s="2080" t="s">
        <v>3162</v>
      </c>
      <c r="AB221" s="2148">
        <v>61</v>
      </c>
      <c r="AC221" s="1967" t="s">
        <v>2740</v>
      </c>
      <c r="AD221" s="4563"/>
      <c r="AE221" s="4563"/>
      <c r="AF221" s="4563"/>
      <c r="AG221" s="4563"/>
      <c r="AH221" s="4568"/>
      <c r="AI221" s="4563"/>
      <c r="AJ221" s="4563"/>
      <c r="AK221" s="4563"/>
      <c r="AL221" s="4563"/>
      <c r="AM221" s="4563"/>
      <c r="AN221" s="4563"/>
      <c r="AO221" s="4563"/>
      <c r="AP221" s="4563"/>
      <c r="AQ221" s="4563"/>
      <c r="AR221" s="4563"/>
      <c r="AS221" s="4563"/>
      <c r="AT221" s="4563"/>
      <c r="AU221" s="4563"/>
      <c r="AV221" s="4563"/>
      <c r="AW221" s="4563"/>
      <c r="AX221" s="4563"/>
      <c r="AY221" s="4563"/>
      <c r="AZ221" s="4563"/>
      <c r="BA221" s="4563"/>
      <c r="BB221" s="4563"/>
      <c r="BC221" s="4563"/>
      <c r="BD221" s="4563"/>
      <c r="BE221" s="4563"/>
      <c r="BF221" s="4563"/>
      <c r="BG221" s="4563"/>
      <c r="BH221" s="4563"/>
      <c r="BI221" s="4563"/>
      <c r="BJ221" s="4561"/>
      <c r="BK221" s="4561"/>
      <c r="BL221" s="4561"/>
      <c r="BM221" s="4566"/>
      <c r="BN221" s="4561"/>
      <c r="BO221" s="4561"/>
      <c r="BP221" s="4561"/>
      <c r="BQ221" s="2737"/>
      <c r="BR221" s="2737"/>
      <c r="BS221" s="2737"/>
      <c r="BT221" s="2737"/>
      <c r="BU221" s="2934"/>
    </row>
    <row r="222" spans="1:73" s="1965" customFormat="1" ht="57.75" customHeight="1" x14ac:dyDescent="0.25">
      <c r="A222" s="2119"/>
      <c r="B222" s="1944"/>
      <c r="C222" s="1943"/>
      <c r="D222" s="1944"/>
      <c r="E222" s="2128"/>
      <c r="F222" s="2129"/>
      <c r="G222" s="4536">
        <v>1905025</v>
      </c>
      <c r="H222" s="4538" t="s">
        <v>3164</v>
      </c>
      <c r="I222" s="4536">
        <v>1905025</v>
      </c>
      <c r="J222" s="4538" t="s">
        <v>3164</v>
      </c>
      <c r="K222" s="4487">
        <v>190502500</v>
      </c>
      <c r="L222" s="3105" t="s">
        <v>3165</v>
      </c>
      <c r="M222" s="4487">
        <v>190502500</v>
      </c>
      <c r="N222" s="3105" t="s">
        <v>3165</v>
      </c>
      <c r="O222" s="4525">
        <v>12</v>
      </c>
      <c r="P222" s="4512">
        <v>12</v>
      </c>
      <c r="Q222" s="3615" t="s">
        <v>3166</v>
      </c>
      <c r="R222" s="3089" t="s">
        <v>3167</v>
      </c>
      <c r="S222" s="4527">
        <f>SUM(X222:X227)/T222</f>
        <v>1</v>
      </c>
      <c r="T222" s="4485">
        <f>SUM(X222:X227)</f>
        <v>84414100</v>
      </c>
      <c r="U222" s="3089" t="s">
        <v>3168</v>
      </c>
      <c r="V222" s="3089" t="s">
        <v>3169</v>
      </c>
      <c r="W222" s="1940" t="s">
        <v>3170</v>
      </c>
      <c r="X222" s="829">
        <f>7000000+7000000</f>
        <v>14000000</v>
      </c>
      <c r="Y222" s="2152">
        <v>14000000</v>
      </c>
      <c r="Z222" s="2152">
        <v>14000000</v>
      </c>
      <c r="AA222" s="2080" t="s">
        <v>3171</v>
      </c>
      <c r="AB222" s="2148">
        <v>61</v>
      </c>
      <c r="AC222" s="1967" t="s">
        <v>2740</v>
      </c>
      <c r="AD222" s="2579">
        <v>292684</v>
      </c>
      <c r="AE222" s="2579"/>
      <c r="AF222" s="2579">
        <v>282326</v>
      </c>
      <c r="AG222" s="2579"/>
      <c r="AH222" s="4483">
        <v>135912</v>
      </c>
      <c r="AI222" s="2579"/>
      <c r="AJ222" s="2579">
        <v>45122</v>
      </c>
      <c r="AK222" s="2579"/>
      <c r="AL222" s="2579">
        <v>0</v>
      </c>
      <c r="AM222" s="2579"/>
      <c r="AN222" s="2579">
        <v>0</v>
      </c>
      <c r="AO222" s="2579"/>
      <c r="AP222" s="2579">
        <v>2145</v>
      </c>
      <c r="AQ222" s="2579"/>
      <c r="AR222" s="2579">
        <v>12718</v>
      </c>
      <c r="AS222" s="2579"/>
      <c r="AT222" s="2579">
        <v>26</v>
      </c>
      <c r="AU222" s="2579"/>
      <c r="AV222" s="2579">
        <v>37</v>
      </c>
      <c r="AW222" s="2579"/>
      <c r="AX222" s="2579">
        <v>0</v>
      </c>
      <c r="AY222" s="2579"/>
      <c r="AZ222" s="2579">
        <v>0</v>
      </c>
      <c r="BA222" s="2579"/>
      <c r="BB222" s="2579">
        <v>53164</v>
      </c>
      <c r="BC222" s="2579"/>
      <c r="BD222" s="2579">
        <v>16982</v>
      </c>
      <c r="BE222" s="2579"/>
      <c r="BF222" s="2579">
        <v>60013</v>
      </c>
      <c r="BG222" s="2579"/>
      <c r="BH222" s="2579">
        <v>575010</v>
      </c>
      <c r="BI222" s="2579"/>
      <c r="BJ222" s="2745">
        <v>4</v>
      </c>
      <c r="BK222" s="4506">
        <f>SUM(Y222:Y227)</f>
        <v>82799499</v>
      </c>
      <c r="BL222" s="4506">
        <f>SUM(Z222:Z227)</f>
        <v>82799499</v>
      </c>
      <c r="BM222" s="4556">
        <f>BL222/BK222</f>
        <v>1</v>
      </c>
      <c r="BN222" s="2745">
        <v>61</v>
      </c>
      <c r="BO222" s="2745" t="s">
        <v>2811</v>
      </c>
      <c r="BP222" s="2745" t="s">
        <v>2925</v>
      </c>
      <c r="BQ222" s="4481">
        <v>44197</v>
      </c>
      <c r="BR222" s="4481">
        <v>44239</v>
      </c>
      <c r="BS222" s="4481">
        <v>44561</v>
      </c>
      <c r="BT222" s="4481">
        <v>44561</v>
      </c>
      <c r="BU222" s="2745" t="s">
        <v>2744</v>
      </c>
    </row>
    <row r="223" spans="1:73" s="1965" customFormat="1" ht="88.5" customHeight="1" x14ac:dyDescent="0.25">
      <c r="A223" s="2119"/>
      <c r="B223" s="1944"/>
      <c r="C223" s="1943"/>
      <c r="D223" s="1944"/>
      <c r="E223" s="2128"/>
      <c r="F223" s="2129"/>
      <c r="G223" s="4536"/>
      <c r="H223" s="4538"/>
      <c r="I223" s="4536"/>
      <c r="J223" s="4538"/>
      <c r="K223" s="4487"/>
      <c r="L223" s="3105"/>
      <c r="M223" s="4487"/>
      <c r="N223" s="3105"/>
      <c r="O223" s="4559"/>
      <c r="P223" s="4513"/>
      <c r="Q223" s="3616"/>
      <c r="R223" s="3089"/>
      <c r="S223" s="4527"/>
      <c r="T223" s="4485"/>
      <c r="U223" s="3089"/>
      <c r="V223" s="4558"/>
      <c r="W223" s="1940" t="s">
        <v>3172</v>
      </c>
      <c r="X223" s="829">
        <f>14000000+7000000+7000000</f>
        <v>28000000</v>
      </c>
      <c r="Y223" s="2152">
        <v>28000000</v>
      </c>
      <c r="Z223" s="2152">
        <v>28000000</v>
      </c>
      <c r="AA223" s="2080" t="s">
        <v>3171</v>
      </c>
      <c r="AB223" s="2148">
        <v>61</v>
      </c>
      <c r="AC223" s="1967" t="s">
        <v>2740</v>
      </c>
      <c r="AD223" s="2580"/>
      <c r="AE223" s="2580"/>
      <c r="AF223" s="2580"/>
      <c r="AG223" s="2580"/>
      <c r="AH223" s="4484"/>
      <c r="AI223" s="2580"/>
      <c r="AJ223" s="2580"/>
      <c r="AK223" s="2580"/>
      <c r="AL223" s="2580"/>
      <c r="AM223" s="2580"/>
      <c r="AN223" s="2580"/>
      <c r="AO223" s="2580"/>
      <c r="AP223" s="2580"/>
      <c r="AQ223" s="2580"/>
      <c r="AR223" s="2580"/>
      <c r="AS223" s="2580"/>
      <c r="AT223" s="2580"/>
      <c r="AU223" s="2580"/>
      <c r="AV223" s="2580"/>
      <c r="AW223" s="2580"/>
      <c r="AX223" s="2580"/>
      <c r="AY223" s="2580"/>
      <c r="AZ223" s="2580"/>
      <c r="BA223" s="2580"/>
      <c r="BB223" s="2580"/>
      <c r="BC223" s="2580"/>
      <c r="BD223" s="2580"/>
      <c r="BE223" s="2580"/>
      <c r="BF223" s="2580"/>
      <c r="BG223" s="2580"/>
      <c r="BH223" s="2580"/>
      <c r="BI223" s="2580"/>
      <c r="BJ223" s="2502"/>
      <c r="BK223" s="2502"/>
      <c r="BL223" s="2502"/>
      <c r="BM223" s="4557"/>
      <c r="BN223" s="2502"/>
      <c r="BO223" s="2502"/>
      <c r="BP223" s="2502"/>
      <c r="BQ223" s="2502"/>
      <c r="BR223" s="2502"/>
      <c r="BS223" s="2502"/>
      <c r="BT223" s="2502"/>
      <c r="BU223" s="2502"/>
    </row>
    <row r="224" spans="1:73" s="1965" customFormat="1" ht="59.25" customHeight="1" x14ac:dyDescent="0.25">
      <c r="A224" s="2119"/>
      <c r="B224" s="1944"/>
      <c r="C224" s="1943"/>
      <c r="D224" s="1944"/>
      <c r="E224" s="2128"/>
      <c r="F224" s="2129"/>
      <c r="G224" s="4536"/>
      <c r="H224" s="4538"/>
      <c r="I224" s="4536"/>
      <c r="J224" s="4538"/>
      <c r="K224" s="4487"/>
      <c r="L224" s="3105"/>
      <c r="M224" s="4487"/>
      <c r="N224" s="3105"/>
      <c r="O224" s="4559"/>
      <c r="P224" s="4513"/>
      <c r="Q224" s="3616"/>
      <c r="R224" s="3089"/>
      <c r="S224" s="4527"/>
      <c r="T224" s="4485"/>
      <c r="U224" s="3089"/>
      <c r="V224" s="4558"/>
      <c r="W224" s="1940" t="s">
        <v>3173</v>
      </c>
      <c r="X224" s="829">
        <v>7000000</v>
      </c>
      <c r="Y224" s="2152">
        <v>7000000</v>
      </c>
      <c r="Z224" s="2152">
        <v>7000000</v>
      </c>
      <c r="AA224" s="2080" t="s">
        <v>3171</v>
      </c>
      <c r="AB224" s="2148">
        <v>61</v>
      </c>
      <c r="AC224" s="1967" t="s">
        <v>2740</v>
      </c>
      <c r="AD224" s="2580"/>
      <c r="AE224" s="2580"/>
      <c r="AF224" s="2580"/>
      <c r="AG224" s="2580"/>
      <c r="AH224" s="4484"/>
      <c r="AI224" s="2580"/>
      <c r="AJ224" s="2580"/>
      <c r="AK224" s="2580"/>
      <c r="AL224" s="2580"/>
      <c r="AM224" s="2580"/>
      <c r="AN224" s="2580"/>
      <c r="AO224" s="2580"/>
      <c r="AP224" s="2580"/>
      <c r="AQ224" s="2580"/>
      <c r="AR224" s="2580"/>
      <c r="AS224" s="2580"/>
      <c r="AT224" s="2580"/>
      <c r="AU224" s="2580"/>
      <c r="AV224" s="2580"/>
      <c r="AW224" s="2580"/>
      <c r="AX224" s="2580"/>
      <c r="AY224" s="2580"/>
      <c r="AZ224" s="2580"/>
      <c r="BA224" s="2580"/>
      <c r="BB224" s="2580"/>
      <c r="BC224" s="2580"/>
      <c r="BD224" s="2580"/>
      <c r="BE224" s="2580"/>
      <c r="BF224" s="2580"/>
      <c r="BG224" s="2580"/>
      <c r="BH224" s="2580"/>
      <c r="BI224" s="2580"/>
      <c r="BJ224" s="2502"/>
      <c r="BK224" s="2502"/>
      <c r="BL224" s="2502"/>
      <c r="BM224" s="4557"/>
      <c r="BN224" s="2502"/>
      <c r="BO224" s="2502"/>
      <c r="BP224" s="2502"/>
      <c r="BQ224" s="2502"/>
      <c r="BR224" s="2502"/>
      <c r="BS224" s="2502"/>
      <c r="BT224" s="2502"/>
      <c r="BU224" s="2502"/>
    </row>
    <row r="225" spans="1:73" s="1965" customFormat="1" ht="48" customHeight="1" x14ac:dyDescent="0.25">
      <c r="A225" s="2119"/>
      <c r="B225" s="1944"/>
      <c r="C225" s="1943"/>
      <c r="D225" s="1944"/>
      <c r="E225" s="2128"/>
      <c r="F225" s="2129"/>
      <c r="G225" s="4536"/>
      <c r="H225" s="4538"/>
      <c r="I225" s="4536"/>
      <c r="J225" s="4538"/>
      <c r="K225" s="4487"/>
      <c r="L225" s="3105"/>
      <c r="M225" s="4487"/>
      <c r="N225" s="3105"/>
      <c r="O225" s="4559"/>
      <c r="P225" s="4513"/>
      <c r="Q225" s="3616"/>
      <c r="R225" s="3089"/>
      <c r="S225" s="4527"/>
      <c r="T225" s="4485"/>
      <c r="U225" s="3089"/>
      <c r="V225" s="4558"/>
      <c r="W225" s="1940" t="s">
        <v>3174</v>
      </c>
      <c r="X225" s="829">
        <f>7414100+7000000</f>
        <v>14414100</v>
      </c>
      <c r="Y225" s="2152">
        <v>12799499</v>
      </c>
      <c r="Z225" s="2152">
        <v>12799499</v>
      </c>
      <c r="AA225" s="2080" t="s">
        <v>3171</v>
      </c>
      <c r="AB225" s="2148">
        <v>61</v>
      </c>
      <c r="AC225" s="1967" t="s">
        <v>2740</v>
      </c>
      <c r="AD225" s="2580"/>
      <c r="AE225" s="2580"/>
      <c r="AF225" s="2580"/>
      <c r="AG225" s="2580"/>
      <c r="AH225" s="4484"/>
      <c r="AI225" s="2580"/>
      <c r="AJ225" s="2580"/>
      <c r="AK225" s="2580"/>
      <c r="AL225" s="2580"/>
      <c r="AM225" s="2580"/>
      <c r="AN225" s="2580"/>
      <c r="AO225" s="2580"/>
      <c r="AP225" s="2580"/>
      <c r="AQ225" s="2580"/>
      <c r="AR225" s="2580"/>
      <c r="AS225" s="2580"/>
      <c r="AT225" s="2580"/>
      <c r="AU225" s="2580"/>
      <c r="AV225" s="2580"/>
      <c r="AW225" s="2580"/>
      <c r="AX225" s="2580"/>
      <c r="AY225" s="2580"/>
      <c r="AZ225" s="2580"/>
      <c r="BA225" s="2580"/>
      <c r="BB225" s="2580"/>
      <c r="BC225" s="2580"/>
      <c r="BD225" s="2580"/>
      <c r="BE225" s="2580"/>
      <c r="BF225" s="2580"/>
      <c r="BG225" s="2580"/>
      <c r="BH225" s="2580"/>
      <c r="BI225" s="2580"/>
      <c r="BJ225" s="2502"/>
      <c r="BK225" s="2502"/>
      <c r="BL225" s="2502"/>
      <c r="BM225" s="4557"/>
      <c r="BN225" s="2502"/>
      <c r="BO225" s="2502"/>
      <c r="BP225" s="2502"/>
      <c r="BQ225" s="2502"/>
      <c r="BR225" s="2502"/>
      <c r="BS225" s="2502"/>
      <c r="BT225" s="2502"/>
      <c r="BU225" s="2502"/>
    </row>
    <row r="226" spans="1:73" s="1965" customFormat="1" ht="108" customHeight="1" x14ac:dyDescent="0.25">
      <c r="A226" s="2119"/>
      <c r="B226" s="1944"/>
      <c r="C226" s="1943"/>
      <c r="D226" s="1944"/>
      <c r="E226" s="2128"/>
      <c r="F226" s="2129"/>
      <c r="G226" s="4536"/>
      <c r="H226" s="4538"/>
      <c r="I226" s="4536"/>
      <c r="J226" s="4538"/>
      <c r="K226" s="4487"/>
      <c r="L226" s="3105"/>
      <c r="M226" s="4487"/>
      <c r="N226" s="3105"/>
      <c r="O226" s="4559"/>
      <c r="P226" s="4513"/>
      <c r="Q226" s="3616"/>
      <c r="R226" s="3089"/>
      <c r="S226" s="4527"/>
      <c r="T226" s="4485"/>
      <c r="U226" s="3089"/>
      <c r="V226" s="4558"/>
      <c r="W226" s="1940" t="s">
        <v>3175</v>
      </c>
      <c r="X226" s="829">
        <f>7000000+7000000</f>
        <v>14000000</v>
      </c>
      <c r="Y226" s="2152">
        <v>14000000</v>
      </c>
      <c r="Z226" s="2152">
        <v>14000000</v>
      </c>
      <c r="AA226" s="2080" t="s">
        <v>3171</v>
      </c>
      <c r="AB226" s="2148">
        <v>61</v>
      </c>
      <c r="AC226" s="1967" t="s">
        <v>2740</v>
      </c>
      <c r="AD226" s="2580"/>
      <c r="AE226" s="2580"/>
      <c r="AF226" s="2580"/>
      <c r="AG226" s="2580"/>
      <c r="AH226" s="4484"/>
      <c r="AI226" s="2580"/>
      <c r="AJ226" s="2580"/>
      <c r="AK226" s="2580"/>
      <c r="AL226" s="2580"/>
      <c r="AM226" s="2580"/>
      <c r="AN226" s="2580"/>
      <c r="AO226" s="2580"/>
      <c r="AP226" s="2580"/>
      <c r="AQ226" s="2580"/>
      <c r="AR226" s="2580"/>
      <c r="AS226" s="2580"/>
      <c r="AT226" s="2580"/>
      <c r="AU226" s="2580"/>
      <c r="AV226" s="2580"/>
      <c r="AW226" s="2580"/>
      <c r="AX226" s="2580"/>
      <c r="AY226" s="2580"/>
      <c r="AZ226" s="2580"/>
      <c r="BA226" s="2580"/>
      <c r="BB226" s="2580"/>
      <c r="BC226" s="2580"/>
      <c r="BD226" s="2580"/>
      <c r="BE226" s="2580"/>
      <c r="BF226" s="2580"/>
      <c r="BG226" s="2580"/>
      <c r="BH226" s="2580"/>
      <c r="BI226" s="2580"/>
      <c r="BJ226" s="2502"/>
      <c r="BK226" s="2502"/>
      <c r="BL226" s="2502"/>
      <c r="BM226" s="4557"/>
      <c r="BN226" s="2502"/>
      <c r="BO226" s="2502"/>
      <c r="BP226" s="2502"/>
      <c r="BQ226" s="2502"/>
      <c r="BR226" s="2502"/>
      <c r="BS226" s="2502"/>
      <c r="BT226" s="2502"/>
      <c r="BU226" s="2502"/>
    </row>
    <row r="227" spans="1:73" s="1965" customFormat="1" ht="67.5" customHeight="1" x14ac:dyDescent="0.25">
      <c r="A227" s="2119"/>
      <c r="B227" s="1944"/>
      <c r="C227" s="1943"/>
      <c r="D227" s="1944"/>
      <c r="E227" s="2128"/>
      <c r="F227" s="2129"/>
      <c r="G227" s="4536"/>
      <c r="H227" s="4538"/>
      <c r="I227" s="4536"/>
      <c r="J227" s="4538"/>
      <c r="K227" s="4487"/>
      <c r="L227" s="3105"/>
      <c r="M227" s="4487"/>
      <c r="N227" s="3105"/>
      <c r="O227" s="4523"/>
      <c r="P227" s="4514"/>
      <c r="Q227" s="4498"/>
      <c r="R227" s="3089"/>
      <c r="S227" s="4527"/>
      <c r="T227" s="4485"/>
      <c r="U227" s="3089"/>
      <c r="V227" s="4558"/>
      <c r="W227" s="1940" t="s">
        <v>3176</v>
      </c>
      <c r="X227" s="829">
        <v>7000000</v>
      </c>
      <c r="Y227" s="2152">
        <v>7000000</v>
      </c>
      <c r="Z227" s="2152">
        <v>7000000</v>
      </c>
      <c r="AA227" s="2080" t="s">
        <v>3171</v>
      </c>
      <c r="AB227" s="2148">
        <v>61</v>
      </c>
      <c r="AC227" s="1967" t="s">
        <v>2740</v>
      </c>
      <c r="AD227" s="2581"/>
      <c r="AE227" s="2581"/>
      <c r="AF227" s="2580"/>
      <c r="AG227" s="2580"/>
      <c r="AH227" s="4484"/>
      <c r="AI227" s="2580"/>
      <c r="AJ227" s="2580"/>
      <c r="AK227" s="2580"/>
      <c r="AL227" s="2580"/>
      <c r="AM227" s="2580"/>
      <c r="AN227" s="2580"/>
      <c r="AO227" s="2580"/>
      <c r="AP227" s="2580"/>
      <c r="AQ227" s="2580"/>
      <c r="AR227" s="2580"/>
      <c r="AS227" s="2580"/>
      <c r="AT227" s="2580"/>
      <c r="AU227" s="2580"/>
      <c r="AV227" s="2580"/>
      <c r="AW227" s="2580"/>
      <c r="AX227" s="2580"/>
      <c r="AY227" s="2580"/>
      <c r="AZ227" s="2580"/>
      <c r="BA227" s="2580"/>
      <c r="BB227" s="2580"/>
      <c r="BC227" s="2580"/>
      <c r="BD227" s="2580"/>
      <c r="BE227" s="2580"/>
      <c r="BF227" s="2580"/>
      <c r="BG227" s="2580"/>
      <c r="BH227" s="2580"/>
      <c r="BI227" s="2580"/>
      <c r="BJ227" s="2502"/>
      <c r="BK227" s="2502"/>
      <c r="BL227" s="2502"/>
      <c r="BM227" s="4557"/>
      <c r="BN227" s="2502"/>
      <c r="BO227" s="2502"/>
      <c r="BP227" s="2502"/>
      <c r="BQ227" s="2502"/>
      <c r="BR227" s="2502"/>
      <c r="BS227" s="2502"/>
      <c r="BT227" s="2502"/>
      <c r="BU227" s="2502"/>
    </row>
    <row r="228" spans="1:73" s="1965" customFormat="1" ht="55.5" customHeight="1" x14ac:dyDescent="0.25">
      <c r="A228" s="2119"/>
      <c r="B228" s="1944"/>
      <c r="C228" s="1943"/>
      <c r="D228" s="1944"/>
      <c r="E228" s="2128"/>
      <c r="F228" s="2129"/>
      <c r="G228" s="4536">
        <v>1905015</v>
      </c>
      <c r="H228" s="4538" t="s">
        <v>941</v>
      </c>
      <c r="I228" s="4536">
        <v>1905015</v>
      </c>
      <c r="J228" s="4538" t="s">
        <v>941</v>
      </c>
      <c r="K228" s="4487">
        <v>190501503</v>
      </c>
      <c r="L228" s="3105" t="s">
        <v>3177</v>
      </c>
      <c r="M228" s="4487">
        <v>190501503</v>
      </c>
      <c r="N228" s="3105" t="s">
        <v>3177</v>
      </c>
      <c r="O228" s="4488">
        <v>15</v>
      </c>
      <c r="P228" s="4512">
        <v>12</v>
      </c>
      <c r="Q228" s="4526" t="s">
        <v>3178</v>
      </c>
      <c r="R228" s="3089" t="s">
        <v>3179</v>
      </c>
      <c r="S228" s="4527">
        <f>SUM(X228:X238)/T228</f>
        <v>1</v>
      </c>
      <c r="T228" s="4485">
        <f>SUM(X228:X238)</f>
        <v>320000000</v>
      </c>
      <c r="U228" s="3089" t="s">
        <v>3180</v>
      </c>
      <c r="V228" s="3089" t="s">
        <v>3181</v>
      </c>
      <c r="W228" s="1940" t="s">
        <v>3182</v>
      </c>
      <c r="X228" s="829">
        <v>20000000</v>
      </c>
      <c r="Y228" s="347">
        <v>20000000</v>
      </c>
      <c r="Z228" s="347">
        <v>20000000</v>
      </c>
      <c r="AA228" s="2080" t="s">
        <v>3183</v>
      </c>
      <c r="AB228" s="2148">
        <v>61</v>
      </c>
      <c r="AC228" s="2153" t="s">
        <v>2740</v>
      </c>
      <c r="AD228" s="4550">
        <v>292684</v>
      </c>
      <c r="AE228" s="4550"/>
      <c r="AF228" s="4550">
        <v>282326</v>
      </c>
      <c r="AG228" s="4550"/>
      <c r="AH228" s="4553">
        <v>135912</v>
      </c>
      <c r="AI228" s="4550"/>
      <c r="AJ228" s="4550">
        <v>45122</v>
      </c>
      <c r="AK228" s="4550"/>
      <c r="AL228" s="4550">
        <v>0</v>
      </c>
      <c r="AM228" s="4550"/>
      <c r="AN228" s="4550">
        <v>0</v>
      </c>
      <c r="AO228" s="4550"/>
      <c r="AP228" s="4550">
        <v>2145</v>
      </c>
      <c r="AQ228" s="4550"/>
      <c r="AR228" s="4550">
        <v>12718</v>
      </c>
      <c r="AS228" s="4550"/>
      <c r="AT228" s="4550">
        <v>26</v>
      </c>
      <c r="AU228" s="4550"/>
      <c r="AV228" s="4550">
        <v>37</v>
      </c>
      <c r="AW228" s="4550"/>
      <c r="AX228" s="4550">
        <v>0</v>
      </c>
      <c r="AY228" s="4550"/>
      <c r="AZ228" s="4550">
        <v>0</v>
      </c>
      <c r="BA228" s="4550"/>
      <c r="BB228" s="4550">
        <v>53164</v>
      </c>
      <c r="BC228" s="4550"/>
      <c r="BD228" s="4550">
        <v>16982</v>
      </c>
      <c r="BE228" s="4550"/>
      <c r="BF228" s="4550">
        <v>60013</v>
      </c>
      <c r="BG228" s="4550"/>
      <c r="BH228" s="4550">
        <v>575010</v>
      </c>
      <c r="BI228" s="4550"/>
      <c r="BJ228" s="4549">
        <v>17</v>
      </c>
      <c r="BK228" s="4545">
        <f>SUM(Y228:Y238)</f>
        <v>308460000</v>
      </c>
      <c r="BL228" s="4545">
        <f>SUM(Z228:Z238)</f>
        <v>308460000</v>
      </c>
      <c r="BM228" s="4546">
        <f>BL228/BK228</f>
        <v>1</v>
      </c>
      <c r="BN228" s="4549">
        <v>61</v>
      </c>
      <c r="BO228" s="4549" t="s">
        <v>2811</v>
      </c>
      <c r="BP228" s="4549" t="s">
        <v>2925</v>
      </c>
      <c r="BQ228" s="4540">
        <v>44197</v>
      </c>
      <c r="BR228" s="4540">
        <v>44239</v>
      </c>
      <c r="BS228" s="4540">
        <v>44561</v>
      </c>
      <c r="BT228" s="4540">
        <v>44561</v>
      </c>
      <c r="BU228" s="2745" t="s">
        <v>2744</v>
      </c>
    </row>
    <row r="229" spans="1:73" s="1965" customFormat="1" ht="68.25" customHeight="1" x14ac:dyDescent="0.25">
      <c r="A229" s="2119"/>
      <c r="B229" s="1944"/>
      <c r="C229" s="1943"/>
      <c r="D229" s="1944"/>
      <c r="E229" s="2128"/>
      <c r="F229" s="2129"/>
      <c r="G229" s="4536"/>
      <c r="H229" s="4538"/>
      <c r="I229" s="4536"/>
      <c r="J229" s="4538"/>
      <c r="K229" s="4487"/>
      <c r="L229" s="3105"/>
      <c r="M229" s="4487"/>
      <c r="N229" s="3105"/>
      <c r="O229" s="4488"/>
      <c r="P229" s="4513"/>
      <c r="Q229" s="4526"/>
      <c r="R229" s="3089"/>
      <c r="S229" s="4527"/>
      <c r="T229" s="4485"/>
      <c r="U229" s="3089"/>
      <c r="V229" s="3089"/>
      <c r="W229" s="1940" t="s">
        <v>3184</v>
      </c>
      <c r="X229" s="829">
        <v>50000000</v>
      </c>
      <c r="Y229" s="347">
        <v>50000000</v>
      </c>
      <c r="Z229" s="347">
        <v>50000000</v>
      </c>
      <c r="AA229" s="2080" t="s">
        <v>3183</v>
      </c>
      <c r="AB229" s="2148">
        <v>61</v>
      </c>
      <c r="AC229" s="2153" t="s">
        <v>2740</v>
      </c>
      <c r="AD229" s="4551"/>
      <c r="AE229" s="4551"/>
      <c r="AF229" s="4551"/>
      <c r="AG229" s="4551"/>
      <c r="AH229" s="4554"/>
      <c r="AI229" s="4551"/>
      <c r="AJ229" s="4551"/>
      <c r="AK229" s="4551"/>
      <c r="AL229" s="4551"/>
      <c r="AM229" s="4551"/>
      <c r="AN229" s="4551"/>
      <c r="AO229" s="4551"/>
      <c r="AP229" s="4551"/>
      <c r="AQ229" s="4551"/>
      <c r="AR229" s="4551"/>
      <c r="AS229" s="4551"/>
      <c r="AT229" s="4551"/>
      <c r="AU229" s="4551"/>
      <c r="AV229" s="4551"/>
      <c r="AW229" s="4551"/>
      <c r="AX229" s="4551"/>
      <c r="AY229" s="4551"/>
      <c r="AZ229" s="4551"/>
      <c r="BA229" s="4551"/>
      <c r="BB229" s="4551"/>
      <c r="BC229" s="4551"/>
      <c r="BD229" s="4551"/>
      <c r="BE229" s="4551"/>
      <c r="BF229" s="4551"/>
      <c r="BG229" s="4551"/>
      <c r="BH229" s="4551"/>
      <c r="BI229" s="4551"/>
      <c r="BJ229" s="4541"/>
      <c r="BK229" s="4541"/>
      <c r="BL229" s="4541"/>
      <c r="BM229" s="4547"/>
      <c r="BN229" s="4541"/>
      <c r="BO229" s="4541"/>
      <c r="BP229" s="4541"/>
      <c r="BQ229" s="4541"/>
      <c r="BR229" s="4541"/>
      <c r="BS229" s="4541"/>
      <c r="BT229" s="4541"/>
      <c r="BU229" s="2502"/>
    </row>
    <row r="230" spans="1:73" s="1965" customFormat="1" ht="54.75" customHeight="1" x14ac:dyDescent="0.25">
      <c r="A230" s="2119"/>
      <c r="B230" s="1944"/>
      <c r="C230" s="1943"/>
      <c r="D230" s="1944"/>
      <c r="E230" s="2128"/>
      <c r="F230" s="2129"/>
      <c r="G230" s="4536"/>
      <c r="H230" s="4538"/>
      <c r="I230" s="4536"/>
      <c r="J230" s="4538"/>
      <c r="K230" s="4487"/>
      <c r="L230" s="3105"/>
      <c r="M230" s="4487"/>
      <c r="N230" s="3105"/>
      <c r="O230" s="4488"/>
      <c r="P230" s="4513"/>
      <c r="Q230" s="4526"/>
      <c r="R230" s="3089"/>
      <c r="S230" s="4527"/>
      <c r="T230" s="4485"/>
      <c r="U230" s="3089"/>
      <c r="V230" s="3089"/>
      <c r="W230" s="3089" t="s">
        <v>3185</v>
      </c>
      <c r="X230" s="4543">
        <v>30000000</v>
      </c>
      <c r="Y230" s="4544">
        <v>18460000</v>
      </c>
      <c r="Z230" s="4544">
        <v>18460000</v>
      </c>
      <c r="AA230" s="2080" t="s">
        <v>3183</v>
      </c>
      <c r="AB230" s="2148">
        <v>61</v>
      </c>
      <c r="AC230" s="2153" t="s">
        <v>2740</v>
      </c>
      <c r="AD230" s="4551"/>
      <c r="AE230" s="4551"/>
      <c r="AF230" s="4551"/>
      <c r="AG230" s="4551"/>
      <c r="AH230" s="4554"/>
      <c r="AI230" s="4551"/>
      <c r="AJ230" s="4551"/>
      <c r="AK230" s="4551"/>
      <c r="AL230" s="4551"/>
      <c r="AM230" s="4551"/>
      <c r="AN230" s="4551"/>
      <c r="AO230" s="4551"/>
      <c r="AP230" s="4551"/>
      <c r="AQ230" s="4551"/>
      <c r="AR230" s="4551"/>
      <c r="AS230" s="4551"/>
      <c r="AT230" s="4551"/>
      <c r="AU230" s="4551"/>
      <c r="AV230" s="4551"/>
      <c r="AW230" s="4551"/>
      <c r="AX230" s="4551"/>
      <c r="AY230" s="4551"/>
      <c r="AZ230" s="4551"/>
      <c r="BA230" s="4551"/>
      <c r="BB230" s="4551"/>
      <c r="BC230" s="4551"/>
      <c r="BD230" s="4551"/>
      <c r="BE230" s="4551"/>
      <c r="BF230" s="4551"/>
      <c r="BG230" s="4551"/>
      <c r="BH230" s="4551"/>
      <c r="BI230" s="4551"/>
      <c r="BJ230" s="4541"/>
      <c r="BK230" s="4541"/>
      <c r="BL230" s="4541"/>
      <c r="BM230" s="4547"/>
      <c r="BN230" s="4541"/>
      <c r="BO230" s="4541"/>
      <c r="BP230" s="4541"/>
      <c r="BQ230" s="4541"/>
      <c r="BR230" s="4541"/>
      <c r="BS230" s="4541"/>
      <c r="BT230" s="4541"/>
      <c r="BU230" s="2502"/>
    </row>
    <row r="231" spans="1:73" s="1965" customFormat="1" ht="30.75" customHeight="1" x14ac:dyDescent="0.25">
      <c r="A231" s="2119"/>
      <c r="B231" s="1944"/>
      <c r="C231" s="1943"/>
      <c r="D231" s="1944"/>
      <c r="E231" s="2128"/>
      <c r="F231" s="2129"/>
      <c r="G231" s="4536"/>
      <c r="H231" s="4538"/>
      <c r="I231" s="4536"/>
      <c r="J231" s="4538"/>
      <c r="K231" s="4487"/>
      <c r="L231" s="3105"/>
      <c r="M231" s="4487"/>
      <c r="N231" s="3105"/>
      <c r="O231" s="4488"/>
      <c r="P231" s="4513"/>
      <c r="Q231" s="4526"/>
      <c r="R231" s="3089"/>
      <c r="S231" s="4527"/>
      <c r="T231" s="4485"/>
      <c r="U231" s="3089"/>
      <c r="V231" s="3089"/>
      <c r="W231" s="3089"/>
      <c r="X231" s="4543"/>
      <c r="Y231" s="3708"/>
      <c r="Z231" s="3708"/>
      <c r="AA231" s="2080" t="s">
        <v>3183</v>
      </c>
      <c r="AB231" s="2148">
        <v>61</v>
      </c>
      <c r="AC231" s="2153" t="s">
        <v>2740</v>
      </c>
      <c r="AD231" s="4551"/>
      <c r="AE231" s="4551"/>
      <c r="AF231" s="4551"/>
      <c r="AG231" s="4551"/>
      <c r="AH231" s="4554"/>
      <c r="AI231" s="4551"/>
      <c r="AJ231" s="4551"/>
      <c r="AK231" s="4551"/>
      <c r="AL231" s="4551"/>
      <c r="AM231" s="4551"/>
      <c r="AN231" s="4551"/>
      <c r="AO231" s="4551"/>
      <c r="AP231" s="4551"/>
      <c r="AQ231" s="4551"/>
      <c r="AR231" s="4551"/>
      <c r="AS231" s="4551"/>
      <c r="AT231" s="4551"/>
      <c r="AU231" s="4551"/>
      <c r="AV231" s="4551"/>
      <c r="AW231" s="4551"/>
      <c r="AX231" s="4551"/>
      <c r="AY231" s="4551"/>
      <c r="AZ231" s="4551"/>
      <c r="BA231" s="4551"/>
      <c r="BB231" s="4551"/>
      <c r="BC231" s="4551"/>
      <c r="BD231" s="4551"/>
      <c r="BE231" s="4551"/>
      <c r="BF231" s="4551"/>
      <c r="BG231" s="4551"/>
      <c r="BH231" s="4551"/>
      <c r="BI231" s="4551"/>
      <c r="BJ231" s="4541"/>
      <c r="BK231" s="4541"/>
      <c r="BL231" s="4541"/>
      <c r="BM231" s="4547"/>
      <c r="BN231" s="4541"/>
      <c r="BO231" s="4541"/>
      <c r="BP231" s="4541"/>
      <c r="BQ231" s="4541"/>
      <c r="BR231" s="4541"/>
      <c r="BS231" s="4541"/>
      <c r="BT231" s="4541"/>
      <c r="BU231" s="2502"/>
    </row>
    <row r="232" spans="1:73" s="1965" customFormat="1" ht="90.75" customHeight="1" x14ac:dyDescent="0.25">
      <c r="A232" s="2119"/>
      <c r="B232" s="1944"/>
      <c r="C232" s="1943"/>
      <c r="D232" s="1944"/>
      <c r="E232" s="2128"/>
      <c r="F232" s="2129"/>
      <c r="G232" s="4536"/>
      <c r="H232" s="4538"/>
      <c r="I232" s="4536"/>
      <c r="J232" s="4538"/>
      <c r="K232" s="4487"/>
      <c r="L232" s="3105"/>
      <c r="M232" s="4487"/>
      <c r="N232" s="3105"/>
      <c r="O232" s="4488"/>
      <c r="P232" s="4513"/>
      <c r="Q232" s="4526"/>
      <c r="R232" s="3089"/>
      <c r="S232" s="4527"/>
      <c r="T232" s="4485"/>
      <c r="U232" s="3089"/>
      <c r="V232" s="3089"/>
      <c r="W232" s="1940" t="s">
        <v>3186</v>
      </c>
      <c r="X232" s="829">
        <v>55000000</v>
      </c>
      <c r="Y232" s="347">
        <v>55000000</v>
      </c>
      <c r="Z232" s="347">
        <v>55000000</v>
      </c>
      <c r="AA232" s="2080" t="s">
        <v>3183</v>
      </c>
      <c r="AB232" s="2148">
        <v>61</v>
      </c>
      <c r="AC232" s="2153" t="s">
        <v>2740</v>
      </c>
      <c r="AD232" s="4551"/>
      <c r="AE232" s="4551"/>
      <c r="AF232" s="4551"/>
      <c r="AG232" s="4551"/>
      <c r="AH232" s="4554"/>
      <c r="AI232" s="4551"/>
      <c r="AJ232" s="4551"/>
      <c r="AK232" s="4551"/>
      <c r="AL232" s="4551"/>
      <c r="AM232" s="4551"/>
      <c r="AN232" s="4551"/>
      <c r="AO232" s="4551"/>
      <c r="AP232" s="4551"/>
      <c r="AQ232" s="4551"/>
      <c r="AR232" s="4551"/>
      <c r="AS232" s="4551"/>
      <c r="AT232" s="4551"/>
      <c r="AU232" s="4551"/>
      <c r="AV232" s="4551"/>
      <c r="AW232" s="4551"/>
      <c r="AX232" s="4551"/>
      <c r="AY232" s="4551"/>
      <c r="AZ232" s="4551"/>
      <c r="BA232" s="4551"/>
      <c r="BB232" s="4551"/>
      <c r="BC232" s="4551"/>
      <c r="BD232" s="4551"/>
      <c r="BE232" s="4551"/>
      <c r="BF232" s="4551"/>
      <c r="BG232" s="4551"/>
      <c r="BH232" s="4551"/>
      <c r="BI232" s="4551"/>
      <c r="BJ232" s="4541"/>
      <c r="BK232" s="4541"/>
      <c r="BL232" s="4541"/>
      <c r="BM232" s="4547"/>
      <c r="BN232" s="4541"/>
      <c r="BO232" s="4541"/>
      <c r="BP232" s="4541"/>
      <c r="BQ232" s="4541"/>
      <c r="BR232" s="4541"/>
      <c r="BS232" s="4541"/>
      <c r="BT232" s="4541"/>
      <c r="BU232" s="2502"/>
    </row>
    <row r="233" spans="1:73" s="1965" customFormat="1" ht="54" customHeight="1" x14ac:dyDescent="0.25">
      <c r="A233" s="2119"/>
      <c r="B233" s="1944"/>
      <c r="C233" s="1943"/>
      <c r="D233" s="1944"/>
      <c r="E233" s="2128"/>
      <c r="F233" s="2129"/>
      <c r="G233" s="4536"/>
      <c r="H233" s="4538"/>
      <c r="I233" s="4536"/>
      <c r="J233" s="4538"/>
      <c r="K233" s="4487"/>
      <c r="L233" s="3105"/>
      <c r="M233" s="4487"/>
      <c r="N233" s="3105"/>
      <c r="O233" s="4488"/>
      <c r="P233" s="4513"/>
      <c r="Q233" s="4526"/>
      <c r="R233" s="3089"/>
      <c r="S233" s="4527"/>
      <c r="T233" s="4485"/>
      <c r="U233" s="3089"/>
      <c r="V233" s="3089"/>
      <c r="W233" s="1940" t="s">
        <v>3187</v>
      </c>
      <c r="X233" s="829">
        <v>4000000</v>
      </c>
      <c r="Y233" s="347">
        <v>4000000</v>
      </c>
      <c r="Z233" s="347">
        <v>4000000</v>
      </c>
      <c r="AA233" s="2080" t="s">
        <v>3183</v>
      </c>
      <c r="AB233" s="2148">
        <v>61</v>
      </c>
      <c r="AC233" s="2153" t="s">
        <v>2740</v>
      </c>
      <c r="AD233" s="4551"/>
      <c r="AE233" s="4551"/>
      <c r="AF233" s="4551"/>
      <c r="AG233" s="4551"/>
      <c r="AH233" s="4554"/>
      <c r="AI233" s="4551"/>
      <c r="AJ233" s="4551"/>
      <c r="AK233" s="4551"/>
      <c r="AL233" s="4551"/>
      <c r="AM233" s="4551"/>
      <c r="AN233" s="4551"/>
      <c r="AO233" s="4551"/>
      <c r="AP233" s="4551"/>
      <c r="AQ233" s="4551"/>
      <c r="AR233" s="4551"/>
      <c r="AS233" s="4551"/>
      <c r="AT233" s="4551"/>
      <c r="AU233" s="4551"/>
      <c r="AV233" s="4551"/>
      <c r="AW233" s="4551"/>
      <c r="AX233" s="4551"/>
      <c r="AY233" s="4551"/>
      <c r="AZ233" s="4551"/>
      <c r="BA233" s="4551"/>
      <c r="BB233" s="4551"/>
      <c r="BC233" s="4551"/>
      <c r="BD233" s="4551"/>
      <c r="BE233" s="4551"/>
      <c r="BF233" s="4551"/>
      <c r="BG233" s="4551"/>
      <c r="BH233" s="4551"/>
      <c r="BI233" s="4551"/>
      <c r="BJ233" s="4541"/>
      <c r="BK233" s="4541"/>
      <c r="BL233" s="4541"/>
      <c r="BM233" s="4547"/>
      <c r="BN233" s="4541"/>
      <c r="BO233" s="4541"/>
      <c r="BP233" s="4541"/>
      <c r="BQ233" s="4541"/>
      <c r="BR233" s="4541"/>
      <c r="BS233" s="4541"/>
      <c r="BT233" s="4541"/>
      <c r="BU233" s="2502"/>
    </row>
    <row r="234" spans="1:73" s="1965" customFormat="1" ht="65.25" customHeight="1" x14ac:dyDescent="0.25">
      <c r="A234" s="2119"/>
      <c r="B234" s="1944"/>
      <c r="C234" s="1943"/>
      <c r="D234" s="1944"/>
      <c r="E234" s="2128"/>
      <c r="F234" s="2129"/>
      <c r="G234" s="4536"/>
      <c r="H234" s="4538"/>
      <c r="I234" s="4536"/>
      <c r="J234" s="4538"/>
      <c r="K234" s="4487"/>
      <c r="L234" s="3105"/>
      <c r="M234" s="4487"/>
      <c r="N234" s="3105"/>
      <c r="O234" s="4488"/>
      <c r="P234" s="4513"/>
      <c r="Q234" s="4526"/>
      <c r="R234" s="3089"/>
      <c r="S234" s="4527"/>
      <c r="T234" s="4485"/>
      <c r="U234" s="3089"/>
      <c r="V234" s="3089"/>
      <c r="W234" s="1940" t="s">
        <v>3188</v>
      </c>
      <c r="X234" s="829">
        <v>20000000</v>
      </c>
      <c r="Y234" s="347">
        <v>20000000</v>
      </c>
      <c r="Z234" s="347">
        <v>20000000</v>
      </c>
      <c r="AA234" s="2080" t="s">
        <v>3183</v>
      </c>
      <c r="AB234" s="2148">
        <v>61</v>
      </c>
      <c r="AC234" s="2153" t="s">
        <v>2740</v>
      </c>
      <c r="AD234" s="4551"/>
      <c r="AE234" s="4551"/>
      <c r="AF234" s="4551"/>
      <c r="AG234" s="4551"/>
      <c r="AH234" s="4554"/>
      <c r="AI234" s="4551"/>
      <c r="AJ234" s="4551"/>
      <c r="AK234" s="4551"/>
      <c r="AL234" s="4551"/>
      <c r="AM234" s="4551"/>
      <c r="AN234" s="4551"/>
      <c r="AO234" s="4551"/>
      <c r="AP234" s="4551"/>
      <c r="AQ234" s="4551"/>
      <c r="AR234" s="4551"/>
      <c r="AS234" s="4551"/>
      <c r="AT234" s="4551"/>
      <c r="AU234" s="4551"/>
      <c r="AV234" s="4551"/>
      <c r="AW234" s="4551"/>
      <c r="AX234" s="4551"/>
      <c r="AY234" s="4551"/>
      <c r="AZ234" s="4551"/>
      <c r="BA234" s="4551"/>
      <c r="BB234" s="4551"/>
      <c r="BC234" s="4551"/>
      <c r="BD234" s="4551"/>
      <c r="BE234" s="4551"/>
      <c r="BF234" s="4551"/>
      <c r="BG234" s="4551"/>
      <c r="BH234" s="4551"/>
      <c r="BI234" s="4551"/>
      <c r="BJ234" s="4541"/>
      <c r="BK234" s="4541"/>
      <c r="BL234" s="4541"/>
      <c r="BM234" s="4547"/>
      <c r="BN234" s="4541"/>
      <c r="BO234" s="4541"/>
      <c r="BP234" s="4541"/>
      <c r="BQ234" s="4541"/>
      <c r="BR234" s="4541"/>
      <c r="BS234" s="4541"/>
      <c r="BT234" s="4541"/>
      <c r="BU234" s="2502"/>
    </row>
    <row r="235" spans="1:73" s="1965" customFormat="1" ht="52.5" customHeight="1" x14ac:dyDescent="0.25">
      <c r="A235" s="2119"/>
      <c r="B235" s="1944"/>
      <c r="C235" s="1943"/>
      <c r="D235" s="1944"/>
      <c r="E235" s="2128"/>
      <c r="F235" s="2129"/>
      <c r="G235" s="4536"/>
      <c r="H235" s="4538"/>
      <c r="I235" s="4536"/>
      <c r="J235" s="4538"/>
      <c r="K235" s="4487"/>
      <c r="L235" s="3105"/>
      <c r="M235" s="4487"/>
      <c r="N235" s="3105"/>
      <c r="O235" s="4488"/>
      <c r="P235" s="4513"/>
      <c r="Q235" s="4526"/>
      <c r="R235" s="3089"/>
      <c r="S235" s="4527"/>
      <c r="T235" s="4485"/>
      <c r="U235" s="3089"/>
      <c r="V235" s="3089"/>
      <c r="W235" s="1940" t="s">
        <v>3189</v>
      </c>
      <c r="X235" s="829">
        <v>12000000</v>
      </c>
      <c r="Y235" s="347">
        <v>12000000</v>
      </c>
      <c r="Z235" s="347">
        <v>12000000</v>
      </c>
      <c r="AA235" s="2080" t="s">
        <v>3183</v>
      </c>
      <c r="AB235" s="2148">
        <v>61</v>
      </c>
      <c r="AC235" s="2153" t="s">
        <v>2740</v>
      </c>
      <c r="AD235" s="4551"/>
      <c r="AE235" s="4551"/>
      <c r="AF235" s="4551"/>
      <c r="AG235" s="4551"/>
      <c r="AH235" s="4554"/>
      <c r="AI235" s="4551"/>
      <c r="AJ235" s="4551"/>
      <c r="AK235" s="4551"/>
      <c r="AL235" s="4551"/>
      <c r="AM235" s="4551"/>
      <c r="AN235" s="4551"/>
      <c r="AO235" s="4551"/>
      <c r="AP235" s="4551"/>
      <c r="AQ235" s="4551"/>
      <c r="AR235" s="4551"/>
      <c r="AS235" s="4551"/>
      <c r="AT235" s="4551"/>
      <c r="AU235" s="4551"/>
      <c r="AV235" s="4551"/>
      <c r="AW235" s="4551"/>
      <c r="AX235" s="4551"/>
      <c r="AY235" s="4551"/>
      <c r="AZ235" s="4551"/>
      <c r="BA235" s="4551"/>
      <c r="BB235" s="4551"/>
      <c r="BC235" s="4551"/>
      <c r="BD235" s="4551"/>
      <c r="BE235" s="4551"/>
      <c r="BF235" s="4551"/>
      <c r="BG235" s="4551"/>
      <c r="BH235" s="4551"/>
      <c r="BI235" s="4551"/>
      <c r="BJ235" s="4541"/>
      <c r="BK235" s="4541"/>
      <c r="BL235" s="4541"/>
      <c r="BM235" s="4547"/>
      <c r="BN235" s="4541"/>
      <c r="BO235" s="4541"/>
      <c r="BP235" s="4541"/>
      <c r="BQ235" s="4541"/>
      <c r="BR235" s="4541"/>
      <c r="BS235" s="4541"/>
      <c r="BT235" s="4541"/>
      <c r="BU235" s="2502"/>
    </row>
    <row r="236" spans="1:73" s="1965" customFormat="1" ht="99.75" customHeight="1" x14ac:dyDescent="0.25">
      <c r="A236" s="2119"/>
      <c r="B236" s="1944"/>
      <c r="C236" s="1943"/>
      <c r="D236" s="1944"/>
      <c r="E236" s="2128"/>
      <c r="F236" s="2129"/>
      <c r="G236" s="4536"/>
      <c r="H236" s="4538"/>
      <c r="I236" s="4536"/>
      <c r="J236" s="4538"/>
      <c r="K236" s="4487"/>
      <c r="L236" s="3105"/>
      <c r="M236" s="4487"/>
      <c r="N236" s="3105"/>
      <c r="O236" s="4488"/>
      <c r="P236" s="4513"/>
      <c r="Q236" s="4526"/>
      <c r="R236" s="3089"/>
      <c r="S236" s="4527"/>
      <c r="T236" s="4485"/>
      <c r="U236" s="3089"/>
      <c r="V236" s="3089"/>
      <c r="W236" s="1940" t="s">
        <v>3190</v>
      </c>
      <c r="X236" s="829">
        <v>40000000</v>
      </c>
      <c r="Y236" s="347">
        <v>40000000</v>
      </c>
      <c r="Z236" s="347">
        <v>40000000</v>
      </c>
      <c r="AA236" s="2080" t="s">
        <v>3183</v>
      </c>
      <c r="AB236" s="2148">
        <v>61</v>
      </c>
      <c r="AC236" s="2153" t="s">
        <v>2740</v>
      </c>
      <c r="AD236" s="4551"/>
      <c r="AE236" s="4551"/>
      <c r="AF236" s="4551"/>
      <c r="AG236" s="4551"/>
      <c r="AH236" s="4554"/>
      <c r="AI236" s="4551"/>
      <c r="AJ236" s="4551"/>
      <c r="AK236" s="4551"/>
      <c r="AL236" s="4551"/>
      <c r="AM236" s="4551"/>
      <c r="AN236" s="4551"/>
      <c r="AO236" s="4551"/>
      <c r="AP236" s="4551"/>
      <c r="AQ236" s="4551"/>
      <c r="AR236" s="4551"/>
      <c r="AS236" s="4551"/>
      <c r="AT236" s="4551"/>
      <c r="AU236" s="4551"/>
      <c r="AV236" s="4551"/>
      <c r="AW236" s="4551"/>
      <c r="AX236" s="4551"/>
      <c r="AY236" s="4551"/>
      <c r="AZ236" s="4551"/>
      <c r="BA236" s="4551"/>
      <c r="BB236" s="4551"/>
      <c r="BC236" s="4551"/>
      <c r="BD236" s="4551"/>
      <c r="BE236" s="4551"/>
      <c r="BF236" s="4551"/>
      <c r="BG236" s="4551"/>
      <c r="BH236" s="4551"/>
      <c r="BI236" s="4551"/>
      <c r="BJ236" s="4541"/>
      <c r="BK236" s="4541"/>
      <c r="BL236" s="4541"/>
      <c r="BM236" s="4547"/>
      <c r="BN236" s="4541"/>
      <c r="BO236" s="4541"/>
      <c r="BP236" s="4541"/>
      <c r="BQ236" s="4541"/>
      <c r="BR236" s="4541"/>
      <c r="BS236" s="4541"/>
      <c r="BT236" s="4541"/>
      <c r="BU236" s="2502"/>
    </row>
    <row r="237" spans="1:73" s="1965" customFormat="1" ht="56.25" customHeight="1" x14ac:dyDescent="0.25">
      <c r="A237" s="2119"/>
      <c r="B237" s="1944"/>
      <c r="C237" s="1943"/>
      <c r="D237" s="1944"/>
      <c r="E237" s="2128"/>
      <c r="F237" s="2129"/>
      <c r="G237" s="4536"/>
      <c r="H237" s="4538"/>
      <c r="I237" s="4536"/>
      <c r="J237" s="4538"/>
      <c r="K237" s="4487"/>
      <c r="L237" s="3105"/>
      <c r="M237" s="4487"/>
      <c r="N237" s="3105"/>
      <c r="O237" s="4488"/>
      <c r="P237" s="4513"/>
      <c r="Q237" s="4526"/>
      <c r="R237" s="3089"/>
      <c r="S237" s="4527"/>
      <c r="T237" s="4485"/>
      <c r="U237" s="3089"/>
      <c r="V237" s="3089"/>
      <c r="W237" s="1940" t="s">
        <v>3191</v>
      </c>
      <c r="X237" s="829">
        <v>54000000</v>
      </c>
      <c r="Y237" s="347">
        <v>54000000</v>
      </c>
      <c r="Z237" s="347">
        <v>54000000</v>
      </c>
      <c r="AA237" s="2080" t="s">
        <v>3183</v>
      </c>
      <c r="AB237" s="2148">
        <v>61</v>
      </c>
      <c r="AC237" s="2153" t="s">
        <v>2740</v>
      </c>
      <c r="AD237" s="4551"/>
      <c r="AE237" s="4551"/>
      <c r="AF237" s="4551"/>
      <c r="AG237" s="4551"/>
      <c r="AH237" s="4554"/>
      <c r="AI237" s="4551"/>
      <c r="AJ237" s="4551"/>
      <c r="AK237" s="4551"/>
      <c r="AL237" s="4551"/>
      <c r="AM237" s="4551"/>
      <c r="AN237" s="4551"/>
      <c r="AO237" s="4551"/>
      <c r="AP237" s="4551"/>
      <c r="AQ237" s="4551"/>
      <c r="AR237" s="4551"/>
      <c r="AS237" s="4551"/>
      <c r="AT237" s="4551"/>
      <c r="AU237" s="4551"/>
      <c r="AV237" s="4551"/>
      <c r="AW237" s="4551"/>
      <c r="AX237" s="4551"/>
      <c r="AY237" s="4551"/>
      <c r="AZ237" s="4551"/>
      <c r="BA237" s="4551"/>
      <c r="BB237" s="4551"/>
      <c r="BC237" s="4551"/>
      <c r="BD237" s="4551"/>
      <c r="BE237" s="4551"/>
      <c r="BF237" s="4551"/>
      <c r="BG237" s="4551"/>
      <c r="BH237" s="4551"/>
      <c r="BI237" s="4551"/>
      <c r="BJ237" s="4541"/>
      <c r="BK237" s="4541"/>
      <c r="BL237" s="4541"/>
      <c r="BM237" s="4547"/>
      <c r="BN237" s="4541"/>
      <c r="BO237" s="4541"/>
      <c r="BP237" s="4541"/>
      <c r="BQ237" s="4541"/>
      <c r="BR237" s="4541"/>
      <c r="BS237" s="4541"/>
      <c r="BT237" s="4541"/>
      <c r="BU237" s="2502"/>
    </row>
    <row r="238" spans="1:73" s="1965" customFormat="1" ht="45" customHeight="1" x14ac:dyDescent="0.25">
      <c r="A238" s="2119"/>
      <c r="B238" s="1944"/>
      <c r="C238" s="1943"/>
      <c r="D238" s="1944"/>
      <c r="E238" s="2128"/>
      <c r="F238" s="2129"/>
      <c r="G238" s="4536"/>
      <c r="H238" s="4538"/>
      <c r="I238" s="4536"/>
      <c r="J238" s="4538"/>
      <c r="K238" s="4487"/>
      <c r="L238" s="3105"/>
      <c r="M238" s="4487"/>
      <c r="N238" s="3105"/>
      <c r="O238" s="4488"/>
      <c r="P238" s="4514"/>
      <c r="Q238" s="4526"/>
      <c r="R238" s="3089"/>
      <c r="S238" s="4527"/>
      <c r="T238" s="4485"/>
      <c r="U238" s="3089"/>
      <c r="V238" s="3089"/>
      <c r="W238" s="1940" t="s">
        <v>3192</v>
      </c>
      <c r="X238" s="829">
        <v>35000000</v>
      </c>
      <c r="Y238" s="829">
        <v>35000000</v>
      </c>
      <c r="Z238" s="829">
        <v>35000000</v>
      </c>
      <c r="AA238" s="2080" t="s">
        <v>3183</v>
      </c>
      <c r="AB238" s="2148">
        <v>61</v>
      </c>
      <c r="AC238" s="2153" t="s">
        <v>2740</v>
      </c>
      <c r="AD238" s="4552"/>
      <c r="AE238" s="4552"/>
      <c r="AF238" s="4552"/>
      <c r="AG238" s="4552"/>
      <c r="AH238" s="4555"/>
      <c r="AI238" s="4552"/>
      <c r="AJ238" s="4552"/>
      <c r="AK238" s="4552"/>
      <c r="AL238" s="4552"/>
      <c r="AM238" s="4552"/>
      <c r="AN238" s="4552"/>
      <c r="AO238" s="4552"/>
      <c r="AP238" s="4552"/>
      <c r="AQ238" s="4552"/>
      <c r="AR238" s="4552"/>
      <c r="AS238" s="4552"/>
      <c r="AT238" s="4552"/>
      <c r="AU238" s="4552"/>
      <c r="AV238" s="4552"/>
      <c r="AW238" s="4552"/>
      <c r="AX238" s="4552"/>
      <c r="AY238" s="4552"/>
      <c r="AZ238" s="4552"/>
      <c r="BA238" s="4552"/>
      <c r="BB238" s="4552"/>
      <c r="BC238" s="4552"/>
      <c r="BD238" s="4552"/>
      <c r="BE238" s="4552"/>
      <c r="BF238" s="4552"/>
      <c r="BG238" s="4552"/>
      <c r="BH238" s="4552"/>
      <c r="BI238" s="4552"/>
      <c r="BJ238" s="4542"/>
      <c r="BK238" s="4542"/>
      <c r="BL238" s="4542"/>
      <c r="BM238" s="4548"/>
      <c r="BN238" s="4542"/>
      <c r="BO238" s="4542"/>
      <c r="BP238" s="4542"/>
      <c r="BQ238" s="4542"/>
      <c r="BR238" s="4542"/>
      <c r="BS238" s="4542"/>
      <c r="BT238" s="4542"/>
      <c r="BU238" s="2770"/>
    </row>
    <row r="239" spans="1:73" s="1965" customFormat="1" ht="78.75" customHeight="1" x14ac:dyDescent="0.25">
      <c r="A239" s="2119"/>
      <c r="B239" s="1944"/>
      <c r="C239" s="1943"/>
      <c r="D239" s="1944"/>
      <c r="E239" s="2128"/>
      <c r="F239" s="2129"/>
      <c r="G239" s="4536" t="s">
        <v>1256</v>
      </c>
      <c r="H239" s="4538" t="s">
        <v>3193</v>
      </c>
      <c r="I239" s="4536" t="s">
        <v>3194</v>
      </c>
      <c r="J239" s="4538" t="s">
        <v>3195</v>
      </c>
      <c r="K239" s="4487" t="s">
        <v>1256</v>
      </c>
      <c r="L239" s="3105" t="s">
        <v>3196</v>
      </c>
      <c r="M239" s="4487" t="s">
        <v>3197</v>
      </c>
      <c r="N239" s="3105" t="s">
        <v>3198</v>
      </c>
      <c r="O239" s="3104">
        <v>1</v>
      </c>
      <c r="P239" s="3715">
        <v>1</v>
      </c>
      <c r="Q239" s="4526" t="s">
        <v>3199</v>
      </c>
      <c r="R239" s="3089" t="s">
        <v>3200</v>
      </c>
      <c r="S239" s="4527">
        <f>SUM(X239:X245)/T239</f>
        <v>1</v>
      </c>
      <c r="T239" s="4485">
        <f>SUM(X239:X245)</f>
        <v>321904376</v>
      </c>
      <c r="U239" s="3089" t="s">
        <v>3201</v>
      </c>
      <c r="V239" s="3089" t="s">
        <v>3202</v>
      </c>
      <c r="W239" s="2938" t="s">
        <v>3203</v>
      </c>
      <c r="X239" s="829">
        <v>100000000</v>
      </c>
      <c r="Y239" s="829">
        <v>100000000</v>
      </c>
      <c r="Z239" s="829">
        <v>100000000</v>
      </c>
      <c r="AA239" s="2080" t="s">
        <v>3204</v>
      </c>
      <c r="AB239" s="2154">
        <v>20</v>
      </c>
      <c r="AC239" s="1948" t="s">
        <v>1</v>
      </c>
      <c r="AD239" s="2579">
        <v>292684</v>
      </c>
      <c r="AE239" s="2579"/>
      <c r="AF239" s="4530">
        <v>282326</v>
      </c>
      <c r="AG239" s="2579"/>
      <c r="AH239" s="4533">
        <v>135912</v>
      </c>
      <c r="AI239" s="2579"/>
      <c r="AJ239" s="4530">
        <v>45122</v>
      </c>
      <c r="AK239" s="2579"/>
      <c r="AL239" s="4530">
        <v>365607</v>
      </c>
      <c r="AM239" s="2579"/>
      <c r="AN239" s="4530">
        <v>86875</v>
      </c>
      <c r="AO239" s="2579"/>
      <c r="AP239" s="4530">
        <v>2145</v>
      </c>
      <c r="AQ239" s="2579"/>
      <c r="AR239" s="4530">
        <v>12718</v>
      </c>
      <c r="AS239" s="2579"/>
      <c r="AT239" s="4530">
        <v>26</v>
      </c>
      <c r="AU239" s="2579"/>
      <c r="AV239" s="4530">
        <v>37</v>
      </c>
      <c r="AW239" s="2579"/>
      <c r="AX239" s="4530">
        <v>0</v>
      </c>
      <c r="AY239" s="2579"/>
      <c r="AZ239" s="4530">
        <v>0</v>
      </c>
      <c r="BA239" s="2579"/>
      <c r="BB239" s="4530">
        <v>53164</v>
      </c>
      <c r="BC239" s="2579"/>
      <c r="BD239" s="4530">
        <v>16982</v>
      </c>
      <c r="BE239" s="2579"/>
      <c r="BF239" s="4530">
        <v>60013</v>
      </c>
      <c r="BG239" s="2579"/>
      <c r="BH239" s="4530">
        <v>575010</v>
      </c>
      <c r="BI239" s="2579"/>
      <c r="BJ239" s="2745">
        <v>10</v>
      </c>
      <c r="BK239" s="4506">
        <f>SUM(Y239:Y245)</f>
        <v>302979740</v>
      </c>
      <c r="BL239" s="4506">
        <f>SUM(Z239:Z245)</f>
        <v>302979740</v>
      </c>
      <c r="BM239" s="4509">
        <f>BL239/BK239</f>
        <v>1</v>
      </c>
      <c r="BN239" s="2745" t="s">
        <v>3205</v>
      </c>
      <c r="BO239" s="2745" t="s">
        <v>3151</v>
      </c>
      <c r="BP239" s="2745" t="s">
        <v>2871</v>
      </c>
      <c r="BQ239" s="4519">
        <v>44197</v>
      </c>
      <c r="BR239" s="4519">
        <v>44239</v>
      </c>
      <c r="BS239" s="4519">
        <v>44561</v>
      </c>
      <c r="BT239" s="4519">
        <v>44561</v>
      </c>
      <c r="BU239" s="4522" t="s">
        <v>2744</v>
      </c>
    </row>
    <row r="240" spans="1:73" s="1965" customFormat="1" ht="78.75" customHeight="1" x14ac:dyDescent="0.25">
      <c r="A240" s="2119"/>
      <c r="B240" s="1944"/>
      <c r="C240" s="1943"/>
      <c r="D240" s="1944"/>
      <c r="E240" s="2128"/>
      <c r="F240" s="2129"/>
      <c r="G240" s="4536"/>
      <c r="H240" s="4538"/>
      <c r="I240" s="4536"/>
      <c r="J240" s="4538"/>
      <c r="K240" s="4487"/>
      <c r="L240" s="3105"/>
      <c r="M240" s="4487"/>
      <c r="N240" s="3105"/>
      <c r="O240" s="3104"/>
      <c r="P240" s="3716"/>
      <c r="Q240" s="4526"/>
      <c r="R240" s="3089"/>
      <c r="S240" s="4527"/>
      <c r="T240" s="4485"/>
      <c r="U240" s="3089"/>
      <c r="V240" s="3089"/>
      <c r="W240" s="2939"/>
      <c r="X240" s="829">
        <v>21904376</v>
      </c>
      <c r="Y240" s="829">
        <v>16604376</v>
      </c>
      <c r="Z240" s="829">
        <v>16604376</v>
      </c>
      <c r="AA240" s="2080" t="s">
        <v>3206</v>
      </c>
      <c r="AB240" s="2154">
        <v>88</v>
      </c>
      <c r="AC240" s="1948" t="s">
        <v>2174</v>
      </c>
      <c r="AD240" s="2580"/>
      <c r="AE240" s="2580"/>
      <c r="AF240" s="4531"/>
      <c r="AG240" s="2580"/>
      <c r="AH240" s="4534"/>
      <c r="AI240" s="2580"/>
      <c r="AJ240" s="4531"/>
      <c r="AK240" s="2580"/>
      <c r="AL240" s="4531"/>
      <c r="AM240" s="2580"/>
      <c r="AN240" s="4531"/>
      <c r="AO240" s="2580"/>
      <c r="AP240" s="4531"/>
      <c r="AQ240" s="2580"/>
      <c r="AR240" s="4531"/>
      <c r="AS240" s="2580"/>
      <c r="AT240" s="4531"/>
      <c r="AU240" s="2580"/>
      <c r="AV240" s="4531"/>
      <c r="AW240" s="2580"/>
      <c r="AX240" s="4531"/>
      <c r="AY240" s="2580"/>
      <c r="AZ240" s="4531"/>
      <c r="BA240" s="2580"/>
      <c r="BB240" s="4531"/>
      <c r="BC240" s="2580"/>
      <c r="BD240" s="4531"/>
      <c r="BE240" s="2580"/>
      <c r="BF240" s="4531"/>
      <c r="BG240" s="2580"/>
      <c r="BH240" s="4531"/>
      <c r="BI240" s="2580"/>
      <c r="BJ240" s="2502"/>
      <c r="BK240" s="2502"/>
      <c r="BL240" s="2502"/>
      <c r="BM240" s="4510"/>
      <c r="BN240" s="2502"/>
      <c r="BO240" s="2502"/>
      <c r="BP240" s="2502"/>
      <c r="BQ240" s="4520"/>
      <c r="BR240" s="4520"/>
      <c r="BS240" s="4520"/>
      <c r="BT240" s="4520"/>
      <c r="BU240" s="4521"/>
    </row>
    <row r="241" spans="1:73" s="1965" customFormat="1" ht="77.25" customHeight="1" x14ac:dyDescent="0.25">
      <c r="A241" s="2119"/>
      <c r="B241" s="1944"/>
      <c r="C241" s="1943"/>
      <c r="D241" s="1944"/>
      <c r="E241" s="2128"/>
      <c r="F241" s="2129"/>
      <c r="G241" s="4536"/>
      <c r="H241" s="4538"/>
      <c r="I241" s="4536"/>
      <c r="J241" s="4538"/>
      <c r="K241" s="4487"/>
      <c r="L241" s="3105"/>
      <c r="M241" s="4487"/>
      <c r="N241" s="3105"/>
      <c r="O241" s="3104"/>
      <c r="P241" s="3716"/>
      <c r="Q241" s="4526"/>
      <c r="R241" s="3089"/>
      <c r="S241" s="4527"/>
      <c r="T241" s="4485"/>
      <c r="U241" s="3089"/>
      <c r="V241" s="3089"/>
      <c r="W241" s="1940" t="s">
        <v>3207</v>
      </c>
      <c r="X241" s="829">
        <v>0</v>
      </c>
      <c r="Y241" s="2101"/>
      <c r="Z241" s="2105"/>
      <c r="AA241" s="2080" t="s">
        <v>3204</v>
      </c>
      <c r="AB241" s="2154">
        <v>20</v>
      </c>
      <c r="AC241" s="1948" t="s">
        <v>1</v>
      </c>
      <c r="AD241" s="2580"/>
      <c r="AE241" s="2580"/>
      <c r="AF241" s="4531"/>
      <c r="AG241" s="2580"/>
      <c r="AH241" s="4534"/>
      <c r="AI241" s="2580"/>
      <c r="AJ241" s="4531"/>
      <c r="AK241" s="2580"/>
      <c r="AL241" s="4531"/>
      <c r="AM241" s="2580"/>
      <c r="AN241" s="4531"/>
      <c r="AO241" s="2580"/>
      <c r="AP241" s="4531"/>
      <c r="AQ241" s="2580"/>
      <c r="AR241" s="4531"/>
      <c r="AS241" s="2580"/>
      <c r="AT241" s="4531"/>
      <c r="AU241" s="2580"/>
      <c r="AV241" s="4531"/>
      <c r="AW241" s="2580"/>
      <c r="AX241" s="4531"/>
      <c r="AY241" s="2580"/>
      <c r="AZ241" s="4531"/>
      <c r="BA241" s="2580"/>
      <c r="BB241" s="4531"/>
      <c r="BC241" s="2580"/>
      <c r="BD241" s="4531"/>
      <c r="BE241" s="2580"/>
      <c r="BF241" s="4531"/>
      <c r="BG241" s="2580"/>
      <c r="BH241" s="4531"/>
      <c r="BI241" s="2580"/>
      <c r="BJ241" s="2502"/>
      <c r="BK241" s="2502"/>
      <c r="BL241" s="2502"/>
      <c r="BM241" s="4510"/>
      <c r="BN241" s="2502"/>
      <c r="BO241" s="2502"/>
      <c r="BP241" s="2502"/>
      <c r="BQ241" s="4521"/>
      <c r="BR241" s="4521"/>
      <c r="BS241" s="4521"/>
      <c r="BT241" s="4521"/>
      <c r="BU241" s="4521"/>
    </row>
    <row r="242" spans="1:73" s="1965" customFormat="1" ht="90" customHeight="1" x14ac:dyDescent="0.25">
      <c r="A242" s="2119"/>
      <c r="B242" s="1944"/>
      <c r="C242" s="1943"/>
      <c r="D242" s="1944"/>
      <c r="E242" s="2128"/>
      <c r="F242" s="2129"/>
      <c r="G242" s="4536"/>
      <c r="H242" s="4538"/>
      <c r="I242" s="4536"/>
      <c r="J242" s="4538"/>
      <c r="K242" s="4487"/>
      <c r="L242" s="3105"/>
      <c r="M242" s="4487"/>
      <c r="N242" s="3105"/>
      <c r="O242" s="3104"/>
      <c r="P242" s="3716"/>
      <c r="Q242" s="4526"/>
      <c r="R242" s="3089"/>
      <c r="S242" s="4527"/>
      <c r="T242" s="4485"/>
      <c r="U242" s="3089"/>
      <c r="V242" s="3089"/>
      <c r="W242" s="1940" t="s">
        <v>3208</v>
      </c>
      <c r="X242" s="829">
        <v>50000000</v>
      </c>
      <c r="Y242" s="2101">
        <f>35175365+1199999</f>
        <v>36375364</v>
      </c>
      <c r="Z242" s="2101">
        <f>35175365+1199999</f>
        <v>36375364</v>
      </c>
      <c r="AA242" s="2080" t="s">
        <v>3204</v>
      </c>
      <c r="AB242" s="2154">
        <v>20</v>
      </c>
      <c r="AC242" s="1948" t="s">
        <v>1</v>
      </c>
      <c r="AD242" s="2580"/>
      <c r="AE242" s="2580"/>
      <c r="AF242" s="4531"/>
      <c r="AG242" s="2580"/>
      <c r="AH242" s="4534"/>
      <c r="AI242" s="2580"/>
      <c r="AJ242" s="4531"/>
      <c r="AK242" s="2580"/>
      <c r="AL242" s="4531"/>
      <c r="AM242" s="2580"/>
      <c r="AN242" s="4531"/>
      <c r="AO242" s="2580"/>
      <c r="AP242" s="4531"/>
      <c r="AQ242" s="2580"/>
      <c r="AR242" s="4531"/>
      <c r="AS242" s="2580"/>
      <c r="AT242" s="4531"/>
      <c r="AU242" s="2580"/>
      <c r="AV242" s="4531"/>
      <c r="AW242" s="2580"/>
      <c r="AX242" s="4531"/>
      <c r="AY242" s="2580"/>
      <c r="AZ242" s="4531"/>
      <c r="BA242" s="2580"/>
      <c r="BB242" s="4531"/>
      <c r="BC242" s="2580"/>
      <c r="BD242" s="4531"/>
      <c r="BE242" s="2580"/>
      <c r="BF242" s="4531"/>
      <c r="BG242" s="2580"/>
      <c r="BH242" s="4531"/>
      <c r="BI242" s="2580"/>
      <c r="BJ242" s="2502"/>
      <c r="BK242" s="2502"/>
      <c r="BL242" s="2502"/>
      <c r="BM242" s="4510"/>
      <c r="BN242" s="2502"/>
      <c r="BO242" s="2502"/>
      <c r="BP242" s="2502"/>
      <c r="BQ242" s="4521"/>
      <c r="BR242" s="4521"/>
      <c r="BS242" s="4521"/>
      <c r="BT242" s="4521"/>
      <c r="BU242" s="4521"/>
    </row>
    <row r="243" spans="1:73" s="1965" customFormat="1" ht="65.25" customHeight="1" x14ac:dyDescent="0.25">
      <c r="A243" s="2119"/>
      <c r="B243" s="1944"/>
      <c r="C243" s="1943"/>
      <c r="D243" s="1944"/>
      <c r="E243" s="2128"/>
      <c r="F243" s="2129"/>
      <c r="G243" s="4536"/>
      <c r="H243" s="4538"/>
      <c r="I243" s="4536"/>
      <c r="J243" s="4538"/>
      <c r="K243" s="4487"/>
      <c r="L243" s="3105"/>
      <c r="M243" s="4487"/>
      <c r="N243" s="3105"/>
      <c r="O243" s="3104"/>
      <c r="P243" s="3716"/>
      <c r="Q243" s="4526"/>
      <c r="R243" s="3089"/>
      <c r="S243" s="4527"/>
      <c r="T243" s="4485"/>
      <c r="U243" s="3089"/>
      <c r="V243" s="3089"/>
      <c r="W243" s="1940" t="s">
        <v>3209</v>
      </c>
      <c r="X243" s="829">
        <v>100000000</v>
      </c>
      <c r="Y243" s="2101">
        <v>100000000</v>
      </c>
      <c r="Z243" s="2101">
        <v>100000000</v>
      </c>
      <c r="AA243" s="2080" t="s">
        <v>3204</v>
      </c>
      <c r="AB243" s="2154">
        <v>20</v>
      </c>
      <c r="AC243" s="1948" t="s">
        <v>1</v>
      </c>
      <c r="AD243" s="2580"/>
      <c r="AE243" s="2580"/>
      <c r="AF243" s="4531"/>
      <c r="AG243" s="2580"/>
      <c r="AH243" s="4534"/>
      <c r="AI243" s="2580"/>
      <c r="AJ243" s="4531"/>
      <c r="AK243" s="2580"/>
      <c r="AL243" s="4531"/>
      <c r="AM243" s="2580"/>
      <c r="AN243" s="4531"/>
      <c r="AO243" s="2580"/>
      <c r="AP243" s="4531"/>
      <c r="AQ243" s="2580"/>
      <c r="AR243" s="4531"/>
      <c r="AS243" s="2580"/>
      <c r="AT243" s="4531"/>
      <c r="AU243" s="2580"/>
      <c r="AV243" s="4531"/>
      <c r="AW243" s="2580"/>
      <c r="AX243" s="4531"/>
      <c r="AY243" s="2580"/>
      <c r="AZ243" s="4531"/>
      <c r="BA243" s="2580"/>
      <c r="BB243" s="4531"/>
      <c r="BC243" s="2580"/>
      <c r="BD243" s="4531"/>
      <c r="BE243" s="2580"/>
      <c r="BF243" s="4531"/>
      <c r="BG243" s="2580"/>
      <c r="BH243" s="4531"/>
      <c r="BI243" s="2580"/>
      <c r="BJ243" s="2502"/>
      <c r="BK243" s="2502"/>
      <c r="BL243" s="2502"/>
      <c r="BM243" s="4510"/>
      <c r="BN243" s="2502"/>
      <c r="BO243" s="2502"/>
      <c r="BP243" s="2502"/>
      <c r="BQ243" s="4521"/>
      <c r="BR243" s="4521"/>
      <c r="BS243" s="4521"/>
      <c r="BT243" s="4521"/>
      <c r="BU243" s="4521"/>
    </row>
    <row r="244" spans="1:73" s="1965" customFormat="1" ht="107.25" customHeight="1" x14ac:dyDescent="0.25">
      <c r="A244" s="2119"/>
      <c r="B244" s="1944"/>
      <c r="C244" s="1943"/>
      <c r="D244" s="1944"/>
      <c r="E244" s="2128"/>
      <c r="F244" s="2129"/>
      <c r="G244" s="4536"/>
      <c r="H244" s="4538"/>
      <c r="I244" s="4536"/>
      <c r="J244" s="4538"/>
      <c r="K244" s="4487"/>
      <c r="L244" s="3105"/>
      <c r="M244" s="4487"/>
      <c r="N244" s="3105"/>
      <c r="O244" s="3104"/>
      <c r="P244" s="3716"/>
      <c r="Q244" s="4526"/>
      <c r="R244" s="3089"/>
      <c r="S244" s="4527"/>
      <c r="T244" s="4485"/>
      <c r="U244" s="3089"/>
      <c r="V244" s="3089"/>
      <c r="W244" s="1940" t="s">
        <v>3210</v>
      </c>
      <c r="X244" s="829">
        <v>0</v>
      </c>
      <c r="Y244" s="2101"/>
      <c r="Z244" s="2105"/>
      <c r="AA244" s="2080" t="s">
        <v>3204</v>
      </c>
      <c r="AB244" s="2154">
        <v>20</v>
      </c>
      <c r="AC244" s="1948" t="s">
        <v>1</v>
      </c>
      <c r="AD244" s="2580"/>
      <c r="AE244" s="2580"/>
      <c r="AF244" s="4531"/>
      <c r="AG244" s="2580"/>
      <c r="AH244" s="4534"/>
      <c r="AI244" s="2580"/>
      <c r="AJ244" s="4531"/>
      <c r="AK244" s="2580"/>
      <c r="AL244" s="4531"/>
      <c r="AM244" s="2580"/>
      <c r="AN244" s="4531"/>
      <c r="AO244" s="2580"/>
      <c r="AP244" s="4531"/>
      <c r="AQ244" s="2580"/>
      <c r="AR244" s="4531"/>
      <c r="AS244" s="2580"/>
      <c r="AT244" s="4531"/>
      <c r="AU244" s="2580"/>
      <c r="AV244" s="4531"/>
      <c r="AW244" s="2580"/>
      <c r="AX244" s="4531"/>
      <c r="AY244" s="2580"/>
      <c r="AZ244" s="4531"/>
      <c r="BA244" s="2580"/>
      <c r="BB244" s="4531"/>
      <c r="BC244" s="2580"/>
      <c r="BD244" s="4531"/>
      <c r="BE244" s="2580"/>
      <c r="BF244" s="4531"/>
      <c r="BG244" s="2580"/>
      <c r="BH244" s="4531"/>
      <c r="BI244" s="2580"/>
      <c r="BJ244" s="2502"/>
      <c r="BK244" s="2502"/>
      <c r="BL244" s="2502"/>
      <c r="BM244" s="4510"/>
      <c r="BN244" s="2502"/>
      <c r="BO244" s="2502"/>
      <c r="BP244" s="2502"/>
      <c r="BQ244" s="4521"/>
      <c r="BR244" s="4521"/>
      <c r="BS244" s="4521"/>
      <c r="BT244" s="4521"/>
      <c r="BU244" s="4521"/>
    </row>
    <row r="245" spans="1:73" s="1965" customFormat="1" ht="69" customHeight="1" x14ac:dyDescent="0.25">
      <c r="A245" s="2119"/>
      <c r="B245" s="1944"/>
      <c r="C245" s="1943"/>
      <c r="D245" s="1944"/>
      <c r="E245" s="2128"/>
      <c r="F245" s="2129"/>
      <c r="G245" s="4536"/>
      <c r="H245" s="4538"/>
      <c r="I245" s="4536"/>
      <c r="J245" s="4538"/>
      <c r="K245" s="4487"/>
      <c r="L245" s="3105"/>
      <c r="M245" s="4487"/>
      <c r="N245" s="3105"/>
      <c r="O245" s="3104"/>
      <c r="P245" s="3717"/>
      <c r="Q245" s="4526"/>
      <c r="R245" s="3089"/>
      <c r="S245" s="4527"/>
      <c r="T245" s="4485"/>
      <c r="U245" s="3089"/>
      <c r="V245" s="3089"/>
      <c r="W245" s="2155" t="s">
        <v>3211</v>
      </c>
      <c r="X245" s="829">
        <v>50000000</v>
      </c>
      <c r="Y245" s="2156">
        <v>50000000</v>
      </c>
      <c r="Z245" s="2156">
        <v>50000000</v>
      </c>
      <c r="AA245" s="2080" t="s">
        <v>3204</v>
      </c>
      <c r="AB245" s="2154">
        <v>20</v>
      </c>
      <c r="AC245" s="1967" t="s">
        <v>1</v>
      </c>
      <c r="AD245" s="2581"/>
      <c r="AE245" s="2581"/>
      <c r="AF245" s="4531"/>
      <c r="AG245" s="2581"/>
      <c r="AH245" s="4534"/>
      <c r="AI245" s="2581"/>
      <c r="AJ245" s="4531"/>
      <c r="AK245" s="2581"/>
      <c r="AL245" s="4531"/>
      <c r="AM245" s="2581"/>
      <c r="AN245" s="4531"/>
      <c r="AO245" s="2581"/>
      <c r="AP245" s="4531"/>
      <c r="AQ245" s="2581"/>
      <c r="AR245" s="4531"/>
      <c r="AS245" s="2581"/>
      <c r="AT245" s="4531"/>
      <c r="AU245" s="2581"/>
      <c r="AV245" s="4531"/>
      <c r="AW245" s="2581"/>
      <c r="AX245" s="4531"/>
      <c r="AY245" s="2581"/>
      <c r="AZ245" s="4531"/>
      <c r="BA245" s="2581"/>
      <c r="BB245" s="4531"/>
      <c r="BC245" s="2581"/>
      <c r="BD245" s="4531"/>
      <c r="BE245" s="2581"/>
      <c r="BF245" s="4531"/>
      <c r="BG245" s="2581"/>
      <c r="BH245" s="4531"/>
      <c r="BI245" s="2581"/>
      <c r="BJ245" s="2770"/>
      <c r="BK245" s="2770"/>
      <c r="BL245" s="2770"/>
      <c r="BM245" s="4511"/>
      <c r="BN245" s="2770"/>
      <c r="BO245" s="2770"/>
      <c r="BP245" s="2770"/>
      <c r="BQ245" s="4521"/>
      <c r="BR245" s="4521"/>
      <c r="BS245" s="4521"/>
      <c r="BT245" s="4521"/>
      <c r="BU245" s="4521"/>
    </row>
    <row r="246" spans="1:73" s="1965" customFormat="1" ht="42.75" customHeight="1" x14ac:dyDescent="0.25">
      <c r="A246" s="2119"/>
      <c r="B246" s="1944"/>
      <c r="C246" s="1943"/>
      <c r="D246" s="1944"/>
      <c r="E246" s="2128"/>
      <c r="F246" s="2129"/>
      <c r="G246" s="4536">
        <v>1905031</v>
      </c>
      <c r="H246" s="4538" t="s">
        <v>2929</v>
      </c>
      <c r="I246" s="4536">
        <v>1905031</v>
      </c>
      <c r="J246" s="4538" t="s">
        <v>2929</v>
      </c>
      <c r="K246" s="4487">
        <v>190503100</v>
      </c>
      <c r="L246" s="3105" t="s">
        <v>2930</v>
      </c>
      <c r="M246" s="4487">
        <v>190503100</v>
      </c>
      <c r="N246" s="3105" t="s">
        <v>2930</v>
      </c>
      <c r="O246" s="4488">
        <v>12</v>
      </c>
      <c r="P246" s="4512">
        <v>11</v>
      </c>
      <c r="Q246" s="4526" t="s">
        <v>3212</v>
      </c>
      <c r="R246" s="3089" t="s">
        <v>3213</v>
      </c>
      <c r="S246" s="4527">
        <f>SUM(X246:X256)/T246</f>
        <v>1</v>
      </c>
      <c r="T246" s="4485">
        <f>SUM(X246:X256)</f>
        <v>1760866325.49</v>
      </c>
      <c r="U246" s="2938" t="s">
        <v>3214</v>
      </c>
      <c r="V246" s="3089" t="s">
        <v>3215</v>
      </c>
      <c r="W246" s="2938" t="s">
        <v>3216</v>
      </c>
      <c r="X246" s="1946">
        <f>265850000+245000000+23000000</f>
        <v>533850000</v>
      </c>
      <c r="Y246" s="2156">
        <v>369749651</v>
      </c>
      <c r="Z246" s="2156">
        <v>369749651</v>
      </c>
      <c r="AA246" s="2080" t="s">
        <v>3217</v>
      </c>
      <c r="AB246" s="2148">
        <v>61</v>
      </c>
      <c r="AC246" s="1948" t="s">
        <v>2740</v>
      </c>
      <c r="AD246" s="2579">
        <v>289394</v>
      </c>
      <c r="AE246" s="2579"/>
      <c r="AF246" s="4530">
        <v>279112</v>
      </c>
      <c r="AG246" s="2579"/>
      <c r="AH246" s="4533">
        <v>63164</v>
      </c>
      <c r="AI246" s="2579"/>
      <c r="AJ246" s="4530">
        <v>45607</v>
      </c>
      <c r="AK246" s="2579"/>
      <c r="AL246" s="4530">
        <v>365607</v>
      </c>
      <c r="AM246" s="2579"/>
      <c r="AN246" s="4530">
        <v>75612</v>
      </c>
      <c r="AO246" s="2579"/>
      <c r="AP246" s="4530">
        <v>2145</v>
      </c>
      <c r="AQ246" s="2579"/>
      <c r="AR246" s="4530">
        <v>12718</v>
      </c>
      <c r="AS246" s="2579"/>
      <c r="AT246" s="4530">
        <v>26</v>
      </c>
      <c r="AU246" s="2579"/>
      <c r="AV246" s="4530">
        <v>37</v>
      </c>
      <c r="AW246" s="2579"/>
      <c r="AX246" s="4530">
        <v>0</v>
      </c>
      <c r="AY246" s="2579"/>
      <c r="AZ246" s="4530">
        <v>0</v>
      </c>
      <c r="BA246" s="2579"/>
      <c r="BB246" s="4530">
        <v>78</v>
      </c>
      <c r="BC246" s="2579"/>
      <c r="BD246" s="4530">
        <v>16897</v>
      </c>
      <c r="BE246" s="2579"/>
      <c r="BF246" s="4530">
        <v>852</v>
      </c>
      <c r="BG246" s="2579"/>
      <c r="BH246" s="4530">
        <v>568506</v>
      </c>
      <c r="BI246" s="2579"/>
      <c r="BJ246" s="2745">
        <v>20</v>
      </c>
      <c r="BK246" s="4506">
        <f>SUM(Y246:Y256)</f>
        <v>1199652532</v>
      </c>
      <c r="BL246" s="4506">
        <f>SUM(Z246:Z256)</f>
        <v>1199652532</v>
      </c>
      <c r="BM246" s="4509">
        <f>BL246/BK246</f>
        <v>1</v>
      </c>
      <c r="BN246" s="2745" t="s">
        <v>3218</v>
      </c>
      <c r="BO246" s="2745" t="s">
        <v>3219</v>
      </c>
      <c r="BP246" s="2745" t="s">
        <v>2925</v>
      </c>
      <c r="BQ246" s="4519">
        <v>44197</v>
      </c>
      <c r="BR246" s="4519">
        <v>44200</v>
      </c>
      <c r="BS246" s="4519">
        <v>44561</v>
      </c>
      <c r="BT246" s="4519">
        <v>44561</v>
      </c>
      <c r="BU246" s="4522" t="s">
        <v>2744</v>
      </c>
    </row>
    <row r="247" spans="1:73" s="1965" customFormat="1" ht="42.75" customHeight="1" x14ac:dyDescent="0.25">
      <c r="A247" s="2119"/>
      <c r="B247" s="1944"/>
      <c r="C247" s="1943"/>
      <c r="D247" s="1944"/>
      <c r="E247" s="2128"/>
      <c r="F247" s="2129"/>
      <c r="G247" s="4536"/>
      <c r="H247" s="4538"/>
      <c r="I247" s="4536"/>
      <c r="J247" s="4538"/>
      <c r="K247" s="4487"/>
      <c r="L247" s="3105"/>
      <c r="M247" s="4487"/>
      <c r="N247" s="3105"/>
      <c r="O247" s="4488"/>
      <c r="P247" s="4513"/>
      <c r="Q247" s="4526"/>
      <c r="R247" s="3089"/>
      <c r="S247" s="4527"/>
      <c r="T247" s="4485"/>
      <c r="U247" s="3100"/>
      <c r="V247" s="3089"/>
      <c r="W247" s="3100"/>
      <c r="X247" s="1946">
        <v>63682049</v>
      </c>
      <c r="Y247" s="2156">
        <v>63682049</v>
      </c>
      <c r="Z247" s="2156">
        <v>63682049</v>
      </c>
      <c r="AA247" s="2080" t="s">
        <v>3217</v>
      </c>
      <c r="AB247" s="2148">
        <v>61</v>
      </c>
      <c r="AC247" s="1948" t="s">
        <v>2740</v>
      </c>
      <c r="AD247" s="2580"/>
      <c r="AE247" s="2580"/>
      <c r="AF247" s="4531"/>
      <c r="AG247" s="2580"/>
      <c r="AH247" s="4534"/>
      <c r="AI247" s="2580"/>
      <c r="AJ247" s="4531"/>
      <c r="AK247" s="2580"/>
      <c r="AL247" s="4531"/>
      <c r="AM247" s="2580"/>
      <c r="AN247" s="4531"/>
      <c r="AO247" s="2580"/>
      <c r="AP247" s="4531"/>
      <c r="AQ247" s="2580"/>
      <c r="AR247" s="4531"/>
      <c r="AS247" s="2580"/>
      <c r="AT247" s="4531"/>
      <c r="AU247" s="2580"/>
      <c r="AV247" s="4531"/>
      <c r="AW247" s="2580"/>
      <c r="AX247" s="4531"/>
      <c r="AY247" s="2580"/>
      <c r="AZ247" s="4531"/>
      <c r="BA247" s="2580"/>
      <c r="BB247" s="4531"/>
      <c r="BC247" s="2580"/>
      <c r="BD247" s="4531"/>
      <c r="BE247" s="2580"/>
      <c r="BF247" s="4531"/>
      <c r="BG247" s="2580"/>
      <c r="BH247" s="4531"/>
      <c r="BI247" s="2580"/>
      <c r="BJ247" s="2502"/>
      <c r="BK247" s="4507"/>
      <c r="BL247" s="4507"/>
      <c r="BM247" s="4510"/>
      <c r="BN247" s="2502"/>
      <c r="BO247" s="2502"/>
      <c r="BP247" s="2502"/>
      <c r="BQ247" s="4520"/>
      <c r="BR247" s="4520"/>
      <c r="BS247" s="4520"/>
      <c r="BT247" s="4520"/>
      <c r="BU247" s="4521"/>
    </row>
    <row r="248" spans="1:73" s="1965" customFormat="1" ht="39.75" customHeight="1" x14ac:dyDescent="0.25">
      <c r="A248" s="2119"/>
      <c r="B248" s="1944"/>
      <c r="C248" s="1943"/>
      <c r="D248" s="1944"/>
      <c r="E248" s="2128"/>
      <c r="F248" s="2129"/>
      <c r="G248" s="4536"/>
      <c r="H248" s="4538"/>
      <c r="I248" s="4536"/>
      <c r="J248" s="4538"/>
      <c r="K248" s="4487"/>
      <c r="L248" s="3105"/>
      <c r="M248" s="4487"/>
      <c r="N248" s="3105"/>
      <c r="O248" s="4488"/>
      <c r="P248" s="4513"/>
      <c r="Q248" s="4526"/>
      <c r="R248" s="3089"/>
      <c r="S248" s="4527"/>
      <c r="T248" s="4485"/>
      <c r="U248" s="3100"/>
      <c r="V248" s="3089"/>
      <c r="W248" s="2939"/>
      <c r="X248" s="1946">
        <v>374704276.49000001</v>
      </c>
      <c r="Y248" s="1946">
        <v>211530000</v>
      </c>
      <c r="Z248" s="1946">
        <v>211530000</v>
      </c>
      <c r="AA248" s="2080" t="s">
        <v>3220</v>
      </c>
      <c r="AB248" s="2148">
        <v>98</v>
      </c>
      <c r="AC248" s="1948" t="s">
        <v>3221</v>
      </c>
      <c r="AD248" s="2580"/>
      <c r="AE248" s="2580"/>
      <c r="AF248" s="4531"/>
      <c r="AG248" s="2580"/>
      <c r="AH248" s="4534"/>
      <c r="AI248" s="2580"/>
      <c r="AJ248" s="4531"/>
      <c r="AK248" s="2580"/>
      <c r="AL248" s="4531"/>
      <c r="AM248" s="2580"/>
      <c r="AN248" s="4531"/>
      <c r="AO248" s="2580"/>
      <c r="AP248" s="4531"/>
      <c r="AQ248" s="2580"/>
      <c r="AR248" s="4531"/>
      <c r="AS248" s="2580"/>
      <c r="AT248" s="4531"/>
      <c r="AU248" s="2580"/>
      <c r="AV248" s="4531"/>
      <c r="AW248" s="2580"/>
      <c r="AX248" s="4531"/>
      <c r="AY248" s="2580"/>
      <c r="AZ248" s="4531"/>
      <c r="BA248" s="2580"/>
      <c r="BB248" s="4531"/>
      <c r="BC248" s="2580"/>
      <c r="BD248" s="4531"/>
      <c r="BE248" s="2580"/>
      <c r="BF248" s="4531"/>
      <c r="BG248" s="2580"/>
      <c r="BH248" s="4531"/>
      <c r="BI248" s="2580"/>
      <c r="BJ248" s="2502"/>
      <c r="BK248" s="2502"/>
      <c r="BL248" s="2502"/>
      <c r="BM248" s="4510"/>
      <c r="BN248" s="2502"/>
      <c r="BO248" s="2502"/>
      <c r="BP248" s="2502"/>
      <c r="BQ248" s="4520"/>
      <c r="BR248" s="4520"/>
      <c r="BS248" s="4520"/>
      <c r="BT248" s="4520"/>
      <c r="BU248" s="4521"/>
    </row>
    <row r="249" spans="1:73" s="1965" customFormat="1" ht="45.75" customHeight="1" x14ac:dyDescent="0.25">
      <c r="A249" s="2119"/>
      <c r="B249" s="1944"/>
      <c r="C249" s="1943"/>
      <c r="D249" s="1944"/>
      <c r="E249" s="2128"/>
      <c r="F249" s="2129"/>
      <c r="G249" s="4536"/>
      <c r="H249" s="4538"/>
      <c r="I249" s="4536"/>
      <c r="J249" s="4538"/>
      <c r="K249" s="4487"/>
      <c r="L249" s="3105"/>
      <c r="M249" s="4487"/>
      <c r="N249" s="3105"/>
      <c r="O249" s="4488"/>
      <c r="P249" s="4513"/>
      <c r="Q249" s="4526"/>
      <c r="R249" s="3089"/>
      <c r="S249" s="4527"/>
      <c r="T249" s="4485"/>
      <c r="U249" s="3100"/>
      <c r="V249" s="3089"/>
      <c r="W249" s="2938" t="s">
        <v>3222</v>
      </c>
      <c r="X249" s="1946">
        <v>0</v>
      </c>
      <c r="Y249" s="1946"/>
      <c r="Z249" s="2157"/>
      <c r="AA249" s="2080" t="s">
        <v>3217</v>
      </c>
      <c r="AB249" s="2148">
        <v>61</v>
      </c>
      <c r="AC249" s="1948" t="s">
        <v>2740</v>
      </c>
      <c r="AD249" s="2580"/>
      <c r="AE249" s="2580"/>
      <c r="AF249" s="4531"/>
      <c r="AG249" s="2580"/>
      <c r="AH249" s="4534"/>
      <c r="AI249" s="2580"/>
      <c r="AJ249" s="4531"/>
      <c r="AK249" s="2580"/>
      <c r="AL249" s="4531"/>
      <c r="AM249" s="2580"/>
      <c r="AN249" s="4531"/>
      <c r="AO249" s="2580"/>
      <c r="AP249" s="4531"/>
      <c r="AQ249" s="2580"/>
      <c r="AR249" s="4531"/>
      <c r="AS249" s="2580"/>
      <c r="AT249" s="4531"/>
      <c r="AU249" s="2580"/>
      <c r="AV249" s="4531"/>
      <c r="AW249" s="2580"/>
      <c r="AX249" s="4531"/>
      <c r="AY249" s="2580"/>
      <c r="AZ249" s="4531"/>
      <c r="BA249" s="2580"/>
      <c r="BB249" s="4531"/>
      <c r="BC249" s="2580"/>
      <c r="BD249" s="4531"/>
      <c r="BE249" s="2580"/>
      <c r="BF249" s="4531"/>
      <c r="BG249" s="2580"/>
      <c r="BH249" s="4531"/>
      <c r="BI249" s="2580"/>
      <c r="BJ249" s="2502"/>
      <c r="BK249" s="2502"/>
      <c r="BL249" s="2502"/>
      <c r="BM249" s="4510"/>
      <c r="BN249" s="2502"/>
      <c r="BO249" s="2502"/>
      <c r="BP249" s="2502"/>
      <c r="BQ249" s="4521"/>
      <c r="BR249" s="4521"/>
      <c r="BS249" s="4521"/>
      <c r="BT249" s="4521"/>
      <c r="BU249" s="4521"/>
    </row>
    <row r="250" spans="1:73" s="1965" customFormat="1" ht="48" customHeight="1" x14ac:dyDescent="0.25">
      <c r="A250" s="2119"/>
      <c r="B250" s="1944"/>
      <c r="C250" s="1943"/>
      <c r="D250" s="1944"/>
      <c r="E250" s="2128"/>
      <c r="F250" s="2129"/>
      <c r="G250" s="4536"/>
      <c r="H250" s="4538"/>
      <c r="I250" s="4536"/>
      <c r="J250" s="4538"/>
      <c r="K250" s="4487"/>
      <c r="L250" s="3105"/>
      <c r="M250" s="4487"/>
      <c r="N250" s="3105"/>
      <c r="O250" s="4488"/>
      <c r="P250" s="4513"/>
      <c r="Q250" s="4526"/>
      <c r="R250" s="3089"/>
      <c r="S250" s="4527"/>
      <c r="T250" s="4485"/>
      <c r="U250" s="3100"/>
      <c r="V250" s="3089"/>
      <c r="W250" s="2939"/>
      <c r="X250" s="1946">
        <v>58630000</v>
      </c>
      <c r="Y250" s="1946"/>
      <c r="Z250" s="2157"/>
      <c r="AA250" s="2080" t="s">
        <v>3220</v>
      </c>
      <c r="AB250" s="2148">
        <v>98</v>
      </c>
      <c r="AC250" s="1948" t="s">
        <v>3221</v>
      </c>
      <c r="AD250" s="2580"/>
      <c r="AE250" s="2580"/>
      <c r="AF250" s="4531"/>
      <c r="AG250" s="2580"/>
      <c r="AH250" s="4534"/>
      <c r="AI250" s="2580"/>
      <c r="AJ250" s="4531"/>
      <c r="AK250" s="2580"/>
      <c r="AL250" s="4531"/>
      <c r="AM250" s="2580"/>
      <c r="AN250" s="4531"/>
      <c r="AO250" s="2580"/>
      <c r="AP250" s="4531"/>
      <c r="AQ250" s="2580"/>
      <c r="AR250" s="4531"/>
      <c r="AS250" s="2580"/>
      <c r="AT250" s="4531"/>
      <c r="AU250" s="2580"/>
      <c r="AV250" s="4531"/>
      <c r="AW250" s="2580"/>
      <c r="AX250" s="4531"/>
      <c r="AY250" s="2580"/>
      <c r="AZ250" s="4531"/>
      <c r="BA250" s="2580"/>
      <c r="BB250" s="4531"/>
      <c r="BC250" s="2580"/>
      <c r="BD250" s="4531"/>
      <c r="BE250" s="2580"/>
      <c r="BF250" s="4531"/>
      <c r="BG250" s="2580"/>
      <c r="BH250" s="4531"/>
      <c r="BI250" s="2580"/>
      <c r="BJ250" s="2502"/>
      <c r="BK250" s="2502"/>
      <c r="BL250" s="2502"/>
      <c r="BM250" s="4510"/>
      <c r="BN250" s="2502"/>
      <c r="BO250" s="2502"/>
      <c r="BP250" s="2502"/>
      <c r="BQ250" s="4521"/>
      <c r="BR250" s="4521"/>
      <c r="BS250" s="4521"/>
      <c r="BT250" s="4521"/>
      <c r="BU250" s="4521"/>
    </row>
    <row r="251" spans="1:73" s="1965" customFormat="1" ht="62.25" customHeight="1" x14ac:dyDescent="0.25">
      <c r="A251" s="2119"/>
      <c r="B251" s="1944"/>
      <c r="C251" s="1943"/>
      <c r="D251" s="1944"/>
      <c r="E251" s="2128"/>
      <c r="F251" s="2129"/>
      <c r="G251" s="4536"/>
      <c r="H251" s="4538"/>
      <c r="I251" s="4536"/>
      <c r="J251" s="4538"/>
      <c r="K251" s="4487"/>
      <c r="L251" s="3105"/>
      <c r="M251" s="4487"/>
      <c r="N251" s="3105"/>
      <c r="O251" s="4488"/>
      <c r="P251" s="4513"/>
      <c r="Q251" s="4526"/>
      <c r="R251" s="3089"/>
      <c r="S251" s="4527"/>
      <c r="T251" s="4485"/>
      <c r="U251" s="3100"/>
      <c r="V251" s="3089"/>
      <c r="W251" s="1940" t="s">
        <v>3223</v>
      </c>
      <c r="X251" s="1946">
        <v>350000000</v>
      </c>
      <c r="Y251" s="1946">
        <v>309145000</v>
      </c>
      <c r="Z251" s="1946">
        <v>309145000</v>
      </c>
      <c r="AA251" s="2080" t="s">
        <v>3217</v>
      </c>
      <c r="AB251" s="2148">
        <v>61</v>
      </c>
      <c r="AC251" s="1948" t="s">
        <v>2740</v>
      </c>
      <c r="AD251" s="2580"/>
      <c r="AE251" s="2580"/>
      <c r="AF251" s="4531"/>
      <c r="AG251" s="2580"/>
      <c r="AH251" s="4534"/>
      <c r="AI251" s="2580"/>
      <c r="AJ251" s="4531"/>
      <c r="AK251" s="2580"/>
      <c r="AL251" s="4531"/>
      <c r="AM251" s="2580"/>
      <c r="AN251" s="4531"/>
      <c r="AO251" s="2580"/>
      <c r="AP251" s="4531"/>
      <c r="AQ251" s="2580"/>
      <c r="AR251" s="4531"/>
      <c r="AS251" s="2580"/>
      <c r="AT251" s="4531"/>
      <c r="AU251" s="2580"/>
      <c r="AV251" s="4531"/>
      <c r="AW251" s="2580"/>
      <c r="AX251" s="4531"/>
      <c r="AY251" s="2580"/>
      <c r="AZ251" s="4531"/>
      <c r="BA251" s="2580"/>
      <c r="BB251" s="4531"/>
      <c r="BC251" s="2580"/>
      <c r="BD251" s="4531"/>
      <c r="BE251" s="2580"/>
      <c r="BF251" s="4531"/>
      <c r="BG251" s="2580"/>
      <c r="BH251" s="4531"/>
      <c r="BI251" s="2580"/>
      <c r="BJ251" s="2502"/>
      <c r="BK251" s="2502"/>
      <c r="BL251" s="2502"/>
      <c r="BM251" s="4510"/>
      <c r="BN251" s="2502"/>
      <c r="BO251" s="2502"/>
      <c r="BP251" s="2502"/>
      <c r="BQ251" s="4521"/>
      <c r="BR251" s="4521"/>
      <c r="BS251" s="4521"/>
      <c r="BT251" s="4521"/>
      <c r="BU251" s="4521"/>
    </row>
    <row r="252" spans="1:73" s="1965" customFormat="1" ht="55.5" customHeight="1" x14ac:dyDescent="0.25">
      <c r="A252" s="2119"/>
      <c r="B252" s="1944"/>
      <c r="C252" s="1943"/>
      <c r="D252" s="1944"/>
      <c r="E252" s="2128"/>
      <c r="F252" s="2129"/>
      <c r="G252" s="4536"/>
      <c r="H252" s="4538"/>
      <c r="I252" s="4536"/>
      <c r="J252" s="4538"/>
      <c r="K252" s="4487"/>
      <c r="L252" s="3105"/>
      <c r="M252" s="4487"/>
      <c r="N252" s="3105"/>
      <c r="O252" s="4488"/>
      <c r="P252" s="4513"/>
      <c r="Q252" s="4526"/>
      <c r="R252" s="3089"/>
      <c r="S252" s="4527"/>
      <c r="T252" s="4485"/>
      <c r="U252" s="3100"/>
      <c r="V252" s="3089"/>
      <c r="W252" s="1940" t="s">
        <v>3224</v>
      </c>
      <c r="X252" s="1946">
        <v>130000000</v>
      </c>
      <c r="Y252" s="1933">
        <v>52000000</v>
      </c>
      <c r="Z252" s="2158">
        <v>52000000</v>
      </c>
      <c r="AA252" s="2080" t="s">
        <v>3217</v>
      </c>
      <c r="AB252" s="2147">
        <v>61</v>
      </c>
      <c r="AC252" s="1948" t="s">
        <v>2740</v>
      </c>
      <c r="AD252" s="2580"/>
      <c r="AE252" s="2580"/>
      <c r="AF252" s="4531"/>
      <c r="AG252" s="2580"/>
      <c r="AH252" s="4534"/>
      <c r="AI252" s="2580"/>
      <c r="AJ252" s="4531"/>
      <c r="AK252" s="2580"/>
      <c r="AL252" s="4531"/>
      <c r="AM252" s="2580"/>
      <c r="AN252" s="4531"/>
      <c r="AO252" s="2580"/>
      <c r="AP252" s="4531"/>
      <c r="AQ252" s="2580"/>
      <c r="AR252" s="4531"/>
      <c r="AS252" s="2580"/>
      <c r="AT252" s="4531"/>
      <c r="AU252" s="2580"/>
      <c r="AV252" s="4531"/>
      <c r="AW252" s="2580"/>
      <c r="AX252" s="4531"/>
      <c r="AY252" s="2580"/>
      <c r="AZ252" s="4531"/>
      <c r="BA252" s="2580"/>
      <c r="BB252" s="4531"/>
      <c r="BC252" s="2580"/>
      <c r="BD252" s="4531"/>
      <c r="BE252" s="2580"/>
      <c r="BF252" s="4531"/>
      <c r="BG252" s="2580"/>
      <c r="BH252" s="4531"/>
      <c r="BI252" s="2580"/>
      <c r="BJ252" s="2502"/>
      <c r="BK252" s="2502"/>
      <c r="BL252" s="2502"/>
      <c r="BM252" s="4510"/>
      <c r="BN252" s="2502"/>
      <c r="BO252" s="2502"/>
      <c r="BP252" s="2502"/>
      <c r="BQ252" s="4521"/>
      <c r="BR252" s="4521"/>
      <c r="BS252" s="4521"/>
      <c r="BT252" s="4521"/>
      <c r="BU252" s="4521"/>
    </row>
    <row r="253" spans="1:73" s="1965" customFormat="1" ht="45.75" customHeight="1" x14ac:dyDescent="0.25">
      <c r="A253" s="2119"/>
      <c r="B253" s="1944"/>
      <c r="C253" s="1943"/>
      <c r="D253" s="1944"/>
      <c r="E253" s="2128"/>
      <c r="F253" s="2129"/>
      <c r="G253" s="4536"/>
      <c r="H253" s="4538"/>
      <c r="I253" s="4536"/>
      <c r="J253" s="4538"/>
      <c r="K253" s="4487"/>
      <c r="L253" s="3105"/>
      <c r="M253" s="4487"/>
      <c r="N253" s="3105"/>
      <c r="O253" s="4488"/>
      <c r="P253" s="4513"/>
      <c r="Q253" s="4526"/>
      <c r="R253" s="3089"/>
      <c r="S253" s="4527"/>
      <c r="T253" s="4485"/>
      <c r="U253" s="3100"/>
      <c r="V253" s="3089"/>
      <c r="W253" s="1936" t="s">
        <v>3225</v>
      </c>
      <c r="X253" s="1946">
        <f>200000000-200000000</f>
        <v>0</v>
      </c>
      <c r="Y253" s="1933"/>
      <c r="Z253" s="2158"/>
      <c r="AA253" s="2080" t="s">
        <v>3217</v>
      </c>
      <c r="AB253" s="2147">
        <v>61</v>
      </c>
      <c r="AC253" s="1948" t="s">
        <v>2740</v>
      </c>
      <c r="AD253" s="2580"/>
      <c r="AE253" s="2580"/>
      <c r="AF253" s="4531"/>
      <c r="AG253" s="2580"/>
      <c r="AH253" s="4534"/>
      <c r="AI253" s="2580"/>
      <c r="AJ253" s="4531"/>
      <c r="AK253" s="2580"/>
      <c r="AL253" s="4531"/>
      <c r="AM253" s="2580"/>
      <c r="AN253" s="4531"/>
      <c r="AO253" s="2580"/>
      <c r="AP253" s="4531"/>
      <c r="AQ253" s="2580"/>
      <c r="AR253" s="4531"/>
      <c r="AS253" s="2580"/>
      <c r="AT253" s="4531"/>
      <c r="AU253" s="2580"/>
      <c r="AV253" s="4531"/>
      <c r="AW253" s="2580"/>
      <c r="AX253" s="4531"/>
      <c r="AY253" s="2580"/>
      <c r="AZ253" s="4531"/>
      <c r="BA253" s="2580"/>
      <c r="BB253" s="4531"/>
      <c r="BC253" s="2580"/>
      <c r="BD253" s="4531"/>
      <c r="BE253" s="2580"/>
      <c r="BF253" s="4531"/>
      <c r="BG253" s="2580"/>
      <c r="BH253" s="4531"/>
      <c r="BI253" s="2580"/>
      <c r="BJ253" s="2502"/>
      <c r="BK253" s="2502"/>
      <c r="BL253" s="2502"/>
      <c r="BM253" s="4510"/>
      <c r="BN253" s="2502"/>
      <c r="BO253" s="2502"/>
      <c r="BP253" s="2502"/>
      <c r="BQ253" s="4521"/>
      <c r="BR253" s="4521"/>
      <c r="BS253" s="4521"/>
      <c r="BT253" s="4521"/>
      <c r="BU253" s="4521"/>
    </row>
    <row r="254" spans="1:73" s="1965" customFormat="1" ht="55.5" customHeight="1" x14ac:dyDescent="0.25">
      <c r="A254" s="2119"/>
      <c r="B254" s="1944"/>
      <c r="C254" s="1943"/>
      <c r="D254" s="1944"/>
      <c r="E254" s="2128"/>
      <c r="F254" s="2129"/>
      <c r="G254" s="4536"/>
      <c r="H254" s="4538"/>
      <c r="I254" s="4536"/>
      <c r="J254" s="4538"/>
      <c r="K254" s="4487"/>
      <c r="L254" s="3105"/>
      <c r="M254" s="4487"/>
      <c r="N254" s="3105"/>
      <c r="O254" s="4488"/>
      <c r="P254" s="4513"/>
      <c r="Q254" s="4526"/>
      <c r="R254" s="3089"/>
      <c r="S254" s="4527"/>
      <c r="T254" s="4485"/>
      <c r="U254" s="3100"/>
      <c r="V254" s="3089"/>
      <c r="W254" s="1940" t="s">
        <v>3226</v>
      </c>
      <c r="X254" s="1946">
        <v>250000000</v>
      </c>
      <c r="Y254" s="1933">
        <f>144885832+48660000</f>
        <v>193545832</v>
      </c>
      <c r="Z254" s="2158">
        <v>193545832</v>
      </c>
      <c r="AA254" s="2080" t="s">
        <v>3217</v>
      </c>
      <c r="AB254" s="2147">
        <v>61</v>
      </c>
      <c r="AC254" s="1948" t="s">
        <v>2740</v>
      </c>
      <c r="AD254" s="2580"/>
      <c r="AE254" s="2580"/>
      <c r="AF254" s="4531"/>
      <c r="AG254" s="2580"/>
      <c r="AH254" s="4534"/>
      <c r="AI254" s="2580"/>
      <c r="AJ254" s="4531"/>
      <c r="AK254" s="2580"/>
      <c r="AL254" s="4531"/>
      <c r="AM254" s="2580"/>
      <c r="AN254" s="4531"/>
      <c r="AO254" s="2580"/>
      <c r="AP254" s="4531"/>
      <c r="AQ254" s="2580"/>
      <c r="AR254" s="4531"/>
      <c r="AS254" s="2580"/>
      <c r="AT254" s="4531"/>
      <c r="AU254" s="2580"/>
      <c r="AV254" s="4531"/>
      <c r="AW254" s="2580"/>
      <c r="AX254" s="4531"/>
      <c r="AY254" s="2580"/>
      <c r="AZ254" s="4531"/>
      <c r="BA254" s="2580"/>
      <c r="BB254" s="4531"/>
      <c r="BC254" s="2580"/>
      <c r="BD254" s="4531"/>
      <c r="BE254" s="2580"/>
      <c r="BF254" s="4531"/>
      <c r="BG254" s="2580"/>
      <c r="BH254" s="4531"/>
      <c r="BI254" s="2580"/>
      <c r="BJ254" s="2502"/>
      <c r="BK254" s="2502"/>
      <c r="BL254" s="2502"/>
      <c r="BM254" s="4510"/>
      <c r="BN254" s="2502"/>
      <c r="BO254" s="2502"/>
      <c r="BP254" s="2502"/>
      <c r="BQ254" s="4521"/>
      <c r="BR254" s="4521"/>
      <c r="BS254" s="4521"/>
      <c r="BT254" s="4521"/>
      <c r="BU254" s="4521"/>
    </row>
    <row r="255" spans="1:73" s="1965" customFormat="1" ht="55.5" customHeight="1" x14ac:dyDescent="0.25">
      <c r="A255" s="2119"/>
      <c r="B255" s="1944"/>
      <c r="C255" s="1943"/>
      <c r="D255" s="1944"/>
      <c r="E255" s="2128"/>
      <c r="F255" s="2129"/>
      <c r="G255" s="4536"/>
      <c r="H255" s="4539"/>
      <c r="I255" s="4536"/>
      <c r="J255" s="4539"/>
      <c r="K255" s="4483"/>
      <c r="L255" s="3024"/>
      <c r="M255" s="4483"/>
      <c r="N255" s="3024"/>
      <c r="O255" s="4525"/>
      <c r="P255" s="4513"/>
      <c r="Q255" s="3615"/>
      <c r="R255" s="2938"/>
      <c r="S255" s="2790"/>
      <c r="T255" s="4486"/>
      <c r="U255" s="3100"/>
      <c r="V255" s="2938"/>
      <c r="W255" s="1936" t="s">
        <v>3227</v>
      </c>
      <c r="X255" s="1945">
        <f>45000000-45000000</f>
        <v>0</v>
      </c>
      <c r="Y255" s="1945"/>
      <c r="Z255" s="2159"/>
      <c r="AA255" s="2086" t="s">
        <v>3217</v>
      </c>
      <c r="AB255" s="2147">
        <v>61</v>
      </c>
      <c r="AC255" s="1948" t="s">
        <v>2740</v>
      </c>
      <c r="AD255" s="2580"/>
      <c r="AE255" s="2580"/>
      <c r="AF255" s="4531"/>
      <c r="AG255" s="2580"/>
      <c r="AH255" s="4534"/>
      <c r="AI255" s="2580"/>
      <c r="AJ255" s="4531"/>
      <c r="AK255" s="2580"/>
      <c r="AL255" s="4531"/>
      <c r="AM255" s="2580"/>
      <c r="AN255" s="4531"/>
      <c r="AO255" s="2580"/>
      <c r="AP255" s="4531"/>
      <c r="AQ255" s="2580"/>
      <c r="AR255" s="4531"/>
      <c r="AS255" s="2580"/>
      <c r="AT255" s="4531"/>
      <c r="AU255" s="2580"/>
      <c r="AV255" s="4531"/>
      <c r="AW255" s="2580"/>
      <c r="AX255" s="4531"/>
      <c r="AY255" s="2580"/>
      <c r="AZ255" s="4531"/>
      <c r="BA255" s="2580"/>
      <c r="BB255" s="4531"/>
      <c r="BC255" s="2580"/>
      <c r="BD255" s="4531"/>
      <c r="BE255" s="2580"/>
      <c r="BF255" s="4531"/>
      <c r="BG255" s="2580"/>
      <c r="BH255" s="4531"/>
      <c r="BI255" s="2580"/>
      <c r="BJ255" s="2502"/>
      <c r="BK255" s="2502"/>
      <c r="BL255" s="2502"/>
      <c r="BM255" s="4510"/>
      <c r="BN255" s="2502"/>
      <c r="BO255" s="2502"/>
      <c r="BP255" s="2502"/>
      <c r="BQ255" s="4521"/>
      <c r="BR255" s="4521"/>
      <c r="BS255" s="4521"/>
      <c r="BT255" s="4521"/>
      <c r="BU255" s="4521"/>
    </row>
    <row r="256" spans="1:73" s="1965" customFormat="1" ht="62.25" customHeight="1" x14ac:dyDescent="0.25">
      <c r="A256" s="2119"/>
      <c r="B256" s="1944"/>
      <c r="C256" s="1943"/>
      <c r="D256" s="1944"/>
      <c r="E256" s="2160"/>
      <c r="F256" s="2129"/>
      <c r="G256" s="4537"/>
      <c r="H256" s="4539"/>
      <c r="I256" s="4537"/>
      <c r="J256" s="4539"/>
      <c r="K256" s="4483"/>
      <c r="L256" s="3024"/>
      <c r="M256" s="4483"/>
      <c r="N256" s="3024"/>
      <c r="O256" s="4525"/>
      <c r="P256" s="4535"/>
      <c r="Q256" s="3615"/>
      <c r="R256" s="2938"/>
      <c r="S256" s="2790"/>
      <c r="T256" s="4486"/>
      <c r="U256" s="3100"/>
      <c r="V256" s="4515"/>
      <c r="W256" s="1952" t="s">
        <v>3228</v>
      </c>
      <c r="X256" s="2084">
        <v>0</v>
      </c>
      <c r="Y256" s="2084"/>
      <c r="Z256" s="2084"/>
      <c r="AA256" s="2080" t="s">
        <v>3220</v>
      </c>
      <c r="AB256" s="2148">
        <v>98</v>
      </c>
      <c r="AC256" s="1948" t="s">
        <v>3221</v>
      </c>
      <c r="AD256" s="4532"/>
      <c r="AE256" s="4532"/>
      <c r="AF256" s="4531"/>
      <c r="AG256" s="4532"/>
      <c r="AH256" s="4534"/>
      <c r="AI256" s="4532"/>
      <c r="AJ256" s="4531"/>
      <c r="AK256" s="4532"/>
      <c r="AL256" s="4531"/>
      <c r="AM256" s="4532"/>
      <c r="AN256" s="4531"/>
      <c r="AO256" s="4532"/>
      <c r="AP256" s="4531"/>
      <c r="AQ256" s="4532"/>
      <c r="AR256" s="4531"/>
      <c r="AS256" s="4532"/>
      <c r="AT256" s="4531"/>
      <c r="AU256" s="4532"/>
      <c r="AV256" s="4531"/>
      <c r="AW256" s="4532"/>
      <c r="AX256" s="4531"/>
      <c r="AY256" s="4532"/>
      <c r="AZ256" s="4531"/>
      <c r="BA256" s="4532"/>
      <c r="BB256" s="4531"/>
      <c r="BC256" s="4532"/>
      <c r="BD256" s="4531"/>
      <c r="BE256" s="4532"/>
      <c r="BF256" s="4531"/>
      <c r="BG256" s="4532"/>
      <c r="BH256" s="4531"/>
      <c r="BI256" s="4532"/>
      <c r="BJ256" s="4528"/>
      <c r="BK256" s="4528"/>
      <c r="BL256" s="4528"/>
      <c r="BM256" s="4529"/>
      <c r="BN256" s="4528"/>
      <c r="BO256" s="4528"/>
      <c r="BP256" s="4528"/>
      <c r="BQ256" s="4521"/>
      <c r="BR256" s="4521"/>
      <c r="BS256" s="4521"/>
      <c r="BT256" s="4521"/>
      <c r="BU256" s="4521"/>
    </row>
    <row r="257" spans="1:73" s="1965" customFormat="1" ht="27" customHeight="1" x14ac:dyDescent="0.25">
      <c r="A257" s="2119"/>
      <c r="B257" s="1944"/>
      <c r="C257" s="1943"/>
      <c r="D257" s="1944"/>
      <c r="E257" s="635">
        <v>1906</v>
      </c>
      <c r="F257" s="336" t="s">
        <v>430</v>
      </c>
      <c r="G257" s="1959"/>
      <c r="H257" s="1394"/>
      <c r="I257" s="1959"/>
      <c r="J257" s="1394"/>
      <c r="K257" s="1959"/>
      <c r="L257" s="1394"/>
      <c r="M257" s="2161"/>
      <c r="N257" s="1394"/>
      <c r="O257" s="794"/>
      <c r="P257" s="2117"/>
      <c r="Q257" s="794"/>
      <c r="R257" s="1006"/>
      <c r="S257" s="947"/>
      <c r="T257" s="2118"/>
      <c r="U257" s="1006"/>
      <c r="V257" s="1006"/>
      <c r="W257" s="1031"/>
      <c r="X257" s="2162"/>
      <c r="Y257" s="2162"/>
      <c r="Z257" s="2162"/>
      <c r="AA257" s="1960"/>
      <c r="AB257" s="2163"/>
      <c r="AC257" s="1033"/>
      <c r="AD257" s="63"/>
      <c r="AE257" s="63"/>
      <c r="AF257" s="63"/>
      <c r="AG257" s="63"/>
      <c r="AH257" s="2164"/>
      <c r="AI257" s="2164"/>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2165"/>
    </row>
    <row r="258" spans="1:73" s="1965" customFormat="1" ht="133.5" customHeight="1" x14ac:dyDescent="0.25">
      <c r="A258" s="2119"/>
      <c r="B258" s="1944"/>
      <c r="C258" s="1943"/>
      <c r="D258" s="1944"/>
      <c r="E258" s="3114"/>
      <c r="F258" s="4523"/>
      <c r="G258" s="2166">
        <v>1906032</v>
      </c>
      <c r="H258" s="1938" t="s">
        <v>3229</v>
      </c>
      <c r="I258" s="2166">
        <v>1906032</v>
      </c>
      <c r="J258" s="1938" t="s">
        <v>3229</v>
      </c>
      <c r="K258" s="2167">
        <v>190603200</v>
      </c>
      <c r="L258" s="1938" t="s">
        <v>3230</v>
      </c>
      <c r="M258" s="2167">
        <v>190603200</v>
      </c>
      <c r="N258" s="1938" t="s">
        <v>3230</v>
      </c>
      <c r="O258" s="2168">
        <v>1500</v>
      </c>
      <c r="P258" s="2169">
        <v>21885</v>
      </c>
      <c r="Q258" s="4498" t="s">
        <v>3231</v>
      </c>
      <c r="R258" s="2939" t="s">
        <v>3232</v>
      </c>
      <c r="S258" s="2792">
        <f>SUM(X258:X271)/T258</f>
        <v>1</v>
      </c>
      <c r="T258" s="4500">
        <f>SUM(X258:X271)</f>
        <v>35074003100.099998</v>
      </c>
      <c r="U258" s="2939" t="s">
        <v>3233</v>
      </c>
      <c r="V258" s="2939" t="s">
        <v>3234</v>
      </c>
      <c r="W258" s="1937" t="s">
        <v>3235</v>
      </c>
      <c r="X258" s="2170">
        <v>0</v>
      </c>
      <c r="Y258" s="2170"/>
      <c r="Z258" s="2079"/>
      <c r="AA258" s="2171"/>
      <c r="AB258" s="2172"/>
      <c r="AC258" s="1966"/>
      <c r="AD258" s="2580">
        <v>292684</v>
      </c>
      <c r="AE258" s="2580"/>
      <c r="AF258" s="2580">
        <v>282326</v>
      </c>
      <c r="AG258" s="2580"/>
      <c r="AH258" s="4484">
        <v>135912</v>
      </c>
      <c r="AI258" s="2580"/>
      <c r="AJ258" s="2580">
        <v>45122</v>
      </c>
      <c r="AK258" s="2580"/>
      <c r="AL258" s="2580">
        <v>365607</v>
      </c>
      <c r="AM258" s="2580"/>
      <c r="AN258" s="2580">
        <v>75612</v>
      </c>
      <c r="AO258" s="2580"/>
      <c r="AP258" s="2580">
        <v>2145</v>
      </c>
      <c r="AQ258" s="2580"/>
      <c r="AR258" s="2580">
        <v>12718</v>
      </c>
      <c r="AS258" s="2580"/>
      <c r="AT258" s="2580">
        <v>26</v>
      </c>
      <c r="AU258" s="2580"/>
      <c r="AV258" s="2580">
        <v>37</v>
      </c>
      <c r="AW258" s="2580"/>
      <c r="AX258" s="2580">
        <v>0</v>
      </c>
      <c r="AY258" s="2580"/>
      <c r="AZ258" s="2580">
        <v>0</v>
      </c>
      <c r="BA258" s="2580"/>
      <c r="BB258" s="2580">
        <v>53164</v>
      </c>
      <c r="BC258" s="2580"/>
      <c r="BD258" s="2580">
        <v>16982</v>
      </c>
      <c r="BE258" s="2580"/>
      <c r="BF258" s="2580">
        <v>60013</v>
      </c>
      <c r="BG258" s="2580"/>
      <c r="BH258" s="2580">
        <v>575010</v>
      </c>
      <c r="BI258" s="2580"/>
      <c r="BJ258" s="2502">
        <v>12</v>
      </c>
      <c r="BK258" s="4507">
        <f>SUM(Y258:Y271)</f>
        <v>35074003100.099998</v>
      </c>
      <c r="BL258" s="4507">
        <f>SUM(Z258:Z271)</f>
        <v>35074003100.099998</v>
      </c>
      <c r="BM258" s="4510">
        <f>BL258/BK258</f>
        <v>1</v>
      </c>
      <c r="BN258" s="2502">
        <v>154</v>
      </c>
      <c r="BO258" s="2502" t="s">
        <v>3236</v>
      </c>
      <c r="BP258" s="2502" t="s">
        <v>2871</v>
      </c>
      <c r="BQ258" s="4504">
        <v>44197</v>
      </c>
      <c r="BR258" s="4504">
        <v>44200</v>
      </c>
      <c r="BS258" s="4504">
        <v>44561</v>
      </c>
      <c r="BT258" s="4504">
        <v>44561</v>
      </c>
      <c r="BU258" s="2502" t="s">
        <v>2744</v>
      </c>
    </row>
    <row r="259" spans="1:73" s="1965" customFormat="1" ht="38.25" customHeight="1" x14ac:dyDescent="0.25">
      <c r="A259" s="2119"/>
      <c r="B259" s="1944"/>
      <c r="C259" s="1943"/>
      <c r="D259" s="1944"/>
      <c r="E259" s="4524"/>
      <c r="F259" s="4488"/>
      <c r="G259" s="4518" t="s">
        <v>20</v>
      </c>
      <c r="H259" s="3105" t="s">
        <v>3237</v>
      </c>
      <c r="I259" s="4518">
        <v>1906023</v>
      </c>
      <c r="J259" s="3105" t="s">
        <v>3238</v>
      </c>
      <c r="K259" s="4487" t="s">
        <v>20</v>
      </c>
      <c r="L259" s="3105" t="s">
        <v>3239</v>
      </c>
      <c r="M259" s="4487">
        <v>190602300</v>
      </c>
      <c r="N259" s="3105" t="s">
        <v>3240</v>
      </c>
      <c r="O259" s="4488">
        <v>19899</v>
      </c>
      <c r="P259" s="4512">
        <v>249405</v>
      </c>
      <c r="Q259" s="4526"/>
      <c r="R259" s="3089"/>
      <c r="S259" s="4527"/>
      <c r="T259" s="4485"/>
      <c r="U259" s="3089"/>
      <c r="V259" s="3089"/>
      <c r="W259" s="4515" t="s">
        <v>3241</v>
      </c>
      <c r="X259" s="2173">
        <v>3665378092.21</v>
      </c>
      <c r="Y259" s="2173">
        <v>3665378092.21</v>
      </c>
      <c r="Z259" s="2173">
        <v>3665378092.21</v>
      </c>
      <c r="AA259" s="2080" t="s">
        <v>3242</v>
      </c>
      <c r="AB259" s="2148">
        <v>154</v>
      </c>
      <c r="AC259" s="1967" t="s">
        <v>3243</v>
      </c>
      <c r="AD259" s="2580"/>
      <c r="AE259" s="2580"/>
      <c r="AF259" s="2580"/>
      <c r="AG259" s="2580"/>
      <c r="AH259" s="4484"/>
      <c r="AI259" s="2580"/>
      <c r="AJ259" s="2580"/>
      <c r="AK259" s="2580"/>
      <c r="AL259" s="2580"/>
      <c r="AM259" s="2580"/>
      <c r="AN259" s="2580"/>
      <c r="AO259" s="2580"/>
      <c r="AP259" s="2580"/>
      <c r="AQ259" s="2580"/>
      <c r="AR259" s="2580"/>
      <c r="AS259" s="2580"/>
      <c r="AT259" s="2580"/>
      <c r="AU259" s="2580"/>
      <c r="AV259" s="2580"/>
      <c r="AW259" s="2580"/>
      <c r="AX259" s="2580"/>
      <c r="AY259" s="2580"/>
      <c r="AZ259" s="2580"/>
      <c r="BA259" s="2580"/>
      <c r="BB259" s="2580"/>
      <c r="BC259" s="2580"/>
      <c r="BD259" s="2580"/>
      <c r="BE259" s="2580"/>
      <c r="BF259" s="2580"/>
      <c r="BG259" s="2580"/>
      <c r="BH259" s="2580"/>
      <c r="BI259" s="2580"/>
      <c r="BJ259" s="2502"/>
      <c r="BK259" s="2502"/>
      <c r="BL259" s="2502"/>
      <c r="BM259" s="4510"/>
      <c r="BN259" s="2502"/>
      <c r="BO259" s="2502"/>
      <c r="BP259" s="2502"/>
      <c r="BQ259" s="2502"/>
      <c r="BR259" s="2502"/>
      <c r="BS259" s="2502"/>
      <c r="BT259" s="2502"/>
      <c r="BU259" s="2502"/>
    </row>
    <row r="260" spans="1:73" s="1965" customFormat="1" ht="38.25" customHeight="1" x14ac:dyDescent="0.25">
      <c r="A260" s="2119"/>
      <c r="B260" s="1944"/>
      <c r="C260" s="1943"/>
      <c r="D260" s="1944"/>
      <c r="E260" s="4524"/>
      <c r="F260" s="4488"/>
      <c r="G260" s="4518"/>
      <c r="H260" s="3105"/>
      <c r="I260" s="4518"/>
      <c r="J260" s="3105"/>
      <c r="K260" s="4487"/>
      <c r="L260" s="3105"/>
      <c r="M260" s="4487"/>
      <c r="N260" s="3105"/>
      <c r="O260" s="4488"/>
      <c r="P260" s="4513"/>
      <c r="Q260" s="4526"/>
      <c r="R260" s="3089"/>
      <c r="S260" s="4527"/>
      <c r="T260" s="4485"/>
      <c r="U260" s="3089"/>
      <c r="V260" s="3089"/>
      <c r="W260" s="4516"/>
      <c r="X260" s="2173">
        <v>15515287934.719999</v>
      </c>
      <c r="Y260" s="2173">
        <v>15515287934.719999</v>
      </c>
      <c r="Z260" s="2173">
        <v>15515287934.719999</v>
      </c>
      <c r="AA260" s="2080" t="s">
        <v>3244</v>
      </c>
      <c r="AB260" s="2148">
        <v>154</v>
      </c>
      <c r="AC260" s="1967" t="s">
        <v>3243</v>
      </c>
      <c r="AD260" s="2580"/>
      <c r="AE260" s="2580"/>
      <c r="AF260" s="2580"/>
      <c r="AG260" s="2580"/>
      <c r="AH260" s="4484"/>
      <c r="AI260" s="2580"/>
      <c r="AJ260" s="2580"/>
      <c r="AK260" s="2580"/>
      <c r="AL260" s="2580"/>
      <c r="AM260" s="2580"/>
      <c r="AN260" s="2580"/>
      <c r="AO260" s="2580"/>
      <c r="AP260" s="2580"/>
      <c r="AQ260" s="2580"/>
      <c r="AR260" s="2580"/>
      <c r="AS260" s="2580"/>
      <c r="AT260" s="2580"/>
      <c r="AU260" s="2580"/>
      <c r="AV260" s="2580"/>
      <c r="AW260" s="2580"/>
      <c r="AX260" s="2580"/>
      <c r="AY260" s="2580"/>
      <c r="AZ260" s="2580"/>
      <c r="BA260" s="2580"/>
      <c r="BB260" s="2580"/>
      <c r="BC260" s="2580"/>
      <c r="BD260" s="2580"/>
      <c r="BE260" s="2580"/>
      <c r="BF260" s="2580"/>
      <c r="BG260" s="2580"/>
      <c r="BH260" s="2580"/>
      <c r="BI260" s="2580"/>
      <c r="BJ260" s="2502"/>
      <c r="BK260" s="2502"/>
      <c r="BL260" s="2502"/>
      <c r="BM260" s="4510"/>
      <c r="BN260" s="2502"/>
      <c r="BO260" s="2502"/>
      <c r="BP260" s="2502"/>
      <c r="BQ260" s="2502"/>
      <c r="BR260" s="2502"/>
      <c r="BS260" s="2502"/>
      <c r="BT260" s="2502"/>
      <c r="BU260" s="2502"/>
    </row>
    <row r="261" spans="1:73" s="1965" customFormat="1" ht="38.25" customHeight="1" x14ac:dyDescent="0.25">
      <c r="A261" s="2119"/>
      <c r="B261" s="1944"/>
      <c r="C261" s="1943"/>
      <c r="D261" s="1944"/>
      <c r="E261" s="4524"/>
      <c r="F261" s="4488"/>
      <c r="G261" s="4518"/>
      <c r="H261" s="3105"/>
      <c r="I261" s="4518"/>
      <c r="J261" s="3105"/>
      <c r="K261" s="4487"/>
      <c r="L261" s="3105"/>
      <c r="M261" s="4487"/>
      <c r="N261" s="3105"/>
      <c r="O261" s="4488"/>
      <c r="P261" s="4513"/>
      <c r="Q261" s="4526"/>
      <c r="R261" s="3089"/>
      <c r="S261" s="4527"/>
      <c r="T261" s="4485"/>
      <c r="U261" s="3089"/>
      <c r="V261" s="3089"/>
      <c r="W261" s="4516"/>
      <c r="X261" s="2173">
        <v>570240324.92999995</v>
      </c>
      <c r="Y261" s="2173">
        <v>570240324.92999995</v>
      </c>
      <c r="Z261" s="2173">
        <v>570240324.92999995</v>
      </c>
      <c r="AA261" s="2080" t="s">
        <v>3245</v>
      </c>
      <c r="AB261" s="2148">
        <v>154</v>
      </c>
      <c r="AC261" s="1967" t="s">
        <v>3243</v>
      </c>
      <c r="AD261" s="2580"/>
      <c r="AE261" s="2580"/>
      <c r="AF261" s="2580"/>
      <c r="AG261" s="2580"/>
      <c r="AH261" s="4484"/>
      <c r="AI261" s="2580"/>
      <c r="AJ261" s="2580"/>
      <c r="AK261" s="2580"/>
      <c r="AL261" s="2580"/>
      <c r="AM261" s="2580"/>
      <c r="AN261" s="2580"/>
      <c r="AO261" s="2580"/>
      <c r="AP261" s="2580"/>
      <c r="AQ261" s="2580"/>
      <c r="AR261" s="2580"/>
      <c r="AS261" s="2580"/>
      <c r="AT261" s="2580"/>
      <c r="AU261" s="2580"/>
      <c r="AV261" s="2580"/>
      <c r="AW261" s="2580"/>
      <c r="AX261" s="2580"/>
      <c r="AY261" s="2580"/>
      <c r="AZ261" s="2580"/>
      <c r="BA261" s="2580"/>
      <c r="BB261" s="2580"/>
      <c r="BC261" s="2580"/>
      <c r="BD261" s="2580"/>
      <c r="BE261" s="2580"/>
      <c r="BF261" s="2580"/>
      <c r="BG261" s="2580"/>
      <c r="BH261" s="2580"/>
      <c r="BI261" s="2580"/>
      <c r="BJ261" s="2502"/>
      <c r="BK261" s="2502"/>
      <c r="BL261" s="2502"/>
      <c r="BM261" s="4510"/>
      <c r="BN261" s="2502"/>
      <c r="BO261" s="2502"/>
      <c r="BP261" s="2502"/>
      <c r="BQ261" s="2502"/>
      <c r="BR261" s="2502"/>
      <c r="BS261" s="2502"/>
      <c r="BT261" s="2502"/>
      <c r="BU261" s="2502"/>
    </row>
    <row r="262" spans="1:73" s="1965" customFormat="1" ht="38.25" customHeight="1" x14ac:dyDescent="0.25">
      <c r="A262" s="2119"/>
      <c r="B262" s="1944"/>
      <c r="C262" s="1943"/>
      <c r="D262" s="1944"/>
      <c r="E262" s="4524"/>
      <c r="F262" s="4488"/>
      <c r="G262" s="4518"/>
      <c r="H262" s="3105"/>
      <c r="I262" s="4518"/>
      <c r="J262" s="3105"/>
      <c r="K262" s="4487"/>
      <c r="L262" s="3105"/>
      <c r="M262" s="4487"/>
      <c r="N262" s="3105"/>
      <c r="O262" s="4488"/>
      <c r="P262" s="4513"/>
      <c r="Q262" s="4526"/>
      <c r="R262" s="3089"/>
      <c r="S262" s="4527"/>
      <c r="T262" s="4485"/>
      <c r="U262" s="3089"/>
      <c r="V262" s="3089"/>
      <c r="W262" s="4516"/>
      <c r="X262" s="2173">
        <v>991320566.58000004</v>
      </c>
      <c r="Y262" s="2173">
        <v>991320566.58000004</v>
      </c>
      <c r="Z262" s="2173">
        <v>991320566.58000004</v>
      </c>
      <c r="AA262" s="2080" t="s">
        <v>3246</v>
      </c>
      <c r="AB262" s="2148">
        <v>154</v>
      </c>
      <c r="AC262" s="1967" t="s">
        <v>3243</v>
      </c>
      <c r="AD262" s="2580"/>
      <c r="AE262" s="2580"/>
      <c r="AF262" s="2580"/>
      <c r="AG262" s="2580"/>
      <c r="AH262" s="4484"/>
      <c r="AI262" s="2580"/>
      <c r="AJ262" s="2580"/>
      <c r="AK262" s="2580"/>
      <c r="AL262" s="2580"/>
      <c r="AM262" s="2580"/>
      <c r="AN262" s="2580"/>
      <c r="AO262" s="2580"/>
      <c r="AP262" s="2580"/>
      <c r="AQ262" s="2580"/>
      <c r="AR262" s="2580"/>
      <c r="AS262" s="2580"/>
      <c r="AT262" s="2580"/>
      <c r="AU262" s="2580"/>
      <c r="AV262" s="2580"/>
      <c r="AW262" s="2580"/>
      <c r="AX262" s="2580"/>
      <c r="AY262" s="2580"/>
      <c r="AZ262" s="2580"/>
      <c r="BA262" s="2580"/>
      <c r="BB262" s="2580"/>
      <c r="BC262" s="2580"/>
      <c r="BD262" s="2580"/>
      <c r="BE262" s="2580"/>
      <c r="BF262" s="2580"/>
      <c r="BG262" s="2580"/>
      <c r="BH262" s="2580"/>
      <c r="BI262" s="2580"/>
      <c r="BJ262" s="2502"/>
      <c r="BK262" s="2502"/>
      <c r="BL262" s="2502"/>
      <c r="BM262" s="4510"/>
      <c r="BN262" s="2502"/>
      <c r="BO262" s="2502"/>
      <c r="BP262" s="2502"/>
      <c r="BQ262" s="2502"/>
      <c r="BR262" s="2502"/>
      <c r="BS262" s="2502"/>
      <c r="BT262" s="2502"/>
      <c r="BU262" s="2502"/>
    </row>
    <row r="263" spans="1:73" s="1965" customFormat="1" ht="38.25" customHeight="1" x14ac:dyDescent="0.25">
      <c r="A263" s="2119"/>
      <c r="B263" s="1944"/>
      <c r="C263" s="1943"/>
      <c r="D263" s="1944"/>
      <c r="E263" s="4524"/>
      <c r="F263" s="4488"/>
      <c r="G263" s="4518"/>
      <c r="H263" s="3105"/>
      <c r="I263" s="4518"/>
      <c r="J263" s="3105"/>
      <c r="K263" s="4487"/>
      <c r="L263" s="3105"/>
      <c r="M263" s="4487"/>
      <c r="N263" s="3105"/>
      <c r="O263" s="4488"/>
      <c r="P263" s="4513"/>
      <c r="Q263" s="4526"/>
      <c r="R263" s="3089"/>
      <c r="S263" s="4527"/>
      <c r="T263" s="4485"/>
      <c r="U263" s="3089"/>
      <c r="V263" s="3089"/>
      <c r="W263" s="4516"/>
      <c r="X263" s="2173">
        <v>236016133.46000001</v>
      </c>
      <c r="Y263" s="2173">
        <v>236016133.46000001</v>
      </c>
      <c r="Z263" s="2173">
        <v>236016133.46000001</v>
      </c>
      <c r="AA263" s="2080" t="s">
        <v>3247</v>
      </c>
      <c r="AB263" s="2148">
        <v>154</v>
      </c>
      <c r="AC263" s="1967" t="s">
        <v>3243</v>
      </c>
      <c r="AD263" s="2580"/>
      <c r="AE263" s="2580"/>
      <c r="AF263" s="2580"/>
      <c r="AG263" s="2580"/>
      <c r="AH263" s="4484"/>
      <c r="AI263" s="2580"/>
      <c r="AJ263" s="2580"/>
      <c r="AK263" s="2580"/>
      <c r="AL263" s="2580"/>
      <c r="AM263" s="2580"/>
      <c r="AN263" s="2580"/>
      <c r="AO263" s="2580"/>
      <c r="AP263" s="2580"/>
      <c r="AQ263" s="2580"/>
      <c r="AR263" s="2580"/>
      <c r="AS263" s="2580"/>
      <c r="AT263" s="2580"/>
      <c r="AU263" s="2580"/>
      <c r="AV263" s="2580"/>
      <c r="AW263" s="2580"/>
      <c r="AX263" s="2580"/>
      <c r="AY263" s="2580"/>
      <c r="AZ263" s="2580"/>
      <c r="BA263" s="2580"/>
      <c r="BB263" s="2580"/>
      <c r="BC263" s="2580"/>
      <c r="BD263" s="2580"/>
      <c r="BE263" s="2580"/>
      <c r="BF263" s="2580"/>
      <c r="BG263" s="2580"/>
      <c r="BH263" s="2580"/>
      <c r="BI263" s="2580"/>
      <c r="BJ263" s="2502"/>
      <c r="BK263" s="2502"/>
      <c r="BL263" s="2502"/>
      <c r="BM263" s="4510"/>
      <c r="BN263" s="2502"/>
      <c r="BO263" s="2502"/>
      <c r="BP263" s="2502"/>
      <c r="BQ263" s="2502"/>
      <c r="BR263" s="2502"/>
      <c r="BS263" s="2502"/>
      <c r="BT263" s="2502"/>
      <c r="BU263" s="2502"/>
    </row>
    <row r="264" spans="1:73" s="1965" customFormat="1" ht="38.25" customHeight="1" x14ac:dyDescent="0.25">
      <c r="A264" s="2119"/>
      <c r="B264" s="1944"/>
      <c r="C264" s="1943"/>
      <c r="D264" s="1944"/>
      <c r="E264" s="4524"/>
      <c r="F264" s="4488"/>
      <c r="G264" s="4518"/>
      <c r="H264" s="3105"/>
      <c r="I264" s="4518"/>
      <c r="J264" s="3105"/>
      <c r="K264" s="4487"/>
      <c r="L264" s="3105"/>
      <c r="M264" s="4487"/>
      <c r="N264" s="3105"/>
      <c r="O264" s="4488"/>
      <c r="P264" s="4513"/>
      <c r="Q264" s="4526"/>
      <c r="R264" s="3089"/>
      <c r="S264" s="4527"/>
      <c r="T264" s="4485"/>
      <c r="U264" s="3089"/>
      <c r="V264" s="3089"/>
      <c r="W264" s="4516"/>
      <c r="X264" s="2173">
        <v>2945053683.1399999</v>
      </c>
      <c r="Y264" s="2173">
        <v>2945053683.1399999</v>
      </c>
      <c r="Z264" s="2173">
        <v>2945053683.1399999</v>
      </c>
      <c r="AA264" s="2080" t="s">
        <v>3248</v>
      </c>
      <c r="AB264" s="2148">
        <v>154</v>
      </c>
      <c r="AC264" s="1967" t="s">
        <v>3243</v>
      </c>
      <c r="AD264" s="2580"/>
      <c r="AE264" s="2580"/>
      <c r="AF264" s="2580"/>
      <c r="AG264" s="2580"/>
      <c r="AH264" s="4484"/>
      <c r="AI264" s="2580"/>
      <c r="AJ264" s="2580"/>
      <c r="AK264" s="2580"/>
      <c r="AL264" s="2580"/>
      <c r="AM264" s="2580"/>
      <c r="AN264" s="2580"/>
      <c r="AO264" s="2580"/>
      <c r="AP264" s="2580"/>
      <c r="AQ264" s="2580"/>
      <c r="AR264" s="2580"/>
      <c r="AS264" s="2580"/>
      <c r="AT264" s="2580"/>
      <c r="AU264" s="2580"/>
      <c r="AV264" s="2580"/>
      <c r="AW264" s="2580"/>
      <c r="AX264" s="2580"/>
      <c r="AY264" s="2580"/>
      <c r="AZ264" s="2580"/>
      <c r="BA264" s="2580"/>
      <c r="BB264" s="2580"/>
      <c r="BC264" s="2580"/>
      <c r="BD264" s="2580"/>
      <c r="BE264" s="2580"/>
      <c r="BF264" s="2580"/>
      <c r="BG264" s="2580"/>
      <c r="BH264" s="2580"/>
      <c r="BI264" s="2580"/>
      <c r="BJ264" s="2502"/>
      <c r="BK264" s="2502"/>
      <c r="BL264" s="2502"/>
      <c r="BM264" s="4510"/>
      <c r="BN264" s="2502"/>
      <c r="BO264" s="2502"/>
      <c r="BP264" s="2502"/>
      <c r="BQ264" s="2502"/>
      <c r="BR264" s="2502"/>
      <c r="BS264" s="2502"/>
      <c r="BT264" s="2502"/>
      <c r="BU264" s="2502"/>
    </row>
    <row r="265" spans="1:73" s="1965" customFormat="1" ht="38.25" customHeight="1" x14ac:dyDescent="0.25">
      <c r="A265" s="2119"/>
      <c r="B265" s="1944"/>
      <c r="C265" s="1943"/>
      <c r="D265" s="1944"/>
      <c r="E265" s="4524"/>
      <c r="F265" s="4488"/>
      <c r="G265" s="4518"/>
      <c r="H265" s="3105"/>
      <c r="I265" s="4518"/>
      <c r="J265" s="3105"/>
      <c r="K265" s="4487"/>
      <c r="L265" s="3105"/>
      <c r="M265" s="4487"/>
      <c r="N265" s="3105"/>
      <c r="O265" s="4488"/>
      <c r="P265" s="4513"/>
      <c r="Q265" s="4526"/>
      <c r="R265" s="3089"/>
      <c r="S265" s="4527"/>
      <c r="T265" s="4485"/>
      <c r="U265" s="3089"/>
      <c r="V265" s="3089"/>
      <c r="W265" s="4516"/>
      <c r="X265" s="2173">
        <v>4487870561.1400003</v>
      </c>
      <c r="Y265" s="2173">
        <v>4487870561.1400003</v>
      </c>
      <c r="Z265" s="2173">
        <v>4487870561.1400003</v>
      </c>
      <c r="AA265" s="2080" t="s">
        <v>3249</v>
      </c>
      <c r="AB265" s="2148">
        <v>154</v>
      </c>
      <c r="AC265" s="1967" t="s">
        <v>3243</v>
      </c>
      <c r="AD265" s="2580"/>
      <c r="AE265" s="2580"/>
      <c r="AF265" s="2580"/>
      <c r="AG265" s="2580"/>
      <c r="AH265" s="4484"/>
      <c r="AI265" s="2580"/>
      <c r="AJ265" s="2580"/>
      <c r="AK265" s="2580"/>
      <c r="AL265" s="2580"/>
      <c r="AM265" s="2580"/>
      <c r="AN265" s="2580"/>
      <c r="AO265" s="2580"/>
      <c r="AP265" s="2580"/>
      <c r="AQ265" s="2580"/>
      <c r="AR265" s="2580"/>
      <c r="AS265" s="2580"/>
      <c r="AT265" s="2580"/>
      <c r="AU265" s="2580"/>
      <c r="AV265" s="2580"/>
      <c r="AW265" s="2580"/>
      <c r="AX265" s="2580"/>
      <c r="AY265" s="2580"/>
      <c r="AZ265" s="2580"/>
      <c r="BA265" s="2580"/>
      <c r="BB265" s="2580"/>
      <c r="BC265" s="2580"/>
      <c r="BD265" s="2580"/>
      <c r="BE265" s="2580"/>
      <c r="BF265" s="2580"/>
      <c r="BG265" s="2580"/>
      <c r="BH265" s="2580"/>
      <c r="BI265" s="2580"/>
      <c r="BJ265" s="2502"/>
      <c r="BK265" s="2502"/>
      <c r="BL265" s="2502"/>
      <c r="BM265" s="4510"/>
      <c r="BN265" s="2502"/>
      <c r="BO265" s="2502"/>
      <c r="BP265" s="2502"/>
      <c r="BQ265" s="2502"/>
      <c r="BR265" s="2502"/>
      <c r="BS265" s="2502"/>
      <c r="BT265" s="2502"/>
      <c r="BU265" s="2502"/>
    </row>
    <row r="266" spans="1:73" s="1965" customFormat="1" ht="38.25" customHeight="1" x14ac:dyDescent="0.25">
      <c r="A266" s="2119"/>
      <c r="B266" s="1944"/>
      <c r="C266" s="1943"/>
      <c r="D266" s="1944"/>
      <c r="E266" s="4524"/>
      <c r="F266" s="4488"/>
      <c r="G266" s="4518"/>
      <c r="H266" s="3105"/>
      <c r="I266" s="4518"/>
      <c r="J266" s="3105"/>
      <c r="K266" s="4487"/>
      <c r="L266" s="3105"/>
      <c r="M266" s="4487"/>
      <c r="N266" s="3105"/>
      <c r="O266" s="4488"/>
      <c r="P266" s="4513"/>
      <c r="Q266" s="4526"/>
      <c r="R266" s="3089"/>
      <c r="S266" s="4527"/>
      <c r="T266" s="4485"/>
      <c r="U266" s="3089"/>
      <c r="V266" s="3089"/>
      <c r="W266" s="4516"/>
      <c r="X266" s="2173">
        <v>458568261.75999999</v>
      </c>
      <c r="Y266" s="2173">
        <v>458568261.75999999</v>
      </c>
      <c r="Z266" s="2173">
        <v>458568261.75999999</v>
      </c>
      <c r="AA266" s="2080" t="s">
        <v>3250</v>
      </c>
      <c r="AB266" s="2148">
        <v>154</v>
      </c>
      <c r="AC266" s="1967" t="s">
        <v>3243</v>
      </c>
      <c r="AD266" s="2580"/>
      <c r="AE266" s="2580"/>
      <c r="AF266" s="2580"/>
      <c r="AG266" s="2580"/>
      <c r="AH266" s="4484"/>
      <c r="AI266" s="2580"/>
      <c r="AJ266" s="2580"/>
      <c r="AK266" s="2580"/>
      <c r="AL266" s="2580"/>
      <c r="AM266" s="2580"/>
      <c r="AN266" s="2580"/>
      <c r="AO266" s="2580"/>
      <c r="AP266" s="2580"/>
      <c r="AQ266" s="2580"/>
      <c r="AR266" s="2580"/>
      <c r="AS266" s="2580"/>
      <c r="AT266" s="2580"/>
      <c r="AU266" s="2580"/>
      <c r="AV266" s="2580"/>
      <c r="AW266" s="2580"/>
      <c r="AX266" s="2580"/>
      <c r="AY266" s="2580"/>
      <c r="AZ266" s="2580"/>
      <c r="BA266" s="2580"/>
      <c r="BB266" s="2580"/>
      <c r="BC266" s="2580"/>
      <c r="BD266" s="2580"/>
      <c r="BE266" s="2580"/>
      <c r="BF266" s="2580"/>
      <c r="BG266" s="2580"/>
      <c r="BH266" s="2580"/>
      <c r="BI266" s="2580"/>
      <c r="BJ266" s="2502"/>
      <c r="BK266" s="2502"/>
      <c r="BL266" s="2502"/>
      <c r="BM266" s="4510"/>
      <c r="BN266" s="2502"/>
      <c r="BO266" s="2502"/>
      <c r="BP266" s="2502"/>
      <c r="BQ266" s="2502"/>
      <c r="BR266" s="2502"/>
      <c r="BS266" s="2502"/>
      <c r="BT266" s="2502"/>
      <c r="BU266" s="2502"/>
    </row>
    <row r="267" spans="1:73" s="1965" customFormat="1" ht="38.25" customHeight="1" x14ac:dyDescent="0.25">
      <c r="A267" s="2119"/>
      <c r="B267" s="1944"/>
      <c r="C267" s="1943"/>
      <c r="D267" s="1944"/>
      <c r="E267" s="4524"/>
      <c r="F267" s="4488"/>
      <c r="G267" s="4518"/>
      <c r="H267" s="3105"/>
      <c r="I267" s="4518"/>
      <c r="J267" s="3105"/>
      <c r="K267" s="4487"/>
      <c r="L267" s="3105"/>
      <c r="M267" s="4487"/>
      <c r="N267" s="3105"/>
      <c r="O267" s="4488"/>
      <c r="P267" s="4513"/>
      <c r="Q267" s="4526"/>
      <c r="R267" s="3089"/>
      <c r="S267" s="4527"/>
      <c r="T267" s="4485"/>
      <c r="U267" s="3089"/>
      <c r="V267" s="3089"/>
      <c r="W267" s="4516"/>
      <c r="X267" s="2173">
        <v>794772453.89999998</v>
      </c>
      <c r="Y267" s="2173">
        <v>794772453.89999998</v>
      </c>
      <c r="Z267" s="2173">
        <v>794772453.89999998</v>
      </c>
      <c r="AA267" s="2080" t="s">
        <v>3251</v>
      </c>
      <c r="AB267" s="2148">
        <v>154</v>
      </c>
      <c r="AC267" s="1967" t="s">
        <v>3243</v>
      </c>
      <c r="AD267" s="2580"/>
      <c r="AE267" s="2580"/>
      <c r="AF267" s="2580"/>
      <c r="AG267" s="2580"/>
      <c r="AH267" s="4484"/>
      <c r="AI267" s="2580"/>
      <c r="AJ267" s="2580"/>
      <c r="AK267" s="2580"/>
      <c r="AL267" s="2580"/>
      <c r="AM267" s="2580"/>
      <c r="AN267" s="2580"/>
      <c r="AO267" s="2580"/>
      <c r="AP267" s="2580"/>
      <c r="AQ267" s="2580"/>
      <c r="AR267" s="2580"/>
      <c r="AS267" s="2580"/>
      <c r="AT267" s="2580"/>
      <c r="AU267" s="2580"/>
      <c r="AV267" s="2580"/>
      <c r="AW267" s="2580"/>
      <c r="AX267" s="2580"/>
      <c r="AY267" s="2580"/>
      <c r="AZ267" s="2580"/>
      <c r="BA267" s="2580"/>
      <c r="BB267" s="2580"/>
      <c r="BC267" s="2580"/>
      <c r="BD267" s="2580"/>
      <c r="BE267" s="2580"/>
      <c r="BF267" s="2580"/>
      <c r="BG267" s="2580"/>
      <c r="BH267" s="2580"/>
      <c r="BI267" s="2580"/>
      <c r="BJ267" s="2502"/>
      <c r="BK267" s="2502"/>
      <c r="BL267" s="2502"/>
      <c r="BM267" s="4510"/>
      <c r="BN267" s="2502"/>
      <c r="BO267" s="2502"/>
      <c r="BP267" s="2502"/>
      <c r="BQ267" s="2502"/>
      <c r="BR267" s="2502"/>
      <c r="BS267" s="2502"/>
      <c r="BT267" s="2502"/>
      <c r="BU267" s="2502"/>
    </row>
    <row r="268" spans="1:73" s="1965" customFormat="1" ht="38.25" customHeight="1" x14ac:dyDescent="0.25">
      <c r="A268" s="2119"/>
      <c r="B268" s="1944"/>
      <c r="C268" s="1943"/>
      <c r="D268" s="1944"/>
      <c r="E268" s="4524"/>
      <c r="F268" s="4488"/>
      <c r="G268" s="4518"/>
      <c r="H268" s="3105"/>
      <c r="I268" s="4518"/>
      <c r="J268" s="3105"/>
      <c r="K268" s="4487"/>
      <c r="L268" s="3105"/>
      <c r="M268" s="4487"/>
      <c r="N268" s="3105"/>
      <c r="O268" s="4488"/>
      <c r="P268" s="4513"/>
      <c r="Q268" s="4526"/>
      <c r="R268" s="3089"/>
      <c r="S268" s="4527"/>
      <c r="T268" s="4485"/>
      <c r="U268" s="3089"/>
      <c r="V268" s="3089"/>
      <c r="W268" s="4516"/>
      <c r="X268" s="2173">
        <v>1920337097.3499999</v>
      </c>
      <c r="Y268" s="2173">
        <v>1920337097.3499999</v>
      </c>
      <c r="Z268" s="2173">
        <v>1920337097.3499999</v>
      </c>
      <c r="AA268" s="2080" t="s">
        <v>3252</v>
      </c>
      <c r="AB268" s="2148">
        <v>154</v>
      </c>
      <c r="AC268" s="1967" t="s">
        <v>3243</v>
      </c>
      <c r="AD268" s="2580"/>
      <c r="AE268" s="2580"/>
      <c r="AF268" s="2580"/>
      <c r="AG268" s="2580"/>
      <c r="AH268" s="4484"/>
      <c r="AI268" s="2580"/>
      <c r="AJ268" s="2580"/>
      <c r="AK268" s="2580"/>
      <c r="AL268" s="2580"/>
      <c r="AM268" s="2580"/>
      <c r="AN268" s="2580"/>
      <c r="AO268" s="2580"/>
      <c r="AP268" s="2580"/>
      <c r="AQ268" s="2580"/>
      <c r="AR268" s="2580"/>
      <c r="AS268" s="2580"/>
      <c r="AT268" s="2580"/>
      <c r="AU268" s="2580"/>
      <c r="AV268" s="2580"/>
      <c r="AW268" s="2580"/>
      <c r="AX268" s="2580"/>
      <c r="AY268" s="2580"/>
      <c r="AZ268" s="2580"/>
      <c r="BA268" s="2580"/>
      <c r="BB268" s="2580"/>
      <c r="BC268" s="2580"/>
      <c r="BD268" s="2580"/>
      <c r="BE268" s="2580"/>
      <c r="BF268" s="2580"/>
      <c r="BG268" s="2580"/>
      <c r="BH268" s="2580"/>
      <c r="BI268" s="2580"/>
      <c r="BJ268" s="2502"/>
      <c r="BK268" s="2502"/>
      <c r="BL268" s="2502"/>
      <c r="BM268" s="4510"/>
      <c r="BN268" s="2502"/>
      <c r="BO268" s="2502"/>
      <c r="BP268" s="2502"/>
      <c r="BQ268" s="2502"/>
      <c r="BR268" s="2502"/>
      <c r="BS268" s="2502"/>
      <c r="BT268" s="2502"/>
      <c r="BU268" s="2502"/>
    </row>
    <row r="269" spans="1:73" s="1965" customFormat="1" ht="38.25" customHeight="1" x14ac:dyDescent="0.25">
      <c r="A269" s="2119"/>
      <c r="B269" s="1944"/>
      <c r="C269" s="1943"/>
      <c r="D269" s="1944"/>
      <c r="E269" s="4524"/>
      <c r="F269" s="4488"/>
      <c r="G269" s="4518"/>
      <c r="H269" s="3105"/>
      <c r="I269" s="4518"/>
      <c r="J269" s="3105"/>
      <c r="K269" s="4487"/>
      <c r="L269" s="3105"/>
      <c r="M269" s="4487"/>
      <c r="N269" s="3105"/>
      <c r="O269" s="4488"/>
      <c r="P269" s="4513"/>
      <c r="Q269" s="4526"/>
      <c r="R269" s="3089"/>
      <c r="S269" s="4527"/>
      <c r="T269" s="4485"/>
      <c r="U269" s="3089"/>
      <c r="V269" s="3089"/>
      <c r="W269" s="4516"/>
      <c r="X269" s="2173">
        <v>514008293.13</v>
      </c>
      <c r="Y269" s="2173">
        <v>514008293.13</v>
      </c>
      <c r="Z269" s="2173">
        <v>514008293.13</v>
      </c>
      <c r="AA269" s="2080" t="s">
        <v>3253</v>
      </c>
      <c r="AB269" s="2148">
        <v>154</v>
      </c>
      <c r="AC269" s="1967" t="s">
        <v>3243</v>
      </c>
      <c r="AD269" s="2580"/>
      <c r="AE269" s="2580"/>
      <c r="AF269" s="2580"/>
      <c r="AG269" s="2580"/>
      <c r="AH269" s="4484"/>
      <c r="AI269" s="2580"/>
      <c r="AJ269" s="2580"/>
      <c r="AK269" s="2580"/>
      <c r="AL269" s="2580"/>
      <c r="AM269" s="2580"/>
      <c r="AN269" s="2580"/>
      <c r="AO269" s="2580"/>
      <c r="AP269" s="2580"/>
      <c r="AQ269" s="2580"/>
      <c r="AR269" s="2580"/>
      <c r="AS269" s="2580"/>
      <c r="AT269" s="2580"/>
      <c r="AU269" s="2580"/>
      <c r="AV269" s="2580"/>
      <c r="AW269" s="2580"/>
      <c r="AX269" s="2580"/>
      <c r="AY269" s="2580"/>
      <c r="AZ269" s="2580"/>
      <c r="BA269" s="2580"/>
      <c r="BB269" s="2580"/>
      <c r="BC269" s="2580"/>
      <c r="BD269" s="2580"/>
      <c r="BE269" s="2580"/>
      <c r="BF269" s="2580"/>
      <c r="BG269" s="2580"/>
      <c r="BH269" s="2580"/>
      <c r="BI269" s="2580"/>
      <c r="BJ269" s="2502"/>
      <c r="BK269" s="2502"/>
      <c r="BL269" s="2502"/>
      <c r="BM269" s="4510"/>
      <c r="BN269" s="2502"/>
      <c r="BO269" s="2502"/>
      <c r="BP269" s="2502"/>
      <c r="BQ269" s="2502"/>
      <c r="BR269" s="2502"/>
      <c r="BS269" s="2502"/>
      <c r="BT269" s="2502"/>
      <c r="BU269" s="2502"/>
    </row>
    <row r="270" spans="1:73" s="1965" customFormat="1" ht="38.25" customHeight="1" x14ac:dyDescent="0.25">
      <c r="A270" s="2119"/>
      <c r="B270" s="1944"/>
      <c r="C270" s="1943"/>
      <c r="D270" s="1944"/>
      <c r="E270" s="4524"/>
      <c r="F270" s="4488"/>
      <c r="G270" s="4518"/>
      <c r="H270" s="3105"/>
      <c r="I270" s="4518"/>
      <c r="J270" s="3105"/>
      <c r="K270" s="4487"/>
      <c r="L270" s="3105"/>
      <c r="M270" s="4487"/>
      <c r="N270" s="3105"/>
      <c r="O270" s="4488"/>
      <c r="P270" s="4513"/>
      <c r="Q270" s="4526"/>
      <c r="R270" s="3089"/>
      <c r="S270" s="4527"/>
      <c r="T270" s="4485"/>
      <c r="U270" s="3089"/>
      <c r="V270" s="3089"/>
      <c r="W270" s="4517"/>
      <c r="X270" s="2173">
        <v>2975149697.7800002</v>
      </c>
      <c r="Y270" s="2173">
        <v>2975149697.7800002</v>
      </c>
      <c r="Z270" s="2173">
        <v>2975149697.7800002</v>
      </c>
      <c r="AA270" s="2080" t="s">
        <v>3254</v>
      </c>
      <c r="AB270" s="2148">
        <v>154</v>
      </c>
      <c r="AC270" s="1967" t="s">
        <v>3243</v>
      </c>
      <c r="AD270" s="2580"/>
      <c r="AE270" s="2580"/>
      <c r="AF270" s="2580"/>
      <c r="AG270" s="2580"/>
      <c r="AH270" s="4484"/>
      <c r="AI270" s="2580"/>
      <c r="AJ270" s="2580"/>
      <c r="AK270" s="2580"/>
      <c r="AL270" s="2580"/>
      <c r="AM270" s="2580"/>
      <c r="AN270" s="2580"/>
      <c r="AO270" s="2580"/>
      <c r="AP270" s="2580"/>
      <c r="AQ270" s="2580"/>
      <c r="AR270" s="2580"/>
      <c r="AS270" s="2580"/>
      <c r="AT270" s="2580"/>
      <c r="AU270" s="2580"/>
      <c r="AV270" s="2580"/>
      <c r="AW270" s="2580"/>
      <c r="AX270" s="2580"/>
      <c r="AY270" s="2580"/>
      <c r="AZ270" s="2580"/>
      <c r="BA270" s="2580"/>
      <c r="BB270" s="2580"/>
      <c r="BC270" s="2580"/>
      <c r="BD270" s="2580"/>
      <c r="BE270" s="2580"/>
      <c r="BF270" s="2580"/>
      <c r="BG270" s="2580"/>
      <c r="BH270" s="2580"/>
      <c r="BI270" s="2580"/>
      <c r="BJ270" s="2502"/>
      <c r="BK270" s="2502"/>
      <c r="BL270" s="2502"/>
      <c r="BM270" s="4510"/>
      <c r="BN270" s="2502"/>
      <c r="BO270" s="2502"/>
      <c r="BP270" s="2502"/>
      <c r="BQ270" s="2502"/>
      <c r="BR270" s="2502"/>
      <c r="BS270" s="2502"/>
      <c r="BT270" s="2502"/>
      <c r="BU270" s="2502"/>
    </row>
    <row r="271" spans="1:73" s="1965" customFormat="1" ht="105" customHeight="1" x14ac:dyDescent="0.25">
      <c r="A271" s="2119"/>
      <c r="B271" s="1944"/>
      <c r="C271" s="1943"/>
      <c r="D271" s="1944"/>
      <c r="E271" s="4524"/>
      <c r="F271" s="4488"/>
      <c r="G271" s="4518"/>
      <c r="H271" s="3105"/>
      <c r="I271" s="4518"/>
      <c r="J271" s="3105"/>
      <c r="K271" s="4487"/>
      <c r="L271" s="3105"/>
      <c r="M271" s="4487"/>
      <c r="N271" s="3105"/>
      <c r="O271" s="4488"/>
      <c r="P271" s="4514"/>
      <c r="Q271" s="4526"/>
      <c r="R271" s="3089"/>
      <c r="S271" s="4527"/>
      <c r="T271" s="4485"/>
      <c r="U271" s="3089"/>
      <c r="V271" s="3089"/>
      <c r="W271" s="1940" t="s">
        <v>3255</v>
      </c>
      <c r="X271" s="2079">
        <v>0</v>
      </c>
      <c r="Y271" s="2079"/>
      <c r="Z271" s="829"/>
      <c r="AA271" s="2171"/>
      <c r="AB271" s="2148"/>
      <c r="AC271" s="1967"/>
      <c r="AD271" s="2581"/>
      <c r="AE271" s="2581"/>
      <c r="AF271" s="2580"/>
      <c r="AG271" s="2581"/>
      <c r="AH271" s="4484"/>
      <c r="AI271" s="2581"/>
      <c r="AJ271" s="2580"/>
      <c r="AK271" s="2581"/>
      <c r="AL271" s="2580"/>
      <c r="AM271" s="2581"/>
      <c r="AN271" s="2580"/>
      <c r="AO271" s="2581"/>
      <c r="AP271" s="2580"/>
      <c r="AQ271" s="2581"/>
      <c r="AR271" s="2580"/>
      <c r="AS271" s="2581"/>
      <c r="AT271" s="2580"/>
      <c r="AU271" s="2581"/>
      <c r="AV271" s="2580"/>
      <c r="AW271" s="2581"/>
      <c r="AX271" s="2580"/>
      <c r="AY271" s="2581"/>
      <c r="AZ271" s="2580"/>
      <c r="BA271" s="2581"/>
      <c r="BB271" s="2580"/>
      <c r="BC271" s="2581"/>
      <c r="BD271" s="2580"/>
      <c r="BE271" s="2581"/>
      <c r="BF271" s="2580"/>
      <c r="BG271" s="2581"/>
      <c r="BH271" s="2580"/>
      <c r="BI271" s="2581"/>
      <c r="BJ271" s="2770"/>
      <c r="BK271" s="2770"/>
      <c r="BL271" s="2770"/>
      <c r="BM271" s="4511"/>
      <c r="BN271" s="2770"/>
      <c r="BO271" s="2770"/>
      <c r="BP271" s="2770"/>
      <c r="BQ271" s="2502"/>
      <c r="BR271" s="2502"/>
      <c r="BS271" s="2502"/>
      <c r="BT271" s="2502"/>
      <c r="BU271" s="2502"/>
    </row>
    <row r="272" spans="1:73" s="1965" customFormat="1" ht="76.5" customHeight="1" x14ac:dyDescent="0.25">
      <c r="A272" s="2119"/>
      <c r="B272" s="1944"/>
      <c r="C272" s="1943"/>
      <c r="D272" s="1944"/>
      <c r="E272" s="4524"/>
      <c r="F272" s="4488"/>
      <c r="G272" s="3104" t="s">
        <v>20</v>
      </c>
      <c r="H272" s="3105" t="s">
        <v>3256</v>
      </c>
      <c r="I272" s="3104">
        <v>1906023</v>
      </c>
      <c r="J272" s="3105" t="s">
        <v>3238</v>
      </c>
      <c r="K272" s="4487" t="s">
        <v>20</v>
      </c>
      <c r="L272" s="3105" t="s">
        <v>3257</v>
      </c>
      <c r="M272" s="4487">
        <v>190602301</v>
      </c>
      <c r="N272" s="3105" t="s">
        <v>3240</v>
      </c>
      <c r="O272" s="3104">
        <v>60</v>
      </c>
      <c r="P272" s="4157">
        <v>51</v>
      </c>
      <c r="Q272" s="3615" t="s">
        <v>3258</v>
      </c>
      <c r="R272" s="3615" t="s">
        <v>3259</v>
      </c>
      <c r="S272" s="3933">
        <f>SUM(X272:X274)/T272</f>
        <v>0.1314465154621948</v>
      </c>
      <c r="T272" s="4486">
        <f>SUM(X272:X291)</f>
        <v>27242543268.709999</v>
      </c>
      <c r="U272" s="4501" t="s">
        <v>3260</v>
      </c>
      <c r="V272" s="4501" t="s">
        <v>3261</v>
      </c>
      <c r="W272" s="3089" t="s">
        <v>3262</v>
      </c>
      <c r="X272" s="829">
        <v>2070689932</v>
      </c>
      <c r="Y272" s="2143">
        <v>1747904004</v>
      </c>
      <c r="Z272" s="2143">
        <v>1747904004</v>
      </c>
      <c r="AA272" s="2080" t="s">
        <v>3263</v>
      </c>
      <c r="AB272" s="2148">
        <v>110</v>
      </c>
      <c r="AC272" s="2174" t="s">
        <v>3264</v>
      </c>
      <c r="AD272" s="2579">
        <v>292684</v>
      </c>
      <c r="AE272" s="2579"/>
      <c r="AF272" s="2579">
        <v>282326</v>
      </c>
      <c r="AG272" s="2579"/>
      <c r="AH272" s="4483">
        <v>135912</v>
      </c>
      <c r="AI272" s="2579"/>
      <c r="AJ272" s="2579">
        <v>45122</v>
      </c>
      <c r="AK272" s="2579"/>
      <c r="AL272" s="2579">
        <v>365607</v>
      </c>
      <c r="AM272" s="2579"/>
      <c r="AN272" s="2579">
        <v>75612</v>
      </c>
      <c r="AO272" s="2579"/>
      <c r="AP272" s="2579">
        <v>2145</v>
      </c>
      <c r="AQ272" s="2579"/>
      <c r="AR272" s="2579">
        <v>12718</v>
      </c>
      <c r="AS272" s="2579"/>
      <c r="AT272" s="2579">
        <v>26</v>
      </c>
      <c r="AU272" s="2579"/>
      <c r="AV272" s="2579">
        <v>37</v>
      </c>
      <c r="AW272" s="2579"/>
      <c r="AX272" s="2579">
        <v>0</v>
      </c>
      <c r="AY272" s="2579"/>
      <c r="AZ272" s="2579">
        <v>0</v>
      </c>
      <c r="BA272" s="2579"/>
      <c r="BB272" s="2579">
        <v>53164</v>
      </c>
      <c r="BC272" s="2579"/>
      <c r="BD272" s="2579">
        <v>16982</v>
      </c>
      <c r="BE272" s="2579"/>
      <c r="BF272" s="2579">
        <v>60013</v>
      </c>
      <c r="BG272" s="2579"/>
      <c r="BH272" s="2579">
        <v>575010</v>
      </c>
      <c r="BI272" s="2579"/>
      <c r="BJ272" s="2745">
        <v>0</v>
      </c>
      <c r="BK272" s="4506">
        <f>SUM(Y272:Y291)</f>
        <v>26126352073.920002</v>
      </c>
      <c r="BL272" s="4506">
        <f>SUM(Z272:Z291)</f>
        <v>26126352073.920002</v>
      </c>
      <c r="BM272" s="4509"/>
      <c r="BN272" s="2745" t="s">
        <v>3265</v>
      </c>
      <c r="BO272" s="2745" t="s">
        <v>3266</v>
      </c>
      <c r="BP272" s="2745" t="s">
        <v>2871</v>
      </c>
      <c r="BQ272" s="4481">
        <v>44197</v>
      </c>
      <c r="BR272" s="4481">
        <v>44271</v>
      </c>
      <c r="BS272" s="4481">
        <v>44561</v>
      </c>
      <c r="BT272" s="4481">
        <v>44561</v>
      </c>
      <c r="BU272" s="2745" t="s">
        <v>2744</v>
      </c>
    </row>
    <row r="273" spans="1:73" s="1965" customFormat="1" ht="76.5" customHeight="1" x14ac:dyDescent="0.25">
      <c r="A273" s="2119"/>
      <c r="B273" s="1944"/>
      <c r="C273" s="1943"/>
      <c r="D273" s="1944"/>
      <c r="E273" s="4524"/>
      <c r="F273" s="4488"/>
      <c r="G273" s="3104"/>
      <c r="H273" s="3105"/>
      <c r="I273" s="3104"/>
      <c r="J273" s="3105"/>
      <c r="K273" s="4487"/>
      <c r="L273" s="3105"/>
      <c r="M273" s="4487"/>
      <c r="N273" s="3105"/>
      <c r="O273" s="3104"/>
      <c r="P273" s="4157"/>
      <c r="Q273" s="3616"/>
      <c r="R273" s="3616"/>
      <c r="S273" s="3933"/>
      <c r="T273" s="4499"/>
      <c r="U273" s="4502"/>
      <c r="V273" s="4502"/>
      <c r="W273" s="3089"/>
      <c r="X273" s="829">
        <v>1449459132</v>
      </c>
      <c r="Y273" s="2175">
        <v>1380978948</v>
      </c>
      <c r="Z273" s="2175">
        <v>1380978948</v>
      </c>
      <c r="AA273" s="2080" t="s">
        <v>3267</v>
      </c>
      <c r="AB273" s="2148"/>
      <c r="AC273" s="2174"/>
      <c r="AD273" s="2580"/>
      <c r="AE273" s="2580"/>
      <c r="AF273" s="2580"/>
      <c r="AG273" s="2580"/>
      <c r="AH273" s="4484"/>
      <c r="AI273" s="2580"/>
      <c r="AJ273" s="2580"/>
      <c r="AK273" s="2580"/>
      <c r="AL273" s="2580"/>
      <c r="AM273" s="2580"/>
      <c r="AN273" s="2580"/>
      <c r="AO273" s="2580"/>
      <c r="AP273" s="2580"/>
      <c r="AQ273" s="2580"/>
      <c r="AR273" s="2580"/>
      <c r="AS273" s="2580"/>
      <c r="AT273" s="2580"/>
      <c r="AU273" s="2580"/>
      <c r="AV273" s="2580"/>
      <c r="AW273" s="2580"/>
      <c r="AX273" s="2580"/>
      <c r="AY273" s="2580"/>
      <c r="AZ273" s="2580"/>
      <c r="BA273" s="2580"/>
      <c r="BB273" s="2580"/>
      <c r="BC273" s="2580"/>
      <c r="BD273" s="2580"/>
      <c r="BE273" s="2580"/>
      <c r="BF273" s="2580"/>
      <c r="BG273" s="2580"/>
      <c r="BH273" s="2580"/>
      <c r="BI273" s="2580"/>
      <c r="BJ273" s="2502"/>
      <c r="BK273" s="4507"/>
      <c r="BL273" s="4507"/>
      <c r="BM273" s="4510"/>
      <c r="BN273" s="2502"/>
      <c r="BO273" s="2502"/>
      <c r="BP273" s="2502"/>
      <c r="BQ273" s="4504"/>
      <c r="BR273" s="4504"/>
      <c r="BS273" s="4504"/>
      <c r="BT273" s="4504"/>
      <c r="BU273" s="2502"/>
    </row>
    <row r="274" spans="1:73" s="1965" customFormat="1" ht="77.25" customHeight="1" x14ac:dyDescent="0.25">
      <c r="A274" s="2119"/>
      <c r="B274" s="1944"/>
      <c r="C274" s="1943"/>
      <c r="D274" s="1944"/>
      <c r="E274" s="4524"/>
      <c r="F274" s="4488"/>
      <c r="G274" s="3104"/>
      <c r="H274" s="3105"/>
      <c r="I274" s="3104"/>
      <c r="J274" s="3105"/>
      <c r="K274" s="4487"/>
      <c r="L274" s="3105"/>
      <c r="M274" s="4487"/>
      <c r="N274" s="3105"/>
      <c r="O274" s="3104"/>
      <c r="P274" s="4157"/>
      <c r="Q274" s="3616"/>
      <c r="R274" s="3616"/>
      <c r="S274" s="3933"/>
      <c r="T274" s="4499"/>
      <c r="U274" s="4502"/>
      <c r="V274" s="4502"/>
      <c r="W274" s="3089"/>
      <c r="X274" s="829">
        <v>60788321</v>
      </c>
      <c r="Y274" s="829"/>
      <c r="Z274" s="829"/>
      <c r="AA274" s="2080" t="s">
        <v>3268</v>
      </c>
      <c r="AB274" s="2148">
        <v>155</v>
      </c>
      <c r="AC274" s="2174" t="s">
        <v>3269</v>
      </c>
      <c r="AD274" s="2580"/>
      <c r="AE274" s="2580"/>
      <c r="AF274" s="2580"/>
      <c r="AG274" s="2580"/>
      <c r="AH274" s="4484"/>
      <c r="AI274" s="2580"/>
      <c r="AJ274" s="2580"/>
      <c r="AK274" s="2580"/>
      <c r="AL274" s="2580"/>
      <c r="AM274" s="2580"/>
      <c r="AN274" s="2580"/>
      <c r="AO274" s="2580"/>
      <c r="AP274" s="2580"/>
      <c r="AQ274" s="2580"/>
      <c r="AR274" s="2580"/>
      <c r="AS274" s="2580"/>
      <c r="AT274" s="2580"/>
      <c r="AU274" s="2580"/>
      <c r="AV274" s="2580"/>
      <c r="AW274" s="2580"/>
      <c r="AX274" s="2580"/>
      <c r="AY274" s="2580"/>
      <c r="AZ274" s="2580"/>
      <c r="BA274" s="2580"/>
      <c r="BB274" s="2580"/>
      <c r="BC274" s="2580"/>
      <c r="BD274" s="2580"/>
      <c r="BE274" s="2580"/>
      <c r="BF274" s="2580"/>
      <c r="BG274" s="2580"/>
      <c r="BH274" s="2580"/>
      <c r="BI274" s="2580"/>
      <c r="BJ274" s="2502"/>
      <c r="BK274" s="4507"/>
      <c r="BL274" s="4507"/>
      <c r="BM274" s="4510"/>
      <c r="BN274" s="2502"/>
      <c r="BO274" s="2502"/>
      <c r="BP274" s="2502"/>
      <c r="BQ274" s="4504"/>
      <c r="BR274" s="4504"/>
      <c r="BS274" s="4504"/>
      <c r="BT274" s="4504"/>
      <c r="BU274" s="2502"/>
    </row>
    <row r="275" spans="1:73" s="1965" customFormat="1" ht="126.75" customHeight="1" x14ac:dyDescent="0.25">
      <c r="A275" s="2119"/>
      <c r="B275" s="1944"/>
      <c r="C275" s="1943"/>
      <c r="D275" s="1944"/>
      <c r="E275" s="4524"/>
      <c r="F275" s="4488"/>
      <c r="G275" s="2579" t="s">
        <v>20</v>
      </c>
      <c r="H275" s="3024" t="s">
        <v>3270</v>
      </c>
      <c r="I275" s="2579">
        <v>1906025</v>
      </c>
      <c r="J275" s="3024" t="s">
        <v>3271</v>
      </c>
      <c r="K275" s="4483" t="s">
        <v>20</v>
      </c>
      <c r="L275" s="3024" t="s">
        <v>3272</v>
      </c>
      <c r="M275" s="4483">
        <v>190602500</v>
      </c>
      <c r="N275" s="3024" t="s">
        <v>3273</v>
      </c>
      <c r="O275" s="2579">
        <v>100</v>
      </c>
      <c r="P275" s="3715">
        <v>100</v>
      </c>
      <c r="Q275" s="3616"/>
      <c r="R275" s="3616"/>
      <c r="S275" s="3721">
        <f>SUM(X275:X276)/T272</f>
        <v>6.366488168496641E-2</v>
      </c>
      <c r="T275" s="4499"/>
      <c r="U275" s="4502"/>
      <c r="V275" s="4502"/>
      <c r="W275" s="2938" t="s">
        <v>3274</v>
      </c>
      <c r="X275" s="829">
        <v>0</v>
      </c>
      <c r="Y275" s="829"/>
      <c r="Z275" s="829"/>
      <c r="AA275" s="2080" t="s">
        <v>3275</v>
      </c>
      <c r="AB275" s="2148">
        <v>35</v>
      </c>
      <c r="AC275" s="2174" t="s">
        <v>3276</v>
      </c>
      <c r="AD275" s="2580"/>
      <c r="AE275" s="2580"/>
      <c r="AF275" s="2580"/>
      <c r="AG275" s="2580"/>
      <c r="AH275" s="4484"/>
      <c r="AI275" s="2580"/>
      <c r="AJ275" s="2580"/>
      <c r="AK275" s="2580"/>
      <c r="AL275" s="2580"/>
      <c r="AM275" s="2580"/>
      <c r="AN275" s="2580"/>
      <c r="AO275" s="2580"/>
      <c r="AP275" s="2580"/>
      <c r="AQ275" s="2580"/>
      <c r="AR275" s="2580"/>
      <c r="AS275" s="2580"/>
      <c r="AT275" s="2580"/>
      <c r="AU275" s="2580"/>
      <c r="AV275" s="2580"/>
      <c r="AW275" s="2580"/>
      <c r="AX275" s="2580"/>
      <c r="AY275" s="2580"/>
      <c r="AZ275" s="2580"/>
      <c r="BA275" s="2580"/>
      <c r="BB275" s="2580"/>
      <c r="BC275" s="2580"/>
      <c r="BD275" s="2580"/>
      <c r="BE275" s="2580"/>
      <c r="BF275" s="2580"/>
      <c r="BG275" s="2580"/>
      <c r="BH275" s="2580"/>
      <c r="BI275" s="2580"/>
      <c r="BJ275" s="2502"/>
      <c r="BK275" s="4507"/>
      <c r="BL275" s="4507"/>
      <c r="BM275" s="4510"/>
      <c r="BN275" s="2502"/>
      <c r="BO275" s="2502"/>
      <c r="BP275" s="2502"/>
      <c r="BQ275" s="4504"/>
      <c r="BR275" s="4504"/>
      <c r="BS275" s="4504"/>
      <c r="BT275" s="4504"/>
      <c r="BU275" s="2502"/>
    </row>
    <row r="276" spans="1:73" s="1965" customFormat="1" ht="126.75" customHeight="1" x14ac:dyDescent="0.25">
      <c r="A276" s="2119"/>
      <c r="B276" s="1944"/>
      <c r="C276" s="1943"/>
      <c r="D276" s="1944"/>
      <c r="E276" s="4524"/>
      <c r="F276" s="4488"/>
      <c r="G276" s="2581"/>
      <c r="H276" s="3052"/>
      <c r="I276" s="2581"/>
      <c r="J276" s="3052"/>
      <c r="K276" s="4494"/>
      <c r="L276" s="3052"/>
      <c r="M276" s="4494"/>
      <c r="N276" s="3052"/>
      <c r="O276" s="2581"/>
      <c r="P276" s="3717"/>
      <c r="Q276" s="3616"/>
      <c r="R276" s="3616"/>
      <c r="S276" s="2727"/>
      <c r="T276" s="4499"/>
      <c r="U276" s="4502"/>
      <c r="V276" s="4502"/>
      <c r="W276" s="2939"/>
      <c r="X276" s="829">
        <v>1734393294</v>
      </c>
      <c r="Y276" s="2176">
        <v>1583722600</v>
      </c>
      <c r="Z276" s="2176">
        <v>1583722600</v>
      </c>
      <c r="AA276" s="2080" t="s">
        <v>3277</v>
      </c>
      <c r="AB276" s="2148">
        <v>171</v>
      </c>
      <c r="AC276" s="1967" t="s">
        <v>3278</v>
      </c>
      <c r="AD276" s="2580"/>
      <c r="AE276" s="2580"/>
      <c r="AF276" s="2580"/>
      <c r="AG276" s="2580"/>
      <c r="AH276" s="4484"/>
      <c r="AI276" s="2580"/>
      <c r="AJ276" s="2580"/>
      <c r="AK276" s="2580"/>
      <c r="AL276" s="2580"/>
      <c r="AM276" s="2580"/>
      <c r="AN276" s="2580"/>
      <c r="AO276" s="2580"/>
      <c r="AP276" s="2580"/>
      <c r="AQ276" s="2580"/>
      <c r="AR276" s="2580"/>
      <c r="AS276" s="2580"/>
      <c r="AT276" s="2580"/>
      <c r="AU276" s="2580"/>
      <c r="AV276" s="2580"/>
      <c r="AW276" s="2580"/>
      <c r="AX276" s="2580"/>
      <c r="AY276" s="2580"/>
      <c r="AZ276" s="2580"/>
      <c r="BA276" s="2580"/>
      <c r="BB276" s="2580"/>
      <c r="BC276" s="2580"/>
      <c r="BD276" s="2580"/>
      <c r="BE276" s="2580"/>
      <c r="BF276" s="2580"/>
      <c r="BG276" s="2580"/>
      <c r="BH276" s="2580"/>
      <c r="BI276" s="2580"/>
      <c r="BJ276" s="2502"/>
      <c r="BK276" s="4507"/>
      <c r="BL276" s="4507"/>
      <c r="BM276" s="4510"/>
      <c r="BN276" s="2502"/>
      <c r="BO276" s="2502"/>
      <c r="BP276" s="2502"/>
      <c r="BQ276" s="4504"/>
      <c r="BR276" s="4504"/>
      <c r="BS276" s="4504"/>
      <c r="BT276" s="4504"/>
      <c r="BU276" s="2502"/>
    </row>
    <row r="277" spans="1:73" s="1965" customFormat="1" ht="126.75" customHeight="1" x14ac:dyDescent="0.25">
      <c r="A277" s="2119"/>
      <c r="B277" s="1944"/>
      <c r="C277" s="1943"/>
      <c r="D277" s="1944"/>
      <c r="E277" s="4524"/>
      <c r="F277" s="4488"/>
      <c r="G277" s="3104" t="s">
        <v>20</v>
      </c>
      <c r="H277" s="3105" t="s">
        <v>3279</v>
      </c>
      <c r="I277" s="3104">
        <v>1906025</v>
      </c>
      <c r="J277" s="3105" t="s">
        <v>3271</v>
      </c>
      <c r="K277" s="4483" t="s">
        <v>20</v>
      </c>
      <c r="L277" s="4495" t="s">
        <v>3280</v>
      </c>
      <c r="M277" s="4483">
        <v>190602500</v>
      </c>
      <c r="N277" s="4495" t="s">
        <v>3273</v>
      </c>
      <c r="O277" s="4491">
        <v>100</v>
      </c>
      <c r="P277" s="3715">
        <v>94</v>
      </c>
      <c r="Q277" s="3616"/>
      <c r="R277" s="3616"/>
      <c r="S277" s="3721">
        <f>SUM(X277:X291)/T272</f>
        <v>0.80488860285283881</v>
      </c>
      <c r="T277" s="4499"/>
      <c r="U277" s="4502"/>
      <c r="V277" s="4502"/>
      <c r="W277" s="3089" t="s">
        <v>3281</v>
      </c>
      <c r="X277" s="829">
        <v>616192836</v>
      </c>
      <c r="Y277" s="2176">
        <v>616192836</v>
      </c>
      <c r="Z277" s="2176">
        <v>616192836</v>
      </c>
      <c r="AA277" s="2080" t="s">
        <v>3282</v>
      </c>
      <c r="AB277" s="2148">
        <v>58</v>
      </c>
      <c r="AC277" s="2174" t="s">
        <v>3283</v>
      </c>
      <c r="AD277" s="2580"/>
      <c r="AE277" s="2580"/>
      <c r="AF277" s="2580"/>
      <c r="AG277" s="2580"/>
      <c r="AH277" s="4484"/>
      <c r="AI277" s="2580"/>
      <c r="AJ277" s="2580"/>
      <c r="AK277" s="2580"/>
      <c r="AL277" s="2580"/>
      <c r="AM277" s="2580"/>
      <c r="AN277" s="2580"/>
      <c r="AO277" s="2580"/>
      <c r="AP277" s="2580"/>
      <c r="AQ277" s="2580"/>
      <c r="AR277" s="2580"/>
      <c r="AS277" s="2580"/>
      <c r="AT277" s="2580"/>
      <c r="AU277" s="2580"/>
      <c r="AV277" s="2580"/>
      <c r="AW277" s="2580"/>
      <c r="AX277" s="2580"/>
      <c r="AY277" s="2580"/>
      <c r="AZ277" s="2580"/>
      <c r="BA277" s="2580"/>
      <c r="BB277" s="2580"/>
      <c r="BC277" s="2580"/>
      <c r="BD277" s="2580"/>
      <c r="BE277" s="2580"/>
      <c r="BF277" s="2580"/>
      <c r="BG277" s="2580"/>
      <c r="BH277" s="2580"/>
      <c r="BI277" s="2580"/>
      <c r="BJ277" s="2502"/>
      <c r="BK277" s="4507"/>
      <c r="BL277" s="4507"/>
      <c r="BM277" s="4510"/>
      <c r="BN277" s="2502"/>
      <c r="BO277" s="2502"/>
      <c r="BP277" s="2502"/>
      <c r="BQ277" s="4504"/>
      <c r="BR277" s="4504"/>
      <c r="BS277" s="4504"/>
      <c r="BT277" s="4504"/>
      <c r="BU277" s="2502"/>
    </row>
    <row r="278" spans="1:73" s="1965" customFormat="1" ht="408.75" customHeight="1" x14ac:dyDescent="0.25">
      <c r="A278" s="2119"/>
      <c r="B278" s="1944"/>
      <c r="C278" s="1943"/>
      <c r="D278" s="1944"/>
      <c r="E278" s="4524"/>
      <c r="F278" s="4488"/>
      <c r="G278" s="3104"/>
      <c r="H278" s="3105"/>
      <c r="I278" s="3104"/>
      <c r="J278" s="3105"/>
      <c r="K278" s="4484"/>
      <c r="L278" s="4496"/>
      <c r="M278" s="4484"/>
      <c r="N278" s="4496"/>
      <c r="O278" s="4492"/>
      <c r="P278" s="3716"/>
      <c r="Q278" s="3616"/>
      <c r="R278" s="3616"/>
      <c r="S278" s="2726"/>
      <c r="T278" s="4499"/>
      <c r="U278" s="4502"/>
      <c r="V278" s="4502"/>
      <c r="W278" s="3089"/>
      <c r="X278" s="829">
        <v>3068616589</v>
      </c>
      <c r="Y278" s="2175">
        <v>2558189869.4200001</v>
      </c>
      <c r="Z278" s="2175">
        <v>2558189869.4200001</v>
      </c>
      <c r="AA278" s="2177" t="s">
        <v>3284</v>
      </c>
      <c r="AB278" s="2148">
        <v>58</v>
      </c>
      <c r="AC278" s="2174" t="s">
        <v>3283</v>
      </c>
      <c r="AD278" s="2580"/>
      <c r="AE278" s="2580"/>
      <c r="AF278" s="2580"/>
      <c r="AG278" s="2580"/>
      <c r="AH278" s="4484"/>
      <c r="AI278" s="2580"/>
      <c r="AJ278" s="2580"/>
      <c r="AK278" s="2580"/>
      <c r="AL278" s="2580"/>
      <c r="AM278" s="2580"/>
      <c r="AN278" s="2580"/>
      <c r="AO278" s="2580"/>
      <c r="AP278" s="2580"/>
      <c r="AQ278" s="2580"/>
      <c r="AR278" s="2580"/>
      <c r="AS278" s="2580"/>
      <c r="AT278" s="2580"/>
      <c r="AU278" s="2580"/>
      <c r="AV278" s="2580"/>
      <c r="AW278" s="2580"/>
      <c r="AX278" s="2580"/>
      <c r="AY278" s="2580"/>
      <c r="AZ278" s="2580"/>
      <c r="BA278" s="2580"/>
      <c r="BB278" s="2580"/>
      <c r="BC278" s="2580"/>
      <c r="BD278" s="2580"/>
      <c r="BE278" s="2580"/>
      <c r="BF278" s="2580"/>
      <c r="BG278" s="2580"/>
      <c r="BH278" s="2580"/>
      <c r="BI278" s="2580"/>
      <c r="BJ278" s="2502"/>
      <c r="BK278" s="4507"/>
      <c r="BL278" s="4507"/>
      <c r="BM278" s="4510"/>
      <c r="BN278" s="2502"/>
      <c r="BO278" s="2502"/>
      <c r="BP278" s="2502"/>
      <c r="BQ278" s="4504"/>
      <c r="BR278" s="4504"/>
      <c r="BS278" s="4504"/>
      <c r="BT278" s="4504"/>
      <c r="BU278" s="2502"/>
    </row>
    <row r="279" spans="1:73" s="1965" customFormat="1" ht="35.25" customHeight="1" x14ac:dyDescent="0.25">
      <c r="A279" s="2119"/>
      <c r="B279" s="1944"/>
      <c r="C279" s="1943"/>
      <c r="D279" s="1944"/>
      <c r="E279" s="4524"/>
      <c r="F279" s="4488"/>
      <c r="G279" s="3104"/>
      <c r="H279" s="3105"/>
      <c r="I279" s="3104"/>
      <c r="J279" s="3105"/>
      <c r="K279" s="4484"/>
      <c r="L279" s="4496"/>
      <c r="M279" s="4484"/>
      <c r="N279" s="4496"/>
      <c r="O279" s="4492"/>
      <c r="P279" s="3716"/>
      <c r="Q279" s="3616"/>
      <c r="R279" s="3616"/>
      <c r="S279" s="2726"/>
      <c r="T279" s="4499"/>
      <c r="U279" s="4502"/>
      <c r="V279" s="4502"/>
      <c r="W279" s="3089"/>
      <c r="X279" s="829">
        <v>400000000</v>
      </c>
      <c r="Y279" s="829">
        <v>400000000</v>
      </c>
      <c r="Z279" s="2176">
        <v>400000000</v>
      </c>
      <c r="AA279" s="2080" t="s">
        <v>3285</v>
      </c>
      <c r="AB279" s="2148">
        <v>91</v>
      </c>
      <c r="AC279" s="2174" t="s">
        <v>3286</v>
      </c>
      <c r="AD279" s="2580"/>
      <c r="AE279" s="2580"/>
      <c r="AF279" s="2580"/>
      <c r="AG279" s="2580"/>
      <c r="AH279" s="4484"/>
      <c r="AI279" s="2580"/>
      <c r="AJ279" s="2580"/>
      <c r="AK279" s="2580"/>
      <c r="AL279" s="2580"/>
      <c r="AM279" s="2580"/>
      <c r="AN279" s="2580"/>
      <c r="AO279" s="2580"/>
      <c r="AP279" s="2580"/>
      <c r="AQ279" s="2580"/>
      <c r="AR279" s="2580"/>
      <c r="AS279" s="2580"/>
      <c r="AT279" s="2580"/>
      <c r="AU279" s="2580"/>
      <c r="AV279" s="2580"/>
      <c r="AW279" s="2580"/>
      <c r="AX279" s="2580"/>
      <c r="AY279" s="2580"/>
      <c r="AZ279" s="2580"/>
      <c r="BA279" s="2580"/>
      <c r="BB279" s="2580"/>
      <c r="BC279" s="2580"/>
      <c r="BD279" s="2580"/>
      <c r="BE279" s="2580"/>
      <c r="BF279" s="2580"/>
      <c r="BG279" s="2580"/>
      <c r="BH279" s="2580"/>
      <c r="BI279" s="2580"/>
      <c r="BJ279" s="2502"/>
      <c r="BK279" s="4507"/>
      <c r="BL279" s="4507"/>
      <c r="BM279" s="4510"/>
      <c r="BN279" s="2502"/>
      <c r="BO279" s="2502"/>
      <c r="BP279" s="2502"/>
      <c r="BQ279" s="4504"/>
      <c r="BR279" s="4504"/>
      <c r="BS279" s="4504"/>
      <c r="BT279" s="4504"/>
      <c r="BU279" s="2502"/>
    </row>
    <row r="280" spans="1:73" s="1965" customFormat="1" ht="35.25" customHeight="1" x14ac:dyDescent="0.25">
      <c r="A280" s="2119"/>
      <c r="B280" s="1944"/>
      <c r="C280" s="1943"/>
      <c r="D280" s="1944"/>
      <c r="E280" s="4524"/>
      <c r="F280" s="4488"/>
      <c r="G280" s="3104"/>
      <c r="H280" s="3105"/>
      <c r="I280" s="3104"/>
      <c r="J280" s="3105"/>
      <c r="K280" s="4484"/>
      <c r="L280" s="4496"/>
      <c r="M280" s="4484"/>
      <c r="N280" s="4496"/>
      <c r="O280" s="4492"/>
      <c r="P280" s="3716"/>
      <c r="Q280" s="3616"/>
      <c r="R280" s="3616"/>
      <c r="S280" s="2726"/>
      <c r="T280" s="4499"/>
      <c r="U280" s="4502"/>
      <c r="V280" s="4502"/>
      <c r="W280" s="3089"/>
      <c r="X280" s="829">
        <v>33937548.719999999</v>
      </c>
      <c r="Y280" s="829">
        <v>33937548.719999999</v>
      </c>
      <c r="Z280" s="2176">
        <v>33937548.719999999</v>
      </c>
      <c r="AA280" s="2080" t="s">
        <v>3287</v>
      </c>
      <c r="AB280" s="2148">
        <v>191</v>
      </c>
      <c r="AC280" s="2174" t="s">
        <v>3288</v>
      </c>
      <c r="AD280" s="2580"/>
      <c r="AE280" s="2580"/>
      <c r="AF280" s="2580"/>
      <c r="AG280" s="2580"/>
      <c r="AH280" s="4484"/>
      <c r="AI280" s="2580"/>
      <c r="AJ280" s="2580"/>
      <c r="AK280" s="2580"/>
      <c r="AL280" s="2580"/>
      <c r="AM280" s="2580"/>
      <c r="AN280" s="2580"/>
      <c r="AO280" s="2580"/>
      <c r="AP280" s="2580"/>
      <c r="AQ280" s="2580"/>
      <c r="AR280" s="2580"/>
      <c r="AS280" s="2580"/>
      <c r="AT280" s="2580"/>
      <c r="AU280" s="2580"/>
      <c r="AV280" s="2580"/>
      <c r="AW280" s="2580"/>
      <c r="AX280" s="2580"/>
      <c r="AY280" s="2580"/>
      <c r="AZ280" s="2580"/>
      <c r="BA280" s="2580"/>
      <c r="BB280" s="2580"/>
      <c r="BC280" s="2580"/>
      <c r="BD280" s="2580"/>
      <c r="BE280" s="2580"/>
      <c r="BF280" s="2580"/>
      <c r="BG280" s="2580"/>
      <c r="BH280" s="2580"/>
      <c r="BI280" s="2580"/>
      <c r="BJ280" s="2502"/>
      <c r="BK280" s="4507"/>
      <c r="BL280" s="4507"/>
      <c r="BM280" s="4510"/>
      <c r="BN280" s="2502"/>
      <c r="BO280" s="2502"/>
      <c r="BP280" s="2502"/>
      <c r="BQ280" s="4504"/>
      <c r="BR280" s="4504"/>
      <c r="BS280" s="4504"/>
      <c r="BT280" s="4504"/>
      <c r="BU280" s="2502"/>
    </row>
    <row r="281" spans="1:73" s="1965" customFormat="1" ht="35.25" customHeight="1" x14ac:dyDescent="0.25">
      <c r="A281" s="2119"/>
      <c r="B281" s="1944"/>
      <c r="C281" s="1943"/>
      <c r="D281" s="1944"/>
      <c r="E281" s="4524"/>
      <c r="F281" s="4488"/>
      <c r="G281" s="3104"/>
      <c r="H281" s="3105"/>
      <c r="I281" s="3104"/>
      <c r="J281" s="3105"/>
      <c r="K281" s="4484"/>
      <c r="L281" s="4496"/>
      <c r="M281" s="4484"/>
      <c r="N281" s="4496"/>
      <c r="O281" s="4492"/>
      <c r="P281" s="3716"/>
      <c r="Q281" s="3616"/>
      <c r="R281" s="3616"/>
      <c r="S281" s="2726"/>
      <c r="T281" s="4499"/>
      <c r="U281" s="4502"/>
      <c r="V281" s="4502"/>
      <c r="W281" s="3089"/>
      <c r="X281" s="829">
        <v>3434211.2</v>
      </c>
      <c r="Y281" s="829">
        <v>3434211.2</v>
      </c>
      <c r="Z281" s="2176">
        <v>3434211.2</v>
      </c>
      <c r="AA281" s="2080" t="s">
        <v>3289</v>
      </c>
      <c r="AB281" s="2148">
        <v>97</v>
      </c>
      <c r="AC281" s="2174" t="s">
        <v>3290</v>
      </c>
      <c r="AD281" s="2580"/>
      <c r="AE281" s="2580"/>
      <c r="AF281" s="2580"/>
      <c r="AG281" s="2580"/>
      <c r="AH281" s="4484"/>
      <c r="AI281" s="2580"/>
      <c r="AJ281" s="2580"/>
      <c r="AK281" s="2580"/>
      <c r="AL281" s="2580"/>
      <c r="AM281" s="2580"/>
      <c r="AN281" s="2580"/>
      <c r="AO281" s="2580"/>
      <c r="AP281" s="2580"/>
      <c r="AQ281" s="2580"/>
      <c r="AR281" s="2580"/>
      <c r="AS281" s="2580"/>
      <c r="AT281" s="2580"/>
      <c r="AU281" s="2580"/>
      <c r="AV281" s="2580"/>
      <c r="AW281" s="2580"/>
      <c r="AX281" s="2580"/>
      <c r="AY281" s="2580"/>
      <c r="AZ281" s="2580"/>
      <c r="BA281" s="2580"/>
      <c r="BB281" s="2580"/>
      <c r="BC281" s="2580"/>
      <c r="BD281" s="2580"/>
      <c r="BE281" s="2580"/>
      <c r="BF281" s="2580"/>
      <c r="BG281" s="2580"/>
      <c r="BH281" s="2580"/>
      <c r="BI281" s="2580"/>
      <c r="BJ281" s="2502"/>
      <c r="BK281" s="4507"/>
      <c r="BL281" s="4507"/>
      <c r="BM281" s="4510"/>
      <c r="BN281" s="2502"/>
      <c r="BO281" s="2502"/>
      <c r="BP281" s="2502"/>
      <c r="BQ281" s="4504"/>
      <c r="BR281" s="4504"/>
      <c r="BS281" s="4504"/>
      <c r="BT281" s="4504"/>
      <c r="BU281" s="2502"/>
    </row>
    <row r="282" spans="1:73" s="1965" customFormat="1" ht="35.25" customHeight="1" x14ac:dyDescent="0.25">
      <c r="A282" s="2119"/>
      <c r="B282" s="1944"/>
      <c r="C282" s="1943"/>
      <c r="D282" s="1944"/>
      <c r="E282" s="4524"/>
      <c r="F282" s="4488"/>
      <c r="G282" s="3104"/>
      <c r="H282" s="3105"/>
      <c r="I282" s="3104"/>
      <c r="J282" s="3105"/>
      <c r="K282" s="4484"/>
      <c r="L282" s="4496"/>
      <c r="M282" s="4484"/>
      <c r="N282" s="4496"/>
      <c r="O282" s="4492"/>
      <c r="P282" s="3716"/>
      <c r="Q282" s="3616"/>
      <c r="R282" s="3616"/>
      <c r="S282" s="2726"/>
      <c r="T282" s="4499"/>
      <c r="U282" s="4502"/>
      <c r="V282" s="4502"/>
      <c r="W282" s="3089"/>
      <c r="X282" s="829">
        <v>3039348.21</v>
      </c>
      <c r="Y282" s="829">
        <v>0</v>
      </c>
      <c r="Z282" s="2176">
        <v>0</v>
      </c>
      <c r="AA282" s="2080" t="s">
        <v>3291</v>
      </c>
      <c r="AB282" s="2148">
        <v>192</v>
      </c>
      <c r="AC282" s="2174" t="s">
        <v>3292</v>
      </c>
      <c r="AD282" s="2580"/>
      <c r="AE282" s="2580"/>
      <c r="AF282" s="2580"/>
      <c r="AG282" s="2580"/>
      <c r="AH282" s="4484"/>
      <c r="AI282" s="2580"/>
      <c r="AJ282" s="2580"/>
      <c r="AK282" s="2580"/>
      <c r="AL282" s="2580"/>
      <c r="AM282" s="2580"/>
      <c r="AN282" s="2580"/>
      <c r="AO282" s="2580"/>
      <c r="AP282" s="2580"/>
      <c r="AQ282" s="2580"/>
      <c r="AR282" s="2580"/>
      <c r="AS282" s="2580"/>
      <c r="AT282" s="2580"/>
      <c r="AU282" s="2580"/>
      <c r="AV282" s="2580"/>
      <c r="AW282" s="2580"/>
      <c r="AX282" s="2580"/>
      <c r="AY282" s="2580"/>
      <c r="AZ282" s="2580"/>
      <c r="BA282" s="2580"/>
      <c r="BB282" s="2580"/>
      <c r="BC282" s="2580"/>
      <c r="BD282" s="2580"/>
      <c r="BE282" s="2580"/>
      <c r="BF282" s="2580"/>
      <c r="BG282" s="2580"/>
      <c r="BH282" s="2580"/>
      <c r="BI282" s="2580"/>
      <c r="BJ282" s="2502"/>
      <c r="BK282" s="4507"/>
      <c r="BL282" s="4507"/>
      <c r="BM282" s="4510"/>
      <c r="BN282" s="2502"/>
      <c r="BO282" s="2502"/>
      <c r="BP282" s="2502"/>
      <c r="BQ282" s="4504"/>
      <c r="BR282" s="4504"/>
      <c r="BS282" s="4504"/>
      <c r="BT282" s="4504"/>
      <c r="BU282" s="2502"/>
    </row>
    <row r="283" spans="1:73" s="1965" customFormat="1" ht="35.25" customHeight="1" x14ac:dyDescent="0.25">
      <c r="A283" s="2119"/>
      <c r="B283" s="1944"/>
      <c r="C283" s="1943"/>
      <c r="D283" s="1944"/>
      <c r="E283" s="4524"/>
      <c r="F283" s="4488"/>
      <c r="G283" s="3104"/>
      <c r="H283" s="3105"/>
      <c r="I283" s="3104"/>
      <c r="J283" s="3105"/>
      <c r="K283" s="4484"/>
      <c r="L283" s="4496"/>
      <c r="M283" s="4484"/>
      <c r="N283" s="4496"/>
      <c r="O283" s="4492"/>
      <c r="P283" s="3716"/>
      <c r="Q283" s="3616"/>
      <c r="R283" s="3616"/>
      <c r="S283" s="2726"/>
      <c r="T283" s="4499"/>
      <c r="U283" s="4502"/>
      <c r="V283" s="4502"/>
      <c r="W283" s="3089"/>
      <c r="X283" s="829">
        <v>1216600524.0999999</v>
      </c>
      <c r="Y283" s="829">
        <v>1216600524.0999999</v>
      </c>
      <c r="Z283" s="2176">
        <v>1216600524.0999999</v>
      </c>
      <c r="AA283" s="2080" t="s">
        <v>3293</v>
      </c>
      <c r="AB283" s="2148">
        <v>193</v>
      </c>
      <c r="AC283" s="2174" t="s">
        <v>3294</v>
      </c>
      <c r="AD283" s="2580"/>
      <c r="AE283" s="2580"/>
      <c r="AF283" s="2580"/>
      <c r="AG283" s="2580"/>
      <c r="AH283" s="4484"/>
      <c r="AI283" s="2580"/>
      <c r="AJ283" s="2580"/>
      <c r="AK283" s="2580"/>
      <c r="AL283" s="2580"/>
      <c r="AM283" s="2580"/>
      <c r="AN283" s="2580"/>
      <c r="AO283" s="2580"/>
      <c r="AP283" s="2580"/>
      <c r="AQ283" s="2580"/>
      <c r="AR283" s="2580"/>
      <c r="AS283" s="2580"/>
      <c r="AT283" s="2580"/>
      <c r="AU283" s="2580"/>
      <c r="AV283" s="2580"/>
      <c r="AW283" s="2580"/>
      <c r="AX283" s="2580"/>
      <c r="AY283" s="2580"/>
      <c r="AZ283" s="2580"/>
      <c r="BA283" s="2580"/>
      <c r="BB283" s="2580"/>
      <c r="BC283" s="2580"/>
      <c r="BD283" s="2580"/>
      <c r="BE283" s="2580"/>
      <c r="BF283" s="2580"/>
      <c r="BG283" s="2580"/>
      <c r="BH283" s="2580"/>
      <c r="BI283" s="2580"/>
      <c r="BJ283" s="2502"/>
      <c r="BK283" s="4507"/>
      <c r="BL283" s="4507"/>
      <c r="BM283" s="4510"/>
      <c r="BN283" s="2502"/>
      <c r="BO283" s="2502"/>
      <c r="BP283" s="2502"/>
      <c r="BQ283" s="4504"/>
      <c r="BR283" s="4504"/>
      <c r="BS283" s="4504"/>
      <c r="BT283" s="4504"/>
      <c r="BU283" s="2502"/>
    </row>
    <row r="284" spans="1:73" s="1965" customFormat="1" ht="35.25" customHeight="1" x14ac:dyDescent="0.25">
      <c r="A284" s="2119"/>
      <c r="B284" s="1944"/>
      <c r="C284" s="1943"/>
      <c r="D284" s="1944"/>
      <c r="E284" s="4524"/>
      <c r="F284" s="4488"/>
      <c r="G284" s="3104"/>
      <c r="H284" s="3105"/>
      <c r="I284" s="3104"/>
      <c r="J284" s="3105"/>
      <c r="K284" s="4484"/>
      <c r="L284" s="4496"/>
      <c r="M284" s="4484"/>
      <c r="N284" s="4496"/>
      <c r="O284" s="4492"/>
      <c r="P284" s="3716"/>
      <c r="Q284" s="3616"/>
      <c r="R284" s="3616"/>
      <c r="S284" s="2726"/>
      <c r="T284" s="4499"/>
      <c r="U284" s="4502"/>
      <c r="V284" s="4502"/>
      <c r="W284" s="3089"/>
      <c r="X284" s="829">
        <v>22221326.620000001</v>
      </c>
      <c r="Y284" s="829">
        <v>22221326.620000001</v>
      </c>
      <c r="Z284" s="2176">
        <v>22221326.620000001</v>
      </c>
      <c r="AA284" s="2080" t="s">
        <v>3295</v>
      </c>
      <c r="AB284" s="2148">
        <v>194</v>
      </c>
      <c r="AC284" s="2174" t="s">
        <v>3296</v>
      </c>
      <c r="AD284" s="2580"/>
      <c r="AE284" s="2580"/>
      <c r="AF284" s="2580"/>
      <c r="AG284" s="2580"/>
      <c r="AH284" s="4484"/>
      <c r="AI284" s="2580"/>
      <c r="AJ284" s="2580"/>
      <c r="AK284" s="2580"/>
      <c r="AL284" s="2580"/>
      <c r="AM284" s="2580"/>
      <c r="AN284" s="2580"/>
      <c r="AO284" s="2580"/>
      <c r="AP284" s="2580"/>
      <c r="AQ284" s="2580"/>
      <c r="AR284" s="2580"/>
      <c r="AS284" s="2580"/>
      <c r="AT284" s="2580"/>
      <c r="AU284" s="2580"/>
      <c r="AV284" s="2580"/>
      <c r="AW284" s="2580"/>
      <c r="AX284" s="2580"/>
      <c r="AY284" s="2580"/>
      <c r="AZ284" s="2580"/>
      <c r="BA284" s="2580"/>
      <c r="BB284" s="2580"/>
      <c r="BC284" s="2580"/>
      <c r="BD284" s="2580"/>
      <c r="BE284" s="2580"/>
      <c r="BF284" s="2580"/>
      <c r="BG284" s="2580"/>
      <c r="BH284" s="2580"/>
      <c r="BI284" s="2580"/>
      <c r="BJ284" s="2502"/>
      <c r="BK284" s="4507"/>
      <c r="BL284" s="4507"/>
      <c r="BM284" s="4510"/>
      <c r="BN284" s="2502"/>
      <c r="BO284" s="2502"/>
      <c r="BP284" s="2502"/>
      <c r="BQ284" s="4504"/>
      <c r="BR284" s="4504"/>
      <c r="BS284" s="4504"/>
      <c r="BT284" s="4504"/>
      <c r="BU284" s="2502"/>
    </row>
    <row r="285" spans="1:73" s="1965" customFormat="1" ht="35.25" customHeight="1" x14ac:dyDescent="0.25">
      <c r="A285" s="2119"/>
      <c r="B285" s="1944"/>
      <c r="C285" s="1943"/>
      <c r="D285" s="1944"/>
      <c r="E285" s="4524"/>
      <c r="F285" s="4488"/>
      <c r="G285" s="3104"/>
      <c r="H285" s="3105"/>
      <c r="I285" s="3104"/>
      <c r="J285" s="3105"/>
      <c r="K285" s="4484"/>
      <c r="L285" s="4496"/>
      <c r="M285" s="4484"/>
      <c r="N285" s="4496"/>
      <c r="O285" s="4492"/>
      <c r="P285" s="3716"/>
      <c r="Q285" s="3616"/>
      <c r="R285" s="3616"/>
      <c r="S285" s="2726"/>
      <c r="T285" s="4499"/>
      <c r="U285" s="4502"/>
      <c r="V285" s="4502"/>
      <c r="W285" s="3089"/>
      <c r="X285" s="829">
        <v>712647104.86000001</v>
      </c>
      <c r="Y285" s="829">
        <v>712647104.86000001</v>
      </c>
      <c r="Z285" s="2176">
        <v>712647104.86000001</v>
      </c>
      <c r="AA285" s="2080" t="s">
        <v>3297</v>
      </c>
      <c r="AB285" s="2148">
        <v>96</v>
      </c>
      <c r="AC285" s="2174" t="s">
        <v>3298</v>
      </c>
      <c r="AD285" s="2580"/>
      <c r="AE285" s="2580"/>
      <c r="AF285" s="2580"/>
      <c r="AG285" s="2580"/>
      <c r="AH285" s="4484"/>
      <c r="AI285" s="2580"/>
      <c r="AJ285" s="2580"/>
      <c r="AK285" s="2580"/>
      <c r="AL285" s="2580"/>
      <c r="AM285" s="2580"/>
      <c r="AN285" s="2580"/>
      <c r="AO285" s="2580"/>
      <c r="AP285" s="2580"/>
      <c r="AQ285" s="2580"/>
      <c r="AR285" s="2580"/>
      <c r="AS285" s="2580"/>
      <c r="AT285" s="2580"/>
      <c r="AU285" s="2580"/>
      <c r="AV285" s="2580"/>
      <c r="AW285" s="2580"/>
      <c r="AX285" s="2580"/>
      <c r="AY285" s="2580"/>
      <c r="AZ285" s="2580"/>
      <c r="BA285" s="2580"/>
      <c r="BB285" s="2580"/>
      <c r="BC285" s="2580"/>
      <c r="BD285" s="2580"/>
      <c r="BE285" s="2580"/>
      <c r="BF285" s="2580"/>
      <c r="BG285" s="2580"/>
      <c r="BH285" s="2580"/>
      <c r="BI285" s="2580"/>
      <c r="BJ285" s="2502"/>
      <c r="BK285" s="4507"/>
      <c r="BL285" s="4507"/>
      <c r="BM285" s="4510"/>
      <c r="BN285" s="2502"/>
      <c r="BO285" s="2502"/>
      <c r="BP285" s="2502"/>
      <c r="BQ285" s="4504"/>
      <c r="BR285" s="4504"/>
      <c r="BS285" s="4504"/>
      <c r="BT285" s="4504"/>
      <c r="BU285" s="2502"/>
    </row>
    <row r="286" spans="1:73" s="1965" customFormat="1" ht="35.25" customHeight="1" x14ac:dyDescent="0.25">
      <c r="A286" s="2119"/>
      <c r="B286" s="1944"/>
      <c r="C286" s="1943"/>
      <c r="D286" s="1944"/>
      <c r="E286" s="4524"/>
      <c r="F286" s="4488"/>
      <c r="G286" s="3104"/>
      <c r="H286" s="3105"/>
      <c r="I286" s="3104"/>
      <c r="J286" s="3105"/>
      <c r="K286" s="4484"/>
      <c r="L286" s="4496"/>
      <c r="M286" s="4484"/>
      <c r="N286" s="4496"/>
      <c r="O286" s="4492"/>
      <c r="P286" s="3716"/>
      <c r="Q286" s="3616"/>
      <c r="R286" s="3616"/>
      <c r="S286" s="2726"/>
      <c r="T286" s="4499"/>
      <c r="U286" s="4502"/>
      <c r="V286" s="4502"/>
      <c r="W286" s="3089"/>
      <c r="X286" s="829">
        <v>2028035496</v>
      </c>
      <c r="Y286" s="829">
        <v>2028035496</v>
      </c>
      <c r="Z286" s="829">
        <v>2028035496</v>
      </c>
      <c r="AA286" s="2080" t="s">
        <v>3299</v>
      </c>
      <c r="AB286" s="2148">
        <v>96</v>
      </c>
      <c r="AC286" s="2174" t="s">
        <v>3298</v>
      </c>
      <c r="AD286" s="2580"/>
      <c r="AE286" s="2580"/>
      <c r="AF286" s="2580"/>
      <c r="AG286" s="2580"/>
      <c r="AH286" s="4484"/>
      <c r="AI286" s="2580"/>
      <c r="AJ286" s="2580"/>
      <c r="AK286" s="2580"/>
      <c r="AL286" s="2580"/>
      <c r="AM286" s="2580"/>
      <c r="AN286" s="2580"/>
      <c r="AO286" s="2580"/>
      <c r="AP286" s="2580"/>
      <c r="AQ286" s="2580"/>
      <c r="AR286" s="2580"/>
      <c r="AS286" s="2580"/>
      <c r="AT286" s="2580"/>
      <c r="AU286" s="2580"/>
      <c r="AV286" s="2580"/>
      <c r="AW286" s="2580"/>
      <c r="AX286" s="2580"/>
      <c r="AY286" s="2580"/>
      <c r="AZ286" s="2580"/>
      <c r="BA286" s="2580"/>
      <c r="BB286" s="2580"/>
      <c r="BC286" s="2580"/>
      <c r="BD286" s="2580"/>
      <c r="BE286" s="2580"/>
      <c r="BF286" s="2580"/>
      <c r="BG286" s="2580"/>
      <c r="BH286" s="2580"/>
      <c r="BI286" s="2580"/>
      <c r="BJ286" s="2502"/>
      <c r="BK286" s="4507"/>
      <c r="BL286" s="4507"/>
      <c r="BM286" s="4510"/>
      <c r="BN286" s="2502"/>
      <c r="BO286" s="2502"/>
      <c r="BP286" s="2502"/>
      <c r="BQ286" s="4504"/>
      <c r="BR286" s="4504"/>
      <c r="BS286" s="4504"/>
      <c r="BT286" s="4504"/>
      <c r="BU286" s="2502"/>
    </row>
    <row r="287" spans="1:73" s="1965" customFormat="1" ht="35.25" customHeight="1" x14ac:dyDescent="0.25">
      <c r="A287" s="2119"/>
      <c r="B287" s="1944"/>
      <c r="C287" s="1943"/>
      <c r="D287" s="1944"/>
      <c r="E287" s="4524"/>
      <c r="F287" s="4488"/>
      <c r="G287" s="3104"/>
      <c r="H287" s="3105"/>
      <c r="I287" s="3104"/>
      <c r="J287" s="3105"/>
      <c r="K287" s="4484"/>
      <c r="L287" s="4496"/>
      <c r="M287" s="4484"/>
      <c r="N287" s="4496"/>
      <c r="O287" s="4492"/>
      <c r="P287" s="3716"/>
      <c r="Q287" s="3616"/>
      <c r="R287" s="3616"/>
      <c r="S287" s="2726"/>
      <c r="T287" s="4499"/>
      <c r="U287" s="4502"/>
      <c r="V287" s="4502"/>
      <c r="W287" s="3089"/>
      <c r="X287" s="829">
        <v>0</v>
      </c>
      <c r="Y287" s="829">
        <v>0</v>
      </c>
      <c r="Z287" s="829">
        <v>0</v>
      </c>
      <c r="AA287" s="2080" t="s">
        <v>3300</v>
      </c>
      <c r="AB287" s="2148"/>
      <c r="AC287" s="2174"/>
      <c r="AD287" s="2580"/>
      <c r="AE287" s="2580"/>
      <c r="AF287" s="2580"/>
      <c r="AG287" s="2580"/>
      <c r="AH287" s="4484"/>
      <c r="AI287" s="2580"/>
      <c r="AJ287" s="2580"/>
      <c r="AK287" s="2580"/>
      <c r="AL287" s="2580"/>
      <c r="AM287" s="2580"/>
      <c r="AN287" s="2580"/>
      <c r="AO287" s="2580"/>
      <c r="AP287" s="2580"/>
      <c r="AQ287" s="2580"/>
      <c r="AR287" s="2580"/>
      <c r="AS287" s="2580"/>
      <c r="AT287" s="2580"/>
      <c r="AU287" s="2580"/>
      <c r="AV287" s="2580"/>
      <c r="AW287" s="2580"/>
      <c r="AX287" s="2580"/>
      <c r="AY287" s="2580"/>
      <c r="AZ287" s="2580"/>
      <c r="BA287" s="2580"/>
      <c r="BB287" s="2580"/>
      <c r="BC287" s="2580"/>
      <c r="BD287" s="2580"/>
      <c r="BE287" s="2580"/>
      <c r="BF287" s="2580"/>
      <c r="BG287" s="2580"/>
      <c r="BH287" s="2580"/>
      <c r="BI287" s="2580"/>
      <c r="BJ287" s="2502"/>
      <c r="BK287" s="4507"/>
      <c r="BL287" s="4507"/>
      <c r="BM287" s="4510"/>
      <c r="BN287" s="2502"/>
      <c r="BO287" s="2502"/>
      <c r="BP287" s="2502"/>
      <c r="BQ287" s="4504"/>
      <c r="BR287" s="4504"/>
      <c r="BS287" s="4504"/>
      <c r="BT287" s="4504"/>
      <c r="BU287" s="2502"/>
    </row>
    <row r="288" spans="1:73" s="1965" customFormat="1" ht="35.25" customHeight="1" x14ac:dyDescent="0.25">
      <c r="A288" s="2119"/>
      <c r="B288" s="1944"/>
      <c r="C288" s="1943"/>
      <c r="D288" s="1944"/>
      <c r="E288" s="4524"/>
      <c r="F288" s="4488"/>
      <c r="G288" s="3104"/>
      <c r="H288" s="3105"/>
      <c r="I288" s="3104"/>
      <c r="J288" s="3105"/>
      <c r="K288" s="4484"/>
      <c r="L288" s="4496"/>
      <c r="M288" s="4484"/>
      <c r="N288" s="4496"/>
      <c r="O288" s="4492"/>
      <c r="P288" s="3716"/>
      <c r="Q288" s="3616"/>
      <c r="R288" s="3616"/>
      <c r="S288" s="2726"/>
      <c r="T288" s="4499"/>
      <c r="U288" s="4502"/>
      <c r="V288" s="4502"/>
      <c r="W288" s="3089"/>
      <c r="X288" s="829">
        <v>4000000000</v>
      </c>
      <c r="Y288" s="829">
        <v>4000000000</v>
      </c>
      <c r="Z288" s="829">
        <v>4000000000</v>
      </c>
      <c r="AA288" s="2080" t="s">
        <v>3301</v>
      </c>
      <c r="AB288" s="2148">
        <v>88</v>
      </c>
      <c r="AC288" s="2174" t="s">
        <v>3302</v>
      </c>
      <c r="AD288" s="2580"/>
      <c r="AE288" s="2580"/>
      <c r="AF288" s="2580"/>
      <c r="AG288" s="2580"/>
      <c r="AH288" s="4484"/>
      <c r="AI288" s="2580"/>
      <c r="AJ288" s="2580"/>
      <c r="AK288" s="2580"/>
      <c r="AL288" s="2580"/>
      <c r="AM288" s="2580"/>
      <c r="AN288" s="2580"/>
      <c r="AO288" s="2580"/>
      <c r="AP288" s="2580"/>
      <c r="AQ288" s="2580"/>
      <c r="AR288" s="2580"/>
      <c r="AS288" s="2580"/>
      <c r="AT288" s="2580"/>
      <c r="AU288" s="2580"/>
      <c r="AV288" s="2580"/>
      <c r="AW288" s="2580"/>
      <c r="AX288" s="2580"/>
      <c r="AY288" s="2580"/>
      <c r="AZ288" s="2580"/>
      <c r="BA288" s="2580"/>
      <c r="BB288" s="2580"/>
      <c r="BC288" s="2580"/>
      <c r="BD288" s="2580"/>
      <c r="BE288" s="2580"/>
      <c r="BF288" s="2580"/>
      <c r="BG288" s="2580"/>
      <c r="BH288" s="2580"/>
      <c r="BI288" s="2580"/>
      <c r="BJ288" s="2502"/>
      <c r="BK288" s="4507"/>
      <c r="BL288" s="4507"/>
      <c r="BM288" s="4510"/>
      <c r="BN288" s="2502"/>
      <c r="BO288" s="2502"/>
      <c r="BP288" s="2502"/>
      <c r="BQ288" s="4504"/>
      <c r="BR288" s="4504"/>
      <c r="BS288" s="4504"/>
      <c r="BT288" s="4504"/>
      <c r="BU288" s="2502"/>
    </row>
    <row r="289" spans="1:73" s="1965" customFormat="1" ht="35.25" customHeight="1" x14ac:dyDescent="0.25">
      <c r="A289" s="2119"/>
      <c r="B289" s="1944"/>
      <c r="C289" s="1943"/>
      <c r="D289" s="1944"/>
      <c r="E289" s="4524"/>
      <c r="F289" s="4488"/>
      <c r="G289" s="3104"/>
      <c r="H289" s="3105"/>
      <c r="I289" s="3104"/>
      <c r="J289" s="3105"/>
      <c r="K289" s="4484"/>
      <c r="L289" s="4496"/>
      <c r="M289" s="4484"/>
      <c r="N289" s="4496"/>
      <c r="O289" s="4492"/>
      <c r="P289" s="3716"/>
      <c r="Q289" s="3616"/>
      <c r="R289" s="3616"/>
      <c r="S289" s="2726"/>
      <c r="T289" s="4499"/>
      <c r="U289" s="4502"/>
      <c r="V289" s="4502"/>
      <c r="W289" s="3089"/>
      <c r="X289" s="829">
        <v>400000000</v>
      </c>
      <c r="Y289" s="829">
        <v>400000000</v>
      </c>
      <c r="Z289" s="829">
        <v>400000000</v>
      </c>
      <c r="AA289" s="2080" t="s">
        <v>3303</v>
      </c>
      <c r="AB289" s="2148">
        <v>35</v>
      </c>
      <c r="AC289" s="2174" t="s">
        <v>3304</v>
      </c>
      <c r="AD289" s="2580"/>
      <c r="AE289" s="2580"/>
      <c r="AF289" s="2580"/>
      <c r="AG289" s="2580"/>
      <c r="AH289" s="4484"/>
      <c r="AI289" s="2580"/>
      <c r="AJ289" s="2580"/>
      <c r="AK289" s="2580"/>
      <c r="AL289" s="2580"/>
      <c r="AM289" s="2580"/>
      <c r="AN289" s="2580"/>
      <c r="AO289" s="2580"/>
      <c r="AP289" s="2580"/>
      <c r="AQ289" s="2580"/>
      <c r="AR289" s="2580"/>
      <c r="AS289" s="2580"/>
      <c r="AT289" s="2580"/>
      <c r="AU289" s="2580"/>
      <c r="AV289" s="2580"/>
      <c r="AW289" s="2580"/>
      <c r="AX289" s="2580"/>
      <c r="AY289" s="2580"/>
      <c r="AZ289" s="2580"/>
      <c r="BA289" s="2580"/>
      <c r="BB289" s="2580"/>
      <c r="BC289" s="2580"/>
      <c r="BD289" s="2580"/>
      <c r="BE289" s="2580"/>
      <c r="BF289" s="2580"/>
      <c r="BG289" s="2580"/>
      <c r="BH289" s="2580"/>
      <c r="BI289" s="2580"/>
      <c r="BJ289" s="2502"/>
      <c r="BK289" s="4507"/>
      <c r="BL289" s="4507"/>
      <c r="BM289" s="4510"/>
      <c r="BN289" s="2502"/>
      <c r="BO289" s="2502"/>
      <c r="BP289" s="2502"/>
      <c r="BQ289" s="4504"/>
      <c r="BR289" s="4504"/>
      <c r="BS289" s="4504"/>
      <c r="BT289" s="4504"/>
      <c r="BU289" s="2502"/>
    </row>
    <row r="290" spans="1:73" s="1965" customFormat="1" ht="35.25" customHeight="1" x14ac:dyDescent="0.25">
      <c r="A290" s="2119"/>
      <c r="B290" s="1944"/>
      <c r="C290" s="1943"/>
      <c r="D290" s="1944"/>
      <c r="E290" s="4524"/>
      <c r="F290" s="4488"/>
      <c r="G290" s="3104"/>
      <c r="H290" s="3105"/>
      <c r="I290" s="3104"/>
      <c r="J290" s="3105"/>
      <c r="K290" s="4484"/>
      <c r="L290" s="4496"/>
      <c r="M290" s="4484"/>
      <c r="N290" s="4496"/>
      <c r="O290" s="4492"/>
      <c r="P290" s="3716"/>
      <c r="Q290" s="3616"/>
      <c r="R290" s="3616"/>
      <c r="S290" s="2726"/>
      <c r="T290" s="4499"/>
      <c r="U290" s="4502"/>
      <c r="V290" s="4502"/>
      <c r="W290" s="3089"/>
      <c r="X290" s="829">
        <v>8702487605</v>
      </c>
      <c r="Y290" s="829">
        <v>8702487605</v>
      </c>
      <c r="Z290" s="829">
        <v>8702487605</v>
      </c>
      <c r="AA290" s="2080" t="s">
        <v>3305</v>
      </c>
      <c r="AB290" s="2148">
        <v>174</v>
      </c>
      <c r="AC290" s="2174" t="s">
        <v>3306</v>
      </c>
      <c r="AD290" s="2580"/>
      <c r="AE290" s="2580"/>
      <c r="AF290" s="2580"/>
      <c r="AG290" s="2580"/>
      <c r="AH290" s="4484"/>
      <c r="AI290" s="2580"/>
      <c r="AJ290" s="2580"/>
      <c r="AK290" s="2580"/>
      <c r="AL290" s="2580"/>
      <c r="AM290" s="2580"/>
      <c r="AN290" s="2580"/>
      <c r="AO290" s="2580"/>
      <c r="AP290" s="2580"/>
      <c r="AQ290" s="2580"/>
      <c r="AR290" s="2580"/>
      <c r="AS290" s="2580"/>
      <c r="AT290" s="2580"/>
      <c r="AU290" s="2580"/>
      <c r="AV290" s="2580"/>
      <c r="AW290" s="2580"/>
      <c r="AX290" s="2580"/>
      <c r="AY290" s="2580"/>
      <c r="AZ290" s="2580"/>
      <c r="BA290" s="2580"/>
      <c r="BB290" s="2580"/>
      <c r="BC290" s="2580"/>
      <c r="BD290" s="2580"/>
      <c r="BE290" s="2580"/>
      <c r="BF290" s="2580"/>
      <c r="BG290" s="2580"/>
      <c r="BH290" s="2580"/>
      <c r="BI290" s="2580"/>
      <c r="BJ290" s="2502"/>
      <c r="BK290" s="4507"/>
      <c r="BL290" s="4507"/>
      <c r="BM290" s="4510"/>
      <c r="BN290" s="2502"/>
      <c r="BO290" s="2502"/>
      <c r="BP290" s="2502"/>
      <c r="BQ290" s="4504"/>
      <c r="BR290" s="4504"/>
      <c r="BS290" s="4504"/>
      <c r="BT290" s="4504"/>
      <c r="BU290" s="2502"/>
    </row>
    <row r="291" spans="1:73" s="1965" customFormat="1" ht="35.25" customHeight="1" x14ac:dyDescent="0.25">
      <c r="A291" s="2119"/>
      <c r="B291" s="1944"/>
      <c r="C291" s="1943"/>
      <c r="D291" s="1944"/>
      <c r="E291" s="4524"/>
      <c r="F291" s="4488"/>
      <c r="G291" s="3104"/>
      <c r="H291" s="3105"/>
      <c r="I291" s="3104"/>
      <c r="J291" s="3105"/>
      <c r="K291" s="4494"/>
      <c r="L291" s="4497"/>
      <c r="M291" s="4494"/>
      <c r="N291" s="4497"/>
      <c r="O291" s="4493"/>
      <c r="P291" s="3717"/>
      <c r="Q291" s="4498"/>
      <c r="R291" s="4498"/>
      <c r="S291" s="2727"/>
      <c r="T291" s="4500"/>
      <c r="U291" s="4503"/>
      <c r="V291" s="4503"/>
      <c r="W291" s="3089"/>
      <c r="X291" s="829">
        <v>720000000</v>
      </c>
      <c r="Y291" s="829">
        <v>720000000</v>
      </c>
      <c r="Z291" s="829">
        <v>720000000</v>
      </c>
      <c r="AA291" s="2080" t="s">
        <v>3307</v>
      </c>
      <c r="AB291" s="2148">
        <v>88</v>
      </c>
      <c r="AC291" s="2174" t="s">
        <v>1</v>
      </c>
      <c r="AD291" s="2581"/>
      <c r="AE291" s="2581"/>
      <c r="AF291" s="2581"/>
      <c r="AG291" s="2581"/>
      <c r="AH291" s="4494"/>
      <c r="AI291" s="2581"/>
      <c r="AJ291" s="2581"/>
      <c r="AK291" s="2581"/>
      <c r="AL291" s="2581"/>
      <c r="AM291" s="2581"/>
      <c r="AN291" s="2581"/>
      <c r="AO291" s="2581"/>
      <c r="AP291" s="2581"/>
      <c r="AQ291" s="2581"/>
      <c r="AR291" s="2581"/>
      <c r="AS291" s="2581"/>
      <c r="AT291" s="2581"/>
      <c r="AU291" s="2581"/>
      <c r="AV291" s="2581"/>
      <c r="AW291" s="2581"/>
      <c r="AX291" s="2581"/>
      <c r="AY291" s="2581"/>
      <c r="AZ291" s="2581"/>
      <c r="BA291" s="2581"/>
      <c r="BB291" s="2581"/>
      <c r="BC291" s="2581"/>
      <c r="BD291" s="2581"/>
      <c r="BE291" s="2581"/>
      <c r="BF291" s="2581"/>
      <c r="BG291" s="2581"/>
      <c r="BH291" s="2581"/>
      <c r="BI291" s="2581"/>
      <c r="BJ291" s="2770"/>
      <c r="BK291" s="4508"/>
      <c r="BL291" s="4508"/>
      <c r="BM291" s="4511"/>
      <c r="BN291" s="2770"/>
      <c r="BO291" s="2770"/>
      <c r="BP291" s="2770"/>
      <c r="BQ291" s="4505"/>
      <c r="BR291" s="4505"/>
      <c r="BS291" s="4505"/>
      <c r="BT291" s="4505"/>
      <c r="BU291" s="2770"/>
    </row>
    <row r="292" spans="1:73" s="1965" customFormat="1" ht="43.5" customHeight="1" x14ac:dyDescent="0.25">
      <c r="A292" s="2119"/>
      <c r="B292" s="1944"/>
      <c r="C292" s="1943"/>
      <c r="D292" s="1944"/>
      <c r="E292" s="4524"/>
      <c r="F292" s="4488"/>
      <c r="G292" s="3104">
        <v>1906029</v>
      </c>
      <c r="H292" s="3105" t="s">
        <v>3308</v>
      </c>
      <c r="I292" s="3104">
        <v>1906029</v>
      </c>
      <c r="J292" s="3105" t="s">
        <v>3308</v>
      </c>
      <c r="K292" s="4487">
        <v>190602900</v>
      </c>
      <c r="L292" s="3105" t="s">
        <v>3309</v>
      </c>
      <c r="M292" s="4487">
        <v>190602900</v>
      </c>
      <c r="N292" s="3105" t="s">
        <v>3309</v>
      </c>
      <c r="O292" s="4488">
        <v>40</v>
      </c>
      <c r="P292" s="4489">
        <v>35</v>
      </c>
      <c r="Q292" s="3615" t="s">
        <v>3310</v>
      </c>
      <c r="R292" s="3089" t="s">
        <v>3311</v>
      </c>
      <c r="S292" s="2790">
        <f>SUM(X292:X300)/T292</f>
        <v>0.97003387534417307</v>
      </c>
      <c r="T292" s="4485">
        <f>SUM(X292:X305)</f>
        <v>2669681212.3299999</v>
      </c>
      <c r="U292" s="3089" t="s">
        <v>3312</v>
      </c>
      <c r="V292" s="2938" t="s">
        <v>3313</v>
      </c>
      <c r="W292" s="1940" t="s">
        <v>3314</v>
      </c>
      <c r="X292" s="829">
        <v>25390000</v>
      </c>
      <c r="Y292" s="2101">
        <v>25390000</v>
      </c>
      <c r="Z292" s="2101">
        <v>25390000</v>
      </c>
      <c r="AA292" s="2080" t="s">
        <v>3315</v>
      </c>
      <c r="AB292" s="2154">
        <v>20</v>
      </c>
      <c r="AC292" s="2174" t="s">
        <v>1</v>
      </c>
      <c r="AD292" s="2579">
        <v>292684</v>
      </c>
      <c r="AE292" s="2579"/>
      <c r="AF292" s="2579">
        <v>282326</v>
      </c>
      <c r="AG292" s="2579"/>
      <c r="AH292" s="4483">
        <v>135912</v>
      </c>
      <c r="AI292" s="2579"/>
      <c r="AJ292" s="2579">
        <v>45122</v>
      </c>
      <c r="AK292" s="2579"/>
      <c r="AL292" s="2579">
        <v>365607</v>
      </c>
      <c r="AM292" s="2579"/>
      <c r="AN292" s="2579">
        <v>86875</v>
      </c>
      <c r="AO292" s="2579"/>
      <c r="AP292" s="2579">
        <v>2145</v>
      </c>
      <c r="AQ292" s="2579"/>
      <c r="AR292" s="2579">
        <v>12718</v>
      </c>
      <c r="AS292" s="2579"/>
      <c r="AT292" s="2579">
        <v>26</v>
      </c>
      <c r="AU292" s="2579"/>
      <c r="AV292" s="2579">
        <v>37</v>
      </c>
      <c r="AW292" s="2579"/>
      <c r="AX292" s="2579">
        <v>0</v>
      </c>
      <c r="AY292" s="2579"/>
      <c r="AZ292" s="2579">
        <v>0</v>
      </c>
      <c r="BA292" s="2579"/>
      <c r="BB292" s="2579">
        <v>53164</v>
      </c>
      <c r="BC292" s="2579"/>
      <c r="BD292" s="2579">
        <v>16982</v>
      </c>
      <c r="BE292" s="2579"/>
      <c r="BF292" s="2579">
        <v>60013</v>
      </c>
      <c r="BG292" s="2579"/>
      <c r="BH292" s="2579">
        <v>575010</v>
      </c>
      <c r="BI292" s="2579"/>
      <c r="BJ292" s="2745">
        <v>7</v>
      </c>
      <c r="BK292" s="4482">
        <f>SUM(Y292:Y305)</f>
        <v>1983619144.21</v>
      </c>
      <c r="BL292" s="4482">
        <f>SUM(Z292:Z305)</f>
        <v>1983619144.21</v>
      </c>
      <c r="BM292" s="2745">
        <f>BL292/BK292</f>
        <v>1</v>
      </c>
      <c r="BN292" s="2745">
        <v>20</v>
      </c>
      <c r="BO292" s="2745" t="s">
        <v>3316</v>
      </c>
      <c r="BP292" s="2745" t="s">
        <v>2871</v>
      </c>
      <c r="BQ292" s="4481">
        <v>44197</v>
      </c>
      <c r="BR292" s="4481">
        <v>44200</v>
      </c>
      <c r="BS292" s="4481">
        <v>44561</v>
      </c>
      <c r="BT292" s="4481">
        <v>44561</v>
      </c>
      <c r="BU292" s="2745" t="s">
        <v>2744</v>
      </c>
    </row>
    <row r="293" spans="1:73" s="1965" customFormat="1" ht="43.5" customHeight="1" x14ac:dyDescent="0.25">
      <c r="A293" s="2119"/>
      <c r="B293" s="1944"/>
      <c r="C293" s="1943"/>
      <c r="D293" s="1944"/>
      <c r="E293" s="4524"/>
      <c r="F293" s="4488"/>
      <c r="G293" s="3104"/>
      <c r="H293" s="3105"/>
      <c r="I293" s="3104"/>
      <c r="J293" s="3105"/>
      <c r="K293" s="4487"/>
      <c r="L293" s="3105"/>
      <c r="M293" s="4487"/>
      <c r="N293" s="3105"/>
      <c r="O293" s="4488"/>
      <c r="P293" s="4489"/>
      <c r="Q293" s="3616"/>
      <c r="R293" s="3089"/>
      <c r="S293" s="2791"/>
      <c r="T293" s="4485"/>
      <c r="U293" s="3089"/>
      <c r="V293" s="3100"/>
      <c r="W293" s="1940" t="s">
        <v>3317</v>
      </c>
      <c r="X293" s="829">
        <v>20000000</v>
      </c>
      <c r="Y293" s="2101">
        <v>20000000</v>
      </c>
      <c r="Z293" s="2101">
        <v>20000000</v>
      </c>
      <c r="AA293" s="2080" t="s">
        <v>3315</v>
      </c>
      <c r="AB293" s="2154">
        <v>20</v>
      </c>
      <c r="AC293" s="2174" t="s">
        <v>1</v>
      </c>
      <c r="AD293" s="2580"/>
      <c r="AE293" s="2580"/>
      <c r="AF293" s="2580"/>
      <c r="AG293" s="2580"/>
      <c r="AH293" s="4484"/>
      <c r="AI293" s="2580"/>
      <c r="AJ293" s="2580"/>
      <c r="AK293" s="2580"/>
      <c r="AL293" s="2580"/>
      <c r="AM293" s="2580"/>
      <c r="AN293" s="2580"/>
      <c r="AO293" s="2580"/>
      <c r="AP293" s="2580"/>
      <c r="AQ293" s="2580"/>
      <c r="AR293" s="2580"/>
      <c r="AS293" s="2580"/>
      <c r="AT293" s="2580"/>
      <c r="AU293" s="2580"/>
      <c r="AV293" s="2580"/>
      <c r="AW293" s="2580"/>
      <c r="AX293" s="2580"/>
      <c r="AY293" s="2580"/>
      <c r="AZ293" s="2580"/>
      <c r="BA293" s="2580"/>
      <c r="BB293" s="2580"/>
      <c r="BC293" s="2580"/>
      <c r="BD293" s="2580"/>
      <c r="BE293" s="2580"/>
      <c r="BF293" s="2580"/>
      <c r="BG293" s="2580"/>
      <c r="BH293" s="2580"/>
      <c r="BI293" s="2580"/>
      <c r="BJ293" s="2502"/>
      <c r="BK293" s="2502"/>
      <c r="BL293" s="2502"/>
      <c r="BM293" s="2502"/>
      <c r="BN293" s="2502"/>
      <c r="BO293" s="2502"/>
      <c r="BP293" s="2502"/>
      <c r="BQ293" s="2502"/>
      <c r="BR293" s="2502"/>
      <c r="BS293" s="2502"/>
      <c r="BT293" s="2502"/>
      <c r="BU293" s="2502"/>
    </row>
    <row r="294" spans="1:73" s="1965" customFormat="1" ht="43.5" customHeight="1" x14ac:dyDescent="0.25">
      <c r="A294" s="2119"/>
      <c r="B294" s="1944"/>
      <c r="C294" s="1943"/>
      <c r="D294" s="1944"/>
      <c r="E294" s="4524"/>
      <c r="F294" s="4488"/>
      <c r="G294" s="3104"/>
      <c r="H294" s="3105"/>
      <c r="I294" s="3104"/>
      <c r="J294" s="3105"/>
      <c r="K294" s="4487"/>
      <c r="L294" s="3105"/>
      <c r="M294" s="4487"/>
      <c r="N294" s="3105"/>
      <c r="O294" s="4488"/>
      <c r="P294" s="4489"/>
      <c r="Q294" s="3616"/>
      <c r="R294" s="3089"/>
      <c r="S294" s="2791"/>
      <c r="T294" s="4485"/>
      <c r="U294" s="3089"/>
      <c r="V294" s="3100"/>
      <c r="W294" s="1940" t="s">
        <v>3318</v>
      </c>
      <c r="X294" s="829">
        <v>20000000</v>
      </c>
      <c r="Y294" s="2101">
        <v>18362500</v>
      </c>
      <c r="Z294" s="2101">
        <v>18362500</v>
      </c>
      <c r="AA294" s="2080" t="s">
        <v>3315</v>
      </c>
      <c r="AB294" s="2154">
        <v>20</v>
      </c>
      <c r="AC294" s="2174" t="s">
        <v>1</v>
      </c>
      <c r="AD294" s="2580"/>
      <c r="AE294" s="2580"/>
      <c r="AF294" s="2580"/>
      <c r="AG294" s="2580"/>
      <c r="AH294" s="4484"/>
      <c r="AI294" s="2580"/>
      <c r="AJ294" s="2580"/>
      <c r="AK294" s="2580"/>
      <c r="AL294" s="2580"/>
      <c r="AM294" s="2580"/>
      <c r="AN294" s="2580"/>
      <c r="AO294" s="2580"/>
      <c r="AP294" s="2580"/>
      <c r="AQ294" s="2580"/>
      <c r="AR294" s="2580"/>
      <c r="AS294" s="2580"/>
      <c r="AT294" s="2580"/>
      <c r="AU294" s="2580"/>
      <c r="AV294" s="2580"/>
      <c r="AW294" s="2580"/>
      <c r="AX294" s="2580"/>
      <c r="AY294" s="2580"/>
      <c r="AZ294" s="2580"/>
      <c r="BA294" s="2580"/>
      <c r="BB294" s="2580"/>
      <c r="BC294" s="2580"/>
      <c r="BD294" s="2580"/>
      <c r="BE294" s="2580"/>
      <c r="BF294" s="2580"/>
      <c r="BG294" s="2580"/>
      <c r="BH294" s="2580"/>
      <c r="BI294" s="2580"/>
      <c r="BJ294" s="2502"/>
      <c r="BK294" s="2502"/>
      <c r="BL294" s="2502"/>
      <c r="BM294" s="2502"/>
      <c r="BN294" s="2502"/>
      <c r="BO294" s="2502"/>
      <c r="BP294" s="2502"/>
      <c r="BQ294" s="2502"/>
      <c r="BR294" s="2502"/>
      <c r="BS294" s="2502"/>
      <c r="BT294" s="2502"/>
      <c r="BU294" s="2502"/>
    </row>
    <row r="295" spans="1:73" s="1965" customFormat="1" ht="43.5" customHeight="1" x14ac:dyDescent="0.25">
      <c r="A295" s="2119"/>
      <c r="B295" s="1944"/>
      <c r="C295" s="1943"/>
      <c r="D295" s="1944"/>
      <c r="E295" s="4524"/>
      <c r="F295" s="4488"/>
      <c r="G295" s="3104"/>
      <c r="H295" s="3105"/>
      <c r="I295" s="3104"/>
      <c r="J295" s="3105"/>
      <c r="K295" s="4487"/>
      <c r="L295" s="3105"/>
      <c r="M295" s="4487"/>
      <c r="N295" s="3105"/>
      <c r="O295" s="4488"/>
      <c r="P295" s="4489"/>
      <c r="Q295" s="3616"/>
      <c r="R295" s="3089"/>
      <c r="S295" s="2791"/>
      <c r="T295" s="4485"/>
      <c r="U295" s="3089"/>
      <c r="V295" s="3100"/>
      <c r="W295" s="1940" t="s">
        <v>3319</v>
      </c>
      <c r="X295" s="829">
        <v>20000000</v>
      </c>
      <c r="Y295" s="2101">
        <v>20000000</v>
      </c>
      <c r="Z295" s="2101">
        <v>20000000</v>
      </c>
      <c r="AA295" s="2080" t="s">
        <v>3315</v>
      </c>
      <c r="AB295" s="2154">
        <v>20</v>
      </c>
      <c r="AC295" s="2174" t="s">
        <v>1</v>
      </c>
      <c r="AD295" s="2580"/>
      <c r="AE295" s="2580"/>
      <c r="AF295" s="2580"/>
      <c r="AG295" s="2580"/>
      <c r="AH295" s="4484"/>
      <c r="AI295" s="2580"/>
      <c r="AJ295" s="2580"/>
      <c r="AK295" s="2580"/>
      <c r="AL295" s="2580"/>
      <c r="AM295" s="2580"/>
      <c r="AN295" s="2580"/>
      <c r="AO295" s="2580"/>
      <c r="AP295" s="2580"/>
      <c r="AQ295" s="2580"/>
      <c r="AR295" s="2580"/>
      <c r="AS295" s="2580"/>
      <c r="AT295" s="2580"/>
      <c r="AU295" s="2580"/>
      <c r="AV295" s="2580"/>
      <c r="AW295" s="2580"/>
      <c r="AX295" s="2580"/>
      <c r="AY295" s="2580"/>
      <c r="AZ295" s="2580"/>
      <c r="BA295" s="2580"/>
      <c r="BB295" s="2580"/>
      <c r="BC295" s="2580"/>
      <c r="BD295" s="2580"/>
      <c r="BE295" s="2580"/>
      <c r="BF295" s="2580"/>
      <c r="BG295" s="2580"/>
      <c r="BH295" s="2580"/>
      <c r="BI295" s="2580"/>
      <c r="BJ295" s="2502"/>
      <c r="BK295" s="2502"/>
      <c r="BL295" s="2502"/>
      <c r="BM295" s="2502"/>
      <c r="BN295" s="2502"/>
      <c r="BO295" s="2502"/>
      <c r="BP295" s="2502"/>
      <c r="BQ295" s="2502"/>
      <c r="BR295" s="2502"/>
      <c r="BS295" s="2502"/>
      <c r="BT295" s="2502"/>
      <c r="BU295" s="2502"/>
    </row>
    <row r="296" spans="1:73" s="1965" customFormat="1" ht="43.5" customHeight="1" x14ac:dyDescent="0.25">
      <c r="A296" s="2119"/>
      <c r="B296" s="1944"/>
      <c r="C296" s="1943"/>
      <c r="D296" s="1944"/>
      <c r="E296" s="4524"/>
      <c r="F296" s="4488"/>
      <c r="G296" s="3104"/>
      <c r="H296" s="3105"/>
      <c r="I296" s="3104"/>
      <c r="J296" s="3105"/>
      <c r="K296" s="4487"/>
      <c r="L296" s="3105"/>
      <c r="M296" s="4487"/>
      <c r="N296" s="3105"/>
      <c r="O296" s="4488"/>
      <c r="P296" s="4489"/>
      <c r="Q296" s="3616"/>
      <c r="R296" s="3089"/>
      <c r="S296" s="2791"/>
      <c r="T296" s="4485"/>
      <c r="U296" s="3089"/>
      <c r="V296" s="3100"/>
      <c r="W296" s="1940" t="s">
        <v>3320</v>
      </c>
      <c r="X296" s="829">
        <v>15000000</v>
      </c>
      <c r="Y296" s="2101">
        <v>15000000</v>
      </c>
      <c r="Z296" s="2101">
        <v>15000000</v>
      </c>
      <c r="AA296" s="2080" t="s">
        <v>3315</v>
      </c>
      <c r="AB296" s="2154">
        <v>20</v>
      </c>
      <c r="AC296" s="2174" t="s">
        <v>1</v>
      </c>
      <c r="AD296" s="2580"/>
      <c r="AE296" s="2580"/>
      <c r="AF296" s="2580"/>
      <c r="AG296" s="2580"/>
      <c r="AH296" s="4484"/>
      <c r="AI296" s="2580"/>
      <c r="AJ296" s="2580"/>
      <c r="AK296" s="2580"/>
      <c r="AL296" s="2580"/>
      <c r="AM296" s="2580"/>
      <c r="AN296" s="2580"/>
      <c r="AO296" s="2580"/>
      <c r="AP296" s="2580"/>
      <c r="AQ296" s="2580"/>
      <c r="AR296" s="2580"/>
      <c r="AS296" s="2580"/>
      <c r="AT296" s="2580"/>
      <c r="AU296" s="2580"/>
      <c r="AV296" s="2580"/>
      <c r="AW296" s="2580"/>
      <c r="AX296" s="2580"/>
      <c r="AY296" s="2580"/>
      <c r="AZ296" s="2580"/>
      <c r="BA296" s="2580"/>
      <c r="BB296" s="2580"/>
      <c r="BC296" s="2580"/>
      <c r="BD296" s="2580"/>
      <c r="BE296" s="2580"/>
      <c r="BF296" s="2580"/>
      <c r="BG296" s="2580"/>
      <c r="BH296" s="2580"/>
      <c r="BI296" s="2580"/>
      <c r="BJ296" s="2502"/>
      <c r="BK296" s="2502"/>
      <c r="BL296" s="2502"/>
      <c r="BM296" s="2502"/>
      <c r="BN296" s="2502"/>
      <c r="BO296" s="2502"/>
      <c r="BP296" s="2502"/>
      <c r="BQ296" s="2502"/>
      <c r="BR296" s="2502"/>
      <c r="BS296" s="2502"/>
      <c r="BT296" s="2502"/>
      <c r="BU296" s="2502"/>
    </row>
    <row r="297" spans="1:73" s="1965" customFormat="1" ht="43.5" customHeight="1" x14ac:dyDescent="0.25">
      <c r="A297" s="2119"/>
      <c r="B297" s="1944"/>
      <c r="C297" s="1943"/>
      <c r="D297" s="1944"/>
      <c r="E297" s="4524"/>
      <c r="F297" s="4488"/>
      <c r="G297" s="3104"/>
      <c r="H297" s="3105"/>
      <c r="I297" s="3104"/>
      <c r="J297" s="3105"/>
      <c r="K297" s="4487"/>
      <c r="L297" s="3105"/>
      <c r="M297" s="4487"/>
      <c r="N297" s="3105"/>
      <c r="O297" s="4488"/>
      <c r="P297" s="4489"/>
      <c r="Q297" s="3616"/>
      <c r="R297" s="3089"/>
      <c r="S297" s="2791"/>
      <c r="T297" s="4485"/>
      <c r="U297" s="3089"/>
      <c r="V297" s="3100"/>
      <c r="W297" s="2938" t="s">
        <v>3321</v>
      </c>
      <c r="X297" s="2136">
        <v>1064540868</v>
      </c>
      <c r="Y297" s="2109">
        <v>1064540868</v>
      </c>
      <c r="Z297" s="2109">
        <v>1064540868</v>
      </c>
      <c r="AA297" s="2080" t="s">
        <v>3315</v>
      </c>
      <c r="AB297" s="2154">
        <v>20</v>
      </c>
      <c r="AC297" s="2174" t="s">
        <v>1</v>
      </c>
      <c r="AD297" s="2580"/>
      <c r="AE297" s="2580"/>
      <c r="AF297" s="2580"/>
      <c r="AG297" s="2580"/>
      <c r="AH297" s="4484"/>
      <c r="AI297" s="2580"/>
      <c r="AJ297" s="2580"/>
      <c r="AK297" s="2580"/>
      <c r="AL297" s="2580"/>
      <c r="AM297" s="2580"/>
      <c r="AN297" s="2580"/>
      <c r="AO297" s="2580"/>
      <c r="AP297" s="2580"/>
      <c r="AQ297" s="2580"/>
      <c r="AR297" s="2580"/>
      <c r="AS297" s="2580"/>
      <c r="AT297" s="2580"/>
      <c r="AU297" s="2580"/>
      <c r="AV297" s="2580"/>
      <c r="AW297" s="2580"/>
      <c r="AX297" s="2580"/>
      <c r="AY297" s="2580"/>
      <c r="AZ297" s="2580"/>
      <c r="BA297" s="2580"/>
      <c r="BB297" s="2580"/>
      <c r="BC297" s="2580"/>
      <c r="BD297" s="2580"/>
      <c r="BE297" s="2580"/>
      <c r="BF297" s="2580"/>
      <c r="BG297" s="2580"/>
      <c r="BH297" s="2580"/>
      <c r="BI297" s="2580"/>
      <c r="BJ297" s="2502"/>
      <c r="BK297" s="2502"/>
      <c r="BL297" s="2502"/>
      <c r="BM297" s="2502"/>
      <c r="BN297" s="2502"/>
      <c r="BO297" s="2502"/>
      <c r="BP297" s="2502"/>
      <c r="BQ297" s="2502"/>
      <c r="BR297" s="2502"/>
      <c r="BS297" s="2502"/>
      <c r="BT297" s="2502"/>
      <c r="BU297" s="2502"/>
    </row>
    <row r="298" spans="1:73" s="1965" customFormat="1" ht="58.5" customHeight="1" x14ac:dyDescent="0.25">
      <c r="A298" s="2119"/>
      <c r="B298" s="1944"/>
      <c r="C298" s="1943"/>
      <c r="D298" s="1944"/>
      <c r="E298" s="4524"/>
      <c r="F298" s="4488"/>
      <c r="G298" s="3104"/>
      <c r="H298" s="3105"/>
      <c r="I298" s="3104"/>
      <c r="J298" s="3105"/>
      <c r="K298" s="4487"/>
      <c r="L298" s="3105"/>
      <c r="M298" s="4487"/>
      <c r="N298" s="3105"/>
      <c r="O298" s="4488"/>
      <c r="P298" s="4489"/>
      <c r="Q298" s="3616"/>
      <c r="R298" s="3089"/>
      <c r="S298" s="2791"/>
      <c r="T298" s="4485"/>
      <c r="U298" s="3089"/>
      <c r="V298" s="3100"/>
      <c r="W298" s="3100"/>
      <c r="X298" s="2136">
        <v>468599154.12</v>
      </c>
      <c r="Y298" s="2109">
        <v>0</v>
      </c>
      <c r="Z298" s="2136">
        <v>0</v>
      </c>
      <c r="AA298" s="363" t="s">
        <v>3322</v>
      </c>
      <c r="AB298" s="2154">
        <v>198</v>
      </c>
      <c r="AC298" s="2174" t="s">
        <v>3323</v>
      </c>
      <c r="AD298" s="2580"/>
      <c r="AE298" s="2580"/>
      <c r="AF298" s="2580"/>
      <c r="AG298" s="2580"/>
      <c r="AH298" s="4484"/>
      <c r="AI298" s="2580"/>
      <c r="AJ298" s="2580"/>
      <c r="AK298" s="2580"/>
      <c r="AL298" s="2580"/>
      <c r="AM298" s="2580"/>
      <c r="AN298" s="2580"/>
      <c r="AO298" s="2580"/>
      <c r="AP298" s="2580"/>
      <c r="AQ298" s="2580"/>
      <c r="AR298" s="2580"/>
      <c r="AS298" s="2580"/>
      <c r="AT298" s="2580"/>
      <c r="AU298" s="2580"/>
      <c r="AV298" s="2580"/>
      <c r="AW298" s="2580"/>
      <c r="AX298" s="2580"/>
      <c r="AY298" s="2580"/>
      <c r="AZ298" s="2580"/>
      <c r="BA298" s="2580"/>
      <c r="BB298" s="2580"/>
      <c r="BC298" s="2580"/>
      <c r="BD298" s="2580"/>
      <c r="BE298" s="2580"/>
      <c r="BF298" s="2580"/>
      <c r="BG298" s="2580"/>
      <c r="BH298" s="2580"/>
      <c r="BI298" s="2580"/>
      <c r="BJ298" s="2502"/>
      <c r="BK298" s="2502"/>
      <c r="BL298" s="2502"/>
      <c r="BM298" s="2502"/>
      <c r="BN298" s="2502"/>
      <c r="BO298" s="2502"/>
      <c r="BP298" s="2502"/>
      <c r="BQ298" s="2502"/>
      <c r="BR298" s="2502"/>
      <c r="BS298" s="2502"/>
      <c r="BT298" s="2502"/>
      <c r="BU298" s="2502"/>
    </row>
    <row r="299" spans="1:73" s="1965" customFormat="1" ht="43.5" customHeight="1" x14ac:dyDescent="0.25">
      <c r="A299" s="2119"/>
      <c r="B299" s="1944"/>
      <c r="C299" s="1943"/>
      <c r="D299" s="1944"/>
      <c r="E299" s="4524"/>
      <c r="F299" s="4488"/>
      <c r="G299" s="3104"/>
      <c r="H299" s="3105"/>
      <c r="I299" s="3104"/>
      <c r="J299" s="3105"/>
      <c r="K299" s="4487"/>
      <c r="L299" s="3105"/>
      <c r="M299" s="4487"/>
      <c r="N299" s="3105"/>
      <c r="O299" s="4488"/>
      <c r="P299" s="4489"/>
      <c r="Q299" s="3616"/>
      <c r="R299" s="3089"/>
      <c r="S299" s="2791"/>
      <c r="T299" s="4485"/>
      <c r="U299" s="3089"/>
      <c r="V299" s="3100"/>
      <c r="W299" s="3100"/>
      <c r="X299" s="2136">
        <v>647184457.21000004</v>
      </c>
      <c r="Y299" s="2109">
        <v>640980308.21000004</v>
      </c>
      <c r="Z299" s="2109">
        <v>640980308.21000004</v>
      </c>
      <c r="AA299" s="2178" t="s">
        <v>3324</v>
      </c>
      <c r="AB299" s="2154">
        <v>88</v>
      </c>
      <c r="AC299" s="2174" t="s">
        <v>3325</v>
      </c>
      <c r="AD299" s="2580"/>
      <c r="AE299" s="2580"/>
      <c r="AF299" s="2580"/>
      <c r="AG299" s="2580"/>
      <c r="AH299" s="4484"/>
      <c r="AI299" s="2580"/>
      <c r="AJ299" s="2580"/>
      <c r="AK299" s="2580"/>
      <c r="AL299" s="2580"/>
      <c r="AM299" s="2580"/>
      <c r="AN299" s="2580"/>
      <c r="AO299" s="2580"/>
      <c r="AP299" s="2580"/>
      <c r="AQ299" s="2580"/>
      <c r="AR299" s="2580"/>
      <c r="AS299" s="2580"/>
      <c r="AT299" s="2580"/>
      <c r="AU299" s="2580"/>
      <c r="AV299" s="2580"/>
      <c r="AW299" s="2580"/>
      <c r="AX299" s="2580"/>
      <c r="AY299" s="2580"/>
      <c r="AZ299" s="2580"/>
      <c r="BA299" s="2580"/>
      <c r="BB299" s="2580"/>
      <c r="BC299" s="2580"/>
      <c r="BD299" s="2580"/>
      <c r="BE299" s="2580"/>
      <c r="BF299" s="2580"/>
      <c r="BG299" s="2580"/>
      <c r="BH299" s="2580"/>
      <c r="BI299" s="2580"/>
      <c r="BJ299" s="2502"/>
      <c r="BK299" s="2502"/>
      <c r="BL299" s="2502"/>
      <c r="BM299" s="2502"/>
      <c r="BN299" s="2502"/>
      <c r="BO299" s="2502"/>
      <c r="BP299" s="2502"/>
      <c r="BQ299" s="2502"/>
      <c r="BR299" s="2502"/>
      <c r="BS299" s="2502"/>
      <c r="BT299" s="2502"/>
      <c r="BU299" s="2502"/>
    </row>
    <row r="300" spans="1:73" s="1965" customFormat="1" ht="43.5" customHeight="1" x14ac:dyDescent="0.25">
      <c r="A300" s="2119"/>
      <c r="B300" s="1944"/>
      <c r="C300" s="1943"/>
      <c r="D300" s="1944"/>
      <c r="E300" s="4524"/>
      <c r="F300" s="4488"/>
      <c r="G300" s="3104"/>
      <c r="H300" s="3105"/>
      <c r="I300" s="3104"/>
      <c r="J300" s="3105"/>
      <c r="K300" s="4487"/>
      <c r="L300" s="3105"/>
      <c r="M300" s="4487"/>
      <c r="N300" s="3105"/>
      <c r="O300" s="4488"/>
      <c r="P300" s="4489"/>
      <c r="Q300" s="3616"/>
      <c r="R300" s="3089"/>
      <c r="S300" s="2792"/>
      <c r="T300" s="4485"/>
      <c r="U300" s="3089"/>
      <c r="V300" s="3100"/>
      <c r="W300" s="2939"/>
      <c r="X300" s="2136">
        <v>308966733</v>
      </c>
      <c r="Y300" s="2143">
        <v>159438968</v>
      </c>
      <c r="Z300" s="2143">
        <v>159438968</v>
      </c>
      <c r="AA300" s="363" t="s">
        <v>3326</v>
      </c>
      <c r="AB300" s="2154">
        <v>180</v>
      </c>
      <c r="AC300" s="2174" t="s">
        <v>3327</v>
      </c>
      <c r="AD300" s="2580"/>
      <c r="AE300" s="2580"/>
      <c r="AF300" s="2580"/>
      <c r="AG300" s="2580"/>
      <c r="AH300" s="4484"/>
      <c r="AI300" s="2580"/>
      <c r="AJ300" s="2580"/>
      <c r="AK300" s="2580"/>
      <c r="AL300" s="2580"/>
      <c r="AM300" s="2580"/>
      <c r="AN300" s="2580"/>
      <c r="AO300" s="2580"/>
      <c r="AP300" s="2580"/>
      <c r="AQ300" s="2580"/>
      <c r="AR300" s="2580"/>
      <c r="AS300" s="2580"/>
      <c r="AT300" s="2580"/>
      <c r="AU300" s="2580"/>
      <c r="AV300" s="2580"/>
      <c r="AW300" s="2580"/>
      <c r="AX300" s="2580"/>
      <c r="AY300" s="2580"/>
      <c r="AZ300" s="2580"/>
      <c r="BA300" s="2580"/>
      <c r="BB300" s="2580"/>
      <c r="BC300" s="2580"/>
      <c r="BD300" s="2580"/>
      <c r="BE300" s="2580"/>
      <c r="BF300" s="2580"/>
      <c r="BG300" s="2580"/>
      <c r="BH300" s="2580"/>
      <c r="BI300" s="2580"/>
      <c r="BJ300" s="2502"/>
      <c r="BK300" s="2502"/>
      <c r="BL300" s="2502"/>
      <c r="BM300" s="2502"/>
      <c r="BN300" s="2502"/>
      <c r="BO300" s="2502"/>
      <c r="BP300" s="2502"/>
      <c r="BQ300" s="2502"/>
      <c r="BR300" s="2502"/>
      <c r="BS300" s="2502"/>
      <c r="BT300" s="2502"/>
      <c r="BU300" s="2502"/>
    </row>
    <row r="301" spans="1:73" s="2180" customFormat="1" ht="153.75" customHeight="1" x14ac:dyDescent="0.25">
      <c r="A301" s="2119"/>
      <c r="B301" s="1944"/>
      <c r="C301" s="1943"/>
      <c r="D301" s="1944"/>
      <c r="E301" s="4524"/>
      <c r="F301" s="4488"/>
      <c r="G301" s="1941">
        <v>1906032</v>
      </c>
      <c r="H301" s="1942" t="s">
        <v>3229</v>
      </c>
      <c r="I301" s="1941">
        <v>1906032</v>
      </c>
      <c r="J301" s="1942" t="s">
        <v>3229</v>
      </c>
      <c r="K301" s="2111">
        <v>190603200</v>
      </c>
      <c r="L301" s="1942" t="s">
        <v>3230</v>
      </c>
      <c r="M301" s="2111">
        <v>190603200</v>
      </c>
      <c r="N301" s="1942" t="s">
        <v>3230</v>
      </c>
      <c r="O301" s="2179">
        <v>1500</v>
      </c>
      <c r="P301" s="2169">
        <v>21885</v>
      </c>
      <c r="Q301" s="3616"/>
      <c r="R301" s="3089"/>
      <c r="S301" s="2134">
        <f>X301/T292</f>
        <v>7.491531163956738E-3</v>
      </c>
      <c r="T301" s="4485"/>
      <c r="U301" s="3089"/>
      <c r="V301" s="2939"/>
      <c r="W301" s="1940" t="s">
        <v>3328</v>
      </c>
      <c r="X301" s="2136">
        <v>20000000</v>
      </c>
      <c r="Y301" s="1276">
        <v>19906500</v>
      </c>
      <c r="Z301" s="1276">
        <v>19906500</v>
      </c>
      <c r="AA301" s="2080" t="s">
        <v>3329</v>
      </c>
      <c r="AB301" s="2154">
        <v>20</v>
      </c>
      <c r="AC301" s="2174" t="s">
        <v>1</v>
      </c>
      <c r="AD301" s="2580"/>
      <c r="AE301" s="2580"/>
      <c r="AF301" s="2580"/>
      <c r="AG301" s="2580"/>
      <c r="AH301" s="4484"/>
      <c r="AI301" s="2580"/>
      <c r="AJ301" s="2580"/>
      <c r="AK301" s="2580"/>
      <c r="AL301" s="2580"/>
      <c r="AM301" s="2580"/>
      <c r="AN301" s="2580"/>
      <c r="AO301" s="2580"/>
      <c r="AP301" s="2580"/>
      <c r="AQ301" s="2580"/>
      <c r="AR301" s="2580"/>
      <c r="AS301" s="2580"/>
      <c r="AT301" s="2580"/>
      <c r="AU301" s="2580"/>
      <c r="AV301" s="2580"/>
      <c r="AW301" s="2580"/>
      <c r="AX301" s="2580"/>
      <c r="AY301" s="2580"/>
      <c r="AZ301" s="2580"/>
      <c r="BA301" s="2580"/>
      <c r="BB301" s="2580"/>
      <c r="BC301" s="2580"/>
      <c r="BD301" s="2580"/>
      <c r="BE301" s="2580"/>
      <c r="BF301" s="2580"/>
      <c r="BG301" s="2580"/>
      <c r="BH301" s="2580"/>
      <c r="BI301" s="2580"/>
      <c r="BJ301" s="2502"/>
      <c r="BK301" s="2502"/>
      <c r="BL301" s="2502"/>
      <c r="BM301" s="2502"/>
      <c r="BN301" s="2502"/>
      <c r="BO301" s="2502"/>
      <c r="BP301" s="2502"/>
      <c r="BQ301" s="2502"/>
      <c r="BR301" s="2502"/>
      <c r="BS301" s="2502"/>
      <c r="BT301" s="2502"/>
      <c r="BU301" s="2502"/>
    </row>
    <row r="302" spans="1:73" s="2180" customFormat="1" ht="76.5" customHeight="1" x14ac:dyDescent="0.25">
      <c r="A302" s="2119"/>
      <c r="B302" s="1944"/>
      <c r="C302" s="1943"/>
      <c r="D302" s="1944"/>
      <c r="E302" s="4524"/>
      <c r="F302" s="4488"/>
      <c r="G302" s="1941">
        <v>1906005</v>
      </c>
      <c r="H302" s="1942" t="s">
        <v>3330</v>
      </c>
      <c r="I302" s="1941">
        <v>1906005</v>
      </c>
      <c r="J302" s="1942" t="s">
        <v>3330</v>
      </c>
      <c r="K302" s="2111">
        <v>190600500</v>
      </c>
      <c r="L302" s="2112" t="s">
        <v>3330</v>
      </c>
      <c r="M302" s="2111">
        <v>190600500</v>
      </c>
      <c r="N302" s="2112" t="s">
        <v>3330</v>
      </c>
      <c r="O302" s="2179">
        <v>2</v>
      </c>
      <c r="P302" s="2181">
        <v>0</v>
      </c>
      <c r="Q302" s="3616"/>
      <c r="R302" s="3089"/>
      <c r="S302" s="2134">
        <f>X302/T292</f>
        <v>7.491531163956738E-3</v>
      </c>
      <c r="T302" s="4485"/>
      <c r="U302" s="3089"/>
      <c r="V302" s="2938" t="s">
        <v>3331</v>
      </c>
      <c r="W302" s="1940" t="s">
        <v>3332</v>
      </c>
      <c r="X302" s="2136">
        <v>20000000</v>
      </c>
      <c r="Y302" s="2136"/>
      <c r="Z302" s="2136"/>
      <c r="AA302" s="2080" t="s">
        <v>3333</v>
      </c>
      <c r="AB302" s="2154">
        <v>20</v>
      </c>
      <c r="AC302" s="2174" t="s">
        <v>1</v>
      </c>
      <c r="AD302" s="2580"/>
      <c r="AE302" s="2580"/>
      <c r="AF302" s="2580"/>
      <c r="AG302" s="2580"/>
      <c r="AH302" s="4484"/>
      <c r="AI302" s="2580"/>
      <c r="AJ302" s="2580"/>
      <c r="AK302" s="2580"/>
      <c r="AL302" s="2580"/>
      <c r="AM302" s="2580"/>
      <c r="AN302" s="2580"/>
      <c r="AO302" s="2580"/>
      <c r="AP302" s="2580"/>
      <c r="AQ302" s="2580"/>
      <c r="AR302" s="2580"/>
      <c r="AS302" s="2580"/>
      <c r="AT302" s="2580"/>
      <c r="AU302" s="2580"/>
      <c r="AV302" s="2580"/>
      <c r="AW302" s="2580"/>
      <c r="AX302" s="2580"/>
      <c r="AY302" s="2580"/>
      <c r="AZ302" s="2580"/>
      <c r="BA302" s="2580"/>
      <c r="BB302" s="2580"/>
      <c r="BC302" s="2580"/>
      <c r="BD302" s="2580"/>
      <c r="BE302" s="2580"/>
      <c r="BF302" s="2580"/>
      <c r="BG302" s="2580"/>
      <c r="BH302" s="2580"/>
      <c r="BI302" s="2580"/>
      <c r="BJ302" s="2502"/>
      <c r="BK302" s="2502"/>
      <c r="BL302" s="2502"/>
      <c r="BM302" s="2502"/>
      <c r="BN302" s="2502"/>
      <c r="BO302" s="2502"/>
      <c r="BP302" s="2502"/>
      <c r="BQ302" s="2502"/>
      <c r="BR302" s="2502"/>
      <c r="BS302" s="2502"/>
      <c r="BT302" s="2502"/>
      <c r="BU302" s="2502"/>
    </row>
    <row r="303" spans="1:73" s="2180" customFormat="1" ht="88.5" customHeight="1" x14ac:dyDescent="0.25">
      <c r="A303" s="2119"/>
      <c r="B303" s="1944"/>
      <c r="C303" s="1943"/>
      <c r="D303" s="1944"/>
      <c r="E303" s="4524"/>
      <c r="F303" s="4488"/>
      <c r="G303" s="2182">
        <v>1906022</v>
      </c>
      <c r="H303" s="1942" t="s">
        <v>3334</v>
      </c>
      <c r="I303" s="1941">
        <v>1906022</v>
      </c>
      <c r="J303" s="1942" t="s">
        <v>3334</v>
      </c>
      <c r="K303" s="2111">
        <v>190602200</v>
      </c>
      <c r="L303" s="2112" t="s">
        <v>3335</v>
      </c>
      <c r="M303" s="2111">
        <v>190602200</v>
      </c>
      <c r="N303" s="2112" t="s">
        <v>3335</v>
      </c>
      <c r="O303" s="2179">
        <v>1</v>
      </c>
      <c r="P303" s="1961">
        <v>0</v>
      </c>
      <c r="Q303" s="3616"/>
      <c r="R303" s="3089"/>
      <c r="S303" s="2134">
        <f>X303/T292</f>
        <v>7.491531163956738E-3</v>
      </c>
      <c r="T303" s="4485"/>
      <c r="U303" s="3089"/>
      <c r="V303" s="3100"/>
      <c r="W303" s="1940" t="s">
        <v>3336</v>
      </c>
      <c r="X303" s="2136">
        <v>20000000</v>
      </c>
      <c r="Y303" s="2136"/>
      <c r="Z303" s="2108"/>
      <c r="AA303" s="2086" t="s">
        <v>3337</v>
      </c>
      <c r="AB303" s="2154">
        <v>20</v>
      </c>
      <c r="AC303" s="2174" t="s">
        <v>1</v>
      </c>
      <c r="AD303" s="2580"/>
      <c r="AE303" s="2580"/>
      <c r="AF303" s="2580"/>
      <c r="AG303" s="2580"/>
      <c r="AH303" s="4484"/>
      <c r="AI303" s="2580"/>
      <c r="AJ303" s="2580"/>
      <c r="AK303" s="2580"/>
      <c r="AL303" s="2580"/>
      <c r="AM303" s="2580"/>
      <c r="AN303" s="2580"/>
      <c r="AO303" s="2580"/>
      <c r="AP303" s="2580"/>
      <c r="AQ303" s="2580"/>
      <c r="AR303" s="2580"/>
      <c r="AS303" s="2580"/>
      <c r="AT303" s="2580"/>
      <c r="AU303" s="2580"/>
      <c r="AV303" s="2580"/>
      <c r="AW303" s="2580"/>
      <c r="AX303" s="2580"/>
      <c r="AY303" s="2580"/>
      <c r="AZ303" s="2580"/>
      <c r="BA303" s="2580"/>
      <c r="BB303" s="2580"/>
      <c r="BC303" s="2580"/>
      <c r="BD303" s="2580"/>
      <c r="BE303" s="2580"/>
      <c r="BF303" s="2580"/>
      <c r="BG303" s="2580"/>
      <c r="BH303" s="2580"/>
      <c r="BI303" s="2580"/>
      <c r="BJ303" s="2502"/>
      <c r="BK303" s="2502"/>
      <c r="BL303" s="2502"/>
      <c r="BM303" s="2502"/>
      <c r="BN303" s="2502"/>
      <c r="BO303" s="2502"/>
      <c r="BP303" s="2502"/>
      <c r="BQ303" s="2502"/>
      <c r="BR303" s="2502"/>
      <c r="BS303" s="2502"/>
      <c r="BT303" s="2502"/>
      <c r="BU303" s="2502"/>
    </row>
    <row r="304" spans="1:73" s="2180" customFormat="1" ht="88.5" customHeight="1" x14ac:dyDescent="0.25">
      <c r="A304" s="2119"/>
      <c r="B304" s="1944"/>
      <c r="C304" s="1943"/>
      <c r="D304" s="1944"/>
      <c r="E304" s="3112"/>
      <c r="F304" s="4525"/>
      <c r="G304" s="3104" t="s">
        <v>20</v>
      </c>
      <c r="H304" s="3105" t="s">
        <v>3256</v>
      </c>
      <c r="I304" s="3104">
        <v>1906023</v>
      </c>
      <c r="J304" s="3105" t="s">
        <v>3256</v>
      </c>
      <c r="K304" s="4479" t="s">
        <v>20</v>
      </c>
      <c r="L304" s="4480" t="s">
        <v>3338</v>
      </c>
      <c r="M304" s="4479">
        <v>190602301</v>
      </c>
      <c r="N304" s="4480" t="s">
        <v>3339</v>
      </c>
      <c r="O304" s="4490">
        <v>40</v>
      </c>
      <c r="P304" s="4157">
        <v>0</v>
      </c>
      <c r="Q304" s="3616"/>
      <c r="R304" s="2938"/>
      <c r="S304" s="2790">
        <f>(X304+X305)/T292</f>
        <v>7.491531163956738E-3</v>
      </c>
      <c r="T304" s="4486"/>
      <c r="U304" s="2938"/>
      <c r="V304" s="3100"/>
      <c r="W304" s="1936" t="s">
        <v>3340</v>
      </c>
      <c r="X304" s="2108">
        <v>5000000</v>
      </c>
      <c r="Y304" s="2108"/>
      <c r="Z304" s="2136"/>
      <c r="AA304" s="2090" t="s">
        <v>3341</v>
      </c>
      <c r="AB304" s="2183">
        <v>20</v>
      </c>
      <c r="AC304" s="2184" t="s">
        <v>1</v>
      </c>
      <c r="AD304" s="2580"/>
      <c r="AE304" s="2580"/>
      <c r="AF304" s="2580"/>
      <c r="AG304" s="2580"/>
      <c r="AH304" s="4484"/>
      <c r="AI304" s="2580"/>
      <c r="AJ304" s="2580"/>
      <c r="AK304" s="2580"/>
      <c r="AL304" s="2580"/>
      <c r="AM304" s="2580"/>
      <c r="AN304" s="2580"/>
      <c r="AO304" s="2580"/>
      <c r="AP304" s="2580"/>
      <c r="AQ304" s="2580"/>
      <c r="AR304" s="2580"/>
      <c r="AS304" s="2580"/>
      <c r="AT304" s="2580"/>
      <c r="AU304" s="2580"/>
      <c r="AV304" s="2580"/>
      <c r="AW304" s="2580"/>
      <c r="AX304" s="2580"/>
      <c r="AY304" s="2580"/>
      <c r="AZ304" s="2580"/>
      <c r="BA304" s="2580"/>
      <c r="BB304" s="2580"/>
      <c r="BC304" s="2580"/>
      <c r="BD304" s="2580"/>
      <c r="BE304" s="2580"/>
      <c r="BF304" s="2580"/>
      <c r="BG304" s="2580"/>
      <c r="BH304" s="2580"/>
      <c r="BI304" s="2580"/>
      <c r="BJ304" s="2502"/>
      <c r="BK304" s="2502"/>
      <c r="BL304" s="2502"/>
      <c r="BM304" s="2502"/>
      <c r="BN304" s="2502"/>
      <c r="BO304" s="2502"/>
      <c r="BP304" s="2502"/>
      <c r="BQ304" s="2502"/>
      <c r="BR304" s="2502"/>
      <c r="BS304" s="2502"/>
      <c r="BT304" s="2502"/>
      <c r="BU304" s="2502"/>
    </row>
    <row r="305" spans="1:73" s="2180" customFormat="1" ht="85.5" customHeight="1" x14ac:dyDescent="0.25">
      <c r="A305" s="2119"/>
      <c r="B305" s="1944"/>
      <c r="C305" s="1943"/>
      <c r="D305" s="1944"/>
      <c r="E305" s="3112"/>
      <c r="F305" s="4525"/>
      <c r="G305" s="3104"/>
      <c r="H305" s="3105"/>
      <c r="I305" s="3104"/>
      <c r="J305" s="3105"/>
      <c r="K305" s="4479"/>
      <c r="L305" s="4480"/>
      <c r="M305" s="4479"/>
      <c r="N305" s="4480"/>
      <c r="O305" s="4490"/>
      <c r="P305" s="4157"/>
      <c r="Q305" s="3616"/>
      <c r="R305" s="2938"/>
      <c r="S305" s="2792"/>
      <c r="T305" s="4486"/>
      <c r="U305" s="2938"/>
      <c r="V305" s="3100"/>
      <c r="W305" s="1936" t="s">
        <v>3343</v>
      </c>
      <c r="X305" s="2108">
        <v>15000000</v>
      </c>
      <c r="Y305" s="2108"/>
      <c r="Z305" s="2136"/>
      <c r="AA305" s="2090" t="s">
        <v>3341</v>
      </c>
      <c r="AB305" s="2183">
        <v>20</v>
      </c>
      <c r="AC305" s="2184" t="s">
        <v>1</v>
      </c>
      <c r="AD305" s="2580"/>
      <c r="AE305" s="2580"/>
      <c r="AF305" s="2580"/>
      <c r="AG305" s="2580"/>
      <c r="AH305" s="4484"/>
      <c r="AI305" s="2580"/>
      <c r="AJ305" s="2580"/>
      <c r="AK305" s="2580"/>
      <c r="AL305" s="2580"/>
      <c r="AM305" s="2580"/>
      <c r="AN305" s="2580"/>
      <c r="AO305" s="2580"/>
      <c r="AP305" s="2580"/>
      <c r="AQ305" s="2580"/>
      <c r="AR305" s="2580"/>
      <c r="AS305" s="2580"/>
      <c r="AT305" s="2580"/>
      <c r="AU305" s="2580"/>
      <c r="AV305" s="2580"/>
      <c r="AW305" s="2580"/>
      <c r="AX305" s="2580"/>
      <c r="AY305" s="2580"/>
      <c r="AZ305" s="2580"/>
      <c r="BA305" s="2580"/>
      <c r="BB305" s="2580"/>
      <c r="BC305" s="2580"/>
      <c r="BD305" s="2580"/>
      <c r="BE305" s="2580"/>
      <c r="BF305" s="2580"/>
      <c r="BG305" s="2580"/>
      <c r="BH305" s="2580"/>
      <c r="BI305" s="2580"/>
      <c r="BJ305" s="2502"/>
      <c r="BK305" s="2502"/>
      <c r="BL305" s="2502"/>
      <c r="BM305" s="2502"/>
      <c r="BN305" s="2502"/>
      <c r="BO305" s="2502"/>
      <c r="BP305" s="2502"/>
      <c r="BQ305" s="2502"/>
      <c r="BR305" s="2502"/>
      <c r="BS305" s="2502"/>
      <c r="BT305" s="2502"/>
      <c r="BU305" s="2502"/>
    </row>
    <row r="306" spans="1:73" s="1965" customFormat="1" ht="36" customHeight="1" x14ac:dyDescent="0.25">
      <c r="A306" s="2185"/>
      <c r="B306" s="2186"/>
      <c r="C306" s="2186"/>
      <c r="D306" s="2186"/>
      <c r="E306" s="2186"/>
      <c r="F306" s="2186"/>
      <c r="G306" s="2186"/>
      <c r="H306" s="2187"/>
      <c r="I306" s="2186"/>
      <c r="J306" s="2186"/>
      <c r="K306" s="2186"/>
      <c r="L306" s="2186"/>
      <c r="M306" s="2186"/>
      <c r="N306" s="2186"/>
      <c r="O306" s="2186"/>
      <c r="P306" s="2186"/>
      <c r="Q306" s="2186"/>
      <c r="R306" s="2186"/>
      <c r="S306" s="2186"/>
      <c r="T306" s="2188">
        <f>SUM(T10:T305)</f>
        <v>75161612366.110001</v>
      </c>
      <c r="U306" s="2186"/>
      <c r="V306" s="2186"/>
      <c r="W306" s="2187" t="s">
        <v>0</v>
      </c>
      <c r="X306" s="2188">
        <f>SUM(X10:X305)</f>
        <v>75161612366.110001</v>
      </c>
      <c r="Y306" s="2188">
        <f>SUM(Y10:Y305)</f>
        <v>69848426417.650009</v>
      </c>
      <c r="Z306" s="2188">
        <f>SUM(Z10:Z304)</f>
        <v>69848426417.650009</v>
      </c>
      <c r="AA306" s="2189"/>
      <c r="AB306" s="2186"/>
      <c r="AC306" s="2186"/>
      <c r="AD306" s="2186"/>
      <c r="AE306" s="2186"/>
      <c r="AF306" s="2186"/>
      <c r="AG306" s="2186"/>
      <c r="AH306" s="2186"/>
      <c r="AI306" s="2186"/>
      <c r="AJ306" s="2186"/>
      <c r="AK306" s="2186"/>
      <c r="AL306" s="2186"/>
      <c r="AM306" s="2186"/>
      <c r="AN306" s="2186"/>
      <c r="AO306" s="2186"/>
      <c r="AP306" s="2186"/>
      <c r="AQ306" s="2186"/>
      <c r="AR306" s="2186"/>
      <c r="AS306" s="2186"/>
      <c r="AT306" s="2186"/>
      <c r="AU306" s="2186"/>
      <c r="AV306" s="2186"/>
      <c r="AW306" s="2186"/>
      <c r="AX306" s="2186"/>
      <c r="AY306" s="2186"/>
      <c r="AZ306" s="2186"/>
      <c r="BA306" s="2186"/>
      <c r="BB306" s="2186"/>
      <c r="BC306" s="2186"/>
      <c r="BD306" s="2186"/>
      <c r="BE306" s="2186"/>
      <c r="BF306" s="2186"/>
      <c r="BG306" s="2186"/>
      <c r="BH306" s="2186"/>
      <c r="BI306" s="2186"/>
      <c r="BJ306" s="2186"/>
      <c r="BK306" s="2190">
        <f>SUM(BK13:BK305)</f>
        <v>69865749517.650009</v>
      </c>
      <c r="BL306" s="2190">
        <f>SUM(BL13:BL305)</f>
        <v>69829636417.650009</v>
      </c>
      <c r="BM306" s="2191">
        <f>BL306/BK306</f>
        <v>0.99948310724139766</v>
      </c>
      <c r="BN306" s="2186"/>
      <c r="BO306" s="2186"/>
      <c r="BP306" s="2186"/>
      <c r="BQ306" s="2186"/>
      <c r="BR306" s="2186"/>
      <c r="BS306" s="2186"/>
      <c r="BT306" s="2186"/>
      <c r="BU306" s="2192"/>
    </row>
    <row r="307" spans="1:73" s="1965" customFormat="1" ht="27" customHeight="1" x14ac:dyDescent="0.25">
      <c r="A307" s="12"/>
      <c r="H307" s="2193"/>
      <c r="K307" s="12"/>
      <c r="S307" s="2194"/>
      <c r="T307" s="2195"/>
      <c r="W307" s="2196"/>
      <c r="X307" s="2197"/>
      <c r="Y307" s="2197"/>
      <c r="Z307" s="2197"/>
      <c r="AA307" s="2197"/>
      <c r="AB307" s="12"/>
      <c r="AH307" s="12"/>
      <c r="AI307" s="12"/>
      <c r="BJ307" s="2198"/>
      <c r="BK307" s="2198"/>
      <c r="BL307" s="2198"/>
      <c r="BQ307" s="2199"/>
      <c r="BR307" s="2199"/>
      <c r="BS307" s="2199"/>
      <c r="BT307" s="2199"/>
    </row>
    <row r="308" spans="1:73" s="1965" customFormat="1" ht="27" customHeight="1" x14ac:dyDescent="0.25">
      <c r="A308" s="12"/>
      <c r="H308" s="2193"/>
      <c r="K308" s="12"/>
      <c r="S308" s="2194"/>
      <c r="T308" s="2195"/>
      <c r="W308" s="2196"/>
      <c r="X308" s="2197"/>
      <c r="Y308" s="2197"/>
      <c r="Z308" s="2197"/>
      <c r="AA308" s="2197"/>
      <c r="AB308" s="12"/>
      <c r="AH308" s="12"/>
      <c r="AI308" s="12"/>
      <c r="BQ308" s="2199"/>
      <c r="BR308" s="2199"/>
      <c r="BS308" s="2199"/>
      <c r="BT308" s="2199"/>
    </row>
    <row r="309" spans="1:73" s="1965" customFormat="1" ht="27" customHeight="1" x14ac:dyDescent="0.25">
      <c r="A309" s="12"/>
      <c r="H309" s="2200"/>
      <c r="I309" s="4"/>
      <c r="J309" s="4"/>
      <c r="K309" s="5"/>
      <c r="L309" s="4"/>
      <c r="M309" s="4"/>
      <c r="N309" s="4"/>
      <c r="O309" s="4"/>
      <c r="P309" s="4"/>
      <c r="Q309" s="4"/>
      <c r="R309" s="4"/>
      <c r="S309" s="9"/>
      <c r="T309" s="6"/>
      <c r="U309" s="4"/>
      <c r="V309" s="4"/>
      <c r="W309" s="2128"/>
      <c r="X309" s="668"/>
      <c r="Y309" s="668"/>
      <c r="Z309" s="668"/>
      <c r="AA309" s="668"/>
      <c r="AB309" s="5"/>
      <c r="AC309" s="4"/>
      <c r="AH309" s="12"/>
      <c r="AI309" s="12"/>
      <c r="BQ309" s="2199"/>
      <c r="BR309" s="2199"/>
      <c r="BS309" s="2199"/>
      <c r="BT309" s="2199"/>
    </row>
  </sheetData>
  <mergeCells count="1765">
    <mergeCell ref="A1:BS4"/>
    <mergeCell ref="A5:P6"/>
    <mergeCell ref="AD6:BH6"/>
    <mergeCell ref="A7:B7"/>
    <mergeCell ref="C7:D7"/>
    <mergeCell ref="E7:F7"/>
    <mergeCell ref="G7:J7"/>
    <mergeCell ref="K7:N7"/>
    <mergeCell ref="O7:Z7"/>
    <mergeCell ref="AA7:AC7"/>
    <mergeCell ref="BQ7:BR8"/>
    <mergeCell ref="BS7:BT8"/>
    <mergeCell ref="BU7:BU8"/>
    <mergeCell ref="A8:A9"/>
    <mergeCell ref="B8:B9"/>
    <mergeCell ref="C8:C9"/>
    <mergeCell ref="D8:D9"/>
    <mergeCell ref="E8:E9"/>
    <mergeCell ref="F8:F9"/>
    <mergeCell ref="G8:G9"/>
    <mergeCell ref="AD7:AG7"/>
    <mergeCell ref="AH7:AM7"/>
    <mergeCell ref="AN7:BA7"/>
    <mergeCell ref="BB7:BG7"/>
    <mergeCell ref="BH7:BI8"/>
    <mergeCell ref="BJ7:BP7"/>
    <mergeCell ref="AN8:AO8"/>
    <mergeCell ref="AP8:AQ8"/>
    <mergeCell ref="AR8:AS8"/>
    <mergeCell ref="AT8:AU8"/>
    <mergeCell ref="U8:U9"/>
    <mergeCell ref="V8:V9"/>
    <mergeCell ref="W8:W9"/>
    <mergeCell ref="X8:Z8"/>
    <mergeCell ref="AA8:AA9"/>
    <mergeCell ref="AB8:AB9"/>
    <mergeCell ref="N8:N9"/>
    <mergeCell ref="O8:P8"/>
    <mergeCell ref="Q8:Q9"/>
    <mergeCell ref="R8:R9"/>
    <mergeCell ref="S8:S9"/>
    <mergeCell ref="T8:T9"/>
    <mergeCell ref="H8:H9"/>
    <mergeCell ref="I8:I9"/>
    <mergeCell ref="J8:J9"/>
    <mergeCell ref="K8:K9"/>
    <mergeCell ref="L8:L9"/>
    <mergeCell ref="M8:M9"/>
    <mergeCell ref="BJ8:BJ9"/>
    <mergeCell ref="BK8:BK9"/>
    <mergeCell ref="BL8:BL9"/>
    <mergeCell ref="BM8:BM9"/>
    <mergeCell ref="BN8:BO8"/>
    <mergeCell ref="BP8:BP9"/>
    <mergeCell ref="AV8:AW8"/>
    <mergeCell ref="AX8:AY8"/>
    <mergeCell ref="AZ8:BA8"/>
    <mergeCell ref="BB8:BC8"/>
    <mergeCell ref="BD8:BE8"/>
    <mergeCell ref="BF8:BG8"/>
    <mergeCell ref="AC8:AC9"/>
    <mergeCell ref="AD8:AE8"/>
    <mergeCell ref="AF8:AG8"/>
    <mergeCell ref="AH8:AI8"/>
    <mergeCell ref="AJ8:AK8"/>
    <mergeCell ref="AL8:AM8"/>
    <mergeCell ref="B10:G10"/>
    <mergeCell ref="F12:K12"/>
    <mergeCell ref="G13:G15"/>
    <mergeCell ref="H13:H15"/>
    <mergeCell ref="I13:I15"/>
    <mergeCell ref="J13:J15"/>
    <mergeCell ref="K13:K15"/>
    <mergeCell ref="O22:O25"/>
    <mergeCell ref="P22:P25"/>
    <mergeCell ref="G26:G42"/>
    <mergeCell ref="I22:I25"/>
    <mergeCell ref="J22:J25"/>
    <mergeCell ref="K22:K25"/>
    <mergeCell ref="L22:L25"/>
    <mergeCell ref="M22:M25"/>
    <mergeCell ref="N22:N25"/>
    <mergeCell ref="G19:G21"/>
    <mergeCell ref="H19:H21"/>
    <mergeCell ref="I19:I21"/>
    <mergeCell ref="J19:J21"/>
    <mergeCell ref="K19:K21"/>
    <mergeCell ref="L19:L21"/>
    <mergeCell ref="AE13:AE46"/>
    <mergeCell ref="AF13:AF46"/>
    <mergeCell ref="AG13:AG46"/>
    <mergeCell ref="AH13:AH46"/>
    <mergeCell ref="AI13:AI46"/>
    <mergeCell ref="AJ13:AJ46"/>
    <mergeCell ref="T13:T46"/>
    <mergeCell ref="U13:U46"/>
    <mergeCell ref="V13:V25"/>
    <mergeCell ref="AD13:AD46"/>
    <mergeCell ref="S16:S18"/>
    <mergeCell ref="V26:V46"/>
    <mergeCell ref="W28:W29"/>
    <mergeCell ref="W30:W31"/>
    <mergeCell ref="W33:W34"/>
    <mergeCell ref="W37:W39"/>
    <mergeCell ref="W40:W41"/>
    <mergeCell ref="S22:S25"/>
    <mergeCell ref="BH13:BH46"/>
    <mergeCell ref="AW13:AW46"/>
    <mergeCell ref="AX13:AX46"/>
    <mergeCell ref="AY13:AY46"/>
    <mergeCell ref="AZ13:AZ46"/>
    <mergeCell ref="BA13:BA46"/>
    <mergeCell ref="BB13:BB46"/>
    <mergeCell ref="AQ13:AQ46"/>
    <mergeCell ref="AR13:AR46"/>
    <mergeCell ref="AS13:AS46"/>
    <mergeCell ref="AT13:AT46"/>
    <mergeCell ref="AU13:AU46"/>
    <mergeCell ref="AV13:AV46"/>
    <mergeCell ref="AK13:AK46"/>
    <mergeCell ref="AL13:AL46"/>
    <mergeCell ref="AM13:AM46"/>
    <mergeCell ref="AN13:AN46"/>
    <mergeCell ref="AO13:AO46"/>
    <mergeCell ref="AP13:AP46"/>
    <mergeCell ref="BU13:BU46"/>
    <mergeCell ref="G16:G18"/>
    <mergeCell ref="H16:H18"/>
    <mergeCell ref="I16:I18"/>
    <mergeCell ref="J16:J18"/>
    <mergeCell ref="K16:K18"/>
    <mergeCell ref="L16:L18"/>
    <mergeCell ref="M16:M18"/>
    <mergeCell ref="N16:N18"/>
    <mergeCell ref="O16:O18"/>
    <mergeCell ref="BO13:BO46"/>
    <mergeCell ref="BP13:BP46"/>
    <mergeCell ref="BQ13:BQ46"/>
    <mergeCell ref="BR13:BR46"/>
    <mergeCell ref="BS13:BS46"/>
    <mergeCell ref="BT13:BT46"/>
    <mergeCell ref="BI13:BI46"/>
    <mergeCell ref="BJ13:BJ46"/>
    <mergeCell ref="BK13:BK46"/>
    <mergeCell ref="BL13:BL46"/>
    <mergeCell ref="M45:M46"/>
    <mergeCell ref="N45:N46"/>
    <mergeCell ref="O45:O46"/>
    <mergeCell ref="P45:P46"/>
    <mergeCell ref="S45:S46"/>
    <mergeCell ref="BM13:BM46"/>
    <mergeCell ref="BN13:BN46"/>
    <mergeCell ref="BC13:BC46"/>
    <mergeCell ref="BD13:BD46"/>
    <mergeCell ref="BE13:BE46"/>
    <mergeCell ref="BF13:BF46"/>
    <mergeCell ref="BG13:BG46"/>
    <mergeCell ref="G45:G46"/>
    <mergeCell ref="H45:H46"/>
    <mergeCell ref="I45:I46"/>
    <mergeCell ref="J45:J46"/>
    <mergeCell ref="K45:K46"/>
    <mergeCell ref="L45:L46"/>
    <mergeCell ref="N26:N42"/>
    <mergeCell ref="O26:O42"/>
    <mergeCell ref="P26:P42"/>
    <mergeCell ref="S26:S42"/>
    <mergeCell ref="R13:R46"/>
    <mergeCell ref="S13:S15"/>
    <mergeCell ref="H26:H42"/>
    <mergeCell ref="I26:I42"/>
    <mergeCell ref="J26:J42"/>
    <mergeCell ref="K26:K42"/>
    <mergeCell ref="L26:L42"/>
    <mergeCell ref="M26:M42"/>
    <mergeCell ref="P19:P21"/>
    <mergeCell ref="S19:S21"/>
    <mergeCell ref="G22:G25"/>
    <mergeCell ref="H22:H25"/>
    <mergeCell ref="L13:L15"/>
    <mergeCell ref="M13:M15"/>
    <mergeCell ref="N13:N15"/>
    <mergeCell ref="O13:O15"/>
    <mergeCell ref="P13:P15"/>
    <mergeCell ref="Q13:Q46"/>
    <mergeCell ref="P16:P18"/>
    <mergeCell ref="M19:M21"/>
    <mergeCell ref="N19:N21"/>
    <mergeCell ref="O19:O21"/>
    <mergeCell ref="R47:R63"/>
    <mergeCell ref="S47:S50"/>
    <mergeCell ref="T47:T63"/>
    <mergeCell ref="U47:U63"/>
    <mergeCell ref="V47:V50"/>
    <mergeCell ref="AD47:AD63"/>
    <mergeCell ref="S51:S63"/>
    <mergeCell ref="V51:V63"/>
    <mergeCell ref="L47:L50"/>
    <mergeCell ref="M47:M50"/>
    <mergeCell ref="N47:N50"/>
    <mergeCell ref="O47:O50"/>
    <mergeCell ref="P47:P50"/>
    <mergeCell ref="Q47:Q63"/>
    <mergeCell ref="P51:P63"/>
    <mergeCell ref="G47:G50"/>
    <mergeCell ref="H47:H50"/>
    <mergeCell ref="I47:I50"/>
    <mergeCell ref="J47:J50"/>
    <mergeCell ref="K47:K50"/>
    <mergeCell ref="BA47:BA63"/>
    <mergeCell ref="BB47:BB63"/>
    <mergeCell ref="AQ47:AQ63"/>
    <mergeCell ref="AR47:AR63"/>
    <mergeCell ref="AS47:AS63"/>
    <mergeCell ref="AT47:AT63"/>
    <mergeCell ref="AU47:AU63"/>
    <mergeCell ref="AV47:AV63"/>
    <mergeCell ref="AK47:AK63"/>
    <mergeCell ref="AL47:AL63"/>
    <mergeCell ref="AM47:AM63"/>
    <mergeCell ref="AN47:AN63"/>
    <mergeCell ref="AO47:AO63"/>
    <mergeCell ref="AP47:AP63"/>
    <mergeCell ref="AE47:AE63"/>
    <mergeCell ref="AF47:AF63"/>
    <mergeCell ref="AG47:AG63"/>
    <mergeCell ref="AH47:AH63"/>
    <mergeCell ref="AI47:AI63"/>
    <mergeCell ref="AJ47:AJ63"/>
    <mergeCell ref="BU47:BU63"/>
    <mergeCell ref="G51:G63"/>
    <mergeCell ref="H51:H63"/>
    <mergeCell ref="I51:I63"/>
    <mergeCell ref="J51:J63"/>
    <mergeCell ref="K51:K63"/>
    <mergeCell ref="L51:L63"/>
    <mergeCell ref="M51:M63"/>
    <mergeCell ref="N51:N63"/>
    <mergeCell ref="O51:O63"/>
    <mergeCell ref="BO47:BO63"/>
    <mergeCell ref="BP47:BP63"/>
    <mergeCell ref="BQ47:BQ63"/>
    <mergeCell ref="BR47:BR63"/>
    <mergeCell ref="BS47:BS63"/>
    <mergeCell ref="BT47:BT63"/>
    <mergeCell ref="BI47:BI63"/>
    <mergeCell ref="BJ47:BJ63"/>
    <mergeCell ref="BK47:BK63"/>
    <mergeCell ref="BL47:BL63"/>
    <mergeCell ref="BM47:BM63"/>
    <mergeCell ref="BN47:BN63"/>
    <mergeCell ref="BC47:BC63"/>
    <mergeCell ref="BD47:BD63"/>
    <mergeCell ref="BE47:BE63"/>
    <mergeCell ref="BF47:BF63"/>
    <mergeCell ref="BG47:BG63"/>
    <mergeCell ref="BH47:BH63"/>
    <mergeCell ref="AW47:AW63"/>
    <mergeCell ref="AX47:AX63"/>
    <mergeCell ref="AY47:AY63"/>
    <mergeCell ref="AZ47:AZ63"/>
    <mergeCell ref="AP64:AP79"/>
    <mergeCell ref="AE64:AE79"/>
    <mergeCell ref="AF64:AF79"/>
    <mergeCell ref="AG64:AG79"/>
    <mergeCell ref="AH64:AH79"/>
    <mergeCell ref="AI64:AI79"/>
    <mergeCell ref="AJ64:AJ79"/>
    <mergeCell ref="S64:S74"/>
    <mergeCell ref="T64:T79"/>
    <mergeCell ref="U64:U79"/>
    <mergeCell ref="V64:V79"/>
    <mergeCell ref="W64:W65"/>
    <mergeCell ref="AD64:AD79"/>
    <mergeCell ref="S75:S77"/>
    <mergeCell ref="G64:G74"/>
    <mergeCell ref="H64:H74"/>
    <mergeCell ref="I64:I74"/>
    <mergeCell ref="J64:J74"/>
    <mergeCell ref="K64:K74"/>
    <mergeCell ref="L64:L74"/>
    <mergeCell ref="BM64:BM79"/>
    <mergeCell ref="BN64:BN79"/>
    <mergeCell ref="BC64:BC79"/>
    <mergeCell ref="BD64:BD79"/>
    <mergeCell ref="BE64:BE79"/>
    <mergeCell ref="BF64:BF79"/>
    <mergeCell ref="BG64:BG79"/>
    <mergeCell ref="BH64:BH79"/>
    <mergeCell ref="AW64:AW79"/>
    <mergeCell ref="AX64:AX79"/>
    <mergeCell ref="AY64:AY79"/>
    <mergeCell ref="AZ64:AZ79"/>
    <mergeCell ref="BA64:BA79"/>
    <mergeCell ref="BB64:BB79"/>
    <mergeCell ref="AQ64:AQ79"/>
    <mergeCell ref="AR64:AR79"/>
    <mergeCell ref="AS64:AS79"/>
    <mergeCell ref="AT64:AT79"/>
    <mergeCell ref="AU64:AU79"/>
    <mergeCell ref="AV64:AV79"/>
    <mergeCell ref="G80:G82"/>
    <mergeCell ref="H80:H82"/>
    <mergeCell ref="I80:I82"/>
    <mergeCell ref="J80:J82"/>
    <mergeCell ref="K80:K82"/>
    <mergeCell ref="L80:L82"/>
    <mergeCell ref="G78:G79"/>
    <mergeCell ref="H78:H79"/>
    <mergeCell ref="I78:I79"/>
    <mergeCell ref="J78:J79"/>
    <mergeCell ref="K78:K79"/>
    <mergeCell ref="L78:L79"/>
    <mergeCell ref="BU64:BU79"/>
    <mergeCell ref="W66:W69"/>
    <mergeCell ref="W70:W71"/>
    <mergeCell ref="G75:G77"/>
    <mergeCell ref="H75:H77"/>
    <mergeCell ref="I75:I77"/>
    <mergeCell ref="J75:J77"/>
    <mergeCell ref="K75:K77"/>
    <mergeCell ref="L75:L77"/>
    <mergeCell ref="M75:M77"/>
    <mergeCell ref="BO64:BO79"/>
    <mergeCell ref="BP64:BP79"/>
    <mergeCell ref="BQ64:BQ79"/>
    <mergeCell ref="BR64:BR79"/>
    <mergeCell ref="BS64:BS79"/>
    <mergeCell ref="BT64:BT79"/>
    <mergeCell ref="BI64:BI79"/>
    <mergeCell ref="BJ64:BJ79"/>
    <mergeCell ref="BK64:BK79"/>
    <mergeCell ref="BL64:BL79"/>
    <mergeCell ref="BC80:BC82"/>
    <mergeCell ref="S80:S82"/>
    <mergeCell ref="T80:T82"/>
    <mergeCell ref="U80:U82"/>
    <mergeCell ref="V80:V82"/>
    <mergeCell ref="AD80:AD82"/>
    <mergeCell ref="AE80:AE82"/>
    <mergeCell ref="M80:M82"/>
    <mergeCell ref="N80:N82"/>
    <mergeCell ref="O80:O82"/>
    <mergeCell ref="P80:P82"/>
    <mergeCell ref="Q80:Q82"/>
    <mergeCell ref="R80:R82"/>
    <mergeCell ref="N78:N79"/>
    <mergeCell ref="O78:O79"/>
    <mergeCell ref="P78:P79"/>
    <mergeCell ref="S78:S79"/>
    <mergeCell ref="AK64:AK79"/>
    <mergeCell ref="M64:M74"/>
    <mergeCell ref="N64:N74"/>
    <mergeCell ref="O64:O74"/>
    <mergeCell ref="P64:P74"/>
    <mergeCell ref="Q64:Q79"/>
    <mergeCell ref="R64:R79"/>
    <mergeCell ref="N75:N77"/>
    <mergeCell ref="O75:O77"/>
    <mergeCell ref="P75:P77"/>
    <mergeCell ref="M78:M79"/>
    <mergeCell ref="AL64:AL79"/>
    <mergeCell ref="AM64:AM79"/>
    <mergeCell ref="AN64:AN79"/>
    <mergeCell ref="AO64:AO79"/>
    <mergeCell ref="AI80:AI82"/>
    <mergeCell ref="AJ80:AJ82"/>
    <mergeCell ref="AK80:AK82"/>
    <mergeCell ref="BE83:BE90"/>
    <mergeCell ref="BF83:BF90"/>
    <mergeCell ref="BG83:BG90"/>
    <mergeCell ref="BH83:BH90"/>
    <mergeCell ref="AW83:AW90"/>
    <mergeCell ref="AX83:AX90"/>
    <mergeCell ref="AY83:AY90"/>
    <mergeCell ref="AZ83:AZ90"/>
    <mergeCell ref="BR80:BR82"/>
    <mergeCell ref="BS80:BS82"/>
    <mergeCell ref="BT80:BT82"/>
    <mergeCell ref="BU80:BU82"/>
    <mergeCell ref="BJ80:BJ82"/>
    <mergeCell ref="BK80:BK82"/>
    <mergeCell ref="BL80:BL82"/>
    <mergeCell ref="BM80:BM82"/>
    <mergeCell ref="BN80:BN82"/>
    <mergeCell ref="BO80:BO82"/>
    <mergeCell ref="BD80:BD82"/>
    <mergeCell ref="BE80:BE82"/>
    <mergeCell ref="BF80:BF82"/>
    <mergeCell ref="BG80:BG82"/>
    <mergeCell ref="BH80:BH82"/>
    <mergeCell ref="BI80:BI82"/>
    <mergeCell ref="AX80:AX82"/>
    <mergeCell ref="AY80:AY82"/>
    <mergeCell ref="AZ80:AZ82"/>
    <mergeCell ref="BA80:BA82"/>
    <mergeCell ref="BB80:BB82"/>
    <mergeCell ref="AN83:AN90"/>
    <mergeCell ref="AO83:AO90"/>
    <mergeCell ref="AP83:AP90"/>
    <mergeCell ref="G89:G90"/>
    <mergeCell ref="H89:H90"/>
    <mergeCell ref="I89:I90"/>
    <mergeCell ref="J89:J90"/>
    <mergeCell ref="K89:K90"/>
    <mergeCell ref="L89:L90"/>
    <mergeCell ref="M89:M90"/>
    <mergeCell ref="N89:N90"/>
    <mergeCell ref="T83:T90"/>
    <mergeCell ref="U83:U90"/>
    <mergeCell ref="V83:V90"/>
    <mergeCell ref="AD83:AD90"/>
    <mergeCell ref="BP80:BP82"/>
    <mergeCell ref="BQ80:BQ82"/>
    <mergeCell ref="AR80:AR82"/>
    <mergeCell ref="AS80:AS82"/>
    <mergeCell ref="AT80:AT82"/>
    <mergeCell ref="AU80:AU82"/>
    <mergeCell ref="AV80:AV82"/>
    <mergeCell ref="AW80:AW82"/>
    <mergeCell ref="AL80:AL82"/>
    <mergeCell ref="AM80:AM82"/>
    <mergeCell ref="AN80:AN82"/>
    <mergeCell ref="AO80:AO82"/>
    <mergeCell ref="AP80:AP82"/>
    <mergeCell ref="AQ80:AQ82"/>
    <mergeCell ref="AF80:AF82"/>
    <mergeCell ref="AG80:AG82"/>
    <mergeCell ref="AH80:AH82"/>
    <mergeCell ref="BU83:BU90"/>
    <mergeCell ref="G85:G88"/>
    <mergeCell ref="H85:H88"/>
    <mergeCell ref="I85:I88"/>
    <mergeCell ref="J85:J88"/>
    <mergeCell ref="K85:K88"/>
    <mergeCell ref="L85:L88"/>
    <mergeCell ref="M85:M88"/>
    <mergeCell ref="N85:N88"/>
    <mergeCell ref="O85:O88"/>
    <mergeCell ref="BO83:BO90"/>
    <mergeCell ref="BP83:BP90"/>
    <mergeCell ref="BQ83:BQ90"/>
    <mergeCell ref="BR83:BR90"/>
    <mergeCell ref="BS83:BS90"/>
    <mergeCell ref="BT83:BT90"/>
    <mergeCell ref="BI83:BI90"/>
    <mergeCell ref="BJ83:BJ90"/>
    <mergeCell ref="BK83:BK90"/>
    <mergeCell ref="BL83:BL90"/>
    <mergeCell ref="BM83:BM90"/>
    <mergeCell ref="BN83:BN90"/>
    <mergeCell ref="BC83:BC90"/>
    <mergeCell ref="BD83:BD90"/>
    <mergeCell ref="BA83:BA90"/>
    <mergeCell ref="BB83:BB90"/>
    <mergeCell ref="AQ83:AQ90"/>
    <mergeCell ref="AR83:AR90"/>
    <mergeCell ref="AS83:AS90"/>
    <mergeCell ref="AT83:AT90"/>
    <mergeCell ref="AU83:AU90"/>
    <mergeCell ref="AV83:AV90"/>
    <mergeCell ref="AD91:AD95"/>
    <mergeCell ref="AE91:AE95"/>
    <mergeCell ref="AF91:AF95"/>
    <mergeCell ref="AG91:AG95"/>
    <mergeCell ref="AC94:AC95"/>
    <mergeCell ref="AB94:AB95"/>
    <mergeCell ref="O89:O90"/>
    <mergeCell ref="P89:P90"/>
    <mergeCell ref="S89:S90"/>
    <mergeCell ref="Q91:Q95"/>
    <mergeCell ref="R91:R95"/>
    <mergeCell ref="T91:T95"/>
    <mergeCell ref="AK83:AK90"/>
    <mergeCell ref="AL83:AL90"/>
    <mergeCell ref="AM83:AM90"/>
    <mergeCell ref="P85:P88"/>
    <mergeCell ref="S85:S88"/>
    <mergeCell ref="AE83:AE90"/>
    <mergeCell ref="AF83:AF90"/>
    <mergeCell ref="AG83:AG90"/>
    <mergeCell ref="AH83:AH90"/>
    <mergeCell ref="AI83:AI90"/>
    <mergeCell ref="AJ83:AJ90"/>
    <mergeCell ref="Q83:Q90"/>
    <mergeCell ref="R83:R90"/>
    <mergeCell ref="S94:S95"/>
    <mergeCell ref="BS91:BS95"/>
    <mergeCell ref="BT91:BT95"/>
    <mergeCell ref="BU91:BU95"/>
    <mergeCell ref="G94:G95"/>
    <mergeCell ref="H94:H95"/>
    <mergeCell ref="I94:I95"/>
    <mergeCell ref="J94:J95"/>
    <mergeCell ref="K94:K95"/>
    <mergeCell ref="L94:L95"/>
    <mergeCell ref="BL91:BL95"/>
    <mergeCell ref="BM91:BM95"/>
    <mergeCell ref="BN91:BN95"/>
    <mergeCell ref="BO91:BO95"/>
    <mergeCell ref="BP91:BP95"/>
    <mergeCell ref="BQ91:BQ95"/>
    <mergeCell ref="BF91:BF95"/>
    <mergeCell ref="BG91:BG95"/>
    <mergeCell ref="BH91:BH95"/>
    <mergeCell ref="BI91:BI95"/>
    <mergeCell ref="BJ91:BJ95"/>
    <mergeCell ref="BK91:BK95"/>
    <mergeCell ref="AZ91:AZ95"/>
    <mergeCell ref="BA91:BA95"/>
    <mergeCell ref="BB91:BB95"/>
    <mergeCell ref="BC91:BC95"/>
    <mergeCell ref="BD91:BD95"/>
    <mergeCell ref="BE91:BE95"/>
    <mergeCell ref="AT91:AT95"/>
    <mergeCell ref="AU91:AU95"/>
    <mergeCell ref="AV91:AV95"/>
    <mergeCell ref="AW91:AW95"/>
    <mergeCell ref="AX91:AX95"/>
    <mergeCell ref="G97:G100"/>
    <mergeCell ref="H97:H100"/>
    <mergeCell ref="I97:I100"/>
    <mergeCell ref="J97:J100"/>
    <mergeCell ref="K97:K100"/>
    <mergeCell ref="L97:L100"/>
    <mergeCell ref="M94:M95"/>
    <mergeCell ref="N94:N95"/>
    <mergeCell ref="O94:O95"/>
    <mergeCell ref="P94:P95"/>
    <mergeCell ref="G101:G105"/>
    <mergeCell ref="H101:H105"/>
    <mergeCell ref="I101:I105"/>
    <mergeCell ref="J101:J105"/>
    <mergeCell ref="K101:K105"/>
    <mergeCell ref="L101:L105"/>
    <mergeCell ref="BR91:BR95"/>
    <mergeCell ref="AY91:AY95"/>
    <mergeCell ref="AN91:AN95"/>
    <mergeCell ref="AO91:AO95"/>
    <mergeCell ref="AP91:AP95"/>
    <mergeCell ref="AQ91:AQ95"/>
    <mergeCell ref="AR91:AR95"/>
    <mergeCell ref="AS91:AS95"/>
    <mergeCell ref="AH91:AH95"/>
    <mergeCell ref="AI91:AI95"/>
    <mergeCell ref="AJ91:AJ95"/>
    <mergeCell ref="AK91:AK95"/>
    <mergeCell ref="AL91:AL95"/>
    <mergeCell ref="AM91:AM95"/>
    <mergeCell ref="U91:U95"/>
    <mergeCell ref="V91:V95"/>
    <mergeCell ref="AF97:AF105"/>
    <mergeCell ref="AG97:AG105"/>
    <mergeCell ref="AH97:AH105"/>
    <mergeCell ref="AI97:AI105"/>
    <mergeCell ref="AJ97:AJ105"/>
    <mergeCell ref="AK97:AK105"/>
    <mergeCell ref="S97:S100"/>
    <mergeCell ref="T97:T105"/>
    <mergeCell ref="U97:U105"/>
    <mergeCell ref="V97:V100"/>
    <mergeCell ref="AD97:AD105"/>
    <mergeCell ref="AE97:AE105"/>
    <mergeCell ref="S101:S105"/>
    <mergeCell ref="V101:V105"/>
    <mergeCell ref="M97:M100"/>
    <mergeCell ref="N97:N100"/>
    <mergeCell ref="O97:O100"/>
    <mergeCell ref="P97:P100"/>
    <mergeCell ref="Q97:Q105"/>
    <mergeCell ref="R97:R105"/>
    <mergeCell ref="M101:M105"/>
    <mergeCell ref="N101:N105"/>
    <mergeCell ref="O101:O105"/>
    <mergeCell ref="P101:P105"/>
    <mergeCell ref="BP97:BP105"/>
    <mergeCell ref="BQ97:BQ105"/>
    <mergeCell ref="BR97:BR105"/>
    <mergeCell ref="BS97:BS105"/>
    <mergeCell ref="BT97:BT105"/>
    <mergeCell ref="BU97:BU105"/>
    <mergeCell ref="BJ97:BJ105"/>
    <mergeCell ref="BK97:BK105"/>
    <mergeCell ref="BL97:BL105"/>
    <mergeCell ref="BM97:BM105"/>
    <mergeCell ref="BN97:BN105"/>
    <mergeCell ref="BO97:BO105"/>
    <mergeCell ref="BD97:BD105"/>
    <mergeCell ref="BE97:BE105"/>
    <mergeCell ref="BF97:BF105"/>
    <mergeCell ref="BG97:BG105"/>
    <mergeCell ref="BH97:BH105"/>
    <mergeCell ref="BI97:BI105"/>
    <mergeCell ref="AQ106:AQ122"/>
    <mergeCell ref="AR106:AR122"/>
    <mergeCell ref="AS106:AS122"/>
    <mergeCell ref="AT106:AT122"/>
    <mergeCell ref="AU106:AU122"/>
    <mergeCell ref="AV106:AV122"/>
    <mergeCell ref="AK106:AK122"/>
    <mergeCell ref="AL106:AL122"/>
    <mergeCell ref="AM106:AM122"/>
    <mergeCell ref="AN106:AN122"/>
    <mergeCell ref="AO106:AO122"/>
    <mergeCell ref="AP106:AP122"/>
    <mergeCell ref="AT97:AT105"/>
    <mergeCell ref="AU97:AU105"/>
    <mergeCell ref="AV97:AV105"/>
    <mergeCell ref="AW97:AW105"/>
    <mergeCell ref="AL97:AL105"/>
    <mergeCell ref="AM97:AM105"/>
    <mergeCell ref="AN97:AN105"/>
    <mergeCell ref="AO97:AO105"/>
    <mergeCell ref="AP97:AP105"/>
    <mergeCell ref="AQ97:AQ105"/>
    <mergeCell ref="BF106:BF122"/>
    <mergeCell ref="BG106:BG122"/>
    <mergeCell ref="BH106:BH122"/>
    <mergeCell ref="AW106:AW122"/>
    <mergeCell ref="AX106:AX122"/>
    <mergeCell ref="AY106:AY122"/>
    <mergeCell ref="AZ106:AZ122"/>
    <mergeCell ref="AX97:AX105"/>
    <mergeCell ref="AY97:AY105"/>
    <mergeCell ref="AZ97:AZ105"/>
    <mergeCell ref="BA97:BA105"/>
    <mergeCell ref="BB97:BB105"/>
    <mergeCell ref="BC97:BC105"/>
    <mergeCell ref="AR97:AR105"/>
    <mergeCell ref="AS97:AS105"/>
    <mergeCell ref="BA106:BA122"/>
    <mergeCell ref="BB106:BB122"/>
    <mergeCell ref="N111:N115"/>
    <mergeCell ref="O111:O115"/>
    <mergeCell ref="P111:P115"/>
    <mergeCell ref="S111:S115"/>
    <mergeCell ref="G116:G117"/>
    <mergeCell ref="H116:H117"/>
    <mergeCell ref="I116:I117"/>
    <mergeCell ref="BU106:BU122"/>
    <mergeCell ref="G107:G108"/>
    <mergeCell ref="H107:H108"/>
    <mergeCell ref="I107:I108"/>
    <mergeCell ref="J107:J108"/>
    <mergeCell ref="K107:K108"/>
    <mergeCell ref="L107:L108"/>
    <mergeCell ref="M107:M108"/>
    <mergeCell ref="N107:N108"/>
    <mergeCell ref="O107:O108"/>
    <mergeCell ref="BO106:BO122"/>
    <mergeCell ref="BP106:BP122"/>
    <mergeCell ref="BQ106:BQ122"/>
    <mergeCell ref="BR106:BR122"/>
    <mergeCell ref="BS106:BS122"/>
    <mergeCell ref="BT106:BT122"/>
    <mergeCell ref="BI106:BI122"/>
    <mergeCell ref="BJ106:BJ122"/>
    <mergeCell ref="BK106:BK122"/>
    <mergeCell ref="BL106:BL122"/>
    <mergeCell ref="BM106:BM122"/>
    <mergeCell ref="BN106:BN122"/>
    <mergeCell ref="BC106:BC122"/>
    <mergeCell ref="BD106:BD122"/>
    <mergeCell ref="BE106:BE122"/>
    <mergeCell ref="J121:J122"/>
    <mergeCell ref="K121:K122"/>
    <mergeCell ref="G118:G120"/>
    <mergeCell ref="H118:H120"/>
    <mergeCell ref="I118:I120"/>
    <mergeCell ref="J118:J120"/>
    <mergeCell ref="K118:K120"/>
    <mergeCell ref="G111:G115"/>
    <mergeCell ref="H111:H115"/>
    <mergeCell ref="I111:I115"/>
    <mergeCell ref="J111:J115"/>
    <mergeCell ref="K111:K115"/>
    <mergeCell ref="L111:L115"/>
    <mergeCell ref="P107:P108"/>
    <mergeCell ref="S107:S108"/>
    <mergeCell ref="G109:G110"/>
    <mergeCell ref="H109:H110"/>
    <mergeCell ref="I109:I110"/>
    <mergeCell ref="J109:J110"/>
    <mergeCell ref="K109:K110"/>
    <mergeCell ref="L109:L110"/>
    <mergeCell ref="M109:M110"/>
    <mergeCell ref="N109:N110"/>
    <mergeCell ref="Q106:Q122"/>
    <mergeCell ref="R106:R122"/>
    <mergeCell ref="L116:L117"/>
    <mergeCell ref="M116:M117"/>
    <mergeCell ref="N116:N117"/>
    <mergeCell ref="O116:O117"/>
    <mergeCell ref="P116:P117"/>
    <mergeCell ref="S116:S117"/>
    <mergeCell ref="M111:M115"/>
    <mergeCell ref="T106:T122"/>
    <mergeCell ref="U106:U122"/>
    <mergeCell ref="V106:V108"/>
    <mergeCell ref="AD106:AD122"/>
    <mergeCell ref="AE106:AE122"/>
    <mergeCell ref="AF106:AF122"/>
    <mergeCell ref="AG106:AG122"/>
    <mergeCell ref="J116:J117"/>
    <mergeCell ref="K116:K117"/>
    <mergeCell ref="O109:O110"/>
    <mergeCell ref="P109:P110"/>
    <mergeCell ref="S109:S110"/>
    <mergeCell ref="G123:G134"/>
    <mergeCell ref="H123:H134"/>
    <mergeCell ref="I123:I134"/>
    <mergeCell ref="J123:J134"/>
    <mergeCell ref="K123:K134"/>
    <mergeCell ref="L123:L134"/>
    <mergeCell ref="L121:L122"/>
    <mergeCell ref="M121:M122"/>
    <mergeCell ref="N121:N122"/>
    <mergeCell ref="O121:O122"/>
    <mergeCell ref="P121:P122"/>
    <mergeCell ref="S121:S122"/>
    <mergeCell ref="M118:M120"/>
    <mergeCell ref="N118:N120"/>
    <mergeCell ref="O118:O120"/>
    <mergeCell ref="P118:P120"/>
    <mergeCell ref="S118:S120"/>
    <mergeCell ref="G121:G122"/>
    <mergeCell ref="H121:H122"/>
    <mergeCell ref="I121:I122"/>
    <mergeCell ref="AW123:AW144"/>
    <mergeCell ref="AL123:AL144"/>
    <mergeCell ref="AM123:AM144"/>
    <mergeCell ref="AN123:AN144"/>
    <mergeCell ref="AO123:AO144"/>
    <mergeCell ref="AP123:AP144"/>
    <mergeCell ref="AQ123:AQ144"/>
    <mergeCell ref="L118:L120"/>
    <mergeCell ref="AF123:AF144"/>
    <mergeCell ref="AG123:AG144"/>
    <mergeCell ref="AH123:AH144"/>
    <mergeCell ref="AI123:AI144"/>
    <mergeCell ref="AJ123:AJ144"/>
    <mergeCell ref="AK123:AK144"/>
    <mergeCell ref="S123:S134"/>
    <mergeCell ref="T123:T144"/>
    <mergeCell ref="U123:U144"/>
    <mergeCell ref="V123:V144"/>
    <mergeCell ref="AD123:AD144"/>
    <mergeCell ref="AE123:AE144"/>
    <mergeCell ref="S135:S144"/>
    <mergeCell ref="M123:M134"/>
    <mergeCell ref="N123:N134"/>
    <mergeCell ref="O123:O134"/>
    <mergeCell ref="P123:P134"/>
    <mergeCell ref="Q123:Q144"/>
    <mergeCell ref="R123:R144"/>
    <mergeCell ref="M135:M144"/>
    <mergeCell ref="N135:N144"/>
    <mergeCell ref="O135:O144"/>
    <mergeCell ref="P135:P144"/>
    <mergeCell ref="V109:V122"/>
    <mergeCell ref="AH106:AH122"/>
    <mergeCell ref="AI106:AI122"/>
    <mergeCell ref="AJ106:AJ122"/>
    <mergeCell ref="BP123:BP144"/>
    <mergeCell ref="BQ123:BQ144"/>
    <mergeCell ref="BR123:BR144"/>
    <mergeCell ref="BS123:BS144"/>
    <mergeCell ref="BT123:BT144"/>
    <mergeCell ref="BU123:BU144"/>
    <mergeCell ref="BJ123:BJ144"/>
    <mergeCell ref="BK123:BK144"/>
    <mergeCell ref="BL123:BL144"/>
    <mergeCell ref="BM123:BM144"/>
    <mergeCell ref="BN123:BN144"/>
    <mergeCell ref="BO123:BO144"/>
    <mergeCell ref="BD123:BD144"/>
    <mergeCell ref="BE123:BE144"/>
    <mergeCell ref="BF123:BF144"/>
    <mergeCell ref="BG123:BG144"/>
    <mergeCell ref="BH123:BH144"/>
    <mergeCell ref="BI123:BI144"/>
    <mergeCell ref="AX123:AX144"/>
    <mergeCell ref="AY123:AY144"/>
    <mergeCell ref="AZ123:AZ144"/>
    <mergeCell ref="BA123:BA144"/>
    <mergeCell ref="BB123:BB144"/>
    <mergeCell ref="BC123:BC144"/>
    <mergeCell ref="AR123:AR144"/>
    <mergeCell ref="AS123:AS144"/>
    <mergeCell ref="AT123:AT144"/>
    <mergeCell ref="AU123:AU144"/>
    <mergeCell ref="AV123:AV144"/>
    <mergeCell ref="M145:M149"/>
    <mergeCell ref="N145:N149"/>
    <mergeCell ref="O145:O149"/>
    <mergeCell ref="P145:P149"/>
    <mergeCell ref="Q145:Q160"/>
    <mergeCell ref="R145:R160"/>
    <mergeCell ref="M150:M154"/>
    <mergeCell ref="N150:N154"/>
    <mergeCell ref="O150:O154"/>
    <mergeCell ref="P150:P154"/>
    <mergeCell ref="G145:G149"/>
    <mergeCell ref="H145:H149"/>
    <mergeCell ref="I145:I149"/>
    <mergeCell ref="J145:J149"/>
    <mergeCell ref="K145:K149"/>
    <mergeCell ref="L145:L149"/>
    <mergeCell ref="G135:G144"/>
    <mergeCell ref="H135:H144"/>
    <mergeCell ref="I135:I144"/>
    <mergeCell ref="J135:J144"/>
    <mergeCell ref="K135:K144"/>
    <mergeCell ref="L135:L144"/>
    <mergeCell ref="G150:G154"/>
    <mergeCell ref="H150:H154"/>
    <mergeCell ref="I150:I154"/>
    <mergeCell ref="J150:J154"/>
    <mergeCell ref="K150:K154"/>
    <mergeCell ref="L150:L154"/>
    <mergeCell ref="AT145:AT160"/>
    <mergeCell ref="AU145:AU160"/>
    <mergeCell ref="AV145:AV160"/>
    <mergeCell ref="AW145:AW160"/>
    <mergeCell ref="AL145:AL160"/>
    <mergeCell ref="AM145:AM160"/>
    <mergeCell ref="AN145:AN160"/>
    <mergeCell ref="AO145:AO160"/>
    <mergeCell ref="AP145:AP160"/>
    <mergeCell ref="AQ145:AQ160"/>
    <mergeCell ref="AF145:AF160"/>
    <mergeCell ref="AG145:AG160"/>
    <mergeCell ref="AH145:AH160"/>
    <mergeCell ref="AI145:AI160"/>
    <mergeCell ref="AJ145:AJ160"/>
    <mergeCell ref="AK145:AK160"/>
    <mergeCell ref="S145:S149"/>
    <mergeCell ref="T145:T160"/>
    <mergeCell ref="U145:U160"/>
    <mergeCell ref="V145:V149"/>
    <mergeCell ref="AD145:AD160"/>
    <mergeCell ref="AE145:AE160"/>
    <mergeCell ref="S150:S154"/>
    <mergeCell ref="V150:V154"/>
    <mergeCell ref="BP145:BP160"/>
    <mergeCell ref="BQ145:BQ160"/>
    <mergeCell ref="BR145:BR160"/>
    <mergeCell ref="BS145:BS160"/>
    <mergeCell ref="BT145:BT160"/>
    <mergeCell ref="BU145:BU160"/>
    <mergeCell ref="BJ145:BJ160"/>
    <mergeCell ref="BK145:BK160"/>
    <mergeCell ref="BL145:BL160"/>
    <mergeCell ref="BM145:BM160"/>
    <mergeCell ref="BN145:BN160"/>
    <mergeCell ref="BO145:BO160"/>
    <mergeCell ref="BD145:BD160"/>
    <mergeCell ref="BE145:BE160"/>
    <mergeCell ref="BF145:BF160"/>
    <mergeCell ref="BG145:BG160"/>
    <mergeCell ref="BH145:BH160"/>
    <mergeCell ref="BI145:BI160"/>
    <mergeCell ref="AX145:AX160"/>
    <mergeCell ref="AY145:AY160"/>
    <mergeCell ref="AZ145:AZ160"/>
    <mergeCell ref="BA145:BA160"/>
    <mergeCell ref="BB145:BB160"/>
    <mergeCell ref="BC145:BC160"/>
    <mergeCell ref="AR145:AR160"/>
    <mergeCell ref="AS145:AS160"/>
    <mergeCell ref="G161:G165"/>
    <mergeCell ref="H161:H165"/>
    <mergeCell ref="I161:I165"/>
    <mergeCell ref="J161:J165"/>
    <mergeCell ref="K161:K165"/>
    <mergeCell ref="L161:L165"/>
    <mergeCell ref="M155:M160"/>
    <mergeCell ref="N155:N160"/>
    <mergeCell ref="O155:O160"/>
    <mergeCell ref="P155:P160"/>
    <mergeCell ref="S155:S160"/>
    <mergeCell ref="V155:V160"/>
    <mergeCell ref="G155:G160"/>
    <mergeCell ref="H155:H160"/>
    <mergeCell ref="I155:I160"/>
    <mergeCell ref="J155:J160"/>
    <mergeCell ref="K155:K160"/>
    <mergeCell ref="L155:L160"/>
    <mergeCell ref="AI161:AI169"/>
    <mergeCell ref="AJ161:AJ169"/>
    <mergeCell ref="AK161:AK169"/>
    <mergeCell ref="S161:S165"/>
    <mergeCell ref="T161:T169"/>
    <mergeCell ref="U161:U169"/>
    <mergeCell ref="AE161:AE169"/>
    <mergeCell ref="S166:S169"/>
    <mergeCell ref="V166:V169"/>
    <mergeCell ref="M161:M165"/>
    <mergeCell ref="N161:N165"/>
    <mergeCell ref="O161:O165"/>
    <mergeCell ref="P161:P165"/>
    <mergeCell ref="Q161:Q169"/>
    <mergeCell ref="R161:R169"/>
    <mergeCell ref="M166:M169"/>
    <mergeCell ref="N166:N169"/>
    <mergeCell ref="O166:O169"/>
    <mergeCell ref="P166:P169"/>
    <mergeCell ref="BU161:BU169"/>
    <mergeCell ref="BJ161:BJ169"/>
    <mergeCell ref="BK161:BK169"/>
    <mergeCell ref="BL161:BL169"/>
    <mergeCell ref="BM161:BM169"/>
    <mergeCell ref="BN161:BN169"/>
    <mergeCell ref="BO161:BO169"/>
    <mergeCell ref="BD161:BD169"/>
    <mergeCell ref="BE161:BE169"/>
    <mergeCell ref="BF161:BF169"/>
    <mergeCell ref="BG161:BG169"/>
    <mergeCell ref="BH161:BH169"/>
    <mergeCell ref="BI161:BI169"/>
    <mergeCell ref="AX161:AX169"/>
    <mergeCell ref="AY161:AY169"/>
    <mergeCell ref="AZ161:AZ169"/>
    <mergeCell ref="BA161:BA169"/>
    <mergeCell ref="BS161:BS169"/>
    <mergeCell ref="BT161:BT169"/>
    <mergeCell ref="G170:G176"/>
    <mergeCell ref="H170:H176"/>
    <mergeCell ref="I170:I176"/>
    <mergeCell ref="J170:J176"/>
    <mergeCell ref="K170:K176"/>
    <mergeCell ref="L170:L176"/>
    <mergeCell ref="G166:G169"/>
    <mergeCell ref="H166:H169"/>
    <mergeCell ref="I166:I169"/>
    <mergeCell ref="J166:J169"/>
    <mergeCell ref="K166:K169"/>
    <mergeCell ref="L166:L169"/>
    <mergeCell ref="BP161:BP169"/>
    <mergeCell ref="BQ161:BQ169"/>
    <mergeCell ref="BR161:BR169"/>
    <mergeCell ref="AF170:AF187"/>
    <mergeCell ref="AG170:AG187"/>
    <mergeCell ref="AH170:AH187"/>
    <mergeCell ref="AI170:AI187"/>
    <mergeCell ref="AJ170:AJ187"/>
    <mergeCell ref="AK170:AK187"/>
    <mergeCell ref="S170:S176"/>
    <mergeCell ref="T170:T187"/>
    <mergeCell ref="U170:U187"/>
    <mergeCell ref="V170:V176"/>
    <mergeCell ref="AD170:AD187"/>
    <mergeCell ref="AE170:AE187"/>
    <mergeCell ref="S177:S182"/>
    <mergeCell ref="V177:V187"/>
    <mergeCell ref="M170:M176"/>
    <mergeCell ref="V161:V165"/>
    <mergeCell ref="AD161:AD169"/>
    <mergeCell ref="AR161:AR169"/>
    <mergeCell ref="AS161:AS169"/>
    <mergeCell ref="AT161:AT169"/>
    <mergeCell ref="AU161:AU169"/>
    <mergeCell ref="AV161:AV169"/>
    <mergeCell ref="AW161:AW169"/>
    <mergeCell ref="AL161:AL169"/>
    <mergeCell ref="AM161:AM169"/>
    <mergeCell ref="AN161:AN169"/>
    <mergeCell ref="AO161:AO169"/>
    <mergeCell ref="AP161:AP169"/>
    <mergeCell ref="AQ161:AQ169"/>
    <mergeCell ref="AF161:AF169"/>
    <mergeCell ref="AG161:AG169"/>
    <mergeCell ref="AH161:AH169"/>
    <mergeCell ref="BB161:BB169"/>
    <mergeCell ref="BC161:BC169"/>
    <mergeCell ref="N170:N176"/>
    <mergeCell ref="O170:O176"/>
    <mergeCell ref="P170:P176"/>
    <mergeCell ref="Q170:Q187"/>
    <mergeCell ref="R170:R187"/>
    <mergeCell ref="M177:M182"/>
    <mergeCell ref="N177:N182"/>
    <mergeCell ref="O177:O182"/>
    <mergeCell ref="P177:P182"/>
    <mergeCell ref="AX170:AX187"/>
    <mergeCell ref="AY170:AY187"/>
    <mergeCell ref="AZ170:AZ187"/>
    <mergeCell ref="BA170:BA187"/>
    <mergeCell ref="BB170:BB187"/>
    <mergeCell ref="BC170:BC187"/>
    <mergeCell ref="AR170:AR187"/>
    <mergeCell ref="AS170:AS187"/>
    <mergeCell ref="AT170:AT187"/>
    <mergeCell ref="AU170:AU187"/>
    <mergeCell ref="AV170:AV187"/>
    <mergeCell ref="AW170:AW187"/>
    <mergeCell ref="AL170:AL187"/>
    <mergeCell ref="AM170:AM187"/>
    <mergeCell ref="AN170:AN187"/>
    <mergeCell ref="AO170:AO187"/>
    <mergeCell ref="AP170:AP187"/>
    <mergeCell ref="AQ170:AQ187"/>
    <mergeCell ref="M183:M187"/>
    <mergeCell ref="N183:N187"/>
    <mergeCell ref="O183:O187"/>
    <mergeCell ref="P183:P187"/>
    <mergeCell ref="S183:S187"/>
    <mergeCell ref="BP170:BP187"/>
    <mergeCell ref="BQ170:BQ187"/>
    <mergeCell ref="BR170:BR187"/>
    <mergeCell ref="BS170:BS187"/>
    <mergeCell ref="BT170:BT187"/>
    <mergeCell ref="BU170:BU187"/>
    <mergeCell ref="BJ170:BJ187"/>
    <mergeCell ref="BK170:BK187"/>
    <mergeCell ref="BL170:BL187"/>
    <mergeCell ref="BM170:BM187"/>
    <mergeCell ref="BN170:BN187"/>
    <mergeCell ref="BO170:BO187"/>
    <mergeCell ref="BD170:BD187"/>
    <mergeCell ref="BE170:BE187"/>
    <mergeCell ref="BF170:BF187"/>
    <mergeCell ref="BG170:BG187"/>
    <mergeCell ref="BH170:BH187"/>
    <mergeCell ref="BI170:BI187"/>
    <mergeCell ref="G188:G194"/>
    <mergeCell ref="H188:H194"/>
    <mergeCell ref="I188:I194"/>
    <mergeCell ref="J188:J194"/>
    <mergeCell ref="K188:K194"/>
    <mergeCell ref="G183:G187"/>
    <mergeCell ref="H183:H187"/>
    <mergeCell ref="I183:I187"/>
    <mergeCell ref="J183:J187"/>
    <mergeCell ref="K183:K187"/>
    <mergeCell ref="L183:L187"/>
    <mergeCell ref="G177:G182"/>
    <mergeCell ref="H177:H182"/>
    <mergeCell ref="I177:I182"/>
    <mergeCell ref="J177:J182"/>
    <mergeCell ref="K177:K182"/>
    <mergeCell ref="L177:L182"/>
    <mergeCell ref="AG188:AG200"/>
    <mergeCell ref="AH188:AH200"/>
    <mergeCell ref="AI188:AI200"/>
    <mergeCell ref="AJ188:AJ200"/>
    <mergeCell ref="R188:R200"/>
    <mergeCell ref="S188:S194"/>
    <mergeCell ref="T188:T200"/>
    <mergeCell ref="U188:U200"/>
    <mergeCell ref="V188:V194"/>
    <mergeCell ref="AD188:AD200"/>
    <mergeCell ref="S195:S200"/>
    <mergeCell ref="V195:V200"/>
    <mergeCell ref="W195:W197"/>
    <mergeCell ref="L188:L194"/>
    <mergeCell ref="M188:M194"/>
    <mergeCell ref="N188:N194"/>
    <mergeCell ref="O188:O194"/>
    <mergeCell ref="P188:P194"/>
    <mergeCell ref="Q188:Q200"/>
    <mergeCell ref="O195:O200"/>
    <mergeCell ref="P195:P200"/>
    <mergeCell ref="G195:G200"/>
    <mergeCell ref="H195:H200"/>
    <mergeCell ref="I195:I200"/>
    <mergeCell ref="J195:J200"/>
    <mergeCell ref="K195:K200"/>
    <mergeCell ref="L195:L200"/>
    <mergeCell ref="M195:M200"/>
    <mergeCell ref="N195:N200"/>
    <mergeCell ref="BO188:BO200"/>
    <mergeCell ref="BP188:BP200"/>
    <mergeCell ref="BQ188:BQ200"/>
    <mergeCell ref="BR188:BR200"/>
    <mergeCell ref="BS188:BS200"/>
    <mergeCell ref="BT188:BT200"/>
    <mergeCell ref="BI188:BI200"/>
    <mergeCell ref="BJ188:BJ200"/>
    <mergeCell ref="BK188:BK200"/>
    <mergeCell ref="BL188:BL200"/>
    <mergeCell ref="BM188:BM200"/>
    <mergeCell ref="BN188:BN200"/>
    <mergeCell ref="BC188:BC200"/>
    <mergeCell ref="BD188:BD200"/>
    <mergeCell ref="BE188:BE200"/>
    <mergeCell ref="BF188:BF200"/>
    <mergeCell ref="BG188:BG200"/>
    <mergeCell ref="BH188:BH200"/>
    <mergeCell ref="AW188:AW200"/>
    <mergeCell ref="AX188:AX200"/>
    <mergeCell ref="AY188:AY200"/>
    <mergeCell ref="AZ188:AZ200"/>
    <mergeCell ref="BA188:BA200"/>
    <mergeCell ref="BB188:BB200"/>
    <mergeCell ref="AF201:AF215"/>
    <mergeCell ref="AG201:AG215"/>
    <mergeCell ref="AH201:AH215"/>
    <mergeCell ref="AI201:AI215"/>
    <mergeCell ref="AJ201:AJ215"/>
    <mergeCell ref="AK201:AK215"/>
    <mergeCell ref="Q201:Q215"/>
    <mergeCell ref="R201:R215"/>
    <mergeCell ref="T201:T215"/>
    <mergeCell ref="U201:U215"/>
    <mergeCell ref="AD201:AD215"/>
    <mergeCell ref="AE201:AE215"/>
    <mergeCell ref="W202:W203"/>
    <mergeCell ref="W205:W206"/>
    <mergeCell ref="W207:W208"/>
    <mergeCell ref="W209:W210"/>
    <mergeCell ref="BU188:BU200"/>
    <mergeCell ref="W190:W191"/>
    <mergeCell ref="AQ188:AQ200"/>
    <mergeCell ref="AR188:AR200"/>
    <mergeCell ref="AS188:AS200"/>
    <mergeCell ref="AT188:AT200"/>
    <mergeCell ref="AU188:AU200"/>
    <mergeCell ref="AV188:AV200"/>
    <mergeCell ref="AK188:AK200"/>
    <mergeCell ref="AL188:AL200"/>
    <mergeCell ref="AM188:AM200"/>
    <mergeCell ref="AN188:AN200"/>
    <mergeCell ref="AO188:AO200"/>
    <mergeCell ref="AP188:AP200"/>
    <mergeCell ref="AE188:AE200"/>
    <mergeCell ref="AF188:AF200"/>
    <mergeCell ref="AX201:AX215"/>
    <mergeCell ref="AY201:AY215"/>
    <mergeCell ref="AZ201:AZ215"/>
    <mergeCell ref="BA201:BA215"/>
    <mergeCell ref="BB201:BB215"/>
    <mergeCell ref="BC201:BC215"/>
    <mergeCell ref="AR201:AR215"/>
    <mergeCell ref="AS201:AS215"/>
    <mergeCell ref="AT201:AT215"/>
    <mergeCell ref="AU201:AU215"/>
    <mergeCell ref="AV201:AV215"/>
    <mergeCell ref="AW201:AW215"/>
    <mergeCell ref="AL201:AL215"/>
    <mergeCell ref="AM201:AM215"/>
    <mergeCell ref="AN201:AN215"/>
    <mergeCell ref="AO201:AO215"/>
    <mergeCell ref="AP201:AP215"/>
    <mergeCell ref="AQ201:AQ215"/>
    <mergeCell ref="BP201:BP215"/>
    <mergeCell ref="BQ201:BQ215"/>
    <mergeCell ref="BR201:BR215"/>
    <mergeCell ref="BS201:BS215"/>
    <mergeCell ref="BT201:BT215"/>
    <mergeCell ref="BU201:BU215"/>
    <mergeCell ref="BJ201:BJ215"/>
    <mergeCell ref="BK201:BK215"/>
    <mergeCell ref="BL201:BL215"/>
    <mergeCell ref="BM201:BM215"/>
    <mergeCell ref="BN201:BN215"/>
    <mergeCell ref="BO201:BO215"/>
    <mergeCell ref="BD201:BD215"/>
    <mergeCell ref="BE201:BE215"/>
    <mergeCell ref="BF201:BF215"/>
    <mergeCell ref="BG201:BG215"/>
    <mergeCell ref="BH201:BH215"/>
    <mergeCell ref="BI201:BI215"/>
    <mergeCell ref="O216:O219"/>
    <mergeCell ref="P216:P219"/>
    <mergeCell ref="Q216:Q219"/>
    <mergeCell ref="R216:R219"/>
    <mergeCell ref="S216:S219"/>
    <mergeCell ref="T216:T219"/>
    <mergeCell ref="W212:W213"/>
    <mergeCell ref="W214:W215"/>
    <mergeCell ref="G216:G219"/>
    <mergeCell ref="H216:H219"/>
    <mergeCell ref="I216:I219"/>
    <mergeCell ref="J216:J219"/>
    <mergeCell ref="K216:K219"/>
    <mergeCell ref="L216:L219"/>
    <mergeCell ref="M216:M219"/>
    <mergeCell ref="N216:N219"/>
    <mergeCell ref="M202:M215"/>
    <mergeCell ref="N202:N215"/>
    <mergeCell ref="O202:O215"/>
    <mergeCell ref="P202:P215"/>
    <mergeCell ref="S202:S215"/>
    <mergeCell ref="V202:V215"/>
    <mergeCell ref="G202:G215"/>
    <mergeCell ref="H202:H215"/>
    <mergeCell ref="I202:I215"/>
    <mergeCell ref="J202:J215"/>
    <mergeCell ref="K202:K215"/>
    <mergeCell ref="L202:L215"/>
    <mergeCell ref="AX216:AX219"/>
    <mergeCell ref="AY216:AY219"/>
    <mergeCell ref="AN216:AN219"/>
    <mergeCell ref="AO216:AO219"/>
    <mergeCell ref="AP216:AP219"/>
    <mergeCell ref="AQ216:AQ219"/>
    <mergeCell ref="AR216:AR219"/>
    <mergeCell ref="AS216:AS219"/>
    <mergeCell ref="AH216:AH219"/>
    <mergeCell ref="AI216:AI219"/>
    <mergeCell ref="AJ216:AJ219"/>
    <mergeCell ref="AK216:AK219"/>
    <mergeCell ref="AL216:AL219"/>
    <mergeCell ref="AM216:AM219"/>
    <mergeCell ref="U216:U219"/>
    <mergeCell ref="V216:V219"/>
    <mergeCell ref="AD216:AD219"/>
    <mergeCell ref="AE216:AE219"/>
    <mergeCell ref="AF216:AF219"/>
    <mergeCell ref="AG216:AG219"/>
    <mergeCell ref="BR216:BR219"/>
    <mergeCell ref="BS216:BS219"/>
    <mergeCell ref="BT216:BT219"/>
    <mergeCell ref="BU216:BU219"/>
    <mergeCell ref="W218:W219"/>
    <mergeCell ref="G220:G221"/>
    <mergeCell ref="H220:H221"/>
    <mergeCell ref="I220:I221"/>
    <mergeCell ref="J220:J221"/>
    <mergeCell ref="K220:K221"/>
    <mergeCell ref="BL216:BL219"/>
    <mergeCell ref="BM216:BM219"/>
    <mergeCell ref="BN216:BN219"/>
    <mergeCell ref="BO216:BO219"/>
    <mergeCell ref="BP216:BP219"/>
    <mergeCell ref="BQ216:BQ219"/>
    <mergeCell ref="BF216:BF219"/>
    <mergeCell ref="BG216:BG219"/>
    <mergeCell ref="BH216:BH219"/>
    <mergeCell ref="BI216:BI219"/>
    <mergeCell ref="BJ216:BJ219"/>
    <mergeCell ref="BK216:BK219"/>
    <mergeCell ref="AZ216:AZ219"/>
    <mergeCell ref="BA216:BA219"/>
    <mergeCell ref="BB216:BB219"/>
    <mergeCell ref="BC216:BC219"/>
    <mergeCell ref="BD216:BD219"/>
    <mergeCell ref="BE216:BE219"/>
    <mergeCell ref="AT216:AT219"/>
    <mergeCell ref="AU216:AU219"/>
    <mergeCell ref="AV216:AV219"/>
    <mergeCell ref="AW216:AW219"/>
    <mergeCell ref="AE220:AE221"/>
    <mergeCell ref="AF220:AF221"/>
    <mergeCell ref="AG220:AG221"/>
    <mergeCell ref="AH220:AH221"/>
    <mergeCell ref="AI220:AI221"/>
    <mergeCell ref="AJ220:AJ221"/>
    <mergeCell ref="R220:R221"/>
    <mergeCell ref="S220:S221"/>
    <mergeCell ref="T220:T221"/>
    <mergeCell ref="U220:U221"/>
    <mergeCell ref="V220:V221"/>
    <mergeCell ref="AD220:AD221"/>
    <mergeCell ref="L220:L221"/>
    <mergeCell ref="M220:M221"/>
    <mergeCell ref="N220:N221"/>
    <mergeCell ref="O220:O221"/>
    <mergeCell ref="P220:P221"/>
    <mergeCell ref="Q220:Q221"/>
    <mergeCell ref="BG220:BG221"/>
    <mergeCell ref="BH220:BH221"/>
    <mergeCell ref="AW220:AW221"/>
    <mergeCell ref="AX220:AX221"/>
    <mergeCell ref="AY220:AY221"/>
    <mergeCell ref="AZ220:AZ221"/>
    <mergeCell ref="BA220:BA221"/>
    <mergeCell ref="BB220:BB221"/>
    <mergeCell ref="AQ220:AQ221"/>
    <mergeCell ref="AR220:AR221"/>
    <mergeCell ref="AS220:AS221"/>
    <mergeCell ref="AT220:AT221"/>
    <mergeCell ref="AU220:AU221"/>
    <mergeCell ref="AV220:AV221"/>
    <mergeCell ref="AK220:AK221"/>
    <mergeCell ref="AL220:AL221"/>
    <mergeCell ref="AM220:AM221"/>
    <mergeCell ref="AN220:AN221"/>
    <mergeCell ref="AO220:AO221"/>
    <mergeCell ref="AP220:AP221"/>
    <mergeCell ref="P222:P227"/>
    <mergeCell ref="Q222:Q227"/>
    <mergeCell ref="R222:R227"/>
    <mergeCell ref="S222:S227"/>
    <mergeCell ref="T222:T227"/>
    <mergeCell ref="U222:U227"/>
    <mergeCell ref="BU220:BU221"/>
    <mergeCell ref="G222:G227"/>
    <mergeCell ref="H222:H227"/>
    <mergeCell ref="I222:I227"/>
    <mergeCell ref="J222:J227"/>
    <mergeCell ref="K222:K227"/>
    <mergeCell ref="L222:L227"/>
    <mergeCell ref="M222:M227"/>
    <mergeCell ref="N222:N227"/>
    <mergeCell ref="O222:O227"/>
    <mergeCell ref="BO220:BO221"/>
    <mergeCell ref="BP220:BP221"/>
    <mergeCell ref="BQ220:BQ221"/>
    <mergeCell ref="BR220:BR221"/>
    <mergeCell ref="BS220:BS221"/>
    <mergeCell ref="BT220:BT221"/>
    <mergeCell ref="BI220:BI221"/>
    <mergeCell ref="BJ220:BJ221"/>
    <mergeCell ref="BK220:BK221"/>
    <mergeCell ref="BL220:BL221"/>
    <mergeCell ref="BM220:BM221"/>
    <mergeCell ref="BN220:BN221"/>
    <mergeCell ref="BC220:BC221"/>
    <mergeCell ref="BD220:BD221"/>
    <mergeCell ref="BE220:BE221"/>
    <mergeCell ref="BF220:BF221"/>
    <mergeCell ref="AY222:AY227"/>
    <mergeCell ref="AZ222:AZ227"/>
    <mergeCell ref="AO222:AO227"/>
    <mergeCell ref="AP222:AP227"/>
    <mergeCell ref="AQ222:AQ227"/>
    <mergeCell ref="AR222:AR227"/>
    <mergeCell ref="AS222:AS227"/>
    <mergeCell ref="AT222:AT227"/>
    <mergeCell ref="AI222:AI227"/>
    <mergeCell ref="AJ222:AJ227"/>
    <mergeCell ref="AK222:AK227"/>
    <mergeCell ref="AL222:AL227"/>
    <mergeCell ref="AM222:AM227"/>
    <mergeCell ref="AN222:AN227"/>
    <mergeCell ref="V222:V227"/>
    <mergeCell ref="AD222:AD227"/>
    <mergeCell ref="AE222:AE227"/>
    <mergeCell ref="AF222:AF227"/>
    <mergeCell ref="AG222:AG227"/>
    <mergeCell ref="AH222:AH227"/>
    <mergeCell ref="BS222:BS227"/>
    <mergeCell ref="BT222:BT227"/>
    <mergeCell ref="BU222:BU227"/>
    <mergeCell ref="G228:G238"/>
    <mergeCell ref="H228:H238"/>
    <mergeCell ref="I228:I238"/>
    <mergeCell ref="J228:J238"/>
    <mergeCell ref="K228:K238"/>
    <mergeCell ref="L228:L238"/>
    <mergeCell ref="M228:M238"/>
    <mergeCell ref="BM222:BM227"/>
    <mergeCell ref="BN222:BN227"/>
    <mergeCell ref="BO222:BO227"/>
    <mergeCell ref="BP222:BP227"/>
    <mergeCell ref="BQ222:BQ227"/>
    <mergeCell ref="BR222:BR227"/>
    <mergeCell ref="BG222:BG227"/>
    <mergeCell ref="BH222:BH227"/>
    <mergeCell ref="BI222:BI227"/>
    <mergeCell ref="BJ222:BJ227"/>
    <mergeCell ref="BK222:BK227"/>
    <mergeCell ref="BL222:BL227"/>
    <mergeCell ref="BA222:BA227"/>
    <mergeCell ref="BB222:BB227"/>
    <mergeCell ref="BC222:BC227"/>
    <mergeCell ref="BD222:BD227"/>
    <mergeCell ref="BE222:BE227"/>
    <mergeCell ref="BF222:BF227"/>
    <mergeCell ref="AU222:AU227"/>
    <mergeCell ref="AV222:AV227"/>
    <mergeCell ref="AW222:AW227"/>
    <mergeCell ref="AX222:AX227"/>
    <mergeCell ref="AG228:AG238"/>
    <mergeCell ref="AH228:AH238"/>
    <mergeCell ref="AI228:AI238"/>
    <mergeCell ref="AJ228:AJ238"/>
    <mergeCell ref="AK228:AK238"/>
    <mergeCell ref="AL228:AL238"/>
    <mergeCell ref="T228:T238"/>
    <mergeCell ref="U228:U238"/>
    <mergeCell ref="V228:V238"/>
    <mergeCell ref="AD228:AD238"/>
    <mergeCell ref="AE228:AE238"/>
    <mergeCell ref="AF228:AF238"/>
    <mergeCell ref="N228:N238"/>
    <mergeCell ref="O228:O238"/>
    <mergeCell ref="P228:P238"/>
    <mergeCell ref="Q228:Q238"/>
    <mergeCell ref="R228:R238"/>
    <mergeCell ref="S228:S238"/>
    <mergeCell ref="BJ228:BJ238"/>
    <mergeCell ref="AY228:AY238"/>
    <mergeCell ref="AZ228:AZ238"/>
    <mergeCell ref="BA228:BA238"/>
    <mergeCell ref="BB228:BB238"/>
    <mergeCell ref="BC228:BC238"/>
    <mergeCell ref="BD228:BD238"/>
    <mergeCell ref="AS228:AS238"/>
    <mergeCell ref="AT228:AT238"/>
    <mergeCell ref="AU228:AU238"/>
    <mergeCell ref="AV228:AV238"/>
    <mergeCell ref="AW228:AW238"/>
    <mergeCell ref="AX228:AX238"/>
    <mergeCell ref="AM228:AM238"/>
    <mergeCell ref="AN228:AN238"/>
    <mergeCell ref="AO228:AO238"/>
    <mergeCell ref="AP228:AP238"/>
    <mergeCell ref="AQ228:AQ238"/>
    <mergeCell ref="AR228:AR238"/>
    <mergeCell ref="M239:M245"/>
    <mergeCell ref="N239:N245"/>
    <mergeCell ref="O239:O245"/>
    <mergeCell ref="P239:P245"/>
    <mergeCell ref="Q239:Q245"/>
    <mergeCell ref="R239:R245"/>
    <mergeCell ref="G239:G245"/>
    <mergeCell ref="H239:H245"/>
    <mergeCell ref="I239:I245"/>
    <mergeCell ref="J239:J245"/>
    <mergeCell ref="K239:K245"/>
    <mergeCell ref="L239:L245"/>
    <mergeCell ref="BQ228:BQ238"/>
    <mergeCell ref="BR228:BR238"/>
    <mergeCell ref="BS228:BS238"/>
    <mergeCell ref="BT228:BT238"/>
    <mergeCell ref="BU228:BU238"/>
    <mergeCell ref="W230:W231"/>
    <mergeCell ref="X230:X231"/>
    <mergeCell ref="Y230:Y231"/>
    <mergeCell ref="Z230:Z231"/>
    <mergeCell ref="BK228:BK238"/>
    <mergeCell ref="BL228:BL238"/>
    <mergeCell ref="BM228:BM238"/>
    <mergeCell ref="BN228:BN238"/>
    <mergeCell ref="BO228:BO238"/>
    <mergeCell ref="BP228:BP238"/>
    <mergeCell ref="BE228:BE238"/>
    <mergeCell ref="BF228:BF238"/>
    <mergeCell ref="BG228:BG238"/>
    <mergeCell ref="BH228:BH238"/>
    <mergeCell ref="BI228:BI238"/>
    <mergeCell ref="AK239:AK245"/>
    <mergeCell ref="AL239:AL245"/>
    <mergeCell ref="AM239:AM245"/>
    <mergeCell ref="AN239:AN245"/>
    <mergeCell ref="AO239:AO245"/>
    <mergeCell ref="AP239:AP245"/>
    <mergeCell ref="AE239:AE245"/>
    <mergeCell ref="AF239:AF245"/>
    <mergeCell ref="AG239:AG245"/>
    <mergeCell ref="AH239:AH245"/>
    <mergeCell ref="AI239:AI245"/>
    <mergeCell ref="AJ239:AJ245"/>
    <mergeCell ref="S239:S245"/>
    <mergeCell ref="T239:T245"/>
    <mergeCell ref="U239:U245"/>
    <mergeCell ref="V239:V245"/>
    <mergeCell ref="W239:W240"/>
    <mergeCell ref="AD239:AD245"/>
    <mergeCell ref="BM239:BM245"/>
    <mergeCell ref="BN239:BN245"/>
    <mergeCell ref="BC239:BC245"/>
    <mergeCell ref="BD239:BD245"/>
    <mergeCell ref="BE239:BE245"/>
    <mergeCell ref="BF239:BF245"/>
    <mergeCell ref="BG239:BG245"/>
    <mergeCell ref="BH239:BH245"/>
    <mergeCell ref="AW239:AW245"/>
    <mergeCell ref="AX239:AX245"/>
    <mergeCell ref="AY239:AY245"/>
    <mergeCell ref="AZ239:AZ245"/>
    <mergeCell ref="BA239:BA245"/>
    <mergeCell ref="BB239:BB245"/>
    <mergeCell ref="AQ239:AQ245"/>
    <mergeCell ref="AR239:AR245"/>
    <mergeCell ref="AS239:AS245"/>
    <mergeCell ref="AT239:AT245"/>
    <mergeCell ref="AU239:AU245"/>
    <mergeCell ref="AV239:AV245"/>
    <mergeCell ref="V246:V256"/>
    <mergeCell ref="W246:W248"/>
    <mergeCell ref="AD246:AD256"/>
    <mergeCell ref="AE246:AE256"/>
    <mergeCell ref="AF246:AF256"/>
    <mergeCell ref="AG246:AG256"/>
    <mergeCell ref="P246:P256"/>
    <mergeCell ref="Q246:Q256"/>
    <mergeCell ref="R246:R256"/>
    <mergeCell ref="S246:S256"/>
    <mergeCell ref="T246:T256"/>
    <mergeCell ref="U246:U256"/>
    <mergeCell ref="BU239:BU245"/>
    <mergeCell ref="G246:G256"/>
    <mergeCell ref="H246:H256"/>
    <mergeCell ref="I246:I256"/>
    <mergeCell ref="J246:J256"/>
    <mergeCell ref="K246:K256"/>
    <mergeCell ref="L246:L256"/>
    <mergeCell ref="M246:M256"/>
    <mergeCell ref="N246:N256"/>
    <mergeCell ref="O246:O256"/>
    <mergeCell ref="BO239:BO245"/>
    <mergeCell ref="BP239:BP245"/>
    <mergeCell ref="BQ239:BQ245"/>
    <mergeCell ref="BR239:BR245"/>
    <mergeCell ref="BS239:BS245"/>
    <mergeCell ref="BT239:BT245"/>
    <mergeCell ref="BI239:BI245"/>
    <mergeCell ref="BJ239:BJ245"/>
    <mergeCell ref="BK239:BK245"/>
    <mergeCell ref="BL239:BL245"/>
    <mergeCell ref="AT246:AT256"/>
    <mergeCell ref="AU246:AU256"/>
    <mergeCell ref="AV246:AV256"/>
    <mergeCell ref="AW246:AW256"/>
    <mergeCell ref="AX246:AX256"/>
    <mergeCell ref="AY246:AY256"/>
    <mergeCell ref="AN246:AN256"/>
    <mergeCell ref="AO246:AO256"/>
    <mergeCell ref="AP246:AP256"/>
    <mergeCell ref="AQ246:AQ256"/>
    <mergeCell ref="AR246:AR256"/>
    <mergeCell ref="AS246:AS256"/>
    <mergeCell ref="AH246:AH256"/>
    <mergeCell ref="AI246:AI256"/>
    <mergeCell ref="AJ246:AJ256"/>
    <mergeCell ref="AK246:AK256"/>
    <mergeCell ref="AL246:AL256"/>
    <mergeCell ref="AM246:AM256"/>
    <mergeCell ref="AD258:AD271"/>
    <mergeCell ref="AE258:AE271"/>
    <mergeCell ref="AF258:AF271"/>
    <mergeCell ref="AG258:AG271"/>
    <mergeCell ref="BR246:BR256"/>
    <mergeCell ref="BS246:BS256"/>
    <mergeCell ref="BT246:BT256"/>
    <mergeCell ref="BU246:BU256"/>
    <mergeCell ref="W249:W250"/>
    <mergeCell ref="E258:F305"/>
    <mergeCell ref="Q258:Q271"/>
    <mergeCell ref="R258:R271"/>
    <mergeCell ref="S258:S271"/>
    <mergeCell ref="T258:T271"/>
    <mergeCell ref="BL246:BL256"/>
    <mergeCell ref="BM246:BM256"/>
    <mergeCell ref="BN246:BN256"/>
    <mergeCell ref="BO246:BO256"/>
    <mergeCell ref="BP246:BP256"/>
    <mergeCell ref="BQ246:BQ256"/>
    <mergeCell ref="BF246:BF256"/>
    <mergeCell ref="BG246:BG256"/>
    <mergeCell ref="BH246:BH256"/>
    <mergeCell ref="BI246:BI256"/>
    <mergeCell ref="BJ246:BJ256"/>
    <mergeCell ref="BK246:BK256"/>
    <mergeCell ref="AZ246:AZ256"/>
    <mergeCell ref="BA246:BA256"/>
    <mergeCell ref="BB246:BB256"/>
    <mergeCell ref="BC246:BC256"/>
    <mergeCell ref="BD246:BD256"/>
    <mergeCell ref="BE246:BE256"/>
    <mergeCell ref="BE258:BE271"/>
    <mergeCell ref="AT258:AT271"/>
    <mergeCell ref="AU258:AU271"/>
    <mergeCell ref="AV258:AV271"/>
    <mergeCell ref="AW258:AW271"/>
    <mergeCell ref="AX258:AX271"/>
    <mergeCell ref="AY258:AY271"/>
    <mergeCell ref="AN258:AN271"/>
    <mergeCell ref="AO258:AO271"/>
    <mergeCell ref="AP258:AP271"/>
    <mergeCell ref="AQ258:AQ271"/>
    <mergeCell ref="AR258:AR271"/>
    <mergeCell ref="AS258:AS271"/>
    <mergeCell ref="AH258:AH271"/>
    <mergeCell ref="AI258:AI271"/>
    <mergeCell ref="AJ258:AJ271"/>
    <mergeCell ref="AK258:AK271"/>
    <mergeCell ref="AL258:AL271"/>
    <mergeCell ref="AM258:AM271"/>
    <mergeCell ref="G272:G274"/>
    <mergeCell ref="H272:H274"/>
    <mergeCell ref="I272:I274"/>
    <mergeCell ref="J272:J274"/>
    <mergeCell ref="K272:K274"/>
    <mergeCell ref="BR258:BR271"/>
    <mergeCell ref="BS258:BS271"/>
    <mergeCell ref="BT258:BT271"/>
    <mergeCell ref="BU258:BU271"/>
    <mergeCell ref="G259:G271"/>
    <mergeCell ref="H259:H271"/>
    <mergeCell ref="I259:I271"/>
    <mergeCell ref="J259:J271"/>
    <mergeCell ref="K259:K271"/>
    <mergeCell ref="L259:L271"/>
    <mergeCell ref="BL258:BL271"/>
    <mergeCell ref="BM258:BM271"/>
    <mergeCell ref="BN258:BN271"/>
    <mergeCell ref="BO258:BO271"/>
    <mergeCell ref="BP258:BP271"/>
    <mergeCell ref="BQ258:BQ271"/>
    <mergeCell ref="BF258:BF271"/>
    <mergeCell ref="BG258:BG271"/>
    <mergeCell ref="BH258:BH271"/>
    <mergeCell ref="BI258:BI271"/>
    <mergeCell ref="BJ258:BJ271"/>
    <mergeCell ref="BK258:BK271"/>
    <mergeCell ref="AZ258:AZ271"/>
    <mergeCell ref="BA258:BA271"/>
    <mergeCell ref="BB258:BB271"/>
    <mergeCell ref="BC258:BC271"/>
    <mergeCell ref="BD258:BD271"/>
    <mergeCell ref="S275:S276"/>
    <mergeCell ref="W275:W276"/>
    <mergeCell ref="L272:L274"/>
    <mergeCell ref="M272:M274"/>
    <mergeCell ref="N272:N274"/>
    <mergeCell ref="O272:O274"/>
    <mergeCell ref="P272:P274"/>
    <mergeCell ref="Q272:Q291"/>
    <mergeCell ref="O275:O276"/>
    <mergeCell ref="P275:P276"/>
    <mergeCell ref="M277:M291"/>
    <mergeCell ref="N277:N291"/>
    <mergeCell ref="M259:M271"/>
    <mergeCell ref="N259:N271"/>
    <mergeCell ref="O259:O271"/>
    <mergeCell ref="P259:P271"/>
    <mergeCell ref="W259:W270"/>
    <mergeCell ref="U258:U271"/>
    <mergeCell ref="V258:V271"/>
    <mergeCell ref="AZ272:AZ291"/>
    <mergeCell ref="BA272:BA291"/>
    <mergeCell ref="AP272:AP291"/>
    <mergeCell ref="AQ272:AQ291"/>
    <mergeCell ref="AR272:AR291"/>
    <mergeCell ref="AS272:AS291"/>
    <mergeCell ref="AT272:AT291"/>
    <mergeCell ref="AU272:AU291"/>
    <mergeCell ref="AJ272:AJ291"/>
    <mergeCell ref="AK272:AK291"/>
    <mergeCell ref="AL272:AL291"/>
    <mergeCell ref="AM272:AM291"/>
    <mergeCell ref="AN272:AN291"/>
    <mergeCell ref="AO272:AO291"/>
    <mergeCell ref="AD272:AD291"/>
    <mergeCell ref="AE272:AE291"/>
    <mergeCell ref="AF272:AF291"/>
    <mergeCell ref="AG272:AG291"/>
    <mergeCell ref="AH272:AH291"/>
    <mergeCell ref="AI272:AI291"/>
    <mergeCell ref="BT272:BT291"/>
    <mergeCell ref="BU272:BU291"/>
    <mergeCell ref="G275:G276"/>
    <mergeCell ref="H275:H276"/>
    <mergeCell ref="I275:I276"/>
    <mergeCell ref="J275:J276"/>
    <mergeCell ref="K275:K276"/>
    <mergeCell ref="L275:L276"/>
    <mergeCell ref="M275:M276"/>
    <mergeCell ref="N275:N276"/>
    <mergeCell ref="BN272:BN291"/>
    <mergeCell ref="BO272:BO291"/>
    <mergeCell ref="BP272:BP291"/>
    <mergeCell ref="BQ272:BQ291"/>
    <mergeCell ref="BR272:BR291"/>
    <mergeCell ref="BS272:BS291"/>
    <mergeCell ref="BH272:BH291"/>
    <mergeCell ref="BI272:BI291"/>
    <mergeCell ref="BJ272:BJ291"/>
    <mergeCell ref="BK272:BK291"/>
    <mergeCell ref="BL272:BL291"/>
    <mergeCell ref="BM272:BM291"/>
    <mergeCell ref="BB272:BB291"/>
    <mergeCell ref="BC272:BC291"/>
    <mergeCell ref="BD272:BD291"/>
    <mergeCell ref="BE272:BE291"/>
    <mergeCell ref="BF272:BF291"/>
    <mergeCell ref="BG272:BG291"/>
    <mergeCell ref="AV272:AV291"/>
    <mergeCell ref="AW272:AW291"/>
    <mergeCell ref="AX272:AX291"/>
    <mergeCell ref="AY272:AY291"/>
    <mergeCell ref="M292:M300"/>
    <mergeCell ref="N292:N300"/>
    <mergeCell ref="O292:O300"/>
    <mergeCell ref="P292:P300"/>
    <mergeCell ref="Q292:Q305"/>
    <mergeCell ref="R292:R305"/>
    <mergeCell ref="M304:M305"/>
    <mergeCell ref="N304:N305"/>
    <mergeCell ref="O304:O305"/>
    <mergeCell ref="P304:P305"/>
    <mergeCell ref="O277:O291"/>
    <mergeCell ref="P277:P291"/>
    <mergeCell ref="S277:S291"/>
    <mergeCell ref="W277:W291"/>
    <mergeCell ref="G292:G300"/>
    <mergeCell ref="H292:H300"/>
    <mergeCell ref="I292:I300"/>
    <mergeCell ref="J292:J300"/>
    <mergeCell ref="K292:K300"/>
    <mergeCell ref="L292:L300"/>
    <mergeCell ref="G277:G291"/>
    <mergeCell ref="H277:H291"/>
    <mergeCell ref="I277:I291"/>
    <mergeCell ref="J277:J291"/>
    <mergeCell ref="K277:K291"/>
    <mergeCell ref="L277:L291"/>
    <mergeCell ref="R272:R291"/>
    <mergeCell ref="S272:S274"/>
    <mergeCell ref="T272:T291"/>
    <mergeCell ref="U272:U291"/>
    <mergeCell ref="V272:V291"/>
    <mergeCell ref="W272:W274"/>
    <mergeCell ref="AT292:AT305"/>
    <mergeCell ref="AU292:AU305"/>
    <mergeCell ref="AV292:AV305"/>
    <mergeCell ref="AW292:AW305"/>
    <mergeCell ref="AL292:AL305"/>
    <mergeCell ref="AM292:AM305"/>
    <mergeCell ref="AN292:AN305"/>
    <mergeCell ref="AO292:AO305"/>
    <mergeCell ref="AP292:AP305"/>
    <mergeCell ref="AQ292:AQ305"/>
    <mergeCell ref="AF292:AF305"/>
    <mergeCell ref="AG292:AG305"/>
    <mergeCell ref="AH292:AH305"/>
    <mergeCell ref="AI292:AI305"/>
    <mergeCell ref="AJ292:AJ305"/>
    <mergeCell ref="AK292:AK305"/>
    <mergeCell ref="S292:S300"/>
    <mergeCell ref="T292:T305"/>
    <mergeCell ref="U292:U305"/>
    <mergeCell ref="V292:V301"/>
    <mergeCell ref="AD292:AD305"/>
    <mergeCell ref="AE292:AE305"/>
    <mergeCell ref="W297:W300"/>
    <mergeCell ref="V302:V305"/>
    <mergeCell ref="S304:S305"/>
    <mergeCell ref="G304:G305"/>
    <mergeCell ref="H304:H305"/>
    <mergeCell ref="I304:I305"/>
    <mergeCell ref="J304:J305"/>
    <mergeCell ref="K304:K305"/>
    <mergeCell ref="L304:L305"/>
    <mergeCell ref="BP292:BP305"/>
    <mergeCell ref="BQ292:BQ305"/>
    <mergeCell ref="BR292:BR305"/>
    <mergeCell ref="BS292:BS305"/>
    <mergeCell ref="BT292:BT305"/>
    <mergeCell ref="BU292:BU305"/>
    <mergeCell ref="BJ292:BJ305"/>
    <mergeCell ref="BK292:BK305"/>
    <mergeCell ref="BL292:BL305"/>
    <mergeCell ref="BM292:BM305"/>
    <mergeCell ref="BN292:BN305"/>
    <mergeCell ref="BO292:BO305"/>
    <mergeCell ref="BD292:BD305"/>
    <mergeCell ref="BE292:BE305"/>
    <mergeCell ref="BF292:BF305"/>
    <mergeCell ref="BG292:BG305"/>
    <mergeCell ref="BH292:BH305"/>
    <mergeCell ref="BI292:BI305"/>
    <mergeCell ref="AX292:AX305"/>
    <mergeCell ref="AY292:AY305"/>
    <mergeCell ref="AZ292:AZ305"/>
    <mergeCell ref="BA292:BA305"/>
    <mergeCell ref="BB292:BB305"/>
    <mergeCell ref="BC292:BC305"/>
    <mergeCell ref="AR292:AR305"/>
    <mergeCell ref="AS292:AS305"/>
  </mergeCells>
  <conditionalFormatting sqref="K47">
    <cfRule type="duplicateValues" dxfId="11" priority="11"/>
  </conditionalFormatting>
  <conditionalFormatting sqref="K47">
    <cfRule type="duplicateValues" dxfId="10" priority="12"/>
  </conditionalFormatting>
  <conditionalFormatting sqref="K84">
    <cfRule type="duplicateValues" dxfId="9" priority="9"/>
  </conditionalFormatting>
  <conditionalFormatting sqref="K84">
    <cfRule type="duplicateValues" dxfId="8" priority="10"/>
  </conditionalFormatting>
  <conditionalFormatting sqref="K85">
    <cfRule type="duplicateValues" dxfId="7" priority="7"/>
  </conditionalFormatting>
  <conditionalFormatting sqref="K85">
    <cfRule type="duplicateValues" dxfId="6" priority="8"/>
  </conditionalFormatting>
  <conditionalFormatting sqref="M47">
    <cfRule type="duplicateValues" dxfId="5" priority="5"/>
  </conditionalFormatting>
  <conditionalFormatting sqref="M47">
    <cfRule type="duplicateValues" dxfId="4" priority="6"/>
  </conditionalFormatting>
  <conditionalFormatting sqref="M84">
    <cfRule type="duplicateValues" dxfId="3" priority="3"/>
  </conditionalFormatting>
  <conditionalFormatting sqref="M84">
    <cfRule type="duplicateValues" dxfId="2" priority="4"/>
  </conditionalFormatting>
  <conditionalFormatting sqref="M85">
    <cfRule type="duplicateValues" dxfId="1" priority="1"/>
  </conditionalFormatting>
  <conditionalFormatting sqref="M85">
    <cfRule type="duplicateValues" dxfId="0" priority="2"/>
  </conditionalFormatting>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2060"/>
  </sheetPr>
  <dimension ref="A1:CO67"/>
  <sheetViews>
    <sheetView showGridLines="0" topLeftCell="L1" zoomScale="70" zoomScaleNormal="70" workbookViewId="0">
      <selection activeCell="O13" sqref="O13:O15"/>
    </sheetView>
  </sheetViews>
  <sheetFormatPr baseColWidth="10" defaultColWidth="11.42578125" defaultRowHeight="27" customHeight="1" x14ac:dyDescent="0.25"/>
  <cols>
    <col min="1" max="1" width="14" style="12" customWidth="1"/>
    <col min="2" max="4" width="12.7109375" style="1" customWidth="1"/>
    <col min="5" max="5" width="11.5703125" style="1" customWidth="1"/>
    <col min="6" max="6" width="11.85546875" style="1" customWidth="1"/>
    <col min="7" max="7" width="13.5703125" style="1" customWidth="1"/>
    <col min="8" max="8" width="29" style="874" customWidth="1"/>
    <col min="9" max="9" width="22.140625" style="4" customWidth="1"/>
    <col min="10" max="10" width="30.140625" style="874" customWidth="1"/>
    <col min="11" max="11" width="16.5703125" style="4" customWidth="1"/>
    <col min="12" max="12" width="31.140625" style="874" customWidth="1"/>
    <col min="13" max="13" width="22.5703125" style="4" customWidth="1"/>
    <col min="14" max="14" width="31.85546875" style="874" customWidth="1"/>
    <col min="15" max="16" width="17" style="4" customWidth="1"/>
    <col min="17" max="17" width="20.42578125" style="4" customWidth="1"/>
    <col min="18" max="18" width="27.140625" style="874" customWidth="1"/>
    <col min="19" max="19" width="16.42578125" style="1914" customWidth="1"/>
    <col min="20" max="20" width="26.7109375" style="1915" customWidth="1"/>
    <col min="21" max="21" width="29.85546875" style="874" customWidth="1"/>
    <col min="22" max="22" width="34" style="874" customWidth="1"/>
    <col min="23" max="23" width="54" style="874" customWidth="1"/>
    <col min="24" max="24" width="30.42578125" style="1916" customWidth="1"/>
    <col min="25" max="25" width="31.42578125" style="1916" customWidth="1"/>
    <col min="26" max="26" width="30" style="1916" customWidth="1"/>
    <col min="27" max="27" width="49.140625" style="6" customWidth="1"/>
    <col min="28" max="28" width="17.7109375" style="5" customWidth="1"/>
    <col min="29" max="29" width="28.140625" style="4" customWidth="1"/>
    <col min="30" max="31" width="10.42578125" style="1" customWidth="1"/>
    <col min="32" max="32" width="11.28515625" style="1" customWidth="1"/>
    <col min="33" max="33" width="10.28515625" style="1" customWidth="1"/>
    <col min="34" max="59" width="8.85546875" style="1" customWidth="1"/>
    <col min="60" max="60" width="11.5703125" style="1" customWidth="1"/>
    <col min="61" max="61" width="12.28515625" style="1" customWidth="1"/>
    <col min="62" max="62" width="16" style="1" customWidth="1"/>
    <col min="63" max="63" width="26" style="1920" customWidth="1"/>
    <col min="64" max="64" width="28.5703125" style="1920" customWidth="1"/>
    <col min="65" max="65" width="24.85546875" style="1921" customWidth="1"/>
    <col min="66" max="66" width="17" style="1" customWidth="1"/>
    <col min="67" max="67" width="23.7109375" style="1" customWidth="1"/>
    <col min="68" max="68" width="28.7109375" style="1" customWidth="1"/>
    <col min="69" max="69" width="17.85546875" style="2" customWidth="1"/>
    <col min="70" max="70" width="14.85546875" style="2" customWidth="1"/>
    <col min="71" max="71" width="17.140625" style="2" customWidth="1"/>
    <col min="72" max="72" width="14.5703125" style="2" customWidth="1"/>
    <col min="73" max="73" width="21.28515625" style="1" bestFit="1" customWidth="1"/>
    <col min="74" max="16384" width="11.42578125" style="1"/>
  </cols>
  <sheetData>
    <row r="1" spans="1:93" ht="27.75" customHeight="1" x14ac:dyDescent="0.25">
      <c r="A1" s="2632" t="s">
        <v>2563</v>
      </c>
      <c r="B1" s="2607"/>
      <c r="C1" s="2607"/>
      <c r="D1" s="2607"/>
      <c r="E1" s="2607"/>
      <c r="F1" s="2607"/>
      <c r="G1" s="2607"/>
      <c r="H1" s="2607"/>
      <c r="I1" s="2607"/>
      <c r="J1" s="2607"/>
      <c r="K1" s="2607"/>
      <c r="L1" s="2607"/>
      <c r="M1" s="2607"/>
      <c r="N1" s="2607"/>
      <c r="O1" s="2607"/>
      <c r="P1" s="2607"/>
      <c r="Q1" s="2607"/>
      <c r="R1" s="2607"/>
      <c r="S1" s="2607"/>
      <c r="T1" s="2607"/>
      <c r="U1" s="2607"/>
      <c r="V1" s="2607"/>
      <c r="W1" s="2607"/>
      <c r="X1" s="2607"/>
      <c r="Y1" s="2607"/>
      <c r="Z1" s="2607"/>
      <c r="AA1" s="2607"/>
      <c r="AB1" s="2607"/>
      <c r="AC1" s="2607"/>
      <c r="AD1" s="2607"/>
      <c r="AE1" s="2607"/>
      <c r="AF1" s="2607"/>
      <c r="AG1" s="2607"/>
      <c r="AH1" s="2607"/>
      <c r="AI1" s="2607"/>
      <c r="AJ1" s="2607"/>
      <c r="AK1" s="2607"/>
      <c r="AL1" s="2607"/>
      <c r="AM1" s="2607"/>
      <c r="AN1" s="2607"/>
      <c r="AO1" s="2607"/>
      <c r="AP1" s="2607"/>
      <c r="AQ1" s="2607"/>
      <c r="AR1" s="2607"/>
      <c r="AS1" s="2607"/>
      <c r="AT1" s="2607"/>
      <c r="AU1" s="2607"/>
      <c r="AV1" s="2607"/>
      <c r="AW1" s="2607"/>
      <c r="AX1" s="2607"/>
      <c r="AY1" s="2607"/>
      <c r="AZ1" s="2607"/>
      <c r="BA1" s="2607"/>
      <c r="BB1" s="2607"/>
      <c r="BC1" s="2607"/>
      <c r="BD1" s="2607"/>
      <c r="BE1" s="2607"/>
      <c r="BF1" s="2607"/>
      <c r="BG1" s="2607"/>
      <c r="BH1" s="2607"/>
      <c r="BI1" s="2607"/>
      <c r="BJ1" s="2607"/>
      <c r="BK1" s="2607"/>
      <c r="BL1" s="2607"/>
      <c r="BM1" s="2607"/>
      <c r="BN1" s="2607"/>
      <c r="BO1" s="2607"/>
      <c r="BP1" s="2607"/>
      <c r="BQ1" s="2607"/>
      <c r="BR1" s="2607"/>
      <c r="BS1" s="2603"/>
      <c r="BT1" s="1761" t="s">
        <v>138</v>
      </c>
      <c r="BU1" s="1761" t="s">
        <v>2128</v>
      </c>
      <c r="BV1" s="4"/>
      <c r="BW1" s="4"/>
      <c r="BX1" s="4"/>
      <c r="BY1" s="4"/>
      <c r="BZ1" s="4"/>
      <c r="CA1" s="4"/>
      <c r="CB1" s="4"/>
      <c r="CC1" s="4"/>
      <c r="CD1" s="4"/>
      <c r="CE1" s="4"/>
      <c r="CF1" s="4"/>
      <c r="CG1" s="4"/>
      <c r="CH1" s="4"/>
      <c r="CI1" s="4"/>
      <c r="CJ1" s="4"/>
      <c r="CK1" s="4"/>
      <c r="CL1" s="4"/>
      <c r="CM1" s="4"/>
      <c r="CN1" s="4"/>
      <c r="CO1" s="4"/>
    </row>
    <row r="2" spans="1:93" ht="27.75" customHeight="1" x14ac:dyDescent="0.25">
      <c r="A2" s="2607"/>
      <c r="B2" s="2607"/>
      <c r="C2" s="2607"/>
      <c r="D2" s="2607"/>
      <c r="E2" s="2607"/>
      <c r="F2" s="2607"/>
      <c r="G2" s="2607"/>
      <c r="H2" s="2607"/>
      <c r="I2" s="2607"/>
      <c r="J2" s="2607"/>
      <c r="K2" s="2607"/>
      <c r="L2" s="2607"/>
      <c r="M2" s="2607"/>
      <c r="N2" s="2607"/>
      <c r="O2" s="2607"/>
      <c r="P2" s="2607"/>
      <c r="Q2" s="2607"/>
      <c r="R2" s="2607"/>
      <c r="S2" s="2607"/>
      <c r="T2" s="2607"/>
      <c r="U2" s="2607"/>
      <c r="V2" s="2607"/>
      <c r="W2" s="2607"/>
      <c r="X2" s="2607"/>
      <c r="Y2" s="2607"/>
      <c r="Z2" s="2607"/>
      <c r="AA2" s="2607"/>
      <c r="AB2" s="2607"/>
      <c r="AC2" s="2607"/>
      <c r="AD2" s="2607"/>
      <c r="AE2" s="2607"/>
      <c r="AF2" s="2607"/>
      <c r="AG2" s="2607"/>
      <c r="AH2" s="2607"/>
      <c r="AI2" s="2607"/>
      <c r="AJ2" s="2607"/>
      <c r="AK2" s="2607"/>
      <c r="AL2" s="2607"/>
      <c r="AM2" s="2607"/>
      <c r="AN2" s="2607"/>
      <c r="AO2" s="2607"/>
      <c r="AP2" s="2607"/>
      <c r="AQ2" s="2607"/>
      <c r="AR2" s="2607"/>
      <c r="AS2" s="2607"/>
      <c r="AT2" s="2607"/>
      <c r="AU2" s="2607"/>
      <c r="AV2" s="2607"/>
      <c r="AW2" s="2607"/>
      <c r="AX2" s="2607"/>
      <c r="AY2" s="2607"/>
      <c r="AZ2" s="2607"/>
      <c r="BA2" s="2607"/>
      <c r="BB2" s="2607"/>
      <c r="BC2" s="2607"/>
      <c r="BD2" s="2607"/>
      <c r="BE2" s="2607"/>
      <c r="BF2" s="2607"/>
      <c r="BG2" s="2607"/>
      <c r="BH2" s="2607"/>
      <c r="BI2" s="2607"/>
      <c r="BJ2" s="2607"/>
      <c r="BK2" s="2607"/>
      <c r="BL2" s="2607"/>
      <c r="BM2" s="2607"/>
      <c r="BN2" s="2607"/>
      <c r="BO2" s="2607"/>
      <c r="BP2" s="2607"/>
      <c r="BQ2" s="2607"/>
      <c r="BR2" s="2607"/>
      <c r="BS2" s="2603"/>
      <c r="BT2" s="1761" t="s">
        <v>136</v>
      </c>
      <c r="BU2" s="911" t="s">
        <v>1176</v>
      </c>
      <c r="BV2" s="4"/>
      <c r="BW2" s="4"/>
      <c r="BX2" s="4"/>
      <c r="BY2" s="4"/>
      <c r="BZ2" s="4"/>
      <c r="CA2" s="4"/>
      <c r="CB2" s="4"/>
      <c r="CC2" s="4"/>
      <c r="CD2" s="4"/>
      <c r="CE2" s="4"/>
      <c r="CF2" s="4"/>
      <c r="CG2" s="4"/>
      <c r="CH2" s="4"/>
      <c r="CI2" s="4"/>
      <c r="CJ2" s="4"/>
      <c r="CK2" s="4"/>
      <c r="CL2" s="4"/>
      <c r="CM2" s="4"/>
      <c r="CN2" s="4"/>
      <c r="CO2" s="4"/>
    </row>
    <row r="3" spans="1:93" ht="27.75" customHeight="1" x14ac:dyDescent="0.25">
      <c r="A3" s="2607"/>
      <c r="B3" s="2607"/>
      <c r="C3" s="2607"/>
      <c r="D3" s="2607"/>
      <c r="E3" s="2607"/>
      <c r="F3" s="2607"/>
      <c r="G3" s="2607"/>
      <c r="H3" s="2607"/>
      <c r="I3" s="2607"/>
      <c r="J3" s="2607"/>
      <c r="K3" s="2607"/>
      <c r="L3" s="2607"/>
      <c r="M3" s="2607"/>
      <c r="N3" s="2607"/>
      <c r="O3" s="2607"/>
      <c r="P3" s="2607"/>
      <c r="Q3" s="2607"/>
      <c r="R3" s="2607"/>
      <c r="S3" s="2607"/>
      <c r="T3" s="2607"/>
      <c r="U3" s="2607"/>
      <c r="V3" s="2607"/>
      <c r="W3" s="2607"/>
      <c r="X3" s="2607"/>
      <c r="Y3" s="2607"/>
      <c r="Z3" s="2607"/>
      <c r="AA3" s="2607"/>
      <c r="AB3" s="2607"/>
      <c r="AC3" s="2607"/>
      <c r="AD3" s="2607"/>
      <c r="AE3" s="2607"/>
      <c r="AF3" s="2607"/>
      <c r="AG3" s="2607"/>
      <c r="AH3" s="2607"/>
      <c r="AI3" s="2607"/>
      <c r="AJ3" s="2607"/>
      <c r="AK3" s="2607"/>
      <c r="AL3" s="2607"/>
      <c r="AM3" s="2607"/>
      <c r="AN3" s="2607"/>
      <c r="AO3" s="2607"/>
      <c r="AP3" s="2607"/>
      <c r="AQ3" s="2607"/>
      <c r="AR3" s="2607"/>
      <c r="AS3" s="2607"/>
      <c r="AT3" s="2607"/>
      <c r="AU3" s="2607"/>
      <c r="AV3" s="2607"/>
      <c r="AW3" s="2607"/>
      <c r="AX3" s="2607"/>
      <c r="AY3" s="2607"/>
      <c r="AZ3" s="2607"/>
      <c r="BA3" s="2607"/>
      <c r="BB3" s="2607"/>
      <c r="BC3" s="2607"/>
      <c r="BD3" s="2607"/>
      <c r="BE3" s="2607"/>
      <c r="BF3" s="2607"/>
      <c r="BG3" s="2607"/>
      <c r="BH3" s="2607"/>
      <c r="BI3" s="2607"/>
      <c r="BJ3" s="2607"/>
      <c r="BK3" s="2607"/>
      <c r="BL3" s="2607"/>
      <c r="BM3" s="2607"/>
      <c r="BN3" s="2607"/>
      <c r="BO3" s="2607"/>
      <c r="BP3" s="2607"/>
      <c r="BQ3" s="2607"/>
      <c r="BR3" s="2607"/>
      <c r="BS3" s="2603"/>
      <c r="BT3" s="1761" t="s">
        <v>134</v>
      </c>
      <c r="BU3" s="912">
        <v>44266</v>
      </c>
      <c r="BV3" s="4"/>
      <c r="BW3" s="4"/>
      <c r="BX3" s="4"/>
      <c r="BY3" s="4"/>
      <c r="BZ3" s="4"/>
      <c r="CA3" s="4"/>
      <c r="CB3" s="4"/>
      <c r="CC3" s="4"/>
      <c r="CD3" s="4"/>
      <c r="CE3" s="4"/>
      <c r="CF3" s="4"/>
      <c r="CG3" s="4"/>
      <c r="CH3" s="4"/>
      <c r="CI3" s="4"/>
      <c r="CJ3" s="4"/>
      <c r="CK3" s="4"/>
      <c r="CL3" s="4"/>
      <c r="CM3" s="4"/>
      <c r="CN3" s="4"/>
      <c r="CO3" s="4"/>
    </row>
    <row r="4" spans="1:93" ht="27.75" customHeight="1" x14ac:dyDescent="0.25">
      <c r="A4" s="2604"/>
      <c r="B4" s="2604"/>
      <c r="C4" s="2604"/>
      <c r="D4" s="2604"/>
      <c r="E4" s="2604"/>
      <c r="F4" s="2604"/>
      <c r="G4" s="2604"/>
      <c r="H4" s="2604"/>
      <c r="I4" s="2604"/>
      <c r="J4" s="2604"/>
      <c r="K4" s="2604"/>
      <c r="L4" s="2604"/>
      <c r="M4" s="2604"/>
      <c r="N4" s="2604"/>
      <c r="O4" s="2604"/>
      <c r="P4" s="2604"/>
      <c r="Q4" s="2604"/>
      <c r="R4" s="2604"/>
      <c r="S4" s="2604"/>
      <c r="T4" s="2604"/>
      <c r="U4" s="2604"/>
      <c r="V4" s="2604"/>
      <c r="W4" s="2604"/>
      <c r="X4" s="2604"/>
      <c r="Y4" s="2604"/>
      <c r="Z4" s="2604"/>
      <c r="AA4" s="2604"/>
      <c r="AB4" s="2604"/>
      <c r="AC4" s="2604"/>
      <c r="AD4" s="2604"/>
      <c r="AE4" s="2604"/>
      <c r="AF4" s="2604"/>
      <c r="AG4" s="2604"/>
      <c r="AH4" s="2604"/>
      <c r="AI4" s="2604"/>
      <c r="AJ4" s="2604"/>
      <c r="AK4" s="2604"/>
      <c r="AL4" s="2604"/>
      <c r="AM4" s="2604"/>
      <c r="AN4" s="2604"/>
      <c r="AO4" s="2604"/>
      <c r="AP4" s="2604"/>
      <c r="AQ4" s="2604"/>
      <c r="AR4" s="2604"/>
      <c r="AS4" s="2604"/>
      <c r="AT4" s="2604"/>
      <c r="AU4" s="2604"/>
      <c r="AV4" s="2604"/>
      <c r="AW4" s="2604"/>
      <c r="AX4" s="2604"/>
      <c r="AY4" s="2604"/>
      <c r="AZ4" s="2604"/>
      <c r="BA4" s="2604"/>
      <c r="BB4" s="2604"/>
      <c r="BC4" s="2604"/>
      <c r="BD4" s="2604"/>
      <c r="BE4" s="2604"/>
      <c r="BF4" s="2604"/>
      <c r="BG4" s="2604"/>
      <c r="BH4" s="2604"/>
      <c r="BI4" s="2604"/>
      <c r="BJ4" s="2604"/>
      <c r="BK4" s="2604"/>
      <c r="BL4" s="2604"/>
      <c r="BM4" s="2604"/>
      <c r="BN4" s="2604"/>
      <c r="BO4" s="2604"/>
      <c r="BP4" s="2604"/>
      <c r="BQ4" s="2604"/>
      <c r="BR4" s="2604"/>
      <c r="BS4" s="2605"/>
      <c r="BT4" s="1761" t="s">
        <v>133</v>
      </c>
      <c r="BU4" s="913" t="s">
        <v>132</v>
      </c>
      <c r="BV4" s="4"/>
      <c r="BW4" s="4"/>
      <c r="BX4" s="4"/>
      <c r="BY4" s="4"/>
      <c r="BZ4" s="4"/>
      <c r="CA4" s="4"/>
      <c r="CB4" s="4"/>
      <c r="CC4" s="4"/>
      <c r="CD4" s="4"/>
      <c r="CE4" s="4"/>
      <c r="CF4" s="4"/>
      <c r="CG4" s="4"/>
      <c r="CH4" s="4"/>
      <c r="CI4" s="4"/>
      <c r="CJ4" s="4"/>
      <c r="CK4" s="4"/>
      <c r="CL4" s="4"/>
      <c r="CM4" s="4"/>
      <c r="CN4" s="4"/>
      <c r="CO4" s="4"/>
    </row>
    <row r="5" spans="1:93" ht="27.75" customHeight="1" x14ac:dyDescent="0.25">
      <c r="A5" s="2606" t="s">
        <v>2564</v>
      </c>
      <c r="B5" s="2606"/>
      <c r="C5" s="2606"/>
      <c r="D5" s="2606"/>
      <c r="E5" s="2606"/>
      <c r="F5" s="2606"/>
      <c r="G5" s="2606"/>
      <c r="H5" s="2606"/>
      <c r="I5" s="2606"/>
      <c r="J5" s="2606"/>
      <c r="K5" s="2606"/>
      <c r="L5" s="2606"/>
      <c r="M5" s="2606"/>
      <c r="N5" s="2606"/>
      <c r="O5" s="2606"/>
      <c r="P5" s="1760"/>
      <c r="Q5" s="2608"/>
      <c r="R5" s="2608"/>
      <c r="S5" s="2608"/>
      <c r="T5" s="2608"/>
      <c r="U5" s="2608"/>
      <c r="V5" s="2608"/>
      <c r="W5" s="2608"/>
      <c r="X5" s="2608"/>
      <c r="Y5" s="2608"/>
      <c r="Z5" s="2608"/>
      <c r="AA5" s="2608"/>
      <c r="AB5" s="2608"/>
      <c r="AC5" s="2608"/>
      <c r="AD5" s="2608"/>
      <c r="AE5" s="2608"/>
      <c r="AF5" s="2608"/>
      <c r="AG5" s="2608"/>
      <c r="AH5" s="2608"/>
      <c r="AI5" s="2608"/>
      <c r="AJ5" s="2608"/>
      <c r="AK5" s="2608"/>
      <c r="AL5" s="2608"/>
      <c r="AM5" s="2608"/>
      <c r="AN5" s="2608"/>
      <c r="AO5" s="2608"/>
      <c r="AP5" s="2608"/>
      <c r="AQ5" s="2608"/>
      <c r="AR5" s="2608"/>
      <c r="AS5" s="2608"/>
      <c r="AT5" s="2608"/>
      <c r="AU5" s="2608"/>
      <c r="AV5" s="2608"/>
      <c r="AW5" s="2608"/>
      <c r="AX5" s="2608"/>
      <c r="AY5" s="2608"/>
      <c r="AZ5" s="2608"/>
      <c r="BA5" s="2608"/>
      <c r="BB5" s="2608"/>
      <c r="BC5" s="2608"/>
      <c r="BD5" s="2608"/>
      <c r="BE5" s="2608"/>
      <c r="BF5" s="2608"/>
      <c r="BG5" s="2608"/>
      <c r="BH5" s="2608"/>
      <c r="BI5" s="2608"/>
      <c r="BJ5" s="2608"/>
      <c r="BK5" s="2608"/>
      <c r="BL5" s="2608"/>
      <c r="BM5" s="2608"/>
      <c r="BN5" s="2608"/>
      <c r="BO5" s="2608"/>
      <c r="BP5" s="2608"/>
      <c r="BQ5" s="2608"/>
      <c r="BR5" s="2608"/>
      <c r="BS5" s="2608"/>
      <c r="BT5" s="2608"/>
      <c r="BU5" s="2608"/>
      <c r="BV5" s="4"/>
      <c r="BW5" s="4"/>
      <c r="BX5" s="4"/>
      <c r="BY5" s="4"/>
      <c r="BZ5" s="4"/>
      <c r="CA5" s="4"/>
      <c r="CB5" s="4"/>
      <c r="CC5" s="4"/>
      <c r="CD5" s="4"/>
      <c r="CE5" s="4"/>
      <c r="CF5" s="4"/>
      <c r="CG5" s="4"/>
      <c r="CH5" s="4"/>
      <c r="CI5" s="4"/>
      <c r="CJ5" s="4"/>
      <c r="CK5" s="4"/>
      <c r="CL5" s="4"/>
      <c r="CM5" s="4"/>
      <c r="CN5" s="4"/>
      <c r="CO5" s="4"/>
    </row>
    <row r="6" spans="1:93" ht="27.75" customHeight="1" x14ac:dyDescent="0.25">
      <c r="A6" s="2604"/>
      <c r="B6" s="2604"/>
      <c r="C6" s="2604"/>
      <c r="D6" s="2604"/>
      <c r="E6" s="2604"/>
      <c r="F6" s="2604"/>
      <c r="G6" s="2604"/>
      <c r="H6" s="2604"/>
      <c r="I6" s="2604"/>
      <c r="J6" s="2604"/>
      <c r="K6" s="2604"/>
      <c r="L6" s="2604"/>
      <c r="M6" s="2604"/>
      <c r="N6" s="2604"/>
      <c r="O6" s="2602"/>
      <c r="P6" s="1757"/>
      <c r="Q6" s="1757"/>
      <c r="R6" s="1817"/>
      <c r="S6" s="1818"/>
      <c r="T6" s="1757"/>
      <c r="U6" s="1817"/>
      <c r="V6" s="1817"/>
      <c r="W6" s="1817"/>
      <c r="X6" s="1757"/>
      <c r="Y6" s="1757"/>
      <c r="Z6" s="1757"/>
      <c r="AA6" s="1758"/>
      <c r="AB6" s="1758"/>
      <c r="AC6" s="1758"/>
      <c r="AD6" s="4701" t="s">
        <v>130</v>
      </c>
      <c r="AE6" s="4702"/>
      <c r="AF6" s="4702"/>
      <c r="AG6" s="4702"/>
      <c r="AH6" s="4702"/>
      <c r="AI6" s="4702"/>
      <c r="AJ6" s="4702"/>
      <c r="AK6" s="4702"/>
      <c r="AL6" s="4702"/>
      <c r="AM6" s="4702"/>
      <c r="AN6" s="4702"/>
      <c r="AO6" s="4702"/>
      <c r="AP6" s="4702"/>
      <c r="AQ6" s="4702"/>
      <c r="AR6" s="4702"/>
      <c r="AS6" s="4702"/>
      <c r="AT6" s="4702"/>
      <c r="AU6" s="4702"/>
      <c r="AV6" s="4702"/>
      <c r="AW6" s="4702"/>
      <c r="AX6" s="4702"/>
      <c r="AY6" s="4702"/>
      <c r="AZ6" s="4702"/>
      <c r="BA6" s="4702"/>
      <c r="BB6" s="4702"/>
      <c r="BC6" s="4702"/>
      <c r="BD6" s="4702"/>
      <c r="BE6" s="4702"/>
      <c r="BF6" s="4702"/>
      <c r="BG6" s="4702"/>
      <c r="BH6" s="4702"/>
      <c r="BI6" s="4702"/>
      <c r="BJ6" s="1758"/>
      <c r="BK6" s="1819"/>
      <c r="BL6" s="1819"/>
      <c r="BM6" s="1820"/>
      <c r="BN6" s="1758"/>
      <c r="BO6" s="1758"/>
      <c r="BP6" s="1758"/>
      <c r="BQ6" s="1758"/>
      <c r="BR6" s="1758"/>
      <c r="BS6" s="1758"/>
      <c r="BT6" s="1758"/>
      <c r="BU6" s="1759"/>
      <c r="BV6" s="4"/>
      <c r="BW6" s="4"/>
      <c r="BX6" s="4"/>
      <c r="BY6" s="4"/>
      <c r="BZ6" s="4"/>
      <c r="CA6" s="4"/>
      <c r="CB6" s="4"/>
      <c r="CC6" s="4"/>
      <c r="CD6" s="4"/>
      <c r="CE6" s="4"/>
      <c r="CF6" s="4"/>
      <c r="CG6" s="4"/>
      <c r="CH6" s="4"/>
      <c r="CI6" s="4"/>
      <c r="CJ6" s="4"/>
      <c r="CK6" s="4"/>
      <c r="CL6" s="4"/>
      <c r="CM6" s="4"/>
      <c r="CN6" s="4"/>
      <c r="CO6" s="4"/>
    </row>
    <row r="7" spans="1:93" ht="27.75" customHeight="1" x14ac:dyDescent="0.25">
      <c r="A7" s="2637" t="s">
        <v>129</v>
      </c>
      <c r="B7" s="2638"/>
      <c r="C7" s="2639" t="s">
        <v>128</v>
      </c>
      <c r="D7" s="2637"/>
      <c r="E7" s="2637" t="s">
        <v>127</v>
      </c>
      <c r="F7" s="2638"/>
      <c r="G7" s="2639" t="s">
        <v>126</v>
      </c>
      <c r="H7" s="2637"/>
      <c r="I7" s="2637"/>
      <c r="J7" s="2637"/>
      <c r="K7" s="2639" t="s">
        <v>125</v>
      </c>
      <c r="L7" s="2637"/>
      <c r="M7" s="2637"/>
      <c r="N7" s="2637"/>
      <c r="O7" s="4801" t="s">
        <v>2565</v>
      </c>
      <c r="P7" s="3589"/>
      <c r="Q7" s="3589"/>
      <c r="R7" s="3589"/>
      <c r="S7" s="3589"/>
      <c r="T7" s="3589"/>
      <c r="U7" s="3589"/>
      <c r="V7" s="3589"/>
      <c r="W7" s="3589"/>
      <c r="X7" s="3589"/>
      <c r="Y7" s="3589"/>
      <c r="Z7" s="4802"/>
      <c r="AA7" s="2610" t="s">
        <v>123</v>
      </c>
      <c r="AB7" s="2610"/>
      <c r="AC7" s="2610"/>
      <c r="AD7" s="2611" t="s">
        <v>122</v>
      </c>
      <c r="AE7" s="2612"/>
      <c r="AF7" s="2612"/>
      <c r="AG7" s="2613"/>
      <c r="AH7" s="2614" t="s">
        <v>121</v>
      </c>
      <c r="AI7" s="2615"/>
      <c r="AJ7" s="2615"/>
      <c r="AK7" s="2615"/>
      <c r="AL7" s="2615"/>
      <c r="AM7" s="2615"/>
      <c r="AN7" s="2615"/>
      <c r="AO7" s="2616"/>
      <c r="AP7" s="2660" t="s">
        <v>120</v>
      </c>
      <c r="AQ7" s="2661"/>
      <c r="AR7" s="2661"/>
      <c r="AS7" s="2661"/>
      <c r="AT7" s="2661"/>
      <c r="AU7" s="2661"/>
      <c r="AV7" s="2661"/>
      <c r="AW7" s="2661"/>
      <c r="AX7" s="2661"/>
      <c r="AY7" s="2661"/>
      <c r="AZ7" s="2661"/>
      <c r="BA7" s="2662"/>
      <c r="BB7" s="2614" t="s">
        <v>119</v>
      </c>
      <c r="BC7" s="2615"/>
      <c r="BD7" s="2615"/>
      <c r="BE7" s="2615"/>
      <c r="BF7" s="2615"/>
      <c r="BG7" s="2616"/>
      <c r="BH7" s="2644" t="s">
        <v>118</v>
      </c>
      <c r="BI7" s="2645"/>
      <c r="BJ7" s="2618" t="s">
        <v>737</v>
      </c>
      <c r="BK7" s="2618"/>
      <c r="BL7" s="2618"/>
      <c r="BM7" s="2618"/>
      <c r="BN7" s="2618"/>
      <c r="BO7" s="2618"/>
      <c r="BP7" s="2618"/>
      <c r="BQ7" s="2625" t="s">
        <v>116</v>
      </c>
      <c r="BR7" s="2626"/>
      <c r="BS7" s="2625" t="s">
        <v>115</v>
      </c>
      <c r="BT7" s="2626"/>
      <c r="BU7" s="2891" t="s">
        <v>114</v>
      </c>
      <c r="BV7" s="4"/>
      <c r="BW7" s="4"/>
      <c r="BX7" s="4"/>
      <c r="BY7" s="4"/>
      <c r="BZ7" s="4"/>
      <c r="CA7" s="4"/>
      <c r="CB7" s="4"/>
      <c r="CC7" s="4"/>
      <c r="CD7" s="4"/>
      <c r="CE7" s="4"/>
      <c r="CF7" s="4"/>
      <c r="CG7" s="4"/>
      <c r="CH7" s="4"/>
      <c r="CI7" s="4"/>
      <c r="CJ7" s="4"/>
      <c r="CK7" s="4"/>
      <c r="CL7" s="4"/>
      <c r="CM7" s="4"/>
      <c r="CN7" s="4"/>
      <c r="CO7" s="4"/>
    </row>
    <row r="8" spans="1:93" ht="89.25" customHeight="1" x14ac:dyDescent="0.25">
      <c r="A8" s="2653" t="s">
        <v>71</v>
      </c>
      <c r="B8" s="2653" t="s">
        <v>70</v>
      </c>
      <c r="C8" s="2653" t="s">
        <v>71</v>
      </c>
      <c r="D8" s="2653" t="s">
        <v>70</v>
      </c>
      <c r="E8" s="2653" t="s">
        <v>71</v>
      </c>
      <c r="F8" s="2653" t="s">
        <v>70</v>
      </c>
      <c r="G8" s="2653" t="s">
        <v>110</v>
      </c>
      <c r="H8" s="2653" t="s">
        <v>113</v>
      </c>
      <c r="I8" s="2653" t="s">
        <v>112</v>
      </c>
      <c r="J8" s="2653" t="s">
        <v>142</v>
      </c>
      <c r="K8" s="2653" t="s">
        <v>110</v>
      </c>
      <c r="L8" s="2653" t="s">
        <v>109</v>
      </c>
      <c r="M8" s="2653" t="s">
        <v>108</v>
      </c>
      <c r="N8" s="2653" t="s">
        <v>107</v>
      </c>
      <c r="O8" s="4799" t="s">
        <v>739</v>
      </c>
      <c r="P8" s="4800"/>
      <c r="Q8" s="3592" t="s">
        <v>105</v>
      </c>
      <c r="R8" s="3591" t="s">
        <v>104</v>
      </c>
      <c r="S8" s="3591" t="s">
        <v>103</v>
      </c>
      <c r="T8" s="3591" t="s">
        <v>102</v>
      </c>
      <c r="U8" s="3591" t="s">
        <v>101</v>
      </c>
      <c r="V8" s="3591" t="s">
        <v>100</v>
      </c>
      <c r="W8" s="3591" t="s">
        <v>99</v>
      </c>
      <c r="X8" s="4796" t="s">
        <v>102</v>
      </c>
      <c r="Y8" s="4796"/>
      <c r="Z8" s="4796"/>
      <c r="AA8" s="4797" t="s">
        <v>97</v>
      </c>
      <c r="AB8" s="3591" t="s">
        <v>96</v>
      </c>
      <c r="AC8" s="3591" t="s">
        <v>70</v>
      </c>
      <c r="AD8" s="2620" t="s">
        <v>95</v>
      </c>
      <c r="AE8" s="2621"/>
      <c r="AF8" s="2597" t="s">
        <v>94</v>
      </c>
      <c r="AG8" s="2598"/>
      <c r="AH8" s="2620" t="s">
        <v>93</v>
      </c>
      <c r="AI8" s="2621"/>
      <c r="AJ8" s="2620" t="s">
        <v>92</v>
      </c>
      <c r="AK8" s="2621"/>
      <c r="AL8" s="2620" t="s">
        <v>741</v>
      </c>
      <c r="AM8" s="2621"/>
      <c r="AN8" s="2620" t="s">
        <v>90</v>
      </c>
      <c r="AO8" s="2621"/>
      <c r="AP8" s="2620" t="s">
        <v>89</v>
      </c>
      <c r="AQ8" s="2621"/>
      <c r="AR8" s="2620" t="s">
        <v>88</v>
      </c>
      <c r="AS8" s="2621"/>
      <c r="AT8" s="2620" t="s">
        <v>87</v>
      </c>
      <c r="AU8" s="2621"/>
      <c r="AV8" s="2620" t="s">
        <v>742</v>
      </c>
      <c r="AW8" s="2621"/>
      <c r="AX8" s="2620" t="s">
        <v>85</v>
      </c>
      <c r="AY8" s="2621"/>
      <c r="AZ8" s="2620" t="s">
        <v>84</v>
      </c>
      <c r="BA8" s="2621"/>
      <c r="BB8" s="3602" t="s">
        <v>83</v>
      </c>
      <c r="BC8" s="3603"/>
      <c r="BD8" s="3602" t="s">
        <v>82</v>
      </c>
      <c r="BE8" s="3603"/>
      <c r="BF8" s="3602" t="s">
        <v>81</v>
      </c>
      <c r="BG8" s="3603"/>
      <c r="BH8" s="2646"/>
      <c r="BI8" s="2647"/>
      <c r="BJ8" s="2655" t="s">
        <v>744</v>
      </c>
      <c r="BK8" s="4790" t="s">
        <v>268</v>
      </c>
      <c r="BL8" s="4790" t="s">
        <v>269</v>
      </c>
      <c r="BM8" s="4792" t="s">
        <v>77</v>
      </c>
      <c r="BN8" s="4794" t="s">
        <v>745</v>
      </c>
      <c r="BO8" s="4795"/>
      <c r="BP8" s="2655" t="s">
        <v>75</v>
      </c>
      <c r="BQ8" s="2627"/>
      <c r="BR8" s="2628"/>
      <c r="BS8" s="2627"/>
      <c r="BT8" s="2628"/>
      <c r="BU8" s="2891"/>
      <c r="BV8" s="4"/>
      <c r="BW8" s="4"/>
      <c r="BX8" s="4"/>
      <c r="BY8" s="4"/>
      <c r="BZ8" s="4"/>
      <c r="CA8" s="4"/>
      <c r="CB8" s="4"/>
      <c r="CC8" s="4"/>
      <c r="CD8" s="4"/>
      <c r="CE8" s="4"/>
      <c r="CF8" s="4"/>
      <c r="CG8" s="4"/>
      <c r="CH8" s="4"/>
      <c r="CI8" s="4"/>
      <c r="CJ8" s="4"/>
      <c r="CK8" s="4"/>
      <c r="CL8" s="4"/>
      <c r="CM8" s="4"/>
      <c r="CN8" s="4"/>
      <c r="CO8" s="4"/>
    </row>
    <row r="9" spans="1:93" ht="38.25" customHeight="1" x14ac:dyDescent="0.25">
      <c r="A9" s="4056"/>
      <c r="B9" s="4056"/>
      <c r="C9" s="4056"/>
      <c r="D9" s="4056"/>
      <c r="E9" s="4056"/>
      <c r="F9" s="4056"/>
      <c r="G9" s="4056"/>
      <c r="H9" s="4056"/>
      <c r="I9" s="4056"/>
      <c r="J9" s="4056"/>
      <c r="K9" s="4056"/>
      <c r="L9" s="4056"/>
      <c r="M9" s="4056"/>
      <c r="N9" s="4056"/>
      <c r="O9" s="1797" t="s">
        <v>69</v>
      </c>
      <c r="P9" s="1794" t="s">
        <v>68</v>
      </c>
      <c r="Q9" s="3593"/>
      <c r="R9" s="3591"/>
      <c r="S9" s="3591"/>
      <c r="T9" s="3591"/>
      <c r="U9" s="3591"/>
      <c r="V9" s="3591"/>
      <c r="W9" s="3591"/>
      <c r="X9" s="1795" t="s">
        <v>74</v>
      </c>
      <c r="Y9" s="1795" t="s">
        <v>73</v>
      </c>
      <c r="Z9" s="1795" t="s">
        <v>72</v>
      </c>
      <c r="AA9" s="4798"/>
      <c r="AB9" s="3591"/>
      <c r="AC9" s="3591"/>
      <c r="AD9" s="1796" t="s">
        <v>69</v>
      </c>
      <c r="AE9" s="1796" t="s">
        <v>68</v>
      </c>
      <c r="AF9" s="1796" t="s">
        <v>69</v>
      </c>
      <c r="AG9" s="1796" t="s">
        <v>68</v>
      </c>
      <c r="AH9" s="1796" t="s">
        <v>69</v>
      </c>
      <c r="AI9" s="1796" t="s">
        <v>68</v>
      </c>
      <c r="AJ9" s="1796" t="s">
        <v>69</v>
      </c>
      <c r="AK9" s="1796" t="s">
        <v>68</v>
      </c>
      <c r="AL9" s="1796" t="s">
        <v>69</v>
      </c>
      <c r="AM9" s="1796" t="s">
        <v>68</v>
      </c>
      <c r="AN9" s="1796" t="s">
        <v>69</v>
      </c>
      <c r="AO9" s="1796" t="s">
        <v>68</v>
      </c>
      <c r="AP9" s="1796" t="s">
        <v>69</v>
      </c>
      <c r="AQ9" s="1796" t="s">
        <v>68</v>
      </c>
      <c r="AR9" s="1796" t="s">
        <v>69</v>
      </c>
      <c r="AS9" s="1796" t="s">
        <v>68</v>
      </c>
      <c r="AT9" s="1796" t="s">
        <v>69</v>
      </c>
      <c r="AU9" s="1796" t="s">
        <v>68</v>
      </c>
      <c r="AV9" s="1796" t="s">
        <v>69</v>
      </c>
      <c r="AW9" s="1796" t="s">
        <v>68</v>
      </c>
      <c r="AX9" s="1796" t="s">
        <v>69</v>
      </c>
      <c r="AY9" s="1796" t="s">
        <v>68</v>
      </c>
      <c r="AZ9" s="1796" t="s">
        <v>69</v>
      </c>
      <c r="BA9" s="1796" t="s">
        <v>68</v>
      </c>
      <c r="BB9" s="1796" t="s">
        <v>69</v>
      </c>
      <c r="BC9" s="1796" t="s">
        <v>68</v>
      </c>
      <c r="BD9" s="1796" t="s">
        <v>69</v>
      </c>
      <c r="BE9" s="1796" t="s">
        <v>68</v>
      </c>
      <c r="BF9" s="1796" t="s">
        <v>69</v>
      </c>
      <c r="BG9" s="1796" t="s">
        <v>68</v>
      </c>
      <c r="BH9" s="1796" t="s">
        <v>69</v>
      </c>
      <c r="BI9" s="1796" t="s">
        <v>68</v>
      </c>
      <c r="BJ9" s="2656"/>
      <c r="BK9" s="4791"/>
      <c r="BL9" s="4791"/>
      <c r="BM9" s="4793"/>
      <c r="BN9" s="1796" t="s">
        <v>746</v>
      </c>
      <c r="BO9" s="1796" t="s">
        <v>747</v>
      </c>
      <c r="BP9" s="2656"/>
      <c r="BQ9" s="1777" t="s">
        <v>69</v>
      </c>
      <c r="BR9" s="1777" t="s">
        <v>68</v>
      </c>
      <c r="BS9" s="1777" t="s">
        <v>69</v>
      </c>
      <c r="BT9" s="1777" t="s">
        <v>68</v>
      </c>
      <c r="BU9" s="2891"/>
      <c r="BV9" s="4"/>
      <c r="BW9" s="4"/>
      <c r="BX9" s="4"/>
      <c r="BY9" s="4"/>
      <c r="BZ9" s="4"/>
      <c r="CA9" s="4"/>
      <c r="CB9" s="4"/>
      <c r="CC9" s="4"/>
      <c r="CD9" s="4"/>
      <c r="CE9" s="4"/>
      <c r="CF9" s="4"/>
      <c r="CG9" s="4"/>
      <c r="CH9" s="4"/>
      <c r="CI9" s="4"/>
      <c r="CJ9" s="4"/>
      <c r="CK9" s="4"/>
      <c r="CL9" s="4"/>
      <c r="CM9" s="4"/>
      <c r="CN9" s="4"/>
      <c r="CO9" s="4"/>
    </row>
    <row r="10" spans="1:93" ht="22.5" customHeight="1" x14ac:dyDescent="0.25">
      <c r="A10" s="1821">
        <v>1</v>
      </c>
      <c r="B10" s="4784" t="s">
        <v>273</v>
      </c>
      <c r="C10" s="4785"/>
      <c r="D10" s="4785"/>
      <c r="E10" s="4785"/>
      <c r="F10" s="4785"/>
      <c r="G10" s="4785"/>
      <c r="H10" s="4785"/>
      <c r="I10" s="4785"/>
      <c r="J10" s="4785"/>
      <c r="K10" s="4785"/>
      <c r="L10" s="4785"/>
      <c r="M10" s="248"/>
      <c r="N10" s="1822"/>
      <c r="O10" s="248"/>
      <c r="P10" s="120"/>
      <c r="Q10" s="248"/>
      <c r="R10" s="1823"/>
      <c r="S10" s="1824"/>
      <c r="T10" s="1825"/>
      <c r="U10" s="1823"/>
      <c r="V10" s="1823"/>
      <c r="W10" s="1823"/>
      <c r="X10" s="1826"/>
      <c r="Y10" s="1826"/>
      <c r="Z10" s="1826"/>
      <c r="AA10" s="248"/>
      <c r="AB10" s="121"/>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827"/>
      <c r="BL10" s="1827"/>
      <c r="BM10" s="1828"/>
      <c r="BN10" s="120"/>
      <c r="BO10" s="120"/>
      <c r="BP10" s="120"/>
      <c r="BQ10" s="119"/>
      <c r="BR10" s="119"/>
      <c r="BS10" s="119"/>
      <c r="BT10" s="119"/>
      <c r="BU10" s="253"/>
      <c r="BV10" s="4"/>
      <c r="BW10" s="4"/>
      <c r="BX10" s="4"/>
      <c r="BY10" s="4"/>
      <c r="BZ10" s="4"/>
      <c r="CA10" s="4"/>
      <c r="CB10" s="4"/>
      <c r="CC10" s="4"/>
      <c r="CD10" s="4"/>
      <c r="CE10" s="4"/>
      <c r="CF10" s="4"/>
      <c r="CG10" s="4"/>
      <c r="CH10" s="4"/>
      <c r="CI10" s="4"/>
      <c r="CJ10" s="4"/>
      <c r="CK10" s="4"/>
      <c r="CL10" s="4"/>
      <c r="CM10" s="4"/>
      <c r="CN10" s="4"/>
      <c r="CO10" s="4"/>
    </row>
    <row r="11" spans="1:93" ht="22.5" customHeight="1" x14ac:dyDescent="0.25">
      <c r="A11" s="1811"/>
      <c r="B11" s="1762"/>
      <c r="C11" s="115">
        <v>23</v>
      </c>
      <c r="D11" s="3218" t="s">
        <v>2566</v>
      </c>
      <c r="E11" s="2578"/>
      <c r="F11" s="2578"/>
      <c r="G11" s="2578"/>
      <c r="H11" s="2578"/>
      <c r="I11" s="328"/>
      <c r="J11" s="1829"/>
      <c r="K11" s="328"/>
      <c r="L11" s="1829"/>
      <c r="M11" s="328"/>
      <c r="N11" s="1829"/>
      <c r="O11" s="328"/>
      <c r="P11" s="328"/>
      <c r="Q11" s="328"/>
      <c r="R11" s="1829"/>
      <c r="S11" s="1297"/>
      <c r="T11" s="1830"/>
      <c r="U11" s="1829"/>
      <c r="V11" s="1829"/>
      <c r="W11" s="1829"/>
      <c r="X11" s="1831"/>
      <c r="Y11" s="1831"/>
      <c r="Z11" s="1831"/>
      <c r="AA11" s="328"/>
      <c r="AB11" s="332"/>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1832"/>
      <c r="BL11" s="1832"/>
      <c r="BM11" s="1833"/>
      <c r="BN11" s="328"/>
      <c r="BO11" s="328"/>
      <c r="BP11" s="328"/>
      <c r="BQ11" s="333"/>
      <c r="BR11" s="333"/>
      <c r="BS11" s="333"/>
      <c r="BT11" s="333"/>
      <c r="BU11" s="334"/>
    </row>
    <row r="12" spans="1:93" s="4" customFormat="1" ht="20.25" customHeight="1" x14ac:dyDescent="0.25">
      <c r="A12" s="2909"/>
      <c r="B12" s="2910"/>
      <c r="C12" s="1778"/>
      <c r="D12" s="1781"/>
      <c r="E12" s="917">
        <v>2301</v>
      </c>
      <c r="F12" s="4786" t="s">
        <v>2567</v>
      </c>
      <c r="G12" s="4236"/>
      <c r="H12" s="4236"/>
      <c r="I12" s="4236"/>
      <c r="J12" s="4236"/>
      <c r="K12" s="4236"/>
      <c r="L12" s="4236"/>
      <c r="M12" s="4236"/>
      <c r="N12" s="4236"/>
      <c r="O12" s="4236"/>
      <c r="P12" s="4236"/>
      <c r="Q12" s="4787"/>
      <c r="R12" s="4787"/>
      <c r="S12" s="1300"/>
      <c r="T12" s="1834"/>
      <c r="U12" s="1835"/>
      <c r="V12" s="1835"/>
      <c r="W12" s="1835"/>
      <c r="X12" s="1836"/>
      <c r="Y12" s="1837"/>
      <c r="Z12" s="1837"/>
      <c r="AA12" s="918"/>
      <c r="AB12" s="343"/>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1838"/>
      <c r="BL12" s="1838"/>
      <c r="BM12" s="1839"/>
      <c r="BN12" s="341"/>
      <c r="BO12" s="341"/>
      <c r="BP12" s="341"/>
      <c r="BQ12" s="344"/>
      <c r="BR12" s="344"/>
      <c r="BS12" s="344"/>
      <c r="BT12" s="344"/>
      <c r="BU12" s="345"/>
    </row>
    <row r="13" spans="1:93" ht="69" customHeight="1" x14ac:dyDescent="0.25">
      <c r="A13" s="2909"/>
      <c r="B13" s="2910"/>
      <c r="C13" s="1780"/>
      <c r="D13" s="1781"/>
      <c r="E13" s="4788"/>
      <c r="F13" s="4291"/>
      <c r="G13" s="3622">
        <v>2301024</v>
      </c>
      <c r="H13" s="4789" t="s">
        <v>2568</v>
      </c>
      <c r="I13" s="3622">
        <v>2301024</v>
      </c>
      <c r="J13" s="3667" t="s">
        <v>2568</v>
      </c>
      <c r="K13" s="3622">
        <v>230102401</v>
      </c>
      <c r="L13" s="3667" t="s">
        <v>2569</v>
      </c>
      <c r="M13" s="3622">
        <v>230102401</v>
      </c>
      <c r="N13" s="2514" t="s">
        <v>2569</v>
      </c>
      <c r="O13" s="3622">
        <v>15</v>
      </c>
      <c r="P13" s="3622">
        <v>15</v>
      </c>
      <c r="Q13" s="4528" t="s">
        <v>2570</v>
      </c>
      <c r="R13" s="2781" t="s">
        <v>2571</v>
      </c>
      <c r="S13" s="3721">
        <f>SUM(X13:X20)/T13</f>
        <v>1</v>
      </c>
      <c r="T13" s="4762">
        <f>SUM(X13:X24)</f>
        <v>325460000</v>
      </c>
      <c r="U13" s="2545" t="s">
        <v>2572</v>
      </c>
      <c r="V13" s="2948" t="s">
        <v>2573</v>
      </c>
      <c r="W13" s="1763" t="s">
        <v>2574</v>
      </c>
      <c r="X13" s="1840">
        <v>6000000</v>
      </c>
      <c r="Y13" s="1536">
        <v>6000000</v>
      </c>
      <c r="Z13" s="1536">
        <v>6000000</v>
      </c>
      <c r="AA13" s="363" t="s">
        <v>2575</v>
      </c>
      <c r="AB13" s="808">
        <v>20</v>
      </c>
      <c r="AC13" s="1752" t="s">
        <v>1</v>
      </c>
      <c r="AD13" s="2729">
        <v>295972</v>
      </c>
      <c r="AE13" s="2729">
        <v>295972</v>
      </c>
      <c r="AF13" s="2729">
        <v>294321</v>
      </c>
      <c r="AG13" s="2729">
        <v>294321</v>
      </c>
      <c r="AH13" s="2729">
        <v>132302</v>
      </c>
      <c r="AI13" s="2729">
        <v>132302</v>
      </c>
      <c r="AJ13" s="2729">
        <v>43426</v>
      </c>
      <c r="AK13" s="2729">
        <v>43426</v>
      </c>
      <c r="AL13" s="2729">
        <v>313940</v>
      </c>
      <c r="AM13" s="2729">
        <v>313940</v>
      </c>
      <c r="AN13" s="2729">
        <v>100625</v>
      </c>
      <c r="AO13" s="2729">
        <v>100625</v>
      </c>
      <c r="AP13" s="2729">
        <v>2145</v>
      </c>
      <c r="AQ13" s="2729">
        <v>2145</v>
      </c>
      <c r="AR13" s="2729">
        <v>12718</v>
      </c>
      <c r="AS13" s="2729">
        <v>12718</v>
      </c>
      <c r="AT13" s="2729">
        <v>36</v>
      </c>
      <c r="AU13" s="2729">
        <v>36</v>
      </c>
      <c r="AV13" s="2729">
        <v>0</v>
      </c>
      <c r="AW13" s="2729">
        <v>0</v>
      </c>
      <c r="AX13" s="2729">
        <v>0</v>
      </c>
      <c r="AY13" s="2729">
        <v>0</v>
      </c>
      <c r="AZ13" s="2729">
        <v>0</v>
      </c>
      <c r="BA13" s="2729">
        <v>0</v>
      </c>
      <c r="BB13" s="2729">
        <v>70</v>
      </c>
      <c r="BC13" s="2729">
        <v>70</v>
      </c>
      <c r="BD13" s="2729">
        <v>21944</v>
      </c>
      <c r="BE13" s="2729">
        <v>21944</v>
      </c>
      <c r="BF13" s="2729">
        <v>285</v>
      </c>
      <c r="BG13" s="2729">
        <v>285</v>
      </c>
      <c r="BH13" s="2729">
        <f>+AD13+AF13</f>
        <v>590293</v>
      </c>
      <c r="BI13" s="2729">
        <f>+AE13+AG13</f>
        <v>590293</v>
      </c>
      <c r="BJ13" s="2729">
        <v>4</v>
      </c>
      <c r="BK13" s="4778">
        <f>SUM(Y13:Y24)</f>
        <v>274223114.42000002</v>
      </c>
      <c r="BL13" s="4778">
        <f>SUM(Z13:Z24)</f>
        <v>274223114.42000002</v>
      </c>
      <c r="BM13" s="4781">
        <f>BL13/BK13</f>
        <v>1</v>
      </c>
      <c r="BN13" s="2547" t="s">
        <v>2576</v>
      </c>
      <c r="BO13" s="2547" t="s">
        <v>422</v>
      </c>
      <c r="BP13" s="2545" t="s">
        <v>2577</v>
      </c>
      <c r="BQ13" s="3936">
        <v>44197</v>
      </c>
      <c r="BR13" s="3936">
        <v>44270</v>
      </c>
      <c r="BS13" s="3936">
        <v>44561</v>
      </c>
      <c r="BT13" s="3936">
        <v>44523</v>
      </c>
      <c r="BU13" s="4123" t="s">
        <v>2578</v>
      </c>
    </row>
    <row r="14" spans="1:93" ht="56.25" customHeight="1" x14ac:dyDescent="0.25">
      <c r="A14" s="2909"/>
      <c r="B14" s="2910"/>
      <c r="C14" s="1780"/>
      <c r="D14" s="1781"/>
      <c r="E14" s="4291"/>
      <c r="F14" s="4291"/>
      <c r="G14" s="3622"/>
      <c r="H14" s="4789"/>
      <c r="I14" s="3622"/>
      <c r="J14" s="3667"/>
      <c r="K14" s="3622"/>
      <c r="L14" s="3667"/>
      <c r="M14" s="3622"/>
      <c r="N14" s="2514"/>
      <c r="O14" s="3622"/>
      <c r="P14" s="3622"/>
      <c r="Q14" s="4528"/>
      <c r="R14" s="2781"/>
      <c r="S14" s="2726"/>
      <c r="T14" s="4774"/>
      <c r="U14" s="2781"/>
      <c r="V14" s="2949"/>
      <c r="W14" s="1763" t="s">
        <v>2579</v>
      </c>
      <c r="X14" s="1840">
        <v>6000000</v>
      </c>
      <c r="Y14" s="1536">
        <v>6000000</v>
      </c>
      <c r="Z14" s="1536">
        <v>6000000</v>
      </c>
      <c r="AA14" s="363" t="s">
        <v>2580</v>
      </c>
      <c r="AB14" s="808">
        <v>20</v>
      </c>
      <c r="AC14" s="1752" t="s">
        <v>1</v>
      </c>
      <c r="AD14" s="2730"/>
      <c r="AE14" s="2730"/>
      <c r="AF14" s="2730"/>
      <c r="AG14" s="2730"/>
      <c r="AH14" s="2730"/>
      <c r="AI14" s="2730"/>
      <c r="AJ14" s="2730"/>
      <c r="AK14" s="2730"/>
      <c r="AL14" s="2730"/>
      <c r="AM14" s="2730"/>
      <c r="AN14" s="2730"/>
      <c r="AO14" s="2730"/>
      <c r="AP14" s="2730"/>
      <c r="AQ14" s="2730"/>
      <c r="AR14" s="2730"/>
      <c r="AS14" s="2730"/>
      <c r="AT14" s="2730"/>
      <c r="AU14" s="2730"/>
      <c r="AV14" s="2730"/>
      <c r="AW14" s="2730"/>
      <c r="AX14" s="2730"/>
      <c r="AY14" s="2730"/>
      <c r="AZ14" s="2730"/>
      <c r="BA14" s="2730"/>
      <c r="BB14" s="2730"/>
      <c r="BC14" s="2730"/>
      <c r="BD14" s="2730"/>
      <c r="BE14" s="2730"/>
      <c r="BF14" s="2730"/>
      <c r="BG14" s="2730"/>
      <c r="BH14" s="2730"/>
      <c r="BI14" s="2730"/>
      <c r="BJ14" s="2730"/>
      <c r="BK14" s="4779"/>
      <c r="BL14" s="4779"/>
      <c r="BM14" s="4782"/>
      <c r="BN14" s="2730"/>
      <c r="BO14" s="2730"/>
      <c r="BP14" s="2781"/>
      <c r="BQ14" s="4742"/>
      <c r="BR14" s="4742"/>
      <c r="BS14" s="4742"/>
      <c r="BT14" s="4742"/>
      <c r="BU14" s="4100"/>
    </row>
    <row r="15" spans="1:93" ht="59.25" customHeight="1" x14ac:dyDescent="0.25">
      <c r="A15" s="2909"/>
      <c r="B15" s="2910"/>
      <c r="C15" s="1780"/>
      <c r="D15" s="1781"/>
      <c r="E15" s="1812"/>
      <c r="F15" s="1812"/>
      <c r="G15" s="3622"/>
      <c r="H15" s="4789"/>
      <c r="I15" s="3622"/>
      <c r="J15" s="3667"/>
      <c r="K15" s="3622"/>
      <c r="L15" s="3667"/>
      <c r="M15" s="3622"/>
      <c r="N15" s="2514"/>
      <c r="O15" s="3622"/>
      <c r="P15" s="3622"/>
      <c r="Q15" s="4528"/>
      <c r="R15" s="2781"/>
      <c r="S15" s="2726"/>
      <c r="T15" s="4774"/>
      <c r="U15" s="2781"/>
      <c r="V15" s="2949"/>
      <c r="W15" s="1763" t="s">
        <v>2581</v>
      </c>
      <c r="X15" s="1840">
        <v>6000000</v>
      </c>
      <c r="Y15" s="1536">
        <v>6000000</v>
      </c>
      <c r="Z15" s="1536">
        <v>6000000</v>
      </c>
      <c r="AA15" s="363" t="s">
        <v>2582</v>
      </c>
      <c r="AB15" s="808">
        <v>20</v>
      </c>
      <c r="AC15" s="1752" t="s">
        <v>1</v>
      </c>
      <c r="AD15" s="2730"/>
      <c r="AE15" s="2730"/>
      <c r="AF15" s="2730"/>
      <c r="AG15" s="2730"/>
      <c r="AH15" s="2730"/>
      <c r="AI15" s="2730"/>
      <c r="AJ15" s="2730"/>
      <c r="AK15" s="2730"/>
      <c r="AL15" s="2730"/>
      <c r="AM15" s="2730"/>
      <c r="AN15" s="2730"/>
      <c r="AO15" s="2730"/>
      <c r="AP15" s="2730"/>
      <c r="AQ15" s="2730"/>
      <c r="AR15" s="2730"/>
      <c r="AS15" s="2730"/>
      <c r="AT15" s="2730"/>
      <c r="AU15" s="2730"/>
      <c r="AV15" s="2730"/>
      <c r="AW15" s="2730"/>
      <c r="AX15" s="2730"/>
      <c r="AY15" s="2730"/>
      <c r="AZ15" s="2730"/>
      <c r="BA15" s="2730"/>
      <c r="BB15" s="2730"/>
      <c r="BC15" s="2730"/>
      <c r="BD15" s="2730"/>
      <c r="BE15" s="2730"/>
      <c r="BF15" s="2730"/>
      <c r="BG15" s="2730"/>
      <c r="BH15" s="2730"/>
      <c r="BI15" s="2730"/>
      <c r="BJ15" s="2730"/>
      <c r="BK15" s="4779"/>
      <c r="BL15" s="4779"/>
      <c r="BM15" s="4782"/>
      <c r="BN15" s="2730"/>
      <c r="BO15" s="2730"/>
      <c r="BP15" s="2781"/>
      <c r="BQ15" s="4742"/>
      <c r="BR15" s="4742"/>
      <c r="BS15" s="4742"/>
      <c r="BT15" s="4742"/>
      <c r="BU15" s="4100"/>
    </row>
    <row r="16" spans="1:93" ht="66" customHeight="1" x14ac:dyDescent="0.25">
      <c r="A16" s="2909"/>
      <c r="B16" s="2910"/>
      <c r="C16" s="1780"/>
      <c r="D16" s="1781"/>
      <c r="E16" s="1812"/>
      <c r="F16" s="1812"/>
      <c r="G16" s="3622"/>
      <c r="H16" s="4789"/>
      <c r="I16" s="3622"/>
      <c r="J16" s="3667"/>
      <c r="K16" s="3622">
        <v>230102404</v>
      </c>
      <c r="L16" s="3667" t="s">
        <v>2583</v>
      </c>
      <c r="M16" s="3622">
        <v>230102404</v>
      </c>
      <c r="N16" s="2514" t="s">
        <v>2583</v>
      </c>
      <c r="O16" s="3622">
        <v>3</v>
      </c>
      <c r="P16" s="3622">
        <v>3</v>
      </c>
      <c r="Q16" s="4528"/>
      <c r="R16" s="2781"/>
      <c r="S16" s="2726"/>
      <c r="T16" s="4774"/>
      <c r="U16" s="2781"/>
      <c r="V16" s="2949"/>
      <c r="W16" s="1763" t="s">
        <v>2584</v>
      </c>
      <c r="X16" s="1840">
        <f>30000000+30000000</f>
        <v>60000000</v>
      </c>
      <c r="Y16" s="1841">
        <f>14960000+14960000+9900000+9900000+3648167+3080000+3080000+432833</f>
        <v>59961000</v>
      </c>
      <c r="Z16" s="1536">
        <f>14960000+14960000+9900000+9900000+3648167+3080000+3080000+432833</f>
        <v>59961000</v>
      </c>
      <c r="AA16" s="363" t="s">
        <v>2582</v>
      </c>
      <c r="AB16" s="808">
        <v>20</v>
      </c>
      <c r="AC16" s="1752" t="s">
        <v>1</v>
      </c>
      <c r="AD16" s="2730"/>
      <c r="AE16" s="2730"/>
      <c r="AF16" s="2730"/>
      <c r="AG16" s="2730"/>
      <c r="AH16" s="2730"/>
      <c r="AI16" s="2730"/>
      <c r="AJ16" s="2730"/>
      <c r="AK16" s="2730"/>
      <c r="AL16" s="2730"/>
      <c r="AM16" s="2730"/>
      <c r="AN16" s="2730"/>
      <c r="AO16" s="2730"/>
      <c r="AP16" s="2730"/>
      <c r="AQ16" s="2730"/>
      <c r="AR16" s="2730"/>
      <c r="AS16" s="2730"/>
      <c r="AT16" s="2730"/>
      <c r="AU16" s="2730"/>
      <c r="AV16" s="2730"/>
      <c r="AW16" s="2730"/>
      <c r="AX16" s="2730"/>
      <c r="AY16" s="2730"/>
      <c r="AZ16" s="2730"/>
      <c r="BA16" s="2730"/>
      <c r="BB16" s="2730"/>
      <c r="BC16" s="2730"/>
      <c r="BD16" s="2730"/>
      <c r="BE16" s="2730"/>
      <c r="BF16" s="2730"/>
      <c r="BG16" s="2730"/>
      <c r="BH16" s="2730"/>
      <c r="BI16" s="2730"/>
      <c r="BJ16" s="2730"/>
      <c r="BK16" s="4779"/>
      <c r="BL16" s="4779"/>
      <c r="BM16" s="4782"/>
      <c r="BN16" s="2730"/>
      <c r="BO16" s="2730"/>
      <c r="BP16" s="2781"/>
      <c r="BQ16" s="4742"/>
      <c r="BR16" s="4742"/>
      <c r="BS16" s="4742"/>
      <c r="BT16" s="4742"/>
      <c r="BU16" s="4100"/>
    </row>
    <row r="17" spans="1:73" ht="66" customHeight="1" x14ac:dyDescent="0.25">
      <c r="A17" s="2909"/>
      <c r="B17" s="2910"/>
      <c r="C17" s="1780"/>
      <c r="D17" s="1781"/>
      <c r="E17" s="1812"/>
      <c r="F17" s="1812"/>
      <c r="G17" s="3622"/>
      <c r="H17" s="4789"/>
      <c r="I17" s="3622"/>
      <c r="J17" s="3667"/>
      <c r="K17" s="3622"/>
      <c r="L17" s="3667"/>
      <c r="M17" s="3622"/>
      <c r="N17" s="2514"/>
      <c r="O17" s="3622"/>
      <c r="P17" s="3622"/>
      <c r="Q17" s="4528"/>
      <c r="R17" s="2781"/>
      <c r="S17" s="2726"/>
      <c r="T17" s="4774"/>
      <c r="U17" s="2781"/>
      <c r="V17" s="2949"/>
      <c r="W17" s="2681" t="s">
        <v>2585</v>
      </c>
      <c r="X17" s="1840">
        <f>90000000+50000000</f>
        <v>140000000</v>
      </c>
      <c r="Y17" s="1536">
        <f>54418498+37997483+47458557</f>
        <v>139874538</v>
      </c>
      <c r="Z17" s="1536">
        <f>54418498+37997483+47458557</f>
        <v>139874538</v>
      </c>
      <c r="AA17" s="363" t="s">
        <v>2586</v>
      </c>
      <c r="AB17" s="808">
        <v>20</v>
      </c>
      <c r="AC17" s="1752" t="s">
        <v>1</v>
      </c>
      <c r="AD17" s="2730"/>
      <c r="AE17" s="2730"/>
      <c r="AF17" s="2730"/>
      <c r="AG17" s="2730"/>
      <c r="AH17" s="2730"/>
      <c r="AI17" s="2730"/>
      <c r="AJ17" s="2730"/>
      <c r="AK17" s="2730"/>
      <c r="AL17" s="2730"/>
      <c r="AM17" s="2730"/>
      <c r="AN17" s="2730"/>
      <c r="AO17" s="2730"/>
      <c r="AP17" s="2730"/>
      <c r="AQ17" s="2730"/>
      <c r="AR17" s="2730"/>
      <c r="AS17" s="2730"/>
      <c r="AT17" s="2730"/>
      <c r="AU17" s="2730"/>
      <c r="AV17" s="2730"/>
      <c r="AW17" s="2730"/>
      <c r="AX17" s="2730"/>
      <c r="AY17" s="2730"/>
      <c r="AZ17" s="2730"/>
      <c r="BA17" s="2730"/>
      <c r="BB17" s="2730"/>
      <c r="BC17" s="2730"/>
      <c r="BD17" s="2730"/>
      <c r="BE17" s="2730"/>
      <c r="BF17" s="2730"/>
      <c r="BG17" s="2730"/>
      <c r="BH17" s="2730"/>
      <c r="BI17" s="2730"/>
      <c r="BJ17" s="2730"/>
      <c r="BK17" s="4779"/>
      <c r="BL17" s="4779"/>
      <c r="BM17" s="4782"/>
      <c r="BN17" s="2730"/>
      <c r="BO17" s="2730"/>
      <c r="BP17" s="2781"/>
      <c r="BQ17" s="4742"/>
      <c r="BR17" s="4742"/>
      <c r="BS17" s="4742"/>
      <c r="BT17" s="4742"/>
      <c r="BU17" s="4100"/>
    </row>
    <row r="18" spans="1:73" ht="85.5" customHeight="1" x14ac:dyDescent="0.25">
      <c r="A18" s="2909"/>
      <c r="B18" s="2910"/>
      <c r="C18" s="1780"/>
      <c r="D18" s="1781"/>
      <c r="E18" s="1812"/>
      <c r="F18" s="1812"/>
      <c r="G18" s="3622"/>
      <c r="H18" s="4789"/>
      <c r="I18" s="3622"/>
      <c r="J18" s="3667"/>
      <c r="K18" s="3622"/>
      <c r="L18" s="3667"/>
      <c r="M18" s="3622"/>
      <c r="N18" s="2514"/>
      <c r="O18" s="3622"/>
      <c r="P18" s="3622"/>
      <c r="Q18" s="4528"/>
      <c r="R18" s="2781"/>
      <c r="S18" s="2726"/>
      <c r="T18" s="4774"/>
      <c r="U18" s="2781"/>
      <c r="V18" s="2949"/>
      <c r="W18" s="2772"/>
      <c r="X18" s="1840">
        <f>40000000-40000000</f>
        <v>0</v>
      </c>
      <c r="Y18" s="1842"/>
      <c r="Z18" s="1843"/>
      <c r="AA18" s="363" t="s">
        <v>2587</v>
      </c>
      <c r="AB18" s="808">
        <v>20</v>
      </c>
      <c r="AC18" s="1752" t="s">
        <v>1</v>
      </c>
      <c r="AD18" s="2730"/>
      <c r="AE18" s="2730"/>
      <c r="AF18" s="2730"/>
      <c r="AG18" s="2730"/>
      <c r="AH18" s="2730"/>
      <c r="AI18" s="2730"/>
      <c r="AJ18" s="2730"/>
      <c r="AK18" s="2730"/>
      <c r="AL18" s="2730"/>
      <c r="AM18" s="2730"/>
      <c r="AN18" s="2730"/>
      <c r="AO18" s="2730"/>
      <c r="AP18" s="2730"/>
      <c r="AQ18" s="2730"/>
      <c r="AR18" s="2730"/>
      <c r="AS18" s="2730"/>
      <c r="AT18" s="2730"/>
      <c r="AU18" s="2730"/>
      <c r="AV18" s="2730"/>
      <c r="AW18" s="2730"/>
      <c r="AX18" s="2730"/>
      <c r="AY18" s="2730"/>
      <c r="AZ18" s="2730"/>
      <c r="BA18" s="2730"/>
      <c r="BB18" s="2730"/>
      <c r="BC18" s="2730"/>
      <c r="BD18" s="2730"/>
      <c r="BE18" s="2730"/>
      <c r="BF18" s="2730"/>
      <c r="BG18" s="2730"/>
      <c r="BH18" s="2730"/>
      <c r="BI18" s="2730"/>
      <c r="BJ18" s="2730"/>
      <c r="BK18" s="4779"/>
      <c r="BL18" s="4779"/>
      <c r="BM18" s="4782"/>
      <c r="BN18" s="2730"/>
      <c r="BO18" s="2730"/>
      <c r="BP18" s="2781"/>
      <c r="BQ18" s="4742"/>
      <c r="BR18" s="4742"/>
      <c r="BS18" s="4742"/>
      <c r="BT18" s="4742"/>
      <c r="BU18" s="4100"/>
    </row>
    <row r="19" spans="1:73" ht="50.25" customHeight="1" x14ac:dyDescent="0.25">
      <c r="A19" s="2909"/>
      <c r="B19" s="2910"/>
      <c r="C19" s="1780"/>
      <c r="D19" s="1781"/>
      <c r="E19" s="1812"/>
      <c r="F19" s="1812"/>
      <c r="G19" s="3622"/>
      <c r="H19" s="4789"/>
      <c r="I19" s="3622"/>
      <c r="J19" s="3667"/>
      <c r="K19" s="3622"/>
      <c r="L19" s="3667"/>
      <c r="M19" s="3622"/>
      <c r="N19" s="2514"/>
      <c r="O19" s="3622"/>
      <c r="P19" s="3622"/>
      <c r="Q19" s="4528"/>
      <c r="R19" s="2781"/>
      <c r="S19" s="2726"/>
      <c r="T19" s="4774"/>
      <c r="U19" s="2781"/>
      <c r="V19" s="2949"/>
      <c r="W19" s="2681" t="s">
        <v>2588</v>
      </c>
      <c r="X19" s="1840">
        <v>30000000</v>
      </c>
      <c r="Y19" s="1844">
        <v>2558500</v>
      </c>
      <c r="Z19" s="1843">
        <v>2558500</v>
      </c>
      <c r="AA19" s="363" t="s">
        <v>2586</v>
      </c>
      <c r="AB19" s="808">
        <v>20</v>
      </c>
      <c r="AC19" s="1752" t="s">
        <v>1</v>
      </c>
      <c r="AD19" s="2730"/>
      <c r="AE19" s="2730"/>
      <c r="AF19" s="2730"/>
      <c r="AG19" s="2730"/>
      <c r="AH19" s="2730"/>
      <c r="AI19" s="2730"/>
      <c r="AJ19" s="2730"/>
      <c r="AK19" s="2730"/>
      <c r="AL19" s="2730"/>
      <c r="AM19" s="2730"/>
      <c r="AN19" s="2730"/>
      <c r="AO19" s="2730"/>
      <c r="AP19" s="2730"/>
      <c r="AQ19" s="2730"/>
      <c r="AR19" s="2730"/>
      <c r="AS19" s="2730"/>
      <c r="AT19" s="2730"/>
      <c r="AU19" s="2730"/>
      <c r="AV19" s="2730"/>
      <c r="AW19" s="2730"/>
      <c r="AX19" s="2730"/>
      <c r="AY19" s="2730"/>
      <c r="AZ19" s="2730"/>
      <c r="BA19" s="2730"/>
      <c r="BB19" s="2730"/>
      <c r="BC19" s="2730"/>
      <c r="BD19" s="2730"/>
      <c r="BE19" s="2730"/>
      <c r="BF19" s="2730"/>
      <c r="BG19" s="2730"/>
      <c r="BH19" s="2730"/>
      <c r="BI19" s="2730"/>
      <c r="BJ19" s="2730"/>
      <c r="BK19" s="4779"/>
      <c r="BL19" s="4779"/>
      <c r="BM19" s="4782"/>
      <c r="BN19" s="2730"/>
      <c r="BO19" s="2730"/>
      <c r="BP19" s="2781"/>
      <c r="BQ19" s="4742"/>
      <c r="BR19" s="4742"/>
      <c r="BS19" s="4742"/>
      <c r="BT19" s="4742"/>
      <c r="BU19" s="4100"/>
    </row>
    <row r="20" spans="1:73" ht="49.5" customHeight="1" x14ac:dyDescent="0.25">
      <c r="A20" s="2909"/>
      <c r="B20" s="2910"/>
      <c r="C20" s="1780"/>
      <c r="D20" s="1781"/>
      <c r="E20" s="1812"/>
      <c r="F20" s="1812"/>
      <c r="G20" s="3622"/>
      <c r="H20" s="4789"/>
      <c r="I20" s="3622"/>
      <c r="J20" s="3667"/>
      <c r="K20" s="3622"/>
      <c r="L20" s="3667"/>
      <c r="M20" s="3622"/>
      <c r="N20" s="2514"/>
      <c r="O20" s="3622"/>
      <c r="P20" s="3622"/>
      <c r="Q20" s="4528"/>
      <c r="R20" s="2781"/>
      <c r="S20" s="2727"/>
      <c r="T20" s="4774"/>
      <c r="U20" s="2781"/>
      <c r="V20" s="2950"/>
      <c r="W20" s="2772"/>
      <c r="X20" s="1845">
        <v>77460000</v>
      </c>
      <c r="Y20" s="1536">
        <v>53829076.420000002</v>
      </c>
      <c r="Z20" s="1536">
        <v>53829076.420000002</v>
      </c>
      <c r="AA20" s="363" t="s">
        <v>2589</v>
      </c>
      <c r="AB20" s="808">
        <v>88</v>
      </c>
      <c r="AC20" s="1752" t="s">
        <v>1861</v>
      </c>
      <c r="AD20" s="2730"/>
      <c r="AE20" s="2730"/>
      <c r="AF20" s="2730"/>
      <c r="AG20" s="2730"/>
      <c r="AH20" s="2730"/>
      <c r="AI20" s="2730"/>
      <c r="AJ20" s="2730"/>
      <c r="AK20" s="2730"/>
      <c r="AL20" s="2730"/>
      <c r="AM20" s="2730"/>
      <c r="AN20" s="2730"/>
      <c r="AO20" s="2730"/>
      <c r="AP20" s="2730"/>
      <c r="AQ20" s="2730"/>
      <c r="AR20" s="2730"/>
      <c r="AS20" s="2730"/>
      <c r="AT20" s="2730"/>
      <c r="AU20" s="2730"/>
      <c r="AV20" s="2730"/>
      <c r="AW20" s="2730"/>
      <c r="AX20" s="2730"/>
      <c r="AY20" s="2730"/>
      <c r="AZ20" s="2730"/>
      <c r="BA20" s="2730"/>
      <c r="BB20" s="2730"/>
      <c r="BC20" s="2730"/>
      <c r="BD20" s="2730"/>
      <c r="BE20" s="2730"/>
      <c r="BF20" s="2730"/>
      <c r="BG20" s="2730"/>
      <c r="BH20" s="2730"/>
      <c r="BI20" s="2730"/>
      <c r="BJ20" s="2730"/>
      <c r="BK20" s="4779"/>
      <c r="BL20" s="4779"/>
      <c r="BM20" s="4782"/>
      <c r="BN20" s="2730"/>
      <c r="BO20" s="2730"/>
      <c r="BP20" s="2781"/>
      <c r="BQ20" s="4742"/>
      <c r="BR20" s="4742"/>
      <c r="BS20" s="4742"/>
      <c r="BT20" s="4742"/>
      <c r="BU20" s="4100"/>
    </row>
    <row r="21" spans="1:73" ht="72.75" customHeight="1" x14ac:dyDescent="0.25">
      <c r="A21" s="2909"/>
      <c r="B21" s="2910"/>
      <c r="C21" s="1780"/>
      <c r="D21" s="1781"/>
      <c r="E21" s="1812"/>
      <c r="F21" s="1812"/>
      <c r="G21" s="4498">
        <v>2301012</v>
      </c>
      <c r="H21" s="2939" t="s">
        <v>2590</v>
      </c>
      <c r="I21" s="4498">
        <v>2301079</v>
      </c>
      <c r="J21" s="3100" t="s">
        <v>2591</v>
      </c>
      <c r="K21" s="4498">
        <v>230101204</v>
      </c>
      <c r="L21" s="2939" t="s">
        <v>2592</v>
      </c>
      <c r="M21" s="4498">
        <v>230107902</v>
      </c>
      <c r="N21" s="2782" t="s">
        <v>2593</v>
      </c>
      <c r="O21" s="4765">
        <v>13</v>
      </c>
      <c r="P21" s="4765">
        <v>0</v>
      </c>
      <c r="Q21" s="4528"/>
      <c r="R21" s="2781"/>
      <c r="S21" s="3721">
        <f>SUM(X21:X23)/T13</f>
        <v>0</v>
      </c>
      <c r="T21" s="4774"/>
      <c r="U21" s="2781"/>
      <c r="V21" s="4776" t="s">
        <v>2594</v>
      </c>
      <c r="W21" s="1763" t="s">
        <v>2595</v>
      </c>
      <c r="X21" s="1845">
        <f>25000000-25000000</f>
        <v>0</v>
      </c>
      <c r="Y21" s="1536"/>
      <c r="Z21" s="1536"/>
      <c r="AA21" s="363" t="s">
        <v>2596</v>
      </c>
      <c r="AB21" s="808">
        <v>20</v>
      </c>
      <c r="AC21" s="1752" t="s">
        <v>1</v>
      </c>
      <c r="AD21" s="2730"/>
      <c r="AE21" s="2730"/>
      <c r="AF21" s="2730"/>
      <c r="AG21" s="2730"/>
      <c r="AH21" s="2730"/>
      <c r="AI21" s="2730"/>
      <c r="AJ21" s="2730"/>
      <c r="AK21" s="2730"/>
      <c r="AL21" s="2730"/>
      <c r="AM21" s="2730"/>
      <c r="AN21" s="2730"/>
      <c r="AO21" s="2730"/>
      <c r="AP21" s="2730"/>
      <c r="AQ21" s="2730"/>
      <c r="AR21" s="2730"/>
      <c r="AS21" s="2730"/>
      <c r="AT21" s="2730"/>
      <c r="AU21" s="2730"/>
      <c r="AV21" s="2730"/>
      <c r="AW21" s="2730"/>
      <c r="AX21" s="2730"/>
      <c r="AY21" s="2730"/>
      <c r="AZ21" s="2730"/>
      <c r="BA21" s="2730"/>
      <c r="BB21" s="2730"/>
      <c r="BC21" s="2730"/>
      <c r="BD21" s="2730"/>
      <c r="BE21" s="2730"/>
      <c r="BF21" s="2730"/>
      <c r="BG21" s="2730"/>
      <c r="BH21" s="2730"/>
      <c r="BI21" s="2730"/>
      <c r="BJ21" s="2730"/>
      <c r="BK21" s="4779"/>
      <c r="BL21" s="4779"/>
      <c r="BM21" s="4782"/>
      <c r="BN21" s="2730"/>
      <c r="BO21" s="2730"/>
      <c r="BP21" s="2781"/>
      <c r="BQ21" s="4742"/>
      <c r="BR21" s="4742"/>
      <c r="BS21" s="4742"/>
      <c r="BT21" s="4742"/>
      <c r="BU21" s="4100"/>
    </row>
    <row r="22" spans="1:73" ht="57.75" customHeight="1" x14ac:dyDescent="0.25">
      <c r="A22" s="2909"/>
      <c r="B22" s="2910"/>
      <c r="C22" s="1780"/>
      <c r="D22" s="1781"/>
      <c r="E22" s="1812"/>
      <c r="F22" s="1812"/>
      <c r="G22" s="4526"/>
      <c r="H22" s="3089"/>
      <c r="I22" s="4526"/>
      <c r="J22" s="3100"/>
      <c r="K22" s="4526"/>
      <c r="L22" s="3089"/>
      <c r="M22" s="4526"/>
      <c r="N22" s="2543"/>
      <c r="O22" s="4765"/>
      <c r="P22" s="4765"/>
      <c r="Q22" s="4528"/>
      <c r="R22" s="2781"/>
      <c r="S22" s="2726"/>
      <c r="T22" s="4774"/>
      <c r="U22" s="2781"/>
      <c r="V22" s="4777"/>
      <c r="W22" s="1763" t="s">
        <v>2597</v>
      </c>
      <c r="X22" s="1845">
        <f>30000000-30000000</f>
        <v>0</v>
      </c>
      <c r="Y22" s="1536"/>
      <c r="Z22" s="1536"/>
      <c r="AA22" s="363" t="s">
        <v>2598</v>
      </c>
      <c r="AB22" s="808">
        <v>20</v>
      </c>
      <c r="AC22" s="1752" t="s">
        <v>1</v>
      </c>
      <c r="AD22" s="2730"/>
      <c r="AE22" s="2730"/>
      <c r="AF22" s="2730"/>
      <c r="AG22" s="2730"/>
      <c r="AH22" s="2730"/>
      <c r="AI22" s="2730"/>
      <c r="AJ22" s="2730"/>
      <c r="AK22" s="2730"/>
      <c r="AL22" s="2730"/>
      <c r="AM22" s="2730"/>
      <c r="AN22" s="2730"/>
      <c r="AO22" s="2730"/>
      <c r="AP22" s="2730"/>
      <c r="AQ22" s="2730"/>
      <c r="AR22" s="2730"/>
      <c r="AS22" s="2730"/>
      <c r="AT22" s="2730"/>
      <c r="AU22" s="2730"/>
      <c r="AV22" s="2730"/>
      <c r="AW22" s="2730"/>
      <c r="AX22" s="2730"/>
      <c r="AY22" s="2730"/>
      <c r="AZ22" s="2730"/>
      <c r="BA22" s="2730"/>
      <c r="BB22" s="2730"/>
      <c r="BC22" s="2730"/>
      <c r="BD22" s="2730"/>
      <c r="BE22" s="2730"/>
      <c r="BF22" s="2730"/>
      <c r="BG22" s="2730"/>
      <c r="BH22" s="2730"/>
      <c r="BI22" s="2730"/>
      <c r="BJ22" s="2730"/>
      <c r="BK22" s="4779"/>
      <c r="BL22" s="4779"/>
      <c r="BM22" s="4782"/>
      <c r="BN22" s="2730"/>
      <c r="BO22" s="2730"/>
      <c r="BP22" s="2781"/>
      <c r="BQ22" s="4742"/>
      <c r="BR22" s="4742"/>
      <c r="BS22" s="4742"/>
      <c r="BT22" s="4742"/>
      <c r="BU22" s="4100"/>
    </row>
    <row r="23" spans="1:73" ht="57" customHeight="1" x14ac:dyDescent="0.25">
      <c r="A23" s="2909"/>
      <c r="B23" s="2910"/>
      <c r="C23" s="1780"/>
      <c r="D23" s="1781"/>
      <c r="E23" s="1812"/>
      <c r="F23" s="1812"/>
      <c r="G23" s="4526"/>
      <c r="H23" s="3089"/>
      <c r="I23" s="4526"/>
      <c r="J23" s="3100"/>
      <c r="K23" s="4526"/>
      <c r="L23" s="3089"/>
      <c r="M23" s="4526"/>
      <c r="N23" s="2543"/>
      <c r="O23" s="4765"/>
      <c r="P23" s="4765"/>
      <c r="Q23" s="4528"/>
      <c r="R23" s="2781"/>
      <c r="S23" s="2726"/>
      <c r="T23" s="4774"/>
      <c r="U23" s="2781"/>
      <c r="V23" s="4777"/>
      <c r="W23" s="1764" t="s">
        <v>2599</v>
      </c>
      <c r="X23" s="1845">
        <f>25000000-25000000</f>
        <v>0</v>
      </c>
      <c r="Y23" s="1536"/>
      <c r="Z23" s="1536"/>
      <c r="AA23" s="363" t="s">
        <v>2596</v>
      </c>
      <c r="AB23" s="808">
        <v>20</v>
      </c>
      <c r="AC23" s="1752" t="s">
        <v>1</v>
      </c>
      <c r="AD23" s="2730"/>
      <c r="AE23" s="2730"/>
      <c r="AF23" s="2730"/>
      <c r="AG23" s="2730"/>
      <c r="AH23" s="2730"/>
      <c r="AI23" s="2730"/>
      <c r="AJ23" s="2730"/>
      <c r="AK23" s="2730"/>
      <c r="AL23" s="2730"/>
      <c r="AM23" s="2730"/>
      <c r="AN23" s="2730"/>
      <c r="AO23" s="2730"/>
      <c r="AP23" s="2730"/>
      <c r="AQ23" s="2730"/>
      <c r="AR23" s="2730"/>
      <c r="AS23" s="2730"/>
      <c r="AT23" s="2730"/>
      <c r="AU23" s="2730"/>
      <c r="AV23" s="2730"/>
      <c r="AW23" s="2730"/>
      <c r="AX23" s="2730"/>
      <c r="AY23" s="2730"/>
      <c r="AZ23" s="2730"/>
      <c r="BA23" s="2730"/>
      <c r="BB23" s="2730"/>
      <c r="BC23" s="2730"/>
      <c r="BD23" s="2730"/>
      <c r="BE23" s="2730"/>
      <c r="BF23" s="2730"/>
      <c r="BG23" s="2730"/>
      <c r="BH23" s="2730"/>
      <c r="BI23" s="2730"/>
      <c r="BJ23" s="2730"/>
      <c r="BK23" s="4779"/>
      <c r="BL23" s="4779"/>
      <c r="BM23" s="4782"/>
      <c r="BN23" s="2730"/>
      <c r="BO23" s="2730"/>
      <c r="BP23" s="2781"/>
      <c r="BQ23" s="4742"/>
      <c r="BR23" s="4742"/>
      <c r="BS23" s="4742"/>
      <c r="BT23" s="4742"/>
      <c r="BU23" s="4100"/>
    </row>
    <row r="24" spans="1:73" ht="104.25" customHeight="1" x14ac:dyDescent="0.25">
      <c r="A24" s="2909"/>
      <c r="B24" s="2910"/>
      <c r="C24" s="1780"/>
      <c r="D24" s="1781"/>
      <c r="E24" s="1812"/>
      <c r="F24" s="1812"/>
      <c r="G24" s="1798">
        <v>2301062</v>
      </c>
      <c r="H24" s="1783" t="s">
        <v>2600</v>
      </c>
      <c r="I24" s="1798">
        <v>2301062</v>
      </c>
      <c r="J24" s="1783" t="s">
        <v>2600</v>
      </c>
      <c r="K24" s="1798">
        <v>230106201</v>
      </c>
      <c r="L24" s="1783" t="s">
        <v>2601</v>
      </c>
      <c r="M24" s="1798">
        <v>230106201</v>
      </c>
      <c r="N24" s="1754" t="s">
        <v>2601</v>
      </c>
      <c r="O24" s="1798">
        <v>9</v>
      </c>
      <c r="P24" s="1798">
        <v>5</v>
      </c>
      <c r="Q24" s="2502"/>
      <c r="R24" s="2781"/>
      <c r="S24" s="1800">
        <f>SUM(X24)/T13</f>
        <v>0</v>
      </c>
      <c r="T24" s="4774"/>
      <c r="U24" s="2781"/>
      <c r="V24" s="1846" t="s">
        <v>2602</v>
      </c>
      <c r="W24" s="1764" t="s">
        <v>2603</v>
      </c>
      <c r="X24" s="1847">
        <f>50000000-50000000</f>
        <v>0</v>
      </c>
      <c r="Y24" s="1848"/>
      <c r="Z24" s="1848"/>
      <c r="AA24" s="363" t="s">
        <v>2604</v>
      </c>
      <c r="AB24" s="1810">
        <v>20</v>
      </c>
      <c r="AC24" s="1754" t="s">
        <v>1</v>
      </c>
      <c r="AD24" s="2731"/>
      <c r="AE24" s="2731"/>
      <c r="AF24" s="2731"/>
      <c r="AG24" s="2731"/>
      <c r="AH24" s="2731"/>
      <c r="AI24" s="2731"/>
      <c r="AJ24" s="2731"/>
      <c r="AK24" s="2731"/>
      <c r="AL24" s="2731"/>
      <c r="AM24" s="2731"/>
      <c r="AN24" s="2731"/>
      <c r="AO24" s="2731"/>
      <c r="AP24" s="2731"/>
      <c r="AQ24" s="2731"/>
      <c r="AR24" s="2731"/>
      <c r="AS24" s="2731"/>
      <c r="AT24" s="2731"/>
      <c r="AU24" s="2731"/>
      <c r="AV24" s="2731"/>
      <c r="AW24" s="2731"/>
      <c r="AX24" s="2731"/>
      <c r="AY24" s="2731"/>
      <c r="AZ24" s="2731"/>
      <c r="BA24" s="2731"/>
      <c r="BB24" s="2731"/>
      <c r="BC24" s="2731"/>
      <c r="BD24" s="2731"/>
      <c r="BE24" s="2731"/>
      <c r="BF24" s="2731"/>
      <c r="BG24" s="2731"/>
      <c r="BH24" s="2731"/>
      <c r="BI24" s="2731"/>
      <c r="BJ24" s="2731"/>
      <c r="BK24" s="4780"/>
      <c r="BL24" s="4780"/>
      <c r="BM24" s="4783"/>
      <c r="BN24" s="2731"/>
      <c r="BO24" s="2731"/>
      <c r="BP24" s="2782"/>
      <c r="BQ24" s="3937"/>
      <c r="BR24" s="3937"/>
      <c r="BS24" s="3937"/>
      <c r="BT24" s="3937"/>
      <c r="BU24" s="4101"/>
    </row>
    <row r="25" spans="1:73" ht="108" customHeight="1" x14ac:dyDescent="0.25">
      <c r="A25" s="2909"/>
      <c r="B25" s="2910"/>
      <c r="C25" s="1780"/>
      <c r="D25" s="1781"/>
      <c r="E25" s="1812"/>
      <c r="F25" s="1812"/>
      <c r="G25" s="1755">
        <v>2301035</v>
      </c>
      <c r="H25" s="1752" t="s">
        <v>2605</v>
      </c>
      <c r="I25" s="1755">
        <v>2301035</v>
      </c>
      <c r="J25" s="1782" t="s">
        <v>2605</v>
      </c>
      <c r="K25" s="1755">
        <v>230103500</v>
      </c>
      <c r="L25" s="1752" t="s">
        <v>2606</v>
      </c>
      <c r="M25" s="1755">
        <v>230103500</v>
      </c>
      <c r="N25" s="1752" t="s">
        <v>2606</v>
      </c>
      <c r="O25" s="357">
        <v>20</v>
      </c>
      <c r="P25" s="357">
        <v>60</v>
      </c>
      <c r="Q25" s="3916">
        <v>2020003630139</v>
      </c>
      <c r="R25" s="2545" t="s">
        <v>2607</v>
      </c>
      <c r="S25" s="1803">
        <f>SUM(X25)/T25</f>
        <v>0.10328800137717335</v>
      </c>
      <c r="T25" s="4762">
        <f>SUM(X25:X33)</f>
        <v>348540000</v>
      </c>
      <c r="U25" s="2545" t="s">
        <v>2608</v>
      </c>
      <c r="V25" s="1752" t="s">
        <v>2609</v>
      </c>
      <c r="W25" s="1763" t="s">
        <v>2610</v>
      </c>
      <c r="X25" s="1840">
        <v>36000000</v>
      </c>
      <c r="Y25" s="1849">
        <f>9900000+9900000+3410000+1870000</f>
        <v>25080000</v>
      </c>
      <c r="Z25" s="1850">
        <f>9900000+9900000+3410000+1870000</f>
        <v>25080000</v>
      </c>
      <c r="AA25" s="363" t="s">
        <v>2611</v>
      </c>
      <c r="AB25" s="1810">
        <v>20</v>
      </c>
      <c r="AC25" s="1754" t="s">
        <v>1</v>
      </c>
      <c r="AD25" s="2547">
        <v>295972</v>
      </c>
      <c r="AE25" s="2547">
        <v>295972</v>
      </c>
      <c r="AF25" s="2547">
        <v>294321</v>
      </c>
      <c r="AG25" s="2547">
        <v>294321</v>
      </c>
      <c r="AH25" s="2547">
        <v>132302</v>
      </c>
      <c r="AI25" s="2547">
        <v>132302</v>
      </c>
      <c r="AJ25" s="2547">
        <v>43426</v>
      </c>
      <c r="AK25" s="2547">
        <v>43426</v>
      </c>
      <c r="AL25" s="2547">
        <v>313940</v>
      </c>
      <c r="AM25" s="2547">
        <v>313940</v>
      </c>
      <c r="AN25" s="2547">
        <v>100625</v>
      </c>
      <c r="AO25" s="2547">
        <v>100625</v>
      </c>
      <c r="AP25" s="2547">
        <v>2145</v>
      </c>
      <c r="AQ25" s="2547">
        <v>2145</v>
      </c>
      <c r="AR25" s="2547">
        <v>12718</v>
      </c>
      <c r="AS25" s="2547">
        <v>12718</v>
      </c>
      <c r="AT25" s="2547">
        <v>36</v>
      </c>
      <c r="AU25" s="2547">
        <v>36</v>
      </c>
      <c r="AV25" s="2547">
        <v>0</v>
      </c>
      <c r="AW25" s="2547">
        <v>0</v>
      </c>
      <c r="AX25" s="2547">
        <v>0</v>
      </c>
      <c r="AY25" s="2547">
        <v>0</v>
      </c>
      <c r="AZ25" s="2547">
        <v>0</v>
      </c>
      <c r="BA25" s="2547">
        <v>0</v>
      </c>
      <c r="BB25" s="2547">
        <v>70</v>
      </c>
      <c r="BC25" s="2547">
        <v>70</v>
      </c>
      <c r="BD25" s="2547">
        <v>21944</v>
      </c>
      <c r="BE25" s="2547">
        <v>21944</v>
      </c>
      <c r="BF25" s="2547">
        <v>285</v>
      </c>
      <c r="BG25" s="2547">
        <v>285</v>
      </c>
      <c r="BH25" s="2547">
        <f>+AD25+AF25</f>
        <v>590293</v>
      </c>
      <c r="BI25" s="2547">
        <f>+AE25+AG25</f>
        <v>590293</v>
      </c>
      <c r="BJ25" s="2547">
        <v>26</v>
      </c>
      <c r="BK25" s="4768">
        <f>SUM(Y25:Y33)</f>
        <v>309915001</v>
      </c>
      <c r="BL25" s="4768">
        <f>SUM(Z25:Z33)</f>
        <v>309915001</v>
      </c>
      <c r="BM25" s="4771">
        <f>BL25/BK25</f>
        <v>1</v>
      </c>
      <c r="BN25" s="2547" t="s">
        <v>11</v>
      </c>
      <c r="BO25" s="2547" t="s">
        <v>2612</v>
      </c>
      <c r="BP25" s="2545" t="s">
        <v>2613</v>
      </c>
      <c r="BQ25" s="2735">
        <v>44197</v>
      </c>
      <c r="BR25" s="2735">
        <v>44244</v>
      </c>
      <c r="BS25" s="2735">
        <v>44561</v>
      </c>
      <c r="BT25" s="2735">
        <v>44551</v>
      </c>
      <c r="BU25" s="2547" t="s">
        <v>2578</v>
      </c>
    </row>
    <row r="26" spans="1:73" ht="120" customHeight="1" x14ac:dyDescent="0.25">
      <c r="A26" s="2909"/>
      <c r="B26" s="2910"/>
      <c r="C26" s="1780"/>
      <c r="D26" s="1781"/>
      <c r="E26" s="1812"/>
      <c r="F26" s="1812"/>
      <c r="G26" s="1755">
        <v>2301015</v>
      </c>
      <c r="H26" s="1752" t="s">
        <v>2614</v>
      </c>
      <c r="I26" s="1755">
        <v>2301015</v>
      </c>
      <c r="J26" s="1782" t="s">
        <v>2614</v>
      </c>
      <c r="K26" s="1755">
        <v>230101500</v>
      </c>
      <c r="L26" s="1752" t="s">
        <v>2615</v>
      </c>
      <c r="M26" s="1755">
        <v>230101500</v>
      </c>
      <c r="N26" s="1752" t="s">
        <v>2615</v>
      </c>
      <c r="O26" s="357">
        <v>3</v>
      </c>
      <c r="P26" s="357">
        <v>3</v>
      </c>
      <c r="Q26" s="3917"/>
      <c r="R26" s="2781"/>
      <c r="S26" s="1803">
        <f>SUM(X26)/T25</f>
        <v>5.1644000688586676E-2</v>
      </c>
      <c r="T26" s="4774"/>
      <c r="U26" s="2781"/>
      <c r="V26" s="1752" t="s">
        <v>2616</v>
      </c>
      <c r="W26" s="1763" t="s">
        <v>2617</v>
      </c>
      <c r="X26" s="1840">
        <v>18000000</v>
      </c>
      <c r="Y26" s="1537">
        <f>5565000+9900000</f>
        <v>15465000</v>
      </c>
      <c r="Z26" s="1850">
        <f>5565000+9900000</f>
        <v>15465000</v>
      </c>
      <c r="AA26" s="363" t="s">
        <v>2618</v>
      </c>
      <c r="AB26" s="1810">
        <v>20</v>
      </c>
      <c r="AC26" s="1754" t="s">
        <v>1</v>
      </c>
      <c r="AD26" s="2716"/>
      <c r="AE26" s="2716"/>
      <c r="AF26" s="2716"/>
      <c r="AG26" s="2716"/>
      <c r="AH26" s="2716"/>
      <c r="AI26" s="2716"/>
      <c r="AJ26" s="2716"/>
      <c r="AK26" s="2716"/>
      <c r="AL26" s="2716"/>
      <c r="AM26" s="2716"/>
      <c r="AN26" s="2716"/>
      <c r="AO26" s="2716"/>
      <c r="AP26" s="2716"/>
      <c r="AQ26" s="2716"/>
      <c r="AR26" s="2716"/>
      <c r="AS26" s="2716"/>
      <c r="AT26" s="2716"/>
      <c r="AU26" s="2716"/>
      <c r="AV26" s="2716"/>
      <c r="AW26" s="2716"/>
      <c r="AX26" s="2716"/>
      <c r="AY26" s="2716"/>
      <c r="AZ26" s="2716"/>
      <c r="BA26" s="2716"/>
      <c r="BB26" s="2716"/>
      <c r="BC26" s="2716"/>
      <c r="BD26" s="2716"/>
      <c r="BE26" s="2716"/>
      <c r="BF26" s="2716"/>
      <c r="BG26" s="2716"/>
      <c r="BH26" s="2716"/>
      <c r="BI26" s="2716"/>
      <c r="BJ26" s="2716"/>
      <c r="BK26" s="4769"/>
      <c r="BL26" s="4769"/>
      <c r="BM26" s="4772"/>
      <c r="BN26" s="2716"/>
      <c r="BO26" s="2716"/>
      <c r="BP26" s="2781"/>
      <c r="BQ26" s="2716"/>
      <c r="BR26" s="2716"/>
      <c r="BS26" s="2716"/>
      <c r="BT26" s="2716"/>
      <c r="BU26" s="2716"/>
    </row>
    <row r="27" spans="1:73" ht="60" customHeight="1" x14ac:dyDescent="0.25">
      <c r="A27" s="2909"/>
      <c r="B27" s="2910"/>
      <c r="C27" s="1780"/>
      <c r="D27" s="1781"/>
      <c r="E27" s="1812"/>
      <c r="F27" s="1812"/>
      <c r="G27" s="2547">
        <v>2301030</v>
      </c>
      <c r="H27" s="2545" t="s">
        <v>2619</v>
      </c>
      <c r="I27" s="2547">
        <v>2301030</v>
      </c>
      <c r="J27" s="2992" t="s">
        <v>2619</v>
      </c>
      <c r="K27" s="2547">
        <v>230103000</v>
      </c>
      <c r="L27" s="2545" t="s">
        <v>2620</v>
      </c>
      <c r="M27" s="2547">
        <v>230103000</v>
      </c>
      <c r="N27" s="2545" t="s">
        <v>2620</v>
      </c>
      <c r="O27" s="3615">
        <v>2500</v>
      </c>
      <c r="P27" s="3615">
        <v>3571</v>
      </c>
      <c r="Q27" s="3917"/>
      <c r="R27" s="2781"/>
      <c r="S27" s="3721">
        <f>SUM(X27:X29)/T25</f>
        <v>0.74177999655706661</v>
      </c>
      <c r="T27" s="4774"/>
      <c r="U27" s="2781"/>
      <c r="V27" s="2545" t="s">
        <v>2621</v>
      </c>
      <c r="W27" s="2681" t="s">
        <v>2622</v>
      </c>
      <c r="X27" s="1840">
        <f>30000000+6000000</f>
        <v>36000000</v>
      </c>
      <c r="Y27" s="1851">
        <f>7385600+7385600+7385600+7385600+457600+769333</f>
        <v>30769333</v>
      </c>
      <c r="Z27" s="1536">
        <f>7385600+7385600+7385600+7385600+457600+769333</f>
        <v>30769333</v>
      </c>
      <c r="AA27" s="363" t="s">
        <v>2623</v>
      </c>
      <c r="AB27" s="1810">
        <v>20</v>
      </c>
      <c r="AC27" s="1754" t="s">
        <v>1</v>
      </c>
      <c r="AD27" s="2716"/>
      <c r="AE27" s="2716"/>
      <c r="AF27" s="2716"/>
      <c r="AG27" s="2716"/>
      <c r="AH27" s="2716"/>
      <c r="AI27" s="2716"/>
      <c r="AJ27" s="2716"/>
      <c r="AK27" s="2716"/>
      <c r="AL27" s="2716"/>
      <c r="AM27" s="2716"/>
      <c r="AN27" s="2716"/>
      <c r="AO27" s="2716"/>
      <c r="AP27" s="2716"/>
      <c r="AQ27" s="2716"/>
      <c r="AR27" s="2716"/>
      <c r="AS27" s="2716"/>
      <c r="AT27" s="2716"/>
      <c r="AU27" s="2716"/>
      <c r="AV27" s="2716"/>
      <c r="AW27" s="2716"/>
      <c r="AX27" s="2716"/>
      <c r="AY27" s="2716"/>
      <c r="AZ27" s="2716"/>
      <c r="BA27" s="2716"/>
      <c r="BB27" s="2716"/>
      <c r="BC27" s="2716"/>
      <c r="BD27" s="2716"/>
      <c r="BE27" s="2716"/>
      <c r="BF27" s="2716"/>
      <c r="BG27" s="2716"/>
      <c r="BH27" s="2716"/>
      <c r="BI27" s="2716"/>
      <c r="BJ27" s="2716"/>
      <c r="BK27" s="4769"/>
      <c r="BL27" s="4769"/>
      <c r="BM27" s="4772"/>
      <c r="BN27" s="2716"/>
      <c r="BO27" s="2716"/>
      <c r="BP27" s="2781"/>
      <c r="BQ27" s="2716"/>
      <c r="BR27" s="2716"/>
      <c r="BS27" s="2716"/>
      <c r="BT27" s="2716"/>
      <c r="BU27" s="2716"/>
    </row>
    <row r="28" spans="1:73" ht="60" customHeight="1" x14ac:dyDescent="0.25">
      <c r="A28" s="2909"/>
      <c r="B28" s="2910"/>
      <c r="C28" s="1780"/>
      <c r="D28" s="1781"/>
      <c r="E28" s="1812"/>
      <c r="F28" s="1812"/>
      <c r="G28" s="2716"/>
      <c r="H28" s="2781"/>
      <c r="I28" s="2716"/>
      <c r="J28" s="2993"/>
      <c r="K28" s="2716"/>
      <c r="L28" s="2781"/>
      <c r="M28" s="2716"/>
      <c r="N28" s="2781"/>
      <c r="O28" s="3616"/>
      <c r="P28" s="3616"/>
      <c r="Q28" s="3917"/>
      <c r="R28" s="2781"/>
      <c r="S28" s="2726"/>
      <c r="T28" s="4774"/>
      <c r="U28" s="2781"/>
      <c r="V28" s="2781"/>
      <c r="W28" s="2772"/>
      <c r="X28" s="1840">
        <v>222540000</v>
      </c>
      <c r="Y28" s="1851">
        <f>8197400+6675000+8655000+6675000+8655000+8655000+8655000+8655000+8655000+9900000+8655000+8655000+8655000+8655000+12000000+6378333+8655000+6154667+4746667+6154667+5577667+5577667+5577667+5577667+5577667+4231333+4620000+4327500+4327500+3942833+3558167+2885000+2000000+1346333+769333</f>
        <v>221983068</v>
      </c>
      <c r="Z28" s="1536">
        <f>8197400+6675000+8655000+6675000+43275000+9900000+34620000+12000000+6378333+8655000+6154667+4746667+6154667+5577667+22310668+4231333+4620000+4327500+4327500+3942833+3558167+2885000+2000000+1346333+769333</f>
        <v>221983068</v>
      </c>
      <c r="AA28" s="363" t="s">
        <v>2624</v>
      </c>
      <c r="AB28" s="1810">
        <v>88</v>
      </c>
      <c r="AC28" s="1752" t="s">
        <v>1861</v>
      </c>
      <c r="AD28" s="2716"/>
      <c r="AE28" s="2716"/>
      <c r="AF28" s="2716"/>
      <c r="AG28" s="2716"/>
      <c r="AH28" s="2716"/>
      <c r="AI28" s="2716"/>
      <c r="AJ28" s="2716"/>
      <c r="AK28" s="2716"/>
      <c r="AL28" s="2716"/>
      <c r="AM28" s="2716"/>
      <c r="AN28" s="2716"/>
      <c r="AO28" s="2716"/>
      <c r="AP28" s="2716"/>
      <c r="AQ28" s="2716"/>
      <c r="AR28" s="2716"/>
      <c r="AS28" s="2716"/>
      <c r="AT28" s="2716"/>
      <c r="AU28" s="2716"/>
      <c r="AV28" s="2716"/>
      <c r="AW28" s="2716"/>
      <c r="AX28" s="2716"/>
      <c r="AY28" s="2716"/>
      <c r="AZ28" s="2716"/>
      <c r="BA28" s="2716"/>
      <c r="BB28" s="2716"/>
      <c r="BC28" s="2716"/>
      <c r="BD28" s="2716"/>
      <c r="BE28" s="2716"/>
      <c r="BF28" s="2716"/>
      <c r="BG28" s="2716"/>
      <c r="BH28" s="2716"/>
      <c r="BI28" s="2716"/>
      <c r="BJ28" s="2716"/>
      <c r="BK28" s="4769"/>
      <c r="BL28" s="4769"/>
      <c r="BM28" s="4772"/>
      <c r="BN28" s="2716"/>
      <c r="BO28" s="2716"/>
      <c r="BP28" s="2781"/>
      <c r="BQ28" s="2716"/>
      <c r="BR28" s="2716"/>
      <c r="BS28" s="2716"/>
      <c r="BT28" s="2716"/>
      <c r="BU28" s="2716"/>
    </row>
    <row r="29" spans="1:73" ht="66" customHeight="1" x14ac:dyDescent="0.25">
      <c r="A29" s="2909"/>
      <c r="B29" s="2910"/>
      <c r="C29" s="1780"/>
      <c r="D29" s="1781"/>
      <c r="E29" s="1812"/>
      <c r="F29" s="1812"/>
      <c r="G29" s="2717"/>
      <c r="H29" s="2782"/>
      <c r="I29" s="2717"/>
      <c r="J29" s="2994"/>
      <c r="K29" s="2717"/>
      <c r="L29" s="2782"/>
      <c r="M29" s="2717"/>
      <c r="N29" s="2782"/>
      <c r="O29" s="3616"/>
      <c r="P29" s="3616"/>
      <c r="Q29" s="3917"/>
      <c r="R29" s="2781"/>
      <c r="S29" s="2727"/>
      <c r="T29" s="4774"/>
      <c r="U29" s="2781"/>
      <c r="V29" s="2782"/>
      <c r="W29" s="1763" t="s">
        <v>2625</v>
      </c>
      <c r="X29" s="1840">
        <f>6000000-6000000</f>
        <v>0</v>
      </c>
      <c r="Y29" s="1841"/>
      <c r="Z29" s="1852"/>
      <c r="AA29" s="363" t="s">
        <v>2623</v>
      </c>
      <c r="AB29" s="1810">
        <v>20</v>
      </c>
      <c r="AC29" s="1754" t="s">
        <v>1</v>
      </c>
      <c r="AD29" s="2716"/>
      <c r="AE29" s="2716"/>
      <c r="AF29" s="2716"/>
      <c r="AG29" s="2716"/>
      <c r="AH29" s="2716"/>
      <c r="AI29" s="2716"/>
      <c r="AJ29" s="2716"/>
      <c r="AK29" s="2716"/>
      <c r="AL29" s="2716"/>
      <c r="AM29" s="2716"/>
      <c r="AN29" s="2716"/>
      <c r="AO29" s="2716"/>
      <c r="AP29" s="2716"/>
      <c r="AQ29" s="2716"/>
      <c r="AR29" s="2716"/>
      <c r="AS29" s="2716"/>
      <c r="AT29" s="2716"/>
      <c r="AU29" s="2716"/>
      <c r="AV29" s="2716"/>
      <c r="AW29" s="2716"/>
      <c r="AX29" s="2716"/>
      <c r="AY29" s="2716"/>
      <c r="AZ29" s="2716"/>
      <c r="BA29" s="2716"/>
      <c r="BB29" s="2716"/>
      <c r="BC29" s="2716"/>
      <c r="BD29" s="2716"/>
      <c r="BE29" s="2716"/>
      <c r="BF29" s="2716"/>
      <c r="BG29" s="2716"/>
      <c r="BH29" s="2716"/>
      <c r="BI29" s="2716"/>
      <c r="BJ29" s="2716"/>
      <c r="BK29" s="4769"/>
      <c r="BL29" s="4769"/>
      <c r="BM29" s="4772"/>
      <c r="BN29" s="2716"/>
      <c r="BO29" s="2716"/>
      <c r="BP29" s="2781"/>
      <c r="BQ29" s="2716"/>
      <c r="BR29" s="2716"/>
      <c r="BS29" s="2716"/>
      <c r="BT29" s="2716"/>
      <c r="BU29" s="2716"/>
    </row>
    <row r="30" spans="1:73" ht="89.25" customHeight="1" x14ac:dyDescent="0.25">
      <c r="A30" s="2909"/>
      <c r="B30" s="2910"/>
      <c r="C30" s="1780"/>
      <c r="D30" s="1781"/>
      <c r="E30" s="1812"/>
      <c r="F30" s="1812"/>
      <c r="G30" s="1756">
        <v>2301004</v>
      </c>
      <c r="H30" s="1754" t="s">
        <v>2626</v>
      </c>
      <c r="I30" s="1756">
        <v>2301004</v>
      </c>
      <c r="J30" s="1785" t="s">
        <v>2626</v>
      </c>
      <c r="K30" s="1756">
        <v>230100400</v>
      </c>
      <c r="L30" s="1754" t="s">
        <v>2161</v>
      </c>
      <c r="M30" s="1756">
        <v>230100400</v>
      </c>
      <c r="N30" s="1766" t="s">
        <v>2161</v>
      </c>
      <c r="O30" s="1799">
        <v>1</v>
      </c>
      <c r="P30" s="1799">
        <v>1</v>
      </c>
      <c r="Q30" s="4108"/>
      <c r="R30" s="2781"/>
      <c r="S30" s="1800">
        <f>SUM(X30:X30)/T25</f>
        <v>5.1644000688586676E-2</v>
      </c>
      <c r="T30" s="4774"/>
      <c r="U30" s="2781"/>
      <c r="V30" s="1754" t="s">
        <v>2627</v>
      </c>
      <c r="W30" s="1754" t="s">
        <v>2628</v>
      </c>
      <c r="X30" s="1840">
        <v>18000000</v>
      </c>
      <c r="Y30" s="1841">
        <f>4154400+4154400+4154400+4154400</f>
        <v>16617600</v>
      </c>
      <c r="Z30" s="1537">
        <f>4154400+4154400+4154400+4154400</f>
        <v>16617600</v>
      </c>
      <c r="AA30" s="363" t="s">
        <v>2629</v>
      </c>
      <c r="AB30" s="1810">
        <v>20</v>
      </c>
      <c r="AC30" s="1754" t="s">
        <v>1</v>
      </c>
      <c r="AD30" s="2716"/>
      <c r="AE30" s="2716"/>
      <c r="AF30" s="2716"/>
      <c r="AG30" s="2716"/>
      <c r="AH30" s="2716"/>
      <c r="AI30" s="2716"/>
      <c r="AJ30" s="2716"/>
      <c r="AK30" s="2716"/>
      <c r="AL30" s="2716"/>
      <c r="AM30" s="2716"/>
      <c r="AN30" s="2716"/>
      <c r="AO30" s="2716"/>
      <c r="AP30" s="2716"/>
      <c r="AQ30" s="2716"/>
      <c r="AR30" s="2716"/>
      <c r="AS30" s="2716"/>
      <c r="AT30" s="2716"/>
      <c r="AU30" s="2716"/>
      <c r="AV30" s="2716"/>
      <c r="AW30" s="2716"/>
      <c r="AX30" s="2716"/>
      <c r="AY30" s="2716"/>
      <c r="AZ30" s="2716"/>
      <c r="BA30" s="2716"/>
      <c r="BB30" s="2716"/>
      <c r="BC30" s="2716"/>
      <c r="BD30" s="2716"/>
      <c r="BE30" s="2716"/>
      <c r="BF30" s="2716"/>
      <c r="BG30" s="2716"/>
      <c r="BH30" s="2716"/>
      <c r="BI30" s="2716"/>
      <c r="BJ30" s="2716"/>
      <c r="BK30" s="4769"/>
      <c r="BL30" s="4769"/>
      <c r="BM30" s="4772"/>
      <c r="BN30" s="2716"/>
      <c r="BO30" s="2716"/>
      <c r="BP30" s="2781"/>
      <c r="BQ30" s="2716"/>
      <c r="BR30" s="2716"/>
      <c r="BS30" s="2716"/>
      <c r="BT30" s="2716"/>
      <c r="BU30" s="2716"/>
    </row>
    <row r="31" spans="1:73" ht="76.5" customHeight="1" x14ac:dyDescent="0.25">
      <c r="A31" s="2909"/>
      <c r="B31" s="2910"/>
      <c r="C31" s="1780"/>
      <c r="D31" s="1781"/>
      <c r="E31" s="1812"/>
      <c r="F31" s="1812"/>
      <c r="G31" s="2547">
        <v>2301042</v>
      </c>
      <c r="H31" s="2545" t="s">
        <v>2630</v>
      </c>
      <c r="I31" s="2547">
        <v>2301042</v>
      </c>
      <c r="J31" s="2992" t="s">
        <v>2630</v>
      </c>
      <c r="K31" s="2547">
        <v>230104201</v>
      </c>
      <c r="L31" s="2545" t="s">
        <v>2631</v>
      </c>
      <c r="M31" s="2547">
        <v>230104201</v>
      </c>
      <c r="N31" s="2545" t="s">
        <v>2631</v>
      </c>
      <c r="O31" s="4765">
        <v>1</v>
      </c>
      <c r="P31" s="4531">
        <v>0</v>
      </c>
      <c r="Q31" s="4108"/>
      <c r="R31" s="2781"/>
      <c r="S31" s="3721">
        <f>SUM(X31:X33)/T25</f>
        <v>5.1644000688586676E-2</v>
      </c>
      <c r="T31" s="4774"/>
      <c r="U31" s="2781"/>
      <c r="V31" s="2545" t="s">
        <v>2632</v>
      </c>
      <c r="W31" s="1764" t="s">
        <v>2633</v>
      </c>
      <c r="X31" s="1840">
        <v>12000000</v>
      </c>
      <c r="Y31" s="1848"/>
      <c r="Z31" s="1848"/>
      <c r="AA31" s="363" t="s">
        <v>2634</v>
      </c>
      <c r="AB31" s="1810">
        <v>20</v>
      </c>
      <c r="AC31" s="1754" t="s">
        <v>1</v>
      </c>
      <c r="AD31" s="2716"/>
      <c r="AE31" s="2716"/>
      <c r="AF31" s="2716"/>
      <c r="AG31" s="2716"/>
      <c r="AH31" s="2716"/>
      <c r="AI31" s="2716"/>
      <c r="AJ31" s="2716"/>
      <c r="AK31" s="2716"/>
      <c r="AL31" s="2716"/>
      <c r="AM31" s="2716"/>
      <c r="AN31" s="2716"/>
      <c r="AO31" s="2716"/>
      <c r="AP31" s="2716"/>
      <c r="AQ31" s="2716"/>
      <c r="AR31" s="2716"/>
      <c r="AS31" s="2716"/>
      <c r="AT31" s="2716"/>
      <c r="AU31" s="2716"/>
      <c r="AV31" s="2716"/>
      <c r="AW31" s="2716"/>
      <c r="AX31" s="2716"/>
      <c r="AY31" s="2716"/>
      <c r="AZ31" s="2716"/>
      <c r="BA31" s="2716"/>
      <c r="BB31" s="2716"/>
      <c r="BC31" s="2716"/>
      <c r="BD31" s="2716"/>
      <c r="BE31" s="2716"/>
      <c r="BF31" s="2716"/>
      <c r="BG31" s="2716"/>
      <c r="BH31" s="2716"/>
      <c r="BI31" s="2716"/>
      <c r="BJ31" s="2716"/>
      <c r="BK31" s="4769"/>
      <c r="BL31" s="4769"/>
      <c r="BM31" s="4772"/>
      <c r="BN31" s="2716"/>
      <c r="BO31" s="2716"/>
      <c r="BP31" s="2781"/>
      <c r="BQ31" s="2716"/>
      <c r="BR31" s="2716"/>
      <c r="BS31" s="2716"/>
      <c r="BT31" s="2716"/>
      <c r="BU31" s="2716"/>
    </row>
    <row r="32" spans="1:73" ht="76.5" customHeight="1" x14ac:dyDescent="0.25">
      <c r="A32" s="2909"/>
      <c r="B32" s="2910"/>
      <c r="C32" s="1780"/>
      <c r="D32" s="1781"/>
      <c r="E32" s="1812"/>
      <c r="F32" s="1812"/>
      <c r="G32" s="2716"/>
      <c r="H32" s="2781"/>
      <c r="I32" s="2716"/>
      <c r="J32" s="2993"/>
      <c r="K32" s="2716"/>
      <c r="L32" s="2781"/>
      <c r="M32" s="2716"/>
      <c r="N32" s="2781"/>
      <c r="O32" s="4765"/>
      <c r="P32" s="4531"/>
      <c r="Q32" s="4108"/>
      <c r="R32" s="2781"/>
      <c r="S32" s="2726"/>
      <c r="T32" s="4774"/>
      <c r="U32" s="2781"/>
      <c r="V32" s="2781"/>
      <c r="W32" s="2681" t="s">
        <v>2635</v>
      </c>
      <c r="X32" s="1840">
        <v>1500000</v>
      </c>
      <c r="Y32" s="1537"/>
      <c r="Z32" s="1843"/>
      <c r="AA32" s="363" t="s">
        <v>2634</v>
      </c>
      <c r="AB32" s="1810">
        <v>20</v>
      </c>
      <c r="AC32" s="1754" t="s">
        <v>1</v>
      </c>
      <c r="AD32" s="2716"/>
      <c r="AE32" s="2716"/>
      <c r="AF32" s="2716"/>
      <c r="AG32" s="2716"/>
      <c r="AH32" s="2716"/>
      <c r="AI32" s="2716"/>
      <c r="AJ32" s="2716"/>
      <c r="AK32" s="2716"/>
      <c r="AL32" s="2716"/>
      <c r="AM32" s="2716"/>
      <c r="AN32" s="2716"/>
      <c r="AO32" s="2716"/>
      <c r="AP32" s="2716"/>
      <c r="AQ32" s="2716"/>
      <c r="AR32" s="2716"/>
      <c r="AS32" s="2716"/>
      <c r="AT32" s="2716"/>
      <c r="AU32" s="2716"/>
      <c r="AV32" s="2716"/>
      <c r="AW32" s="2716"/>
      <c r="AX32" s="2716"/>
      <c r="AY32" s="2716"/>
      <c r="AZ32" s="2716"/>
      <c r="BA32" s="2716"/>
      <c r="BB32" s="2716"/>
      <c r="BC32" s="2716"/>
      <c r="BD32" s="2716"/>
      <c r="BE32" s="2716"/>
      <c r="BF32" s="2716"/>
      <c r="BG32" s="2716"/>
      <c r="BH32" s="2716"/>
      <c r="BI32" s="2716"/>
      <c r="BJ32" s="2716"/>
      <c r="BK32" s="4769"/>
      <c r="BL32" s="4769"/>
      <c r="BM32" s="4772"/>
      <c r="BN32" s="2716"/>
      <c r="BO32" s="2716"/>
      <c r="BP32" s="2781"/>
      <c r="BQ32" s="2716"/>
      <c r="BR32" s="2716"/>
      <c r="BS32" s="2716"/>
      <c r="BT32" s="2716"/>
      <c r="BU32" s="2716"/>
    </row>
    <row r="33" spans="1:93" ht="81" customHeight="1" x14ac:dyDescent="0.25">
      <c r="A33" s="2909"/>
      <c r="B33" s="2910"/>
      <c r="C33" s="1780"/>
      <c r="D33" s="1781"/>
      <c r="E33" s="1812"/>
      <c r="F33" s="1812"/>
      <c r="G33" s="2717"/>
      <c r="H33" s="2782"/>
      <c r="I33" s="2717"/>
      <c r="J33" s="2994"/>
      <c r="K33" s="2717"/>
      <c r="L33" s="2782"/>
      <c r="M33" s="2717"/>
      <c r="N33" s="2782"/>
      <c r="O33" s="4766"/>
      <c r="P33" s="4767"/>
      <c r="Q33" s="4109"/>
      <c r="R33" s="2782"/>
      <c r="S33" s="2727"/>
      <c r="T33" s="4775"/>
      <c r="U33" s="2782"/>
      <c r="V33" s="2782"/>
      <c r="W33" s="2772"/>
      <c r="X33" s="1840">
        <v>4500000</v>
      </c>
      <c r="Y33" s="1536"/>
      <c r="Z33" s="1843"/>
      <c r="AA33" s="363" t="s">
        <v>2636</v>
      </c>
      <c r="AB33" s="1810">
        <v>20</v>
      </c>
      <c r="AC33" s="1752" t="s">
        <v>1</v>
      </c>
      <c r="AD33" s="2717"/>
      <c r="AE33" s="2717"/>
      <c r="AF33" s="2717"/>
      <c r="AG33" s="2717"/>
      <c r="AH33" s="2717"/>
      <c r="AI33" s="2717"/>
      <c r="AJ33" s="2717"/>
      <c r="AK33" s="2717"/>
      <c r="AL33" s="2717"/>
      <c r="AM33" s="2717"/>
      <c r="AN33" s="2717"/>
      <c r="AO33" s="2717"/>
      <c r="AP33" s="2717"/>
      <c r="AQ33" s="2717"/>
      <c r="AR33" s="2717"/>
      <c r="AS33" s="2717"/>
      <c r="AT33" s="2717"/>
      <c r="AU33" s="2717"/>
      <c r="AV33" s="2717"/>
      <c r="AW33" s="2717"/>
      <c r="AX33" s="2717"/>
      <c r="AY33" s="2717"/>
      <c r="AZ33" s="2717"/>
      <c r="BA33" s="2717"/>
      <c r="BB33" s="2717"/>
      <c r="BC33" s="2717"/>
      <c r="BD33" s="2717"/>
      <c r="BE33" s="2717"/>
      <c r="BF33" s="2717"/>
      <c r="BG33" s="2717"/>
      <c r="BH33" s="2717"/>
      <c r="BI33" s="2717"/>
      <c r="BJ33" s="2717"/>
      <c r="BK33" s="4770"/>
      <c r="BL33" s="4770"/>
      <c r="BM33" s="4773"/>
      <c r="BN33" s="2717"/>
      <c r="BO33" s="2717"/>
      <c r="BP33" s="2782"/>
      <c r="BQ33" s="2716"/>
      <c r="BR33" s="2716"/>
      <c r="BS33" s="2716"/>
      <c r="BT33" s="2716"/>
      <c r="BU33" s="2716"/>
    </row>
    <row r="34" spans="1:93" s="4" customFormat="1" ht="30" customHeight="1" x14ac:dyDescent="0.25">
      <c r="A34" s="1780"/>
      <c r="B34" s="1781"/>
      <c r="C34" s="1780"/>
      <c r="D34" s="1781"/>
      <c r="E34" s="188">
        <v>2302</v>
      </c>
      <c r="F34" s="2243" t="s">
        <v>2637</v>
      </c>
      <c r="G34" s="2116"/>
      <c r="H34" s="2116"/>
      <c r="I34" s="2116"/>
      <c r="J34" s="2116"/>
      <c r="K34" s="2244"/>
      <c r="L34" s="2244"/>
      <c r="M34" s="2244"/>
      <c r="N34" s="2244"/>
      <c r="O34" s="2116"/>
      <c r="P34" s="2116"/>
      <c r="Q34" s="2116"/>
      <c r="R34" s="2244"/>
      <c r="S34" s="2244"/>
      <c r="T34" s="2244"/>
      <c r="U34" s="2244"/>
      <c r="V34" s="1853"/>
      <c r="W34" s="1853"/>
      <c r="X34" s="1854"/>
      <c r="Y34" s="1855"/>
      <c r="Z34" s="1855"/>
      <c r="AA34" s="1856"/>
      <c r="AB34" s="1857"/>
      <c r="AC34" s="1835"/>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1858"/>
      <c r="BL34" s="1858"/>
      <c r="BM34" s="1839"/>
      <c r="BN34" s="341"/>
      <c r="BO34" s="341"/>
      <c r="BP34" s="1835"/>
      <c r="BQ34" s="344"/>
      <c r="BR34" s="344"/>
      <c r="BS34" s="344"/>
      <c r="BT34" s="344"/>
      <c r="BU34" s="345"/>
    </row>
    <row r="35" spans="1:93" ht="153" customHeight="1" x14ac:dyDescent="0.25">
      <c r="A35" s="1805"/>
      <c r="B35" s="1748"/>
      <c r="C35" s="1774"/>
      <c r="D35" s="1859"/>
      <c r="E35" s="2710"/>
      <c r="F35" s="2710"/>
      <c r="G35" s="1860">
        <v>2302022</v>
      </c>
      <c r="H35" s="1813" t="s">
        <v>2638</v>
      </c>
      <c r="I35" s="1768">
        <v>2302022</v>
      </c>
      <c r="J35" s="1813" t="s">
        <v>2638</v>
      </c>
      <c r="K35" s="1756">
        <v>230202200</v>
      </c>
      <c r="L35" s="1754" t="s">
        <v>2639</v>
      </c>
      <c r="M35" s="1756">
        <v>230202200</v>
      </c>
      <c r="N35" s="1766" t="s">
        <v>2639</v>
      </c>
      <c r="O35" s="1799">
        <v>20</v>
      </c>
      <c r="P35" s="1799">
        <v>20</v>
      </c>
      <c r="Q35" s="4758">
        <v>2020003630039</v>
      </c>
      <c r="R35" s="4753" t="s">
        <v>2640</v>
      </c>
      <c r="S35" s="1800">
        <f>SUM(X35)/T35</f>
        <v>0.24657534246575341</v>
      </c>
      <c r="T35" s="4760">
        <f>SUM(X35:X40)</f>
        <v>146000000</v>
      </c>
      <c r="U35" s="2543" t="s">
        <v>2641</v>
      </c>
      <c r="V35" s="1752" t="s">
        <v>2642</v>
      </c>
      <c r="W35" s="1763" t="s">
        <v>2643</v>
      </c>
      <c r="X35" s="1840">
        <v>36000000</v>
      </c>
      <c r="Y35" s="1848">
        <v>23300000</v>
      </c>
      <c r="Z35" s="1848">
        <v>23300000</v>
      </c>
      <c r="AA35" s="363" t="s">
        <v>2644</v>
      </c>
      <c r="AB35" s="808">
        <v>20</v>
      </c>
      <c r="AC35" s="1752" t="s">
        <v>1</v>
      </c>
      <c r="AD35" s="2546">
        <v>295972</v>
      </c>
      <c r="AE35" s="2546">
        <v>295972</v>
      </c>
      <c r="AF35" s="2546">
        <v>294321</v>
      </c>
      <c r="AG35" s="2546">
        <v>294321</v>
      </c>
      <c r="AH35" s="2546">
        <v>132302</v>
      </c>
      <c r="AI35" s="2546">
        <v>132302</v>
      </c>
      <c r="AJ35" s="2546">
        <v>43426</v>
      </c>
      <c r="AK35" s="2546">
        <v>43426</v>
      </c>
      <c r="AL35" s="2546">
        <v>313940</v>
      </c>
      <c r="AM35" s="2546">
        <v>313940</v>
      </c>
      <c r="AN35" s="2546">
        <v>100625</v>
      </c>
      <c r="AO35" s="2546">
        <v>100625</v>
      </c>
      <c r="AP35" s="2546">
        <v>2145</v>
      </c>
      <c r="AQ35" s="2546">
        <v>2145</v>
      </c>
      <c r="AR35" s="2546">
        <v>12718</v>
      </c>
      <c r="AS35" s="2546">
        <v>12718</v>
      </c>
      <c r="AT35" s="2546">
        <v>36</v>
      </c>
      <c r="AU35" s="2546">
        <v>36</v>
      </c>
      <c r="AV35" s="2546">
        <v>0</v>
      </c>
      <c r="AW35" s="2546">
        <v>0</v>
      </c>
      <c r="AX35" s="2546">
        <v>0</v>
      </c>
      <c r="AY35" s="2546">
        <v>0</v>
      </c>
      <c r="AZ35" s="2546">
        <v>0</v>
      </c>
      <c r="BA35" s="2546">
        <v>0</v>
      </c>
      <c r="BB35" s="2546">
        <v>70</v>
      </c>
      <c r="BC35" s="2546">
        <v>70</v>
      </c>
      <c r="BD35" s="2546">
        <v>21944</v>
      </c>
      <c r="BE35" s="2546">
        <v>21944</v>
      </c>
      <c r="BF35" s="2546">
        <v>285</v>
      </c>
      <c r="BG35" s="2546">
        <v>285</v>
      </c>
      <c r="BH35" s="2546">
        <f>+AD35+AF35</f>
        <v>590293</v>
      </c>
      <c r="BI35" s="2546">
        <f>+AE35+AG35</f>
        <v>590293</v>
      </c>
      <c r="BJ35" s="2546">
        <v>8</v>
      </c>
      <c r="BK35" s="4754">
        <f>SUM(Y35:Y40)</f>
        <v>130610834</v>
      </c>
      <c r="BL35" s="4754">
        <f>SUM(Z35:Z40)</f>
        <v>130610834</v>
      </c>
      <c r="BM35" s="4756">
        <f>BL35/BK35</f>
        <v>1</v>
      </c>
      <c r="BN35" s="2546">
        <v>20</v>
      </c>
      <c r="BO35" s="2546" t="s">
        <v>422</v>
      </c>
      <c r="BP35" s="2543" t="s">
        <v>2613</v>
      </c>
      <c r="BQ35" s="3094">
        <v>44197</v>
      </c>
      <c r="BR35" s="3094">
        <v>44256</v>
      </c>
      <c r="BS35" s="3094">
        <v>44561</v>
      </c>
      <c r="BT35" s="3094">
        <v>44551</v>
      </c>
      <c r="BU35" s="2546" t="s">
        <v>2578</v>
      </c>
    </row>
    <row r="36" spans="1:93" ht="153" customHeight="1" x14ac:dyDescent="0.25">
      <c r="A36" s="1805"/>
      <c r="B36" s="1748"/>
      <c r="C36" s="1774"/>
      <c r="E36" s="2710"/>
      <c r="F36" s="2710"/>
      <c r="G36" s="2712">
        <v>2302042</v>
      </c>
      <c r="H36" s="3204" t="s">
        <v>2645</v>
      </c>
      <c r="I36" s="2511">
        <v>2302042</v>
      </c>
      <c r="J36" s="3204" t="s">
        <v>2645</v>
      </c>
      <c r="K36" s="3281">
        <v>230204200</v>
      </c>
      <c r="L36" s="3204" t="s">
        <v>2646</v>
      </c>
      <c r="M36" s="3281">
        <v>230204200</v>
      </c>
      <c r="N36" s="3807" t="s">
        <v>2646</v>
      </c>
      <c r="O36" s="4763">
        <v>1</v>
      </c>
      <c r="P36" s="4763">
        <v>1</v>
      </c>
      <c r="Q36" s="3948"/>
      <c r="R36" s="4759"/>
      <c r="S36" s="3668">
        <f>SUM(X36,X37)/T35</f>
        <v>0.13698630136986301</v>
      </c>
      <c r="T36" s="4761"/>
      <c r="U36" s="2543"/>
      <c r="V36" s="2545" t="s">
        <v>2647</v>
      </c>
      <c r="W36" s="1764" t="s">
        <v>2648</v>
      </c>
      <c r="X36" s="1847">
        <f>20000000-2000000</f>
        <v>18000000</v>
      </c>
      <c r="Y36" s="1536">
        <f>5865000+6900000+1267600+2375400</f>
        <v>16408000</v>
      </c>
      <c r="Z36" s="1536">
        <f>5865000+6900000+1267600+2375400</f>
        <v>16408000</v>
      </c>
      <c r="AA36" s="303" t="s">
        <v>2649</v>
      </c>
      <c r="AB36" s="1810">
        <v>20</v>
      </c>
      <c r="AC36" s="1754" t="s">
        <v>1</v>
      </c>
      <c r="AD36" s="2546"/>
      <c r="AE36" s="2546"/>
      <c r="AF36" s="2546"/>
      <c r="AG36" s="2546"/>
      <c r="AH36" s="2546"/>
      <c r="AI36" s="2546"/>
      <c r="AJ36" s="2546"/>
      <c r="AK36" s="2546"/>
      <c r="AL36" s="2546"/>
      <c r="AM36" s="2546"/>
      <c r="AN36" s="2546"/>
      <c r="AO36" s="2546"/>
      <c r="AP36" s="2546"/>
      <c r="AQ36" s="2546"/>
      <c r="AR36" s="2546"/>
      <c r="AS36" s="2546"/>
      <c r="AT36" s="2546"/>
      <c r="AU36" s="2546"/>
      <c r="AV36" s="2546"/>
      <c r="AW36" s="2546"/>
      <c r="AX36" s="2546"/>
      <c r="AY36" s="2546"/>
      <c r="AZ36" s="2546"/>
      <c r="BA36" s="2546"/>
      <c r="BB36" s="2546"/>
      <c r="BC36" s="2546"/>
      <c r="BD36" s="2546"/>
      <c r="BE36" s="2546"/>
      <c r="BF36" s="2546"/>
      <c r="BG36" s="2546"/>
      <c r="BH36" s="2546"/>
      <c r="BI36" s="2546"/>
      <c r="BJ36" s="2546"/>
      <c r="BK36" s="4754"/>
      <c r="BL36" s="4754"/>
      <c r="BM36" s="4756"/>
      <c r="BN36" s="2546"/>
      <c r="BO36" s="2546"/>
      <c r="BP36" s="2543"/>
      <c r="BQ36" s="3094"/>
      <c r="BR36" s="3094"/>
      <c r="BS36" s="3094"/>
      <c r="BT36" s="3094"/>
      <c r="BU36" s="2546"/>
    </row>
    <row r="37" spans="1:93" ht="102" customHeight="1" x14ac:dyDescent="0.25">
      <c r="A37" s="1805"/>
      <c r="B37" s="1748"/>
      <c r="C37" s="1774"/>
      <c r="E37" s="2710"/>
      <c r="F37" s="2710"/>
      <c r="G37" s="2712"/>
      <c r="H37" s="3204"/>
      <c r="I37" s="2511"/>
      <c r="J37" s="3204"/>
      <c r="K37" s="3281"/>
      <c r="L37" s="3204"/>
      <c r="M37" s="3281"/>
      <c r="N37" s="3807"/>
      <c r="O37" s="4764"/>
      <c r="P37" s="4764"/>
      <c r="Q37" s="3948"/>
      <c r="R37" s="4759"/>
      <c r="S37" s="3668"/>
      <c r="T37" s="4761"/>
      <c r="U37" s="2543"/>
      <c r="V37" s="3906"/>
      <c r="W37" s="1750" t="s">
        <v>2650</v>
      </c>
      <c r="X37" s="1861">
        <v>2000000</v>
      </c>
      <c r="Y37" s="1862">
        <f>2000000-1000</f>
        <v>1999000</v>
      </c>
      <c r="Z37" s="1862">
        <f>2000000-1000</f>
        <v>1999000</v>
      </c>
      <c r="AA37" s="363" t="s">
        <v>2651</v>
      </c>
      <c r="AB37" s="1804">
        <v>20</v>
      </c>
      <c r="AC37" s="1750" t="s">
        <v>1</v>
      </c>
      <c r="AD37" s="3935"/>
      <c r="AE37" s="3935"/>
      <c r="AF37" s="3935"/>
      <c r="AG37" s="3935"/>
      <c r="AH37" s="3935"/>
      <c r="AI37" s="3935"/>
      <c r="AJ37" s="3935"/>
      <c r="AK37" s="3935"/>
      <c r="AL37" s="3935"/>
      <c r="AM37" s="3935"/>
      <c r="AN37" s="3935"/>
      <c r="AO37" s="3935"/>
      <c r="AP37" s="3935"/>
      <c r="AQ37" s="3935"/>
      <c r="AR37" s="3935"/>
      <c r="AS37" s="3935"/>
      <c r="AT37" s="3935"/>
      <c r="AU37" s="3935"/>
      <c r="AV37" s="3935"/>
      <c r="AW37" s="3935"/>
      <c r="AX37" s="3935"/>
      <c r="AY37" s="3935"/>
      <c r="AZ37" s="3935"/>
      <c r="BA37" s="3935"/>
      <c r="BB37" s="3935"/>
      <c r="BC37" s="3935"/>
      <c r="BD37" s="3935"/>
      <c r="BE37" s="3935"/>
      <c r="BF37" s="3935"/>
      <c r="BG37" s="3935"/>
      <c r="BH37" s="3935"/>
      <c r="BI37" s="3935"/>
      <c r="BJ37" s="3935"/>
      <c r="BK37" s="4755"/>
      <c r="BL37" s="4755"/>
      <c r="BM37" s="4757"/>
      <c r="BN37" s="3935"/>
      <c r="BO37" s="3935"/>
      <c r="BP37" s="4753"/>
      <c r="BQ37" s="2546"/>
      <c r="BR37" s="2546"/>
      <c r="BS37" s="2546"/>
      <c r="BT37" s="2546"/>
      <c r="BU37" s="2546"/>
    </row>
    <row r="38" spans="1:93" ht="108.75" customHeight="1" x14ac:dyDescent="0.25">
      <c r="A38" s="1805"/>
      <c r="B38" s="1748"/>
      <c r="C38" s="1774"/>
      <c r="E38" s="2710"/>
      <c r="F38" s="2710"/>
      <c r="G38" s="1816">
        <v>2302058</v>
      </c>
      <c r="H38" s="1772" t="s">
        <v>2652</v>
      </c>
      <c r="I38" s="1771">
        <v>2302058</v>
      </c>
      <c r="J38" s="1772" t="s">
        <v>2652</v>
      </c>
      <c r="K38" s="1791">
        <v>230205800</v>
      </c>
      <c r="L38" s="1772" t="s">
        <v>2653</v>
      </c>
      <c r="M38" s="1791">
        <v>230205800</v>
      </c>
      <c r="N38" s="1772" t="s">
        <v>2653</v>
      </c>
      <c r="O38" s="386">
        <v>300</v>
      </c>
      <c r="P38" s="386">
        <v>300</v>
      </c>
      <c r="Q38" s="3948"/>
      <c r="R38" s="4753"/>
      <c r="S38" s="1769">
        <f>X38/T35</f>
        <v>0.13698630136986301</v>
      </c>
      <c r="T38" s="4760"/>
      <c r="U38" s="2543"/>
      <c r="V38" s="1752" t="s">
        <v>2654</v>
      </c>
      <c r="W38" s="1772" t="s">
        <v>2655</v>
      </c>
      <c r="X38" s="1863">
        <v>20000000</v>
      </c>
      <c r="Y38" s="1841">
        <f>11540000+5770000+2690000</f>
        <v>20000000</v>
      </c>
      <c r="Z38" s="1536">
        <f>11540000+5770000+2690000</f>
        <v>20000000</v>
      </c>
      <c r="AA38" s="363" t="s">
        <v>2656</v>
      </c>
      <c r="AB38" s="1804">
        <v>20</v>
      </c>
      <c r="AC38" s="1750" t="s">
        <v>1</v>
      </c>
      <c r="AD38" s="3935"/>
      <c r="AE38" s="3935"/>
      <c r="AF38" s="3935"/>
      <c r="AG38" s="3935"/>
      <c r="AH38" s="3935"/>
      <c r="AI38" s="3935"/>
      <c r="AJ38" s="3935"/>
      <c r="AK38" s="3935"/>
      <c r="AL38" s="3935"/>
      <c r="AM38" s="3935"/>
      <c r="AN38" s="3935"/>
      <c r="AO38" s="3935"/>
      <c r="AP38" s="3935"/>
      <c r="AQ38" s="3935"/>
      <c r="AR38" s="3935"/>
      <c r="AS38" s="3935"/>
      <c r="AT38" s="3935"/>
      <c r="AU38" s="3935"/>
      <c r="AV38" s="3935"/>
      <c r="AW38" s="3935"/>
      <c r="AX38" s="3935"/>
      <c r="AY38" s="3935"/>
      <c r="AZ38" s="3935"/>
      <c r="BA38" s="3935"/>
      <c r="BB38" s="3935"/>
      <c r="BC38" s="3935"/>
      <c r="BD38" s="3935"/>
      <c r="BE38" s="3935"/>
      <c r="BF38" s="3935"/>
      <c r="BG38" s="3935"/>
      <c r="BH38" s="3935"/>
      <c r="BI38" s="3935"/>
      <c r="BJ38" s="3935"/>
      <c r="BK38" s="4755"/>
      <c r="BL38" s="4755"/>
      <c r="BM38" s="4757"/>
      <c r="BN38" s="3935"/>
      <c r="BO38" s="3935"/>
      <c r="BP38" s="4753"/>
      <c r="BQ38" s="2546"/>
      <c r="BR38" s="2546"/>
      <c r="BS38" s="2546"/>
      <c r="BT38" s="2546"/>
      <c r="BU38" s="2546"/>
    </row>
    <row r="39" spans="1:93" ht="102.6" customHeight="1" x14ac:dyDescent="0.25">
      <c r="A39" s="1805"/>
      <c r="B39" s="1748"/>
      <c r="C39" s="1774"/>
      <c r="E39" s="2710"/>
      <c r="F39" s="2710"/>
      <c r="G39" s="1770">
        <v>2302021</v>
      </c>
      <c r="H39" s="1763" t="s">
        <v>2657</v>
      </c>
      <c r="I39" s="1753">
        <v>2302021</v>
      </c>
      <c r="J39" s="1763" t="s">
        <v>2657</v>
      </c>
      <c r="K39" s="1789">
        <v>230202100</v>
      </c>
      <c r="L39" s="1763" t="s">
        <v>2658</v>
      </c>
      <c r="M39" s="1789">
        <v>230202100</v>
      </c>
      <c r="N39" s="1763" t="s">
        <v>2658</v>
      </c>
      <c r="O39" s="1864">
        <v>8</v>
      </c>
      <c r="P39" s="1864">
        <v>8</v>
      </c>
      <c r="Q39" s="3948"/>
      <c r="R39" s="4753"/>
      <c r="S39" s="1803">
        <f>X39/T35</f>
        <v>0.34246575342465752</v>
      </c>
      <c r="T39" s="4760"/>
      <c r="U39" s="2543"/>
      <c r="V39" s="1752" t="s">
        <v>2659</v>
      </c>
      <c r="W39" s="1763" t="s">
        <v>2660</v>
      </c>
      <c r="X39" s="1840">
        <v>50000000</v>
      </c>
      <c r="Y39" s="1841">
        <f>24000000+11540000+5770000+3464667+1329400+1663600+769333+556500</f>
        <v>49093500</v>
      </c>
      <c r="Z39" s="1841">
        <f>24000000+11540000+5770000+3464667+1329400+1663600+769333+556500</f>
        <v>49093500</v>
      </c>
      <c r="AA39" s="355" t="s">
        <v>2661</v>
      </c>
      <c r="AB39" s="1809">
        <v>20</v>
      </c>
      <c r="AC39" s="1773" t="s">
        <v>1</v>
      </c>
      <c r="AD39" s="2546"/>
      <c r="AE39" s="2546"/>
      <c r="AF39" s="2546"/>
      <c r="AG39" s="2546"/>
      <c r="AH39" s="2546"/>
      <c r="AI39" s="2546"/>
      <c r="AJ39" s="2546"/>
      <c r="AK39" s="2546"/>
      <c r="AL39" s="2546"/>
      <c r="AM39" s="2546"/>
      <c r="AN39" s="2546"/>
      <c r="AO39" s="2546"/>
      <c r="AP39" s="2546"/>
      <c r="AQ39" s="2546"/>
      <c r="AR39" s="2546"/>
      <c r="AS39" s="2546"/>
      <c r="AT39" s="2546"/>
      <c r="AU39" s="2546"/>
      <c r="AV39" s="2546"/>
      <c r="AW39" s="2546"/>
      <c r="AX39" s="2546"/>
      <c r="AY39" s="2546"/>
      <c r="AZ39" s="2546"/>
      <c r="BA39" s="2546"/>
      <c r="BB39" s="2546"/>
      <c r="BC39" s="2546"/>
      <c r="BD39" s="2546"/>
      <c r="BE39" s="2546"/>
      <c r="BF39" s="2546"/>
      <c r="BG39" s="2546"/>
      <c r="BH39" s="2546"/>
      <c r="BI39" s="2546"/>
      <c r="BJ39" s="2546"/>
      <c r="BK39" s="4754"/>
      <c r="BL39" s="4754"/>
      <c r="BM39" s="4756"/>
      <c r="BN39" s="2546"/>
      <c r="BO39" s="2546"/>
      <c r="BP39" s="2543"/>
      <c r="BQ39" s="2546"/>
      <c r="BR39" s="2546"/>
      <c r="BS39" s="2546"/>
      <c r="BT39" s="2546"/>
      <c r="BU39" s="2546"/>
    </row>
    <row r="40" spans="1:93" ht="81" customHeight="1" x14ac:dyDescent="0.25">
      <c r="A40" s="1806"/>
      <c r="B40" s="1784"/>
      <c r="C40" s="1775"/>
      <c r="D40" s="1865"/>
      <c r="E40" s="2710"/>
      <c r="F40" s="2710"/>
      <c r="G40" s="1866">
        <v>2302068</v>
      </c>
      <c r="H40" s="1867" t="s">
        <v>2662</v>
      </c>
      <c r="I40" s="1868">
        <v>2302068</v>
      </c>
      <c r="J40" s="1867" t="s">
        <v>2662</v>
      </c>
      <c r="K40" s="1790">
        <v>230206800</v>
      </c>
      <c r="L40" s="1764" t="s">
        <v>2663</v>
      </c>
      <c r="M40" s="1790">
        <v>230206800</v>
      </c>
      <c r="N40" s="1764" t="s">
        <v>2663</v>
      </c>
      <c r="O40" s="1869">
        <v>60</v>
      </c>
      <c r="P40" s="357">
        <v>60</v>
      </c>
      <c r="Q40" s="4758"/>
      <c r="R40" s="4325"/>
      <c r="S40" s="1800">
        <f>X40/T35</f>
        <v>0.13698630136986301</v>
      </c>
      <c r="T40" s="4762"/>
      <c r="U40" s="2545"/>
      <c r="V40" s="1754" t="s">
        <v>2664</v>
      </c>
      <c r="W40" s="1764" t="s">
        <v>2665</v>
      </c>
      <c r="X40" s="1847">
        <v>20000000</v>
      </c>
      <c r="Y40" s="1841">
        <f>9905167+9905167</f>
        <v>19810334</v>
      </c>
      <c r="Z40" s="1536">
        <f>9905167+9905167</f>
        <v>19810334</v>
      </c>
      <c r="AA40" s="1814" t="s">
        <v>2666</v>
      </c>
      <c r="AB40" s="1810">
        <v>20</v>
      </c>
      <c r="AC40" s="1754" t="s">
        <v>1</v>
      </c>
      <c r="AD40" s="2547"/>
      <c r="AE40" s="2547"/>
      <c r="AF40" s="2547"/>
      <c r="AG40" s="2547"/>
      <c r="AH40" s="2547"/>
      <c r="AI40" s="2547"/>
      <c r="AJ40" s="2547"/>
      <c r="AK40" s="2547"/>
      <c r="AL40" s="2547"/>
      <c r="AM40" s="2547"/>
      <c r="AN40" s="2547"/>
      <c r="AO40" s="2547"/>
      <c r="AP40" s="2547"/>
      <c r="AQ40" s="2547"/>
      <c r="AR40" s="2547"/>
      <c r="AS40" s="2547"/>
      <c r="AT40" s="2547"/>
      <c r="AU40" s="2547"/>
      <c r="AV40" s="2547"/>
      <c r="AW40" s="2547"/>
      <c r="AX40" s="2547"/>
      <c r="AY40" s="2547"/>
      <c r="AZ40" s="2547"/>
      <c r="BA40" s="2547"/>
      <c r="BB40" s="2547"/>
      <c r="BC40" s="2547"/>
      <c r="BD40" s="2547"/>
      <c r="BE40" s="2547"/>
      <c r="BF40" s="2547"/>
      <c r="BG40" s="2547"/>
      <c r="BH40" s="2547"/>
      <c r="BI40" s="2547"/>
      <c r="BJ40" s="2547"/>
      <c r="BK40" s="4736"/>
      <c r="BL40" s="4736"/>
      <c r="BM40" s="4129"/>
      <c r="BN40" s="2547"/>
      <c r="BO40" s="2547"/>
      <c r="BP40" s="2545"/>
      <c r="BQ40" s="2547"/>
      <c r="BR40" s="2547"/>
      <c r="BS40" s="2547"/>
      <c r="BT40" s="2547"/>
      <c r="BU40" s="2547"/>
    </row>
    <row r="41" spans="1:93" ht="27" customHeight="1" x14ac:dyDescent="0.25">
      <c r="A41" s="1539">
        <v>4</v>
      </c>
      <c r="B41" s="4743" t="s">
        <v>2242</v>
      </c>
      <c r="C41" s="4446"/>
      <c r="D41" s="4446"/>
      <c r="E41" s="4446"/>
      <c r="F41" s="4446"/>
      <c r="G41" s="4446"/>
      <c r="H41" s="779"/>
      <c r="I41" s="778"/>
      <c r="J41" s="779"/>
      <c r="K41" s="248"/>
      <c r="L41" s="1822"/>
      <c r="M41" s="248"/>
      <c r="N41" s="1822"/>
      <c r="O41" s="248"/>
      <c r="P41" s="120"/>
      <c r="Q41" s="778"/>
      <c r="R41" s="1822"/>
      <c r="S41" s="1295"/>
      <c r="T41" s="1870"/>
      <c r="U41" s="1822"/>
      <c r="V41" s="1822"/>
      <c r="W41" s="1822"/>
      <c r="X41" s="1871"/>
      <c r="Y41" s="1872"/>
      <c r="Z41" s="1872"/>
      <c r="AA41" s="778"/>
      <c r="AB41" s="252"/>
      <c r="AC41" s="1822"/>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1873"/>
      <c r="BL41" s="1873"/>
      <c r="BM41" s="1874"/>
      <c r="BN41" s="248"/>
      <c r="BO41" s="248"/>
      <c r="BP41" s="1822"/>
      <c r="BQ41" s="325"/>
      <c r="BR41" s="325"/>
      <c r="BS41" s="325"/>
      <c r="BT41" s="325"/>
      <c r="BU41" s="326"/>
      <c r="BV41" s="4"/>
      <c r="BW41" s="4"/>
      <c r="BX41" s="4"/>
      <c r="BY41" s="4"/>
      <c r="BZ41" s="4"/>
      <c r="CA41" s="4"/>
      <c r="CB41" s="4"/>
      <c r="CC41" s="4"/>
      <c r="CD41" s="4"/>
      <c r="CE41" s="4"/>
      <c r="CF41" s="4"/>
      <c r="CG41" s="4"/>
      <c r="CH41" s="4"/>
      <c r="CI41" s="4"/>
      <c r="CJ41" s="4"/>
      <c r="CK41" s="4"/>
      <c r="CL41" s="4"/>
      <c r="CM41" s="4"/>
      <c r="CN41" s="4"/>
      <c r="CO41" s="4"/>
    </row>
    <row r="42" spans="1:93" ht="27" customHeight="1" x14ac:dyDescent="0.25">
      <c r="A42" s="1811"/>
      <c r="B42" s="1762"/>
      <c r="C42" s="115">
        <v>23</v>
      </c>
      <c r="D42" s="2577" t="s">
        <v>2566</v>
      </c>
      <c r="E42" s="3219"/>
      <c r="F42" s="3219"/>
      <c r="G42" s="3219"/>
      <c r="H42" s="3219"/>
      <c r="I42" s="108"/>
      <c r="J42" s="789"/>
      <c r="K42" s="108"/>
      <c r="L42" s="789"/>
      <c r="M42" s="108"/>
      <c r="N42" s="789"/>
      <c r="O42" s="108"/>
      <c r="P42" s="108"/>
      <c r="Q42" s="108"/>
      <c r="R42" s="789"/>
      <c r="S42" s="1875"/>
      <c r="T42" s="1876"/>
      <c r="U42" s="1829"/>
      <c r="V42" s="1829"/>
      <c r="W42" s="1829"/>
      <c r="X42" s="1877"/>
      <c r="Y42" s="1878"/>
      <c r="Z42" s="1878"/>
      <c r="AA42" s="328"/>
      <c r="AB42" s="332"/>
      <c r="AC42" s="1829"/>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1879"/>
      <c r="BL42" s="1879"/>
      <c r="BM42" s="1833"/>
      <c r="BN42" s="328"/>
      <c r="BO42" s="328"/>
      <c r="BP42" s="1829"/>
      <c r="BQ42" s="333"/>
      <c r="BR42" s="333"/>
      <c r="BS42" s="333"/>
      <c r="BT42" s="333"/>
      <c r="BU42" s="334"/>
    </row>
    <row r="43" spans="1:93" s="4" customFormat="1" ht="30" customHeight="1" x14ac:dyDescent="0.25">
      <c r="A43" s="1780"/>
      <c r="B43" s="1781"/>
      <c r="C43" s="1778"/>
      <c r="D43" s="1779"/>
      <c r="E43" s="65">
        <v>2302</v>
      </c>
      <c r="F43" s="2245" t="s">
        <v>2637</v>
      </c>
      <c r="G43" s="2246"/>
      <c r="H43" s="2246"/>
      <c r="I43" s="2246"/>
      <c r="J43" s="2246"/>
      <c r="K43" s="2246"/>
      <c r="L43" s="2246"/>
      <c r="M43" s="2246"/>
      <c r="N43" s="2246"/>
      <c r="O43" s="2246"/>
      <c r="P43" s="2246"/>
      <c r="Q43" s="2246"/>
      <c r="R43" s="2246"/>
      <c r="S43" s="2246"/>
      <c r="T43" s="2246"/>
      <c r="U43" s="1835"/>
      <c r="V43" s="1835"/>
      <c r="W43" s="1835"/>
      <c r="X43" s="1880"/>
      <c r="Y43" s="1855"/>
      <c r="Z43" s="1855"/>
      <c r="AA43" s="1856"/>
      <c r="AB43" s="1881"/>
      <c r="AC43" s="1835"/>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1858"/>
      <c r="BL43" s="1858"/>
      <c r="BM43" s="1839"/>
      <c r="BN43" s="341"/>
      <c r="BO43" s="341"/>
      <c r="BP43" s="1835"/>
      <c r="BQ43" s="344"/>
      <c r="BR43" s="344"/>
      <c r="BS43" s="344"/>
      <c r="BT43" s="344"/>
      <c r="BU43" s="345"/>
    </row>
    <row r="44" spans="1:93" s="1812" customFormat="1" ht="70.5" customHeight="1" x14ac:dyDescent="0.25">
      <c r="A44" s="608"/>
      <c r="B44" s="1787"/>
      <c r="C44" s="1786"/>
      <c r="D44" s="1787"/>
      <c r="E44" s="3003"/>
      <c r="F44" s="2546"/>
      <c r="G44" s="4752">
        <v>2302003</v>
      </c>
      <c r="H44" s="3402" t="s">
        <v>2667</v>
      </c>
      <c r="I44" s="4752">
        <v>2302003</v>
      </c>
      <c r="J44" s="3402" t="s">
        <v>2667</v>
      </c>
      <c r="K44" s="2538">
        <v>230200300</v>
      </c>
      <c r="L44" s="3402" t="s">
        <v>2668</v>
      </c>
      <c r="M44" s="2538">
        <v>230200300</v>
      </c>
      <c r="N44" s="3402" t="s">
        <v>2668</v>
      </c>
      <c r="O44" s="4679">
        <v>2</v>
      </c>
      <c r="P44" s="4679">
        <v>3</v>
      </c>
      <c r="Q44" s="2752" t="s">
        <v>2669</v>
      </c>
      <c r="R44" s="2992" t="s">
        <v>2670</v>
      </c>
      <c r="S44" s="4748">
        <f>SUM(X44:X45)/T44</f>
        <v>0.40268456375838924</v>
      </c>
      <c r="T44" s="4380">
        <f>SUM(X44:X50)</f>
        <v>298000000</v>
      </c>
      <c r="U44" s="2992" t="s">
        <v>2671</v>
      </c>
      <c r="V44" s="3402" t="s">
        <v>2672</v>
      </c>
      <c r="W44" s="1763" t="s">
        <v>2673</v>
      </c>
      <c r="X44" s="1840">
        <f>50000000-18637000</f>
        <v>31363000</v>
      </c>
      <c r="Y44" s="1841">
        <v>31362999.5</v>
      </c>
      <c r="Z44" s="1841">
        <v>31362999.5</v>
      </c>
      <c r="AA44" s="363" t="s">
        <v>2674</v>
      </c>
      <c r="AB44" s="808">
        <v>20</v>
      </c>
      <c r="AC44" s="1752" t="s">
        <v>1</v>
      </c>
      <c r="AD44" s="2547">
        <v>295972</v>
      </c>
      <c r="AE44" s="2547">
        <v>295972</v>
      </c>
      <c r="AF44" s="2547">
        <v>294321</v>
      </c>
      <c r="AG44" s="2547">
        <v>294321</v>
      </c>
      <c r="AH44" s="2547">
        <v>132302</v>
      </c>
      <c r="AI44" s="2547">
        <v>132302</v>
      </c>
      <c r="AJ44" s="2547">
        <v>43426</v>
      </c>
      <c r="AK44" s="2547">
        <v>43426</v>
      </c>
      <c r="AL44" s="2547">
        <v>313940</v>
      </c>
      <c r="AM44" s="2547">
        <v>313940</v>
      </c>
      <c r="AN44" s="2547">
        <v>100625</v>
      </c>
      <c r="AO44" s="2547">
        <v>100625</v>
      </c>
      <c r="AP44" s="2547">
        <v>2145</v>
      </c>
      <c r="AQ44" s="2547">
        <v>2145</v>
      </c>
      <c r="AR44" s="2547">
        <v>2145</v>
      </c>
      <c r="AS44" s="2547">
        <v>2145</v>
      </c>
      <c r="AT44" s="2547">
        <v>36</v>
      </c>
      <c r="AU44" s="2547">
        <v>36</v>
      </c>
      <c r="AV44" s="2547">
        <v>0</v>
      </c>
      <c r="AW44" s="2547">
        <v>0</v>
      </c>
      <c r="AX44" s="2547">
        <v>0</v>
      </c>
      <c r="AY44" s="2547">
        <v>0</v>
      </c>
      <c r="AZ44" s="2547">
        <v>0</v>
      </c>
      <c r="BA44" s="2547">
        <v>0</v>
      </c>
      <c r="BB44" s="2547">
        <v>70</v>
      </c>
      <c r="BC44" s="2547">
        <v>70</v>
      </c>
      <c r="BD44" s="2547">
        <v>21944</v>
      </c>
      <c r="BE44" s="2547">
        <v>21944</v>
      </c>
      <c r="BF44" s="2547">
        <v>285</v>
      </c>
      <c r="BG44" s="2547">
        <v>285</v>
      </c>
      <c r="BH44" s="2547">
        <f>+AD44+AF44</f>
        <v>590293</v>
      </c>
      <c r="BI44" s="2547">
        <f>+AE44+AG44</f>
        <v>590293</v>
      </c>
      <c r="BJ44" s="2547">
        <v>15</v>
      </c>
      <c r="BK44" s="4736">
        <f>SUM(Y44:Y50)</f>
        <v>277577165.5</v>
      </c>
      <c r="BL44" s="4736">
        <f>SUM(Z44:Z50)</f>
        <v>277577165.5</v>
      </c>
      <c r="BM44" s="4129">
        <f>BL44/BK44</f>
        <v>1</v>
      </c>
      <c r="BN44" s="2547">
        <v>20</v>
      </c>
      <c r="BO44" s="2547" t="s">
        <v>422</v>
      </c>
      <c r="BP44" s="2545" t="s">
        <v>2613</v>
      </c>
      <c r="BQ44" s="3936">
        <v>44197</v>
      </c>
      <c r="BR44" s="3936">
        <v>44235</v>
      </c>
      <c r="BS44" s="3936">
        <v>44561</v>
      </c>
      <c r="BT44" s="3936">
        <v>44541</v>
      </c>
      <c r="BU44" s="3936" t="s">
        <v>2578</v>
      </c>
    </row>
    <row r="45" spans="1:93" s="1812" customFormat="1" ht="67.5" customHeight="1" x14ac:dyDescent="0.25">
      <c r="A45" s="608"/>
      <c r="B45" s="1787"/>
      <c r="C45" s="1786"/>
      <c r="D45" s="1787"/>
      <c r="E45" s="3935"/>
      <c r="F45" s="2546"/>
      <c r="G45" s="4747"/>
      <c r="H45" s="3417"/>
      <c r="I45" s="4747"/>
      <c r="J45" s="3417"/>
      <c r="K45" s="2510"/>
      <c r="L45" s="3417"/>
      <c r="M45" s="2510"/>
      <c r="N45" s="3417"/>
      <c r="O45" s="3692"/>
      <c r="P45" s="3692"/>
      <c r="Q45" s="2755"/>
      <c r="R45" s="2993"/>
      <c r="S45" s="4749"/>
      <c r="T45" s="4381"/>
      <c r="U45" s="2993"/>
      <c r="V45" s="3417"/>
      <c r="W45" s="1763" t="s">
        <v>2675</v>
      </c>
      <c r="X45" s="1840">
        <f>70000000+18637000</f>
        <v>88637000</v>
      </c>
      <c r="Y45" s="1841">
        <v>69970000</v>
      </c>
      <c r="Z45" s="1852">
        <v>69970000</v>
      </c>
      <c r="AA45" s="363" t="s">
        <v>2674</v>
      </c>
      <c r="AB45" s="808">
        <v>20</v>
      </c>
      <c r="AC45" s="1752" t="s">
        <v>1</v>
      </c>
      <c r="AD45" s="2716"/>
      <c r="AE45" s="2716"/>
      <c r="AF45" s="2716"/>
      <c r="AG45" s="2716"/>
      <c r="AH45" s="2716"/>
      <c r="AI45" s="2716"/>
      <c r="AJ45" s="2716"/>
      <c r="AK45" s="2716"/>
      <c r="AL45" s="2716"/>
      <c r="AM45" s="2716"/>
      <c r="AN45" s="2716"/>
      <c r="AO45" s="2716"/>
      <c r="AP45" s="2716"/>
      <c r="AQ45" s="2716"/>
      <c r="AR45" s="2716"/>
      <c r="AS45" s="2716"/>
      <c r="AT45" s="2716"/>
      <c r="AU45" s="2716"/>
      <c r="AV45" s="2716"/>
      <c r="AW45" s="2716"/>
      <c r="AX45" s="2716"/>
      <c r="AY45" s="2716"/>
      <c r="AZ45" s="2716"/>
      <c r="BA45" s="2716"/>
      <c r="BB45" s="2716"/>
      <c r="BC45" s="2716"/>
      <c r="BD45" s="2716"/>
      <c r="BE45" s="2716"/>
      <c r="BF45" s="2716"/>
      <c r="BG45" s="2716"/>
      <c r="BH45" s="2716"/>
      <c r="BI45" s="2716"/>
      <c r="BJ45" s="2716"/>
      <c r="BK45" s="4737"/>
      <c r="BL45" s="4737"/>
      <c r="BM45" s="4130"/>
      <c r="BN45" s="2716"/>
      <c r="BO45" s="2716"/>
      <c r="BP45" s="2781"/>
      <c r="BQ45" s="4742"/>
      <c r="BR45" s="4742"/>
      <c r="BS45" s="4742"/>
      <c r="BT45" s="4742"/>
      <c r="BU45" s="4742"/>
    </row>
    <row r="46" spans="1:93" s="1812" customFormat="1" ht="117.75" customHeight="1" x14ac:dyDescent="0.25">
      <c r="A46" s="608"/>
      <c r="B46" s="1787"/>
      <c r="C46" s="1786"/>
      <c r="D46" s="1787"/>
      <c r="E46" s="3935"/>
      <c r="F46" s="2546"/>
      <c r="G46" s="1767">
        <v>2302033</v>
      </c>
      <c r="H46" s="1792" t="s">
        <v>2676</v>
      </c>
      <c r="I46" s="1767">
        <v>2302033</v>
      </c>
      <c r="J46" s="1792" t="s">
        <v>2676</v>
      </c>
      <c r="K46" s="1882">
        <v>230203300</v>
      </c>
      <c r="L46" s="1763" t="s">
        <v>2677</v>
      </c>
      <c r="M46" s="1882">
        <v>230203300</v>
      </c>
      <c r="N46" s="1763" t="s">
        <v>2677</v>
      </c>
      <c r="O46" s="357">
        <v>100</v>
      </c>
      <c r="P46" s="357">
        <v>100</v>
      </c>
      <c r="Q46" s="2755"/>
      <c r="R46" s="2993"/>
      <c r="S46" s="1749">
        <f>X46/T44</f>
        <v>0.16778523489932887</v>
      </c>
      <c r="T46" s="4381"/>
      <c r="U46" s="2993"/>
      <c r="V46" s="1776" t="s">
        <v>2678</v>
      </c>
      <c r="W46" s="1763" t="s">
        <v>2679</v>
      </c>
      <c r="X46" s="1840">
        <v>50000000</v>
      </c>
      <c r="Y46" s="1841">
        <f>8655000+7920000+4760250+5193000+6058500+5193000+5544000+4327500+1634833+628417</f>
        <v>49914500</v>
      </c>
      <c r="Z46" s="1841">
        <f>8655000+7920000+4760250+5193000+6058500+5193000+5544000+4327500+1634833+628417</f>
        <v>49914500</v>
      </c>
      <c r="AA46" s="363" t="s">
        <v>2680</v>
      </c>
      <c r="AB46" s="808">
        <v>20</v>
      </c>
      <c r="AC46" s="1752" t="s">
        <v>1</v>
      </c>
      <c r="AD46" s="2716"/>
      <c r="AE46" s="2716"/>
      <c r="AF46" s="2716"/>
      <c r="AG46" s="2716"/>
      <c r="AH46" s="2716"/>
      <c r="AI46" s="2716"/>
      <c r="AJ46" s="2716"/>
      <c r="AK46" s="2716"/>
      <c r="AL46" s="2716"/>
      <c r="AM46" s="2716"/>
      <c r="AN46" s="2716"/>
      <c r="AO46" s="2716"/>
      <c r="AP46" s="2716"/>
      <c r="AQ46" s="2716"/>
      <c r="AR46" s="2716"/>
      <c r="AS46" s="2716"/>
      <c r="AT46" s="2716"/>
      <c r="AU46" s="2716"/>
      <c r="AV46" s="2716"/>
      <c r="AW46" s="2716"/>
      <c r="AX46" s="2716"/>
      <c r="AY46" s="2716"/>
      <c r="AZ46" s="2716"/>
      <c r="BA46" s="2716"/>
      <c r="BB46" s="2716"/>
      <c r="BC46" s="2716"/>
      <c r="BD46" s="2716"/>
      <c r="BE46" s="2716"/>
      <c r="BF46" s="2716"/>
      <c r="BG46" s="2716"/>
      <c r="BH46" s="2716"/>
      <c r="BI46" s="2716"/>
      <c r="BJ46" s="2716"/>
      <c r="BK46" s="4737"/>
      <c r="BL46" s="4737"/>
      <c r="BM46" s="4130"/>
      <c r="BN46" s="2716"/>
      <c r="BO46" s="2716"/>
      <c r="BP46" s="2781"/>
      <c r="BQ46" s="4742"/>
      <c r="BR46" s="4742"/>
      <c r="BS46" s="4742"/>
      <c r="BT46" s="4742"/>
      <c r="BU46" s="4742"/>
    </row>
    <row r="47" spans="1:93" s="1812" customFormat="1" ht="80.45" customHeight="1" x14ac:dyDescent="0.25">
      <c r="A47" s="608"/>
      <c r="B47" s="1787"/>
      <c r="C47" s="1786"/>
      <c r="D47" s="1787"/>
      <c r="E47" s="3935"/>
      <c r="F47" s="2546"/>
      <c r="G47" s="1767">
        <v>2302066</v>
      </c>
      <c r="H47" s="1792" t="s">
        <v>2681</v>
      </c>
      <c r="I47" s="1767">
        <v>2302066</v>
      </c>
      <c r="J47" s="1792" t="s">
        <v>2681</v>
      </c>
      <c r="K47" s="1882">
        <v>230206600</v>
      </c>
      <c r="L47" s="1763" t="s">
        <v>2682</v>
      </c>
      <c r="M47" s="1882">
        <v>230206600</v>
      </c>
      <c r="N47" s="1763" t="s">
        <v>2682</v>
      </c>
      <c r="O47" s="357">
        <v>50</v>
      </c>
      <c r="P47" s="357">
        <v>60</v>
      </c>
      <c r="Q47" s="2755"/>
      <c r="R47" s="2993"/>
      <c r="S47" s="1749">
        <f>X47/T44</f>
        <v>0.20134228187919462</v>
      </c>
      <c r="T47" s="4381"/>
      <c r="U47" s="2993"/>
      <c r="V47" s="1751" t="s">
        <v>2683</v>
      </c>
      <c r="W47" s="1772" t="s">
        <v>2684</v>
      </c>
      <c r="X47" s="1840">
        <v>60000000</v>
      </c>
      <c r="Y47" s="1841">
        <f>9900000+11540000+14425000+10097500+7920000+3586333+1100000</f>
        <v>58568833</v>
      </c>
      <c r="Z47" s="1536">
        <f>9900000+11540000+14425000+10097500+7920000+3586333+1100000</f>
        <v>58568833</v>
      </c>
      <c r="AA47" s="363" t="s">
        <v>2685</v>
      </c>
      <c r="AB47" s="808">
        <v>20</v>
      </c>
      <c r="AC47" s="1752" t="s">
        <v>1</v>
      </c>
      <c r="AD47" s="2716"/>
      <c r="AE47" s="2716"/>
      <c r="AF47" s="2716"/>
      <c r="AG47" s="2716"/>
      <c r="AH47" s="2716"/>
      <c r="AI47" s="2716"/>
      <c r="AJ47" s="2716"/>
      <c r="AK47" s="2716"/>
      <c r="AL47" s="2716"/>
      <c r="AM47" s="2716"/>
      <c r="AN47" s="2716"/>
      <c r="AO47" s="2716"/>
      <c r="AP47" s="2716"/>
      <c r="AQ47" s="2716"/>
      <c r="AR47" s="2716"/>
      <c r="AS47" s="2716"/>
      <c r="AT47" s="2716"/>
      <c r="AU47" s="2716"/>
      <c r="AV47" s="2716"/>
      <c r="AW47" s="2716"/>
      <c r="AX47" s="2716"/>
      <c r="AY47" s="2716"/>
      <c r="AZ47" s="2716"/>
      <c r="BA47" s="2716"/>
      <c r="BB47" s="2716"/>
      <c r="BC47" s="2716"/>
      <c r="BD47" s="2716"/>
      <c r="BE47" s="2716"/>
      <c r="BF47" s="2716"/>
      <c r="BG47" s="2716"/>
      <c r="BH47" s="2716"/>
      <c r="BI47" s="2716"/>
      <c r="BJ47" s="2716"/>
      <c r="BK47" s="4737"/>
      <c r="BL47" s="4737"/>
      <c r="BM47" s="4130"/>
      <c r="BN47" s="2716"/>
      <c r="BO47" s="2716"/>
      <c r="BP47" s="2781"/>
      <c r="BQ47" s="4742"/>
      <c r="BR47" s="4742"/>
      <c r="BS47" s="4742"/>
      <c r="BT47" s="4742"/>
      <c r="BU47" s="4742"/>
    </row>
    <row r="48" spans="1:93" s="1812" customFormat="1" ht="80.45" customHeight="1" x14ac:dyDescent="0.25">
      <c r="A48" s="608"/>
      <c r="B48" s="1787"/>
      <c r="C48" s="1786"/>
      <c r="D48" s="1787"/>
      <c r="E48" s="3935"/>
      <c r="F48" s="2546"/>
      <c r="G48" s="1767">
        <v>2302004</v>
      </c>
      <c r="H48" s="1792" t="s">
        <v>2686</v>
      </c>
      <c r="I48" s="1767">
        <v>2302004</v>
      </c>
      <c r="J48" s="1792" t="s">
        <v>2686</v>
      </c>
      <c r="K48" s="1882">
        <v>230200403</v>
      </c>
      <c r="L48" s="1763" t="s">
        <v>2687</v>
      </c>
      <c r="M48" s="1882">
        <v>230200403</v>
      </c>
      <c r="N48" s="1763" t="s">
        <v>2687</v>
      </c>
      <c r="O48" s="357">
        <v>1</v>
      </c>
      <c r="P48" s="357">
        <v>1</v>
      </c>
      <c r="Q48" s="2755"/>
      <c r="R48" s="2993"/>
      <c r="S48" s="1749">
        <f>X48/T44</f>
        <v>8.3892617449664433E-2</v>
      </c>
      <c r="T48" s="4381"/>
      <c r="U48" s="2993"/>
      <c r="V48" s="1751" t="s">
        <v>2688</v>
      </c>
      <c r="W48" s="1772" t="s">
        <v>2689</v>
      </c>
      <c r="X48" s="1840">
        <v>25000000</v>
      </c>
      <c r="Y48" s="1841">
        <f>11540000+8655000+4805000</f>
        <v>25000000</v>
      </c>
      <c r="Z48" s="1841">
        <f>11540000+8655000+4805000</f>
        <v>25000000</v>
      </c>
      <c r="AA48" s="363" t="s">
        <v>2690</v>
      </c>
      <c r="AB48" s="808">
        <v>20</v>
      </c>
      <c r="AC48" s="1752" t="s">
        <v>1</v>
      </c>
      <c r="AD48" s="2716"/>
      <c r="AE48" s="2716"/>
      <c r="AF48" s="2716"/>
      <c r="AG48" s="2716"/>
      <c r="AH48" s="2716"/>
      <c r="AI48" s="2716"/>
      <c r="AJ48" s="2716"/>
      <c r="AK48" s="2716"/>
      <c r="AL48" s="2716"/>
      <c r="AM48" s="2716"/>
      <c r="AN48" s="2716"/>
      <c r="AO48" s="2716"/>
      <c r="AP48" s="2716"/>
      <c r="AQ48" s="2716"/>
      <c r="AR48" s="2716"/>
      <c r="AS48" s="2716"/>
      <c r="AT48" s="2716"/>
      <c r="AU48" s="2716"/>
      <c r="AV48" s="2716"/>
      <c r="AW48" s="2716"/>
      <c r="AX48" s="2716"/>
      <c r="AY48" s="2716"/>
      <c r="AZ48" s="2716"/>
      <c r="BA48" s="2716"/>
      <c r="BB48" s="2716"/>
      <c r="BC48" s="2716"/>
      <c r="BD48" s="2716"/>
      <c r="BE48" s="2716"/>
      <c r="BF48" s="2716"/>
      <c r="BG48" s="2716"/>
      <c r="BH48" s="2716"/>
      <c r="BI48" s="2716"/>
      <c r="BJ48" s="2716"/>
      <c r="BK48" s="4737"/>
      <c r="BL48" s="4737"/>
      <c r="BM48" s="4130"/>
      <c r="BN48" s="2716"/>
      <c r="BO48" s="2716"/>
      <c r="BP48" s="2781"/>
      <c r="BQ48" s="4742"/>
      <c r="BR48" s="4742"/>
      <c r="BS48" s="4742"/>
      <c r="BT48" s="4742"/>
      <c r="BU48" s="4742"/>
    </row>
    <row r="49" spans="1:93" s="1812" customFormat="1" ht="99.75" customHeight="1" x14ac:dyDescent="0.25">
      <c r="A49" s="608"/>
      <c r="B49" s="1787"/>
      <c r="C49" s="1786"/>
      <c r="D49" s="1787"/>
      <c r="E49" s="3935"/>
      <c r="F49" s="2546"/>
      <c r="G49" s="1767">
        <v>2302007</v>
      </c>
      <c r="H49" s="1792" t="s">
        <v>2691</v>
      </c>
      <c r="I49" s="1767">
        <v>2302007</v>
      </c>
      <c r="J49" s="1792" t="s">
        <v>2691</v>
      </c>
      <c r="K49" s="1882">
        <v>230200701</v>
      </c>
      <c r="L49" s="1763" t="s">
        <v>2692</v>
      </c>
      <c r="M49" s="1882">
        <v>230200701</v>
      </c>
      <c r="N49" s="1763" t="s">
        <v>2692</v>
      </c>
      <c r="O49" s="357">
        <v>1</v>
      </c>
      <c r="P49" s="357">
        <v>1</v>
      </c>
      <c r="Q49" s="2755"/>
      <c r="R49" s="2993"/>
      <c r="S49" s="1749">
        <f>X49/T44</f>
        <v>8.3892617449664433E-2</v>
      </c>
      <c r="T49" s="4381"/>
      <c r="U49" s="2993"/>
      <c r="V49" s="1751" t="s">
        <v>2693</v>
      </c>
      <c r="W49" s="1772" t="s">
        <v>2694</v>
      </c>
      <c r="X49" s="1840">
        <v>25000000</v>
      </c>
      <c r="Y49" s="1841">
        <f>3462000+4327500+3894750+3462000+2596500+3462000+3462000+333250</f>
        <v>25000000</v>
      </c>
      <c r="Z49" s="1841">
        <f>3462000+4327500+3894750+3462000+2596500+3462000+3462000+333250</f>
        <v>25000000</v>
      </c>
      <c r="AA49" s="363" t="s">
        <v>2695</v>
      </c>
      <c r="AB49" s="808">
        <v>20</v>
      </c>
      <c r="AC49" s="1752" t="s">
        <v>1</v>
      </c>
      <c r="AD49" s="2716"/>
      <c r="AE49" s="2716"/>
      <c r="AF49" s="2716"/>
      <c r="AG49" s="2716"/>
      <c r="AH49" s="2716"/>
      <c r="AI49" s="2716"/>
      <c r="AJ49" s="2716"/>
      <c r="AK49" s="2716"/>
      <c r="AL49" s="2716"/>
      <c r="AM49" s="2716"/>
      <c r="AN49" s="2716"/>
      <c r="AO49" s="2716"/>
      <c r="AP49" s="2716"/>
      <c r="AQ49" s="2716"/>
      <c r="AR49" s="2716"/>
      <c r="AS49" s="2716"/>
      <c r="AT49" s="2716"/>
      <c r="AU49" s="2716"/>
      <c r="AV49" s="2716"/>
      <c r="AW49" s="2716"/>
      <c r="AX49" s="2716"/>
      <c r="AY49" s="2716"/>
      <c r="AZ49" s="2716"/>
      <c r="BA49" s="2716"/>
      <c r="BB49" s="2716"/>
      <c r="BC49" s="2716"/>
      <c r="BD49" s="2716"/>
      <c r="BE49" s="2716"/>
      <c r="BF49" s="2716"/>
      <c r="BG49" s="2716"/>
      <c r="BH49" s="2716"/>
      <c r="BI49" s="2716"/>
      <c r="BJ49" s="2716"/>
      <c r="BK49" s="4737"/>
      <c r="BL49" s="4737"/>
      <c r="BM49" s="4130"/>
      <c r="BN49" s="2716"/>
      <c r="BO49" s="2716"/>
      <c r="BP49" s="2781"/>
      <c r="BQ49" s="4742"/>
      <c r="BR49" s="4742"/>
      <c r="BS49" s="4742"/>
      <c r="BT49" s="4742"/>
      <c r="BU49" s="4742"/>
    </row>
    <row r="50" spans="1:93" s="1812" customFormat="1" ht="111" customHeight="1" x14ac:dyDescent="0.25">
      <c r="A50" s="1815"/>
      <c r="B50" s="1788"/>
      <c r="C50" s="1883"/>
      <c r="D50" s="1884"/>
      <c r="E50" s="4750"/>
      <c r="F50" s="4751"/>
      <c r="G50" s="1767">
        <v>2302083</v>
      </c>
      <c r="H50" s="1792" t="s">
        <v>1218</v>
      </c>
      <c r="I50" s="1767">
        <v>2302083</v>
      </c>
      <c r="J50" s="1793" t="s">
        <v>1218</v>
      </c>
      <c r="K50" s="1885">
        <v>230208300</v>
      </c>
      <c r="L50" s="1764" t="s">
        <v>1958</v>
      </c>
      <c r="M50" s="1885">
        <v>230208300</v>
      </c>
      <c r="N50" s="1764" t="s">
        <v>1958</v>
      </c>
      <c r="O50" s="1798">
        <v>1</v>
      </c>
      <c r="P50" s="1798">
        <v>1</v>
      </c>
      <c r="Q50" s="2755"/>
      <c r="R50" s="2993"/>
      <c r="S50" s="1765">
        <f>X50/T44</f>
        <v>6.0402684563758392E-2</v>
      </c>
      <c r="T50" s="4381"/>
      <c r="U50" s="2993"/>
      <c r="V50" s="1886" t="s">
        <v>2696</v>
      </c>
      <c r="W50" s="1764" t="s">
        <v>2697</v>
      </c>
      <c r="X50" s="1847">
        <v>18000000</v>
      </c>
      <c r="Y50" s="1841">
        <f>3960000+5280000+3850000+1980000+1056000+1634833</f>
        <v>17760833</v>
      </c>
      <c r="Z50" s="1536">
        <f>3960000+5280000+3850000+1980000+1056000+1634833</f>
        <v>17760833</v>
      </c>
      <c r="AA50" s="1814" t="s">
        <v>2698</v>
      </c>
      <c r="AB50" s="1810">
        <v>20</v>
      </c>
      <c r="AC50" s="1754" t="s">
        <v>1</v>
      </c>
      <c r="AD50" s="2716"/>
      <c r="AE50" s="2716"/>
      <c r="AF50" s="2716"/>
      <c r="AG50" s="2716"/>
      <c r="AH50" s="2716"/>
      <c r="AI50" s="2716"/>
      <c r="AJ50" s="2716"/>
      <c r="AK50" s="2716"/>
      <c r="AL50" s="2716"/>
      <c r="AM50" s="2716"/>
      <c r="AN50" s="2716"/>
      <c r="AO50" s="2716"/>
      <c r="AP50" s="2716"/>
      <c r="AQ50" s="2716"/>
      <c r="AR50" s="2716"/>
      <c r="AS50" s="2716"/>
      <c r="AT50" s="2716"/>
      <c r="AU50" s="2716"/>
      <c r="AV50" s="4323"/>
      <c r="AW50" s="4323"/>
      <c r="AX50" s="2716"/>
      <c r="AY50" s="2716"/>
      <c r="AZ50" s="2716"/>
      <c r="BA50" s="2716"/>
      <c r="BB50" s="2716"/>
      <c r="BC50" s="2716"/>
      <c r="BD50" s="2716"/>
      <c r="BE50" s="2716"/>
      <c r="BF50" s="2716"/>
      <c r="BG50" s="2716"/>
      <c r="BH50" s="2716"/>
      <c r="BI50" s="2716"/>
      <c r="BJ50" s="2716"/>
      <c r="BK50" s="4737"/>
      <c r="BL50" s="4737"/>
      <c r="BM50" s="4130"/>
      <c r="BN50" s="2716"/>
      <c r="BO50" s="2716"/>
      <c r="BP50" s="2781"/>
      <c r="BQ50" s="4742"/>
      <c r="BR50" s="4742"/>
      <c r="BS50" s="4742"/>
      <c r="BT50" s="4742"/>
      <c r="BU50" s="4742"/>
    </row>
    <row r="51" spans="1:93" ht="27" customHeight="1" x14ac:dyDescent="0.25">
      <c r="A51" s="1539">
        <v>2</v>
      </c>
      <c r="B51" s="4743" t="s">
        <v>1163</v>
      </c>
      <c r="C51" s="4446"/>
      <c r="D51" s="4446"/>
      <c r="E51" s="4446"/>
      <c r="F51" s="4446"/>
      <c r="G51" s="4446"/>
      <c r="H51" s="779"/>
      <c r="I51" s="778"/>
      <c r="J51" s="1822"/>
      <c r="K51" s="248"/>
      <c r="L51" s="1822"/>
      <c r="M51" s="248"/>
      <c r="N51" s="1822"/>
      <c r="O51" s="248"/>
      <c r="P51" s="248"/>
      <c r="Q51" s="248"/>
      <c r="R51" s="1822"/>
      <c r="S51" s="1295"/>
      <c r="T51" s="1870"/>
      <c r="U51" s="1822"/>
      <c r="V51" s="1822"/>
      <c r="W51" s="1822"/>
      <c r="X51" s="1871"/>
      <c r="Y51" s="1872"/>
      <c r="Z51" s="1872"/>
      <c r="AA51" s="778"/>
      <c r="AB51" s="252"/>
      <c r="AC51" s="1822"/>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1873"/>
      <c r="BL51" s="1873"/>
      <c r="BM51" s="1874"/>
      <c r="BN51" s="248"/>
      <c r="BO51" s="248"/>
      <c r="BP51" s="1822"/>
      <c r="BQ51" s="325"/>
      <c r="BR51" s="325"/>
      <c r="BS51" s="325"/>
      <c r="BT51" s="325"/>
      <c r="BU51" s="326"/>
      <c r="BV51" s="4"/>
      <c r="BW51" s="4"/>
      <c r="BX51" s="4"/>
      <c r="BY51" s="4"/>
      <c r="BZ51" s="4"/>
      <c r="CA51" s="4"/>
      <c r="CB51" s="4"/>
      <c r="CC51" s="4"/>
      <c r="CD51" s="4"/>
      <c r="CE51" s="4"/>
      <c r="CF51" s="4"/>
      <c r="CG51" s="4"/>
      <c r="CH51" s="4"/>
      <c r="CI51" s="4"/>
      <c r="CJ51" s="4"/>
      <c r="CK51" s="4"/>
      <c r="CL51" s="4"/>
      <c r="CM51" s="4"/>
      <c r="CN51" s="4"/>
      <c r="CO51" s="4"/>
    </row>
    <row r="52" spans="1:93" ht="27" customHeight="1" x14ac:dyDescent="0.25">
      <c r="A52" s="1811"/>
      <c r="B52" s="1762"/>
      <c r="C52" s="115">
        <v>39</v>
      </c>
      <c r="D52" s="3218" t="s">
        <v>1164</v>
      </c>
      <c r="E52" s="2578"/>
      <c r="F52" s="3219"/>
      <c r="G52" s="3219"/>
      <c r="H52" s="3219"/>
      <c r="I52" s="3219"/>
      <c r="J52" s="3219"/>
      <c r="K52" s="108"/>
      <c r="L52" s="789"/>
      <c r="M52" s="108"/>
      <c r="N52" s="789"/>
      <c r="O52" s="328"/>
      <c r="P52" s="328"/>
      <c r="Q52" s="328"/>
      <c r="R52" s="1829"/>
      <c r="S52" s="1297"/>
      <c r="T52" s="1830"/>
      <c r="U52" s="1829"/>
      <c r="V52" s="1829"/>
      <c r="W52" s="1829"/>
      <c r="X52" s="1877"/>
      <c r="Y52" s="1878"/>
      <c r="Z52" s="1878"/>
      <c r="AA52" s="328"/>
      <c r="AB52" s="332"/>
      <c r="AC52" s="1829"/>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1879"/>
      <c r="BL52" s="1879"/>
      <c r="BM52" s="1833"/>
      <c r="BN52" s="328"/>
      <c r="BO52" s="328"/>
      <c r="BP52" s="1829"/>
      <c r="BQ52" s="333"/>
      <c r="BR52" s="333"/>
      <c r="BS52" s="333"/>
      <c r="BT52" s="333"/>
      <c r="BU52" s="334"/>
    </row>
    <row r="53" spans="1:93" s="4" customFormat="1" ht="30.75" customHeight="1" x14ac:dyDescent="0.25">
      <c r="A53" s="1780"/>
      <c r="B53" s="1781"/>
      <c r="C53" s="1778"/>
      <c r="D53" s="1781"/>
      <c r="E53" s="1540">
        <v>3903</v>
      </c>
      <c r="F53" s="2247" t="s">
        <v>2699</v>
      </c>
      <c r="G53" s="2074"/>
      <c r="H53" s="2074"/>
      <c r="I53" s="2074"/>
      <c r="J53" s="2074"/>
      <c r="K53" s="2074"/>
      <c r="L53" s="2074"/>
      <c r="M53" s="2074"/>
      <c r="N53" s="2074"/>
      <c r="O53" s="1856"/>
      <c r="P53" s="1856"/>
      <c r="Q53" s="1881"/>
      <c r="R53" s="1835"/>
      <c r="S53" s="1881"/>
      <c r="T53" s="1887"/>
      <c r="U53" s="1835"/>
      <c r="V53" s="1835"/>
      <c r="W53" s="1835"/>
      <c r="X53" s="1880"/>
      <c r="Y53" s="1855"/>
      <c r="Z53" s="1855"/>
      <c r="AA53" s="1856"/>
      <c r="AB53" s="1881"/>
      <c r="AC53" s="1835"/>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1858"/>
      <c r="BL53" s="1858"/>
      <c r="BM53" s="1839"/>
      <c r="BN53" s="341"/>
      <c r="BO53" s="341"/>
      <c r="BP53" s="1835"/>
      <c r="BQ53" s="344"/>
      <c r="BR53" s="344"/>
      <c r="BS53" s="344"/>
      <c r="BT53" s="344"/>
      <c r="BU53" s="345"/>
    </row>
    <row r="54" spans="1:93" ht="60.75" customHeight="1" x14ac:dyDescent="0.25">
      <c r="A54" s="1805"/>
      <c r="B54" s="1748"/>
      <c r="C54" s="1774"/>
      <c r="D54" s="1748"/>
      <c r="E54" s="4744"/>
      <c r="F54" s="2498"/>
      <c r="G54" s="4747">
        <v>3903005</v>
      </c>
      <c r="H54" s="3403" t="s">
        <v>2700</v>
      </c>
      <c r="I54" s="4747">
        <v>3903005</v>
      </c>
      <c r="J54" s="3403" t="s">
        <v>2700</v>
      </c>
      <c r="K54" s="1888">
        <v>390300501</v>
      </c>
      <c r="L54" s="1808" t="s">
        <v>2701</v>
      </c>
      <c r="M54" s="1888">
        <v>390300501</v>
      </c>
      <c r="N54" s="1808" t="s">
        <v>2701</v>
      </c>
      <c r="O54" s="652">
        <v>1</v>
      </c>
      <c r="P54" s="652">
        <v>1</v>
      </c>
      <c r="Q54" s="3871" t="s">
        <v>2702</v>
      </c>
      <c r="R54" s="2992" t="s">
        <v>2703</v>
      </c>
      <c r="S54" s="2760">
        <f>SUM(X54:X56)/T54</f>
        <v>1</v>
      </c>
      <c r="T54" s="4739">
        <f>SUM(X54:X56)</f>
        <v>60000000</v>
      </c>
      <c r="U54" s="2992" t="s">
        <v>2704</v>
      </c>
      <c r="V54" s="2992" t="s">
        <v>2705</v>
      </c>
      <c r="W54" s="1763" t="s">
        <v>2706</v>
      </c>
      <c r="X54" s="1840">
        <v>10000000</v>
      </c>
      <c r="Y54" s="1889">
        <f>4904500+4904500</f>
        <v>9809000</v>
      </c>
      <c r="Z54" s="1889">
        <f>4904500+4904500</f>
        <v>9809000</v>
      </c>
      <c r="AA54" s="1814" t="s">
        <v>2707</v>
      </c>
      <c r="AB54" s="808">
        <v>20</v>
      </c>
      <c r="AC54" s="1752" t="s">
        <v>1</v>
      </c>
      <c r="AD54" s="2547">
        <v>295972</v>
      </c>
      <c r="AE54" s="2547">
        <v>295972</v>
      </c>
      <c r="AF54" s="2547">
        <v>294321</v>
      </c>
      <c r="AG54" s="2547">
        <v>294321</v>
      </c>
      <c r="AH54" s="2547">
        <v>132302</v>
      </c>
      <c r="AI54" s="2547">
        <v>132302</v>
      </c>
      <c r="AJ54" s="2547">
        <v>43426</v>
      </c>
      <c r="AK54" s="2547">
        <v>43426</v>
      </c>
      <c r="AL54" s="2547">
        <v>313940</v>
      </c>
      <c r="AM54" s="2547">
        <v>313940</v>
      </c>
      <c r="AN54" s="2547">
        <v>100625</v>
      </c>
      <c r="AO54" s="2547">
        <v>100625</v>
      </c>
      <c r="AP54" s="2547">
        <v>2145</v>
      </c>
      <c r="AQ54" s="2547">
        <v>2145</v>
      </c>
      <c r="AR54" s="2547">
        <v>12718</v>
      </c>
      <c r="AS54" s="2547">
        <v>12718</v>
      </c>
      <c r="AT54" s="2547">
        <v>36</v>
      </c>
      <c r="AU54" s="2547">
        <v>36</v>
      </c>
      <c r="AV54" s="2547">
        <v>0</v>
      </c>
      <c r="AW54" s="2547">
        <v>0</v>
      </c>
      <c r="AX54" s="2547">
        <v>0</v>
      </c>
      <c r="AY54" s="2547">
        <v>0</v>
      </c>
      <c r="AZ54" s="2547">
        <v>0</v>
      </c>
      <c r="BA54" s="2547">
        <v>0</v>
      </c>
      <c r="BB54" s="2547">
        <v>70</v>
      </c>
      <c r="BC54" s="2547">
        <v>70</v>
      </c>
      <c r="BD54" s="2547">
        <v>21944</v>
      </c>
      <c r="BE54" s="2547">
        <v>21944</v>
      </c>
      <c r="BF54" s="2547">
        <v>285</v>
      </c>
      <c r="BG54" s="2547">
        <v>285</v>
      </c>
      <c r="BH54" s="2547">
        <f>+AD54+AF54</f>
        <v>590293</v>
      </c>
      <c r="BI54" s="2547">
        <f>+AE54+AG54</f>
        <v>590293</v>
      </c>
      <c r="BJ54" s="2547">
        <v>5</v>
      </c>
      <c r="BK54" s="4736">
        <f>SUM(Y54:Y56)</f>
        <v>58180832</v>
      </c>
      <c r="BL54" s="4736">
        <f>SUM(Z54:Z56)</f>
        <v>58180832</v>
      </c>
      <c r="BM54" s="4129">
        <f>BL54/BK54</f>
        <v>1</v>
      </c>
      <c r="BN54" s="2547">
        <v>20</v>
      </c>
      <c r="BO54" s="2547" t="s">
        <v>422</v>
      </c>
      <c r="BP54" s="2545" t="s">
        <v>2613</v>
      </c>
      <c r="BQ54" s="4728">
        <v>44197</v>
      </c>
      <c r="BR54" s="4728">
        <v>44272</v>
      </c>
      <c r="BS54" s="4728">
        <v>44561</v>
      </c>
      <c r="BT54" s="4728">
        <v>44551</v>
      </c>
      <c r="BU54" s="4728" t="s">
        <v>2578</v>
      </c>
    </row>
    <row r="55" spans="1:93" ht="57.75" customHeight="1" x14ac:dyDescent="0.25">
      <c r="A55" s="1805"/>
      <c r="B55" s="1748"/>
      <c r="C55" s="1774"/>
      <c r="D55" s="1748"/>
      <c r="E55" s="4744"/>
      <c r="F55" s="2498"/>
      <c r="G55" s="2712"/>
      <c r="H55" s="3403"/>
      <c r="I55" s="2712"/>
      <c r="J55" s="3403"/>
      <c r="K55" s="1890">
        <v>390300507</v>
      </c>
      <c r="L55" s="1891" t="s">
        <v>2708</v>
      </c>
      <c r="M55" s="1890">
        <v>390300507</v>
      </c>
      <c r="N55" s="1891" t="s">
        <v>2708</v>
      </c>
      <c r="O55" s="652">
        <v>50</v>
      </c>
      <c r="P55" s="652">
        <v>50</v>
      </c>
      <c r="Q55" s="3873"/>
      <c r="R55" s="2993"/>
      <c r="S55" s="2761"/>
      <c r="T55" s="4740"/>
      <c r="U55" s="2993"/>
      <c r="V55" s="2993"/>
      <c r="W55" s="1763" t="s">
        <v>2709</v>
      </c>
      <c r="X55" s="1840">
        <v>30000000</v>
      </c>
      <c r="Y55" s="1841">
        <f>11540000+2788833+8655000+4327500+1365566</f>
        <v>28676899</v>
      </c>
      <c r="Z55" s="1536">
        <f>11540000+2788833+8655000+4327500+1365566</f>
        <v>28676899</v>
      </c>
      <c r="AA55" s="1814" t="s">
        <v>2707</v>
      </c>
      <c r="AB55" s="808">
        <v>20</v>
      </c>
      <c r="AC55" s="1752" t="s">
        <v>1</v>
      </c>
      <c r="AD55" s="2716"/>
      <c r="AE55" s="2716"/>
      <c r="AF55" s="2716"/>
      <c r="AG55" s="2716"/>
      <c r="AH55" s="2716"/>
      <c r="AI55" s="2716"/>
      <c r="AJ55" s="2716"/>
      <c r="AK55" s="2716"/>
      <c r="AL55" s="2716"/>
      <c r="AM55" s="2716"/>
      <c r="AN55" s="2716"/>
      <c r="AO55" s="2716"/>
      <c r="AP55" s="2716"/>
      <c r="AQ55" s="2716"/>
      <c r="AR55" s="2716"/>
      <c r="AS55" s="2716"/>
      <c r="AT55" s="2716"/>
      <c r="AU55" s="2716"/>
      <c r="AV55" s="2716"/>
      <c r="AW55" s="2716"/>
      <c r="AX55" s="2716"/>
      <c r="AY55" s="2716"/>
      <c r="AZ55" s="2716"/>
      <c r="BA55" s="2716"/>
      <c r="BB55" s="2716"/>
      <c r="BC55" s="2716"/>
      <c r="BD55" s="2716"/>
      <c r="BE55" s="2716"/>
      <c r="BF55" s="2716"/>
      <c r="BG55" s="2716"/>
      <c r="BH55" s="2716"/>
      <c r="BI55" s="2716"/>
      <c r="BJ55" s="2716"/>
      <c r="BK55" s="4737"/>
      <c r="BL55" s="4737"/>
      <c r="BM55" s="4130"/>
      <c r="BN55" s="2716"/>
      <c r="BO55" s="2716"/>
      <c r="BP55" s="2781"/>
      <c r="BQ55" s="4729"/>
      <c r="BR55" s="4729"/>
      <c r="BS55" s="4729"/>
      <c r="BT55" s="4729"/>
      <c r="BU55" s="4729"/>
    </row>
    <row r="56" spans="1:93" ht="60.75" customHeight="1" x14ac:dyDescent="0.25">
      <c r="A56" s="1805"/>
      <c r="B56" s="1748"/>
      <c r="C56" s="1774"/>
      <c r="D56" s="1748"/>
      <c r="E56" s="4745"/>
      <c r="F56" s="4746"/>
      <c r="G56" s="2712"/>
      <c r="H56" s="3404"/>
      <c r="I56" s="2712"/>
      <c r="J56" s="3404"/>
      <c r="K56" s="1890">
        <v>390300511</v>
      </c>
      <c r="L56" s="1891" t="s">
        <v>2710</v>
      </c>
      <c r="M56" s="1890">
        <v>390300511</v>
      </c>
      <c r="N56" s="1891" t="s">
        <v>2710</v>
      </c>
      <c r="O56" s="652">
        <v>50</v>
      </c>
      <c r="P56" s="652">
        <v>60</v>
      </c>
      <c r="Q56" s="3875"/>
      <c r="R56" s="2994"/>
      <c r="S56" s="2762"/>
      <c r="T56" s="4741"/>
      <c r="U56" s="2994"/>
      <c r="V56" s="2994"/>
      <c r="W56" s="1763" t="s">
        <v>2711</v>
      </c>
      <c r="X56" s="1840">
        <v>20000000</v>
      </c>
      <c r="Y56" s="1841">
        <f>11540000+4327500+2192600+1634833</f>
        <v>19694933</v>
      </c>
      <c r="Z56" s="1841">
        <f>11540000+4327500+2192600+1634833</f>
        <v>19694933</v>
      </c>
      <c r="AA56" s="1814" t="s">
        <v>2712</v>
      </c>
      <c r="AB56" s="808">
        <v>20</v>
      </c>
      <c r="AC56" s="1752" t="s">
        <v>1</v>
      </c>
      <c r="AD56" s="2717"/>
      <c r="AE56" s="2717"/>
      <c r="AF56" s="2717"/>
      <c r="AG56" s="2717"/>
      <c r="AH56" s="2717"/>
      <c r="AI56" s="2717"/>
      <c r="AJ56" s="2717"/>
      <c r="AK56" s="2717"/>
      <c r="AL56" s="2717"/>
      <c r="AM56" s="2717"/>
      <c r="AN56" s="2717"/>
      <c r="AO56" s="2717"/>
      <c r="AP56" s="2717"/>
      <c r="AQ56" s="2717"/>
      <c r="AR56" s="2717"/>
      <c r="AS56" s="2717"/>
      <c r="AT56" s="2717"/>
      <c r="AU56" s="2717"/>
      <c r="AV56" s="2717"/>
      <c r="AW56" s="2717"/>
      <c r="AX56" s="2717"/>
      <c r="AY56" s="2717"/>
      <c r="AZ56" s="2717"/>
      <c r="BA56" s="2717"/>
      <c r="BB56" s="2717"/>
      <c r="BC56" s="2717"/>
      <c r="BD56" s="2717"/>
      <c r="BE56" s="2717"/>
      <c r="BF56" s="2717"/>
      <c r="BG56" s="2717"/>
      <c r="BH56" s="2717"/>
      <c r="BI56" s="2717"/>
      <c r="BJ56" s="2717"/>
      <c r="BK56" s="4738"/>
      <c r="BL56" s="4738"/>
      <c r="BM56" s="4267"/>
      <c r="BN56" s="2717"/>
      <c r="BO56" s="2717"/>
      <c r="BP56" s="2782"/>
      <c r="BQ56" s="4730"/>
      <c r="BR56" s="4730"/>
      <c r="BS56" s="4730"/>
      <c r="BT56" s="4730"/>
      <c r="BU56" s="4730"/>
    </row>
    <row r="57" spans="1:93" s="4" customFormat="1" ht="25.9" customHeight="1" x14ac:dyDescent="0.25">
      <c r="A57" s="1780"/>
      <c r="B57" s="1781"/>
      <c r="C57" s="1780"/>
      <c r="D57" s="1781"/>
      <c r="E57" s="1540">
        <v>3904</v>
      </c>
      <c r="F57" s="2248" t="s">
        <v>2713</v>
      </c>
      <c r="G57" s="2249"/>
      <c r="H57" s="2249"/>
      <c r="I57" s="2249"/>
      <c r="J57" s="2249"/>
      <c r="K57" s="2249"/>
      <c r="L57" s="2249"/>
      <c r="M57" s="2249"/>
      <c r="N57" s="2249"/>
      <c r="O57" s="2249"/>
      <c r="P57" s="2249"/>
      <c r="Q57" s="2249"/>
      <c r="R57" s="1892"/>
      <c r="S57" s="1893"/>
      <c r="T57" s="1894"/>
      <c r="U57" s="1892"/>
      <c r="V57" s="1892"/>
      <c r="W57" s="1892"/>
      <c r="X57" s="1895"/>
      <c r="Y57" s="1855"/>
      <c r="Z57" s="1855"/>
      <c r="AA57" s="1856"/>
      <c r="AB57" s="1893"/>
      <c r="AC57" s="835"/>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1896"/>
      <c r="BI57" s="1896"/>
      <c r="BJ57" s="1896"/>
      <c r="BK57" s="1897"/>
      <c r="BL57" s="1897"/>
      <c r="BM57" s="1898"/>
      <c r="BN57" s="1896"/>
      <c r="BO57" s="1896"/>
      <c r="BP57" s="1899"/>
      <c r="BQ57" s="344"/>
      <c r="BR57" s="344"/>
      <c r="BS57" s="344"/>
      <c r="BT57" s="344"/>
      <c r="BU57" s="345"/>
    </row>
    <row r="58" spans="1:93" ht="65.25" customHeight="1" x14ac:dyDescent="0.25">
      <c r="A58" s="1801"/>
      <c r="B58" s="1802"/>
      <c r="C58" s="1801"/>
      <c r="D58" s="1802"/>
      <c r="E58" s="4731"/>
      <c r="F58" s="4732"/>
      <c r="G58" s="4733">
        <v>3904018</v>
      </c>
      <c r="H58" s="3204" t="s">
        <v>2714</v>
      </c>
      <c r="I58" s="4734">
        <v>3904018</v>
      </c>
      <c r="J58" s="3204" t="s">
        <v>2714</v>
      </c>
      <c r="K58" s="4735">
        <v>390401809</v>
      </c>
      <c r="L58" s="3204" t="s">
        <v>2715</v>
      </c>
      <c r="M58" s="4735">
        <v>390401809</v>
      </c>
      <c r="N58" s="3807" t="s">
        <v>2715</v>
      </c>
      <c r="O58" s="4488">
        <f>6+1</f>
        <v>7</v>
      </c>
      <c r="P58" s="4488">
        <v>0</v>
      </c>
      <c r="Q58" s="4727" t="s">
        <v>2716</v>
      </c>
      <c r="R58" s="4726" t="s">
        <v>2717</v>
      </c>
      <c r="S58" s="2718">
        <f>SUM(X58:X59)/T58</f>
        <v>1</v>
      </c>
      <c r="T58" s="4725">
        <f>SUM(X58:X59)</f>
        <v>18000000</v>
      </c>
      <c r="U58" s="4119" t="s">
        <v>2718</v>
      </c>
      <c r="V58" s="4726" t="s">
        <v>2719</v>
      </c>
      <c r="W58" s="1807" t="s">
        <v>2720</v>
      </c>
      <c r="X58" s="1900">
        <f>18000000-11400000</f>
        <v>6600000</v>
      </c>
      <c r="Y58" s="1536">
        <v>6600000</v>
      </c>
      <c r="Z58" s="1536">
        <v>6600000</v>
      </c>
      <c r="AA58" s="1901" t="s">
        <v>2721</v>
      </c>
      <c r="AB58" s="4308">
        <v>20</v>
      </c>
      <c r="AC58" s="4119" t="s">
        <v>1</v>
      </c>
      <c r="AD58" s="3982">
        <v>295972</v>
      </c>
      <c r="AE58" s="3982">
        <v>295972</v>
      </c>
      <c r="AF58" s="3982">
        <v>294321</v>
      </c>
      <c r="AG58" s="3982">
        <v>294321</v>
      </c>
      <c r="AH58" s="3982">
        <v>132302</v>
      </c>
      <c r="AI58" s="3982">
        <v>132302</v>
      </c>
      <c r="AJ58" s="3982">
        <v>43426</v>
      </c>
      <c r="AK58" s="3982">
        <v>43426</v>
      </c>
      <c r="AL58" s="3982">
        <v>313940</v>
      </c>
      <c r="AM58" s="3982">
        <v>313940</v>
      </c>
      <c r="AN58" s="3982">
        <v>100625</v>
      </c>
      <c r="AO58" s="3982">
        <v>100625</v>
      </c>
      <c r="AP58" s="2535">
        <v>2145</v>
      </c>
      <c r="AQ58" s="2535">
        <v>2145</v>
      </c>
      <c r="AR58" s="2535">
        <v>12718</v>
      </c>
      <c r="AS58" s="2535">
        <v>12718</v>
      </c>
      <c r="AT58" s="3982">
        <v>36</v>
      </c>
      <c r="AU58" s="3982">
        <v>36</v>
      </c>
      <c r="AV58" s="3982">
        <v>0</v>
      </c>
      <c r="AW58" s="3982">
        <v>0</v>
      </c>
      <c r="AX58" s="3982">
        <v>0</v>
      </c>
      <c r="AY58" s="3982">
        <v>0</v>
      </c>
      <c r="AZ58" s="3982">
        <v>0</v>
      </c>
      <c r="BA58" s="3982">
        <v>0</v>
      </c>
      <c r="BB58" s="3982">
        <v>70</v>
      </c>
      <c r="BC58" s="3982">
        <v>70</v>
      </c>
      <c r="BD58" s="3982">
        <v>21944</v>
      </c>
      <c r="BE58" s="3982">
        <v>21944</v>
      </c>
      <c r="BF58" s="2535">
        <v>285</v>
      </c>
      <c r="BG58" s="2535">
        <v>285</v>
      </c>
      <c r="BH58" s="3982">
        <f>+AD58+AF58</f>
        <v>590293</v>
      </c>
      <c r="BI58" s="3982">
        <f>+AE58+AG58</f>
        <v>590293</v>
      </c>
      <c r="BJ58" s="3982">
        <v>1</v>
      </c>
      <c r="BK58" s="4723">
        <f>Y58+Y59</f>
        <v>6600000</v>
      </c>
      <c r="BL58" s="4723">
        <f>SUM(Z58:Z59)</f>
        <v>6600000</v>
      </c>
      <c r="BM58" s="4406">
        <f>BL58/BK58</f>
        <v>1</v>
      </c>
      <c r="BN58" s="3982">
        <v>20</v>
      </c>
      <c r="BO58" s="3982" t="s">
        <v>422</v>
      </c>
      <c r="BP58" s="4119" t="s">
        <v>2613</v>
      </c>
      <c r="BQ58" s="4454">
        <v>44197</v>
      </c>
      <c r="BR58" s="4454">
        <v>44466</v>
      </c>
      <c r="BS58" s="4454">
        <v>44561</v>
      </c>
      <c r="BT58" s="4454">
        <v>44525</v>
      </c>
      <c r="BU58" s="3982" t="s">
        <v>2578</v>
      </c>
    </row>
    <row r="59" spans="1:93" ht="102" customHeight="1" x14ac:dyDescent="0.25">
      <c r="A59" s="1806"/>
      <c r="B59" s="1784"/>
      <c r="C59" s="1775"/>
      <c r="D59" s="1784"/>
      <c r="E59" s="3729"/>
      <c r="F59" s="3725"/>
      <c r="G59" s="4733"/>
      <c r="H59" s="3204"/>
      <c r="I59" s="4734"/>
      <c r="J59" s="3204"/>
      <c r="K59" s="4735"/>
      <c r="L59" s="3204"/>
      <c r="M59" s="4735"/>
      <c r="N59" s="3807"/>
      <c r="O59" s="4488"/>
      <c r="P59" s="4488"/>
      <c r="Q59" s="4727"/>
      <c r="R59" s="4726"/>
      <c r="S59" s="2718"/>
      <c r="T59" s="4725"/>
      <c r="U59" s="4119"/>
      <c r="V59" s="4726"/>
      <c r="W59" s="1807" t="s">
        <v>2722</v>
      </c>
      <c r="X59" s="1900">
        <v>11400000</v>
      </c>
      <c r="Y59" s="1848"/>
      <c r="Z59" s="1848"/>
      <c r="AA59" s="1901" t="s">
        <v>2723</v>
      </c>
      <c r="AB59" s="4308"/>
      <c r="AC59" s="4119"/>
      <c r="AD59" s="4293"/>
      <c r="AE59" s="4293"/>
      <c r="AF59" s="4293"/>
      <c r="AG59" s="4293"/>
      <c r="AH59" s="4293"/>
      <c r="AI59" s="4293"/>
      <c r="AJ59" s="4293"/>
      <c r="AK59" s="4293"/>
      <c r="AL59" s="4293"/>
      <c r="AM59" s="4293"/>
      <c r="AN59" s="4293"/>
      <c r="AO59" s="4293"/>
      <c r="AP59" s="2537"/>
      <c r="AQ59" s="2537"/>
      <c r="AR59" s="2537"/>
      <c r="AS59" s="2537"/>
      <c r="AT59" s="4293"/>
      <c r="AU59" s="4293"/>
      <c r="AV59" s="4293"/>
      <c r="AW59" s="4293"/>
      <c r="AX59" s="4293"/>
      <c r="AY59" s="4293"/>
      <c r="AZ59" s="4293"/>
      <c r="BA59" s="4293"/>
      <c r="BB59" s="4293"/>
      <c r="BC59" s="4293"/>
      <c r="BD59" s="4293"/>
      <c r="BE59" s="4293"/>
      <c r="BF59" s="2537"/>
      <c r="BG59" s="2537"/>
      <c r="BH59" s="4293"/>
      <c r="BI59" s="4293"/>
      <c r="BJ59" s="4293"/>
      <c r="BK59" s="4724">
        <f>SUM(BK13:BK58)</f>
        <v>1057106946.9200001</v>
      </c>
      <c r="BL59" s="4724">
        <f>SUM(BL13:BL58)</f>
        <v>1057106946.9200001</v>
      </c>
      <c r="BM59" s="4382"/>
      <c r="BN59" s="4293"/>
      <c r="BO59" s="4293"/>
      <c r="BP59" s="4227"/>
      <c r="BQ59" s="4293"/>
      <c r="BR59" s="4293"/>
      <c r="BS59" s="4293"/>
      <c r="BT59" s="4293"/>
      <c r="BU59" s="4293"/>
    </row>
    <row r="60" spans="1:93" ht="39.75" customHeight="1" x14ac:dyDescent="0.25">
      <c r="A60" s="1902"/>
      <c r="B60" s="1903"/>
      <c r="C60" s="1903"/>
      <c r="D60" s="1903"/>
      <c r="E60" s="1903"/>
      <c r="F60" s="1903"/>
      <c r="G60" s="1903"/>
      <c r="H60" s="1904"/>
      <c r="I60" s="1903"/>
      <c r="J60" s="1904"/>
      <c r="K60" s="1903"/>
      <c r="L60" s="1904"/>
      <c r="M60" s="1903"/>
      <c r="N60" s="1904"/>
      <c r="O60" s="1903"/>
      <c r="P60" s="1903"/>
      <c r="Q60" s="1903"/>
      <c r="R60" s="1904"/>
      <c r="S60" s="1905"/>
      <c r="T60" s="1906">
        <f>SUM(T13:T59)</f>
        <v>1196000000</v>
      </c>
      <c r="U60" s="1904"/>
      <c r="V60" s="1904"/>
      <c r="W60" s="1907" t="s">
        <v>0</v>
      </c>
      <c r="X60" s="1908">
        <f>SUM(X13:X59)</f>
        <v>1196000000</v>
      </c>
      <c r="Y60" s="1908">
        <f>SUM(Y13:Y59)</f>
        <v>1057106946.9200001</v>
      </c>
      <c r="Z60" s="1908">
        <f>SUM(Z13:Z59)</f>
        <v>1057106946.9200001</v>
      </c>
      <c r="AA60" s="1909"/>
      <c r="AB60" s="1902"/>
      <c r="AC60" s="1903"/>
      <c r="AD60" s="1910"/>
      <c r="AE60" s="1910"/>
      <c r="AF60" s="1910"/>
      <c r="AG60" s="1910"/>
      <c r="AH60" s="1910"/>
      <c r="AI60" s="1910"/>
      <c r="AJ60" s="1910"/>
      <c r="AK60" s="1910"/>
      <c r="AL60" s="1910"/>
      <c r="AM60" s="1910"/>
      <c r="AN60" s="1910"/>
      <c r="AO60" s="1910"/>
      <c r="AP60" s="1910"/>
      <c r="AQ60" s="1910"/>
      <c r="AR60" s="1910"/>
      <c r="AS60" s="1910"/>
      <c r="AT60" s="1910"/>
      <c r="AU60" s="1910"/>
      <c r="AV60" s="1910"/>
      <c r="AW60" s="1910"/>
      <c r="AX60" s="1910"/>
      <c r="AY60" s="1910"/>
      <c r="AZ60" s="1910"/>
      <c r="BA60" s="1910"/>
      <c r="BB60" s="1910"/>
      <c r="BC60" s="1910"/>
      <c r="BD60" s="1910"/>
      <c r="BE60" s="1910"/>
      <c r="BF60" s="1910"/>
      <c r="BG60" s="1910"/>
      <c r="BH60" s="1910"/>
      <c r="BI60" s="1910"/>
      <c r="BJ60" s="1910"/>
      <c r="BK60" s="1911">
        <f>+BK13+BK25+BK35+BK44+BK54+BK58</f>
        <v>1057106946.9200001</v>
      </c>
      <c r="BL60" s="1911">
        <f>+BL13+BL25+BL35+BL44+BL54+BL58</f>
        <v>1057106946.9200001</v>
      </c>
      <c r="BM60" s="1912"/>
      <c r="BN60" s="1910"/>
      <c r="BO60" s="1910"/>
      <c r="BP60" s="1910"/>
      <c r="BQ60" s="1910"/>
      <c r="BR60" s="1910"/>
      <c r="BS60" s="1910"/>
      <c r="BT60" s="1910"/>
      <c r="BU60" s="1913"/>
    </row>
    <row r="61" spans="1:93" ht="27" customHeight="1" x14ac:dyDescent="0.25">
      <c r="P61" s="4" t="s">
        <v>2724</v>
      </c>
      <c r="BK61" s="1917"/>
      <c r="BL61" s="1917"/>
      <c r="BM61" s="1918"/>
    </row>
    <row r="63" spans="1:93" ht="27" customHeight="1" x14ac:dyDescent="0.25">
      <c r="Z63" s="1919"/>
    </row>
    <row r="64" spans="1:93" ht="27" customHeight="1" x14ac:dyDescent="0.25">
      <c r="AC64" s="1922"/>
    </row>
    <row r="65" spans="26:27" ht="27" customHeight="1" x14ac:dyDescent="0.25">
      <c r="Z65" s="1919"/>
    </row>
    <row r="66" spans="26:27" ht="27" customHeight="1" x14ac:dyDescent="0.25">
      <c r="AA66" s="1923"/>
    </row>
    <row r="67" spans="26:27" ht="27" customHeight="1" x14ac:dyDescent="0.25">
      <c r="Z67" s="1924"/>
    </row>
  </sheetData>
  <mergeCells count="470">
    <mergeCell ref="A1:BS4"/>
    <mergeCell ref="A5:O6"/>
    <mergeCell ref="Q5:BU5"/>
    <mergeCell ref="AD6:BI6"/>
    <mergeCell ref="A7:B7"/>
    <mergeCell ref="C7:D7"/>
    <mergeCell ref="E7:F7"/>
    <mergeCell ref="G7:J7"/>
    <mergeCell ref="K7:N7"/>
    <mergeCell ref="O7:Z7"/>
    <mergeCell ref="BU7:BU9"/>
    <mergeCell ref="A8:A9"/>
    <mergeCell ref="B8:B9"/>
    <mergeCell ref="C8:C9"/>
    <mergeCell ref="D8:D9"/>
    <mergeCell ref="E8:E9"/>
    <mergeCell ref="F8:F9"/>
    <mergeCell ref="AA7:AC7"/>
    <mergeCell ref="AD7:AG7"/>
    <mergeCell ref="AH7:AO7"/>
    <mergeCell ref="AP7:BA7"/>
    <mergeCell ref="G8:G9"/>
    <mergeCell ref="H8:H9"/>
    <mergeCell ref="I8:I9"/>
    <mergeCell ref="J8:J9"/>
    <mergeCell ref="K8:K9"/>
    <mergeCell ref="L8:L9"/>
    <mergeCell ref="M8:M9"/>
    <mergeCell ref="N8:N9"/>
    <mergeCell ref="O8:P8"/>
    <mergeCell ref="AB8:AB9"/>
    <mergeCell ref="Q8:Q9"/>
    <mergeCell ref="R8:R9"/>
    <mergeCell ref="S8:S9"/>
    <mergeCell ref="BJ7:BP7"/>
    <mergeCell ref="BQ7:BR8"/>
    <mergeCell ref="BS7:BT8"/>
    <mergeCell ref="T8:T9"/>
    <mergeCell ref="U8:U9"/>
    <mergeCell ref="V8:V9"/>
    <mergeCell ref="W8:W9"/>
    <mergeCell ref="X8:Z8"/>
    <mergeCell ref="AA8:AA9"/>
    <mergeCell ref="AX8:AY8"/>
    <mergeCell ref="AZ8:BA8"/>
    <mergeCell ref="BB8:BC8"/>
    <mergeCell ref="BD8:BE8"/>
    <mergeCell ref="AH8:AI8"/>
    <mergeCell ref="AJ8:AK8"/>
    <mergeCell ref="AL8:AM8"/>
    <mergeCell ref="AN8:AO8"/>
    <mergeCell ref="AP8:AQ8"/>
    <mergeCell ref="AR8:AS8"/>
    <mergeCell ref="AC8:AC9"/>
    <mergeCell ref="AD8:AE8"/>
    <mergeCell ref="AF8:AG8"/>
    <mergeCell ref="BB7:BG7"/>
    <mergeCell ref="BH7:BI8"/>
    <mergeCell ref="K13:K15"/>
    <mergeCell ref="L13:L15"/>
    <mergeCell ref="M13:M15"/>
    <mergeCell ref="N13:N15"/>
    <mergeCell ref="O13:O15"/>
    <mergeCell ref="P13:P15"/>
    <mergeCell ref="BP8:BP9"/>
    <mergeCell ref="B10:L10"/>
    <mergeCell ref="D11:H11"/>
    <mergeCell ref="A12:B33"/>
    <mergeCell ref="F12:R12"/>
    <mergeCell ref="E13:F14"/>
    <mergeCell ref="G13:G20"/>
    <mergeCell ref="H13:H20"/>
    <mergeCell ref="I13:I20"/>
    <mergeCell ref="J13:J20"/>
    <mergeCell ref="BF8:BG8"/>
    <mergeCell ref="BJ8:BJ9"/>
    <mergeCell ref="BK8:BK9"/>
    <mergeCell ref="BL8:BL9"/>
    <mergeCell ref="BM8:BM9"/>
    <mergeCell ref="BN8:BO8"/>
    <mergeCell ref="AT8:AU8"/>
    <mergeCell ref="AV8:AW8"/>
    <mergeCell ref="AD13:AD24"/>
    <mergeCell ref="AE13:AE24"/>
    <mergeCell ref="AF13:AF24"/>
    <mergeCell ref="AG13:AG24"/>
    <mergeCell ref="AH13:AH24"/>
    <mergeCell ref="AI13:AI24"/>
    <mergeCell ref="Q13:Q24"/>
    <mergeCell ref="R13:R24"/>
    <mergeCell ref="S13:S20"/>
    <mergeCell ref="T13:T24"/>
    <mergeCell ref="U13:U24"/>
    <mergeCell ref="V13:V20"/>
    <mergeCell ref="AP13:AP24"/>
    <mergeCell ref="AQ13:AQ24"/>
    <mergeCell ref="AR13:AR24"/>
    <mergeCell ref="AS13:AS24"/>
    <mergeCell ref="AT13:AT24"/>
    <mergeCell ref="AU13:AU24"/>
    <mergeCell ref="AJ13:AJ24"/>
    <mergeCell ref="AK13:AK24"/>
    <mergeCell ref="AL13:AL24"/>
    <mergeCell ref="AM13:AM24"/>
    <mergeCell ref="AN13:AN24"/>
    <mergeCell ref="AO13:AO24"/>
    <mergeCell ref="BD13:BD24"/>
    <mergeCell ref="BE13:BE24"/>
    <mergeCell ref="BF13:BF24"/>
    <mergeCell ref="BG13:BG24"/>
    <mergeCell ref="AV13:AV24"/>
    <mergeCell ref="AW13:AW24"/>
    <mergeCell ref="AX13:AX24"/>
    <mergeCell ref="AY13:AY24"/>
    <mergeCell ref="AZ13:AZ24"/>
    <mergeCell ref="BA13:BA24"/>
    <mergeCell ref="BT13:BT24"/>
    <mergeCell ref="BU13:BU24"/>
    <mergeCell ref="K16:K20"/>
    <mergeCell ref="L16:L20"/>
    <mergeCell ref="M16:M20"/>
    <mergeCell ref="N16:N20"/>
    <mergeCell ref="O16:O20"/>
    <mergeCell ref="P16:P20"/>
    <mergeCell ref="W17:W18"/>
    <mergeCell ref="W19:W20"/>
    <mergeCell ref="BN13:BN24"/>
    <mergeCell ref="BO13:BO24"/>
    <mergeCell ref="BP13:BP24"/>
    <mergeCell ref="BQ13:BQ24"/>
    <mergeCell ref="BR13:BR24"/>
    <mergeCell ref="BS13:BS24"/>
    <mergeCell ref="BH13:BH24"/>
    <mergeCell ref="BI13:BI24"/>
    <mergeCell ref="BJ13:BJ24"/>
    <mergeCell ref="BK13:BK24"/>
    <mergeCell ref="BL13:BL24"/>
    <mergeCell ref="BM13:BM24"/>
    <mergeCell ref="BB13:BB24"/>
    <mergeCell ref="BC13:BC24"/>
    <mergeCell ref="M21:M23"/>
    <mergeCell ref="N21:N23"/>
    <mergeCell ref="O21:O23"/>
    <mergeCell ref="P21:P23"/>
    <mergeCell ref="S21:S23"/>
    <mergeCell ref="V21:V23"/>
    <mergeCell ref="G21:G23"/>
    <mergeCell ref="H21:H23"/>
    <mergeCell ref="I21:I23"/>
    <mergeCell ref="J21:J23"/>
    <mergeCell ref="K21:K23"/>
    <mergeCell ref="L21:L23"/>
    <mergeCell ref="AF25:AF33"/>
    <mergeCell ref="AG25:AG33"/>
    <mergeCell ref="AH25:AH33"/>
    <mergeCell ref="AI25:AI33"/>
    <mergeCell ref="AJ25:AJ33"/>
    <mergeCell ref="AK25:AK33"/>
    <mergeCell ref="Q25:Q33"/>
    <mergeCell ref="R25:R33"/>
    <mergeCell ref="T25:T33"/>
    <mergeCell ref="U25:U33"/>
    <mergeCell ref="AD25:AD33"/>
    <mergeCell ref="AE25:AE33"/>
    <mergeCell ref="W27:W28"/>
    <mergeCell ref="W32:W33"/>
    <mergeCell ref="AR25:AR33"/>
    <mergeCell ref="AS25:AS33"/>
    <mergeCell ref="AT25:AT33"/>
    <mergeCell ref="AU25:AU33"/>
    <mergeCell ref="AV25:AV33"/>
    <mergeCell ref="AW25:AW33"/>
    <mergeCell ref="AL25:AL33"/>
    <mergeCell ref="AM25:AM33"/>
    <mergeCell ref="AN25:AN33"/>
    <mergeCell ref="AO25:AO33"/>
    <mergeCell ref="AP25:AP33"/>
    <mergeCell ref="AQ25:AQ33"/>
    <mergeCell ref="BD25:BD33"/>
    <mergeCell ref="BE25:BE33"/>
    <mergeCell ref="BF25:BF33"/>
    <mergeCell ref="BG25:BG33"/>
    <mergeCell ref="BH25:BH33"/>
    <mergeCell ref="BI25:BI33"/>
    <mergeCell ref="AX25:AX33"/>
    <mergeCell ref="AY25:AY33"/>
    <mergeCell ref="AZ25:AZ33"/>
    <mergeCell ref="BA25:BA33"/>
    <mergeCell ref="BB25:BB33"/>
    <mergeCell ref="BC25:BC33"/>
    <mergeCell ref="BP25:BP33"/>
    <mergeCell ref="BQ25:BQ33"/>
    <mergeCell ref="BR25:BR33"/>
    <mergeCell ref="BS25:BS33"/>
    <mergeCell ref="BT25:BT33"/>
    <mergeCell ref="BU25:BU33"/>
    <mergeCell ref="BJ25:BJ33"/>
    <mergeCell ref="BK25:BK33"/>
    <mergeCell ref="BL25:BL33"/>
    <mergeCell ref="BM25:BM33"/>
    <mergeCell ref="BN25:BN33"/>
    <mergeCell ref="BO25:BO33"/>
    <mergeCell ref="M27:M29"/>
    <mergeCell ref="N27:N29"/>
    <mergeCell ref="O27:O29"/>
    <mergeCell ref="P27:P29"/>
    <mergeCell ref="S27:S29"/>
    <mergeCell ref="V27:V29"/>
    <mergeCell ref="G27:G29"/>
    <mergeCell ref="H27:H29"/>
    <mergeCell ref="I27:I29"/>
    <mergeCell ref="J27:J29"/>
    <mergeCell ref="K27:K29"/>
    <mergeCell ref="L27:L29"/>
    <mergeCell ref="M31:M33"/>
    <mergeCell ref="N31:N33"/>
    <mergeCell ref="O31:O33"/>
    <mergeCell ref="P31:P33"/>
    <mergeCell ref="S31:S33"/>
    <mergeCell ref="V31:V33"/>
    <mergeCell ref="G31:G33"/>
    <mergeCell ref="H31:H33"/>
    <mergeCell ref="I31:I33"/>
    <mergeCell ref="J31:J33"/>
    <mergeCell ref="K31:K33"/>
    <mergeCell ref="L31:L33"/>
    <mergeCell ref="AD35:AD40"/>
    <mergeCell ref="AE35:AE40"/>
    <mergeCell ref="AF35:AF40"/>
    <mergeCell ref="AG35:AG40"/>
    <mergeCell ref="AH35:AH40"/>
    <mergeCell ref="AI35:AI40"/>
    <mergeCell ref="E35:F40"/>
    <mergeCell ref="Q35:Q40"/>
    <mergeCell ref="R35:R40"/>
    <mergeCell ref="T35:T40"/>
    <mergeCell ref="U35:U40"/>
    <mergeCell ref="O36:O37"/>
    <mergeCell ref="P36:P37"/>
    <mergeCell ref="S36:S37"/>
    <mergeCell ref="V36:V37"/>
    <mergeCell ref="AP35:AP40"/>
    <mergeCell ref="AQ35:AQ40"/>
    <mergeCell ref="AR35:AR40"/>
    <mergeCell ref="AS35:AS40"/>
    <mergeCell ref="AT35:AT40"/>
    <mergeCell ref="AU35:AU40"/>
    <mergeCell ref="AJ35:AJ40"/>
    <mergeCell ref="AK35:AK40"/>
    <mergeCell ref="AL35:AL40"/>
    <mergeCell ref="AM35:AM40"/>
    <mergeCell ref="AN35:AN40"/>
    <mergeCell ref="AO35:AO40"/>
    <mergeCell ref="BD35:BD40"/>
    <mergeCell ref="BE35:BE40"/>
    <mergeCell ref="BF35:BF40"/>
    <mergeCell ref="BG35:BG40"/>
    <mergeCell ref="AV35:AV40"/>
    <mergeCell ref="AW35:AW40"/>
    <mergeCell ref="AX35:AX40"/>
    <mergeCell ref="AY35:AY40"/>
    <mergeCell ref="AZ35:AZ40"/>
    <mergeCell ref="BA35:BA40"/>
    <mergeCell ref="BT35:BT40"/>
    <mergeCell ref="BU35:BU40"/>
    <mergeCell ref="G36:G37"/>
    <mergeCell ref="H36:H37"/>
    <mergeCell ref="I36:I37"/>
    <mergeCell ref="J36:J37"/>
    <mergeCell ref="K36:K37"/>
    <mergeCell ref="L36:L37"/>
    <mergeCell ref="M36:M37"/>
    <mergeCell ref="N36:N37"/>
    <mergeCell ref="BN35:BN40"/>
    <mergeCell ref="BO35:BO40"/>
    <mergeCell ref="BP35:BP40"/>
    <mergeCell ref="BQ35:BQ40"/>
    <mergeCell ref="BR35:BR40"/>
    <mergeCell ref="BS35:BS40"/>
    <mergeCell ref="BH35:BH40"/>
    <mergeCell ref="BI35:BI40"/>
    <mergeCell ref="BJ35:BJ40"/>
    <mergeCell ref="BK35:BK40"/>
    <mergeCell ref="BL35:BL40"/>
    <mergeCell ref="BM35:BM40"/>
    <mergeCell ref="BB35:BB40"/>
    <mergeCell ref="BC35:BC40"/>
    <mergeCell ref="B41:G41"/>
    <mergeCell ref="D42:H42"/>
    <mergeCell ref="E44:F50"/>
    <mergeCell ref="G44:G45"/>
    <mergeCell ref="H44:H45"/>
    <mergeCell ref="I44:I45"/>
    <mergeCell ref="J44:J45"/>
    <mergeCell ref="K44:K45"/>
    <mergeCell ref="R44:R50"/>
    <mergeCell ref="S44:S45"/>
    <mergeCell ref="T44:T50"/>
    <mergeCell ref="U44:U50"/>
    <mergeCell ref="V44:V45"/>
    <mergeCell ref="AD44:AD50"/>
    <mergeCell ref="L44:L45"/>
    <mergeCell ref="M44:M45"/>
    <mergeCell ref="N44:N45"/>
    <mergeCell ref="O44:O45"/>
    <mergeCell ref="P44:P45"/>
    <mergeCell ref="Q44:Q50"/>
    <mergeCell ref="AK44:AK50"/>
    <mergeCell ref="AL44:AL50"/>
    <mergeCell ref="AM44:AM50"/>
    <mergeCell ref="AN44:AN50"/>
    <mergeCell ref="AO44:AO50"/>
    <mergeCell ref="AP44:AP50"/>
    <mergeCell ref="AE44:AE50"/>
    <mergeCell ref="AF44:AF50"/>
    <mergeCell ref="AG44:AG50"/>
    <mergeCell ref="AH44:AH50"/>
    <mergeCell ref="AI44:AI50"/>
    <mergeCell ref="AJ44:AJ50"/>
    <mergeCell ref="AW44:AW50"/>
    <mergeCell ref="AX44:AX50"/>
    <mergeCell ref="AY44:AY50"/>
    <mergeCell ref="AZ44:AZ50"/>
    <mergeCell ref="BA44:BA50"/>
    <mergeCell ref="BB44:BB50"/>
    <mergeCell ref="AQ44:AQ50"/>
    <mergeCell ref="AR44:AR50"/>
    <mergeCell ref="AS44:AS50"/>
    <mergeCell ref="AT44:AT50"/>
    <mergeCell ref="AU44:AU50"/>
    <mergeCell ref="AV44:AV50"/>
    <mergeCell ref="BK44:BK50"/>
    <mergeCell ref="BL44:BL50"/>
    <mergeCell ref="BM44:BM50"/>
    <mergeCell ref="BN44:BN50"/>
    <mergeCell ref="BC44:BC50"/>
    <mergeCell ref="BD44:BD50"/>
    <mergeCell ref="BE44:BE50"/>
    <mergeCell ref="BF44:BF50"/>
    <mergeCell ref="BG44:BG50"/>
    <mergeCell ref="BH44:BH50"/>
    <mergeCell ref="R54:R56"/>
    <mergeCell ref="S54:S56"/>
    <mergeCell ref="T54:T56"/>
    <mergeCell ref="U54:U56"/>
    <mergeCell ref="V54:V56"/>
    <mergeCell ref="AD54:AD56"/>
    <mergeCell ref="BU44:BU50"/>
    <mergeCell ref="B51:G51"/>
    <mergeCell ref="D52:J52"/>
    <mergeCell ref="E54:F56"/>
    <mergeCell ref="G54:G56"/>
    <mergeCell ref="H54:H56"/>
    <mergeCell ref="I54:I56"/>
    <mergeCell ref="J54:J56"/>
    <mergeCell ref="Q54:Q56"/>
    <mergeCell ref="BO44:BO50"/>
    <mergeCell ref="BP44:BP50"/>
    <mergeCell ref="BQ44:BQ50"/>
    <mergeCell ref="BR44:BR50"/>
    <mergeCell ref="BS44:BS50"/>
    <mergeCell ref="BT44:BT50"/>
    <mergeCell ref="BI44:BI50"/>
    <mergeCell ref="BJ44:BJ50"/>
    <mergeCell ref="AK54:AK56"/>
    <mergeCell ref="AL54:AL56"/>
    <mergeCell ref="AM54:AM56"/>
    <mergeCell ref="AN54:AN56"/>
    <mergeCell ref="AO54:AO56"/>
    <mergeCell ref="AP54:AP56"/>
    <mergeCell ref="AE54:AE56"/>
    <mergeCell ref="AF54:AF56"/>
    <mergeCell ref="AG54:AG56"/>
    <mergeCell ref="AH54:AH56"/>
    <mergeCell ref="AI54:AI56"/>
    <mergeCell ref="AJ54:AJ56"/>
    <mergeCell ref="AW54:AW56"/>
    <mergeCell ref="AX54:AX56"/>
    <mergeCell ref="AY54:AY56"/>
    <mergeCell ref="AZ54:AZ56"/>
    <mergeCell ref="BA54:BA56"/>
    <mergeCell ref="BB54:BB56"/>
    <mergeCell ref="AQ54:AQ56"/>
    <mergeCell ref="AR54:AR56"/>
    <mergeCell ref="AS54:AS56"/>
    <mergeCell ref="AT54:AT56"/>
    <mergeCell ref="AU54:AU56"/>
    <mergeCell ref="AV54:AV56"/>
    <mergeCell ref="BK54:BK56"/>
    <mergeCell ref="BL54:BL56"/>
    <mergeCell ref="BM54:BM56"/>
    <mergeCell ref="BN54:BN56"/>
    <mergeCell ref="BC54:BC56"/>
    <mergeCell ref="BD54:BD56"/>
    <mergeCell ref="BE54:BE56"/>
    <mergeCell ref="BF54:BF56"/>
    <mergeCell ref="BG54:BG56"/>
    <mergeCell ref="BH54:BH56"/>
    <mergeCell ref="N58:N59"/>
    <mergeCell ref="O58:O59"/>
    <mergeCell ref="P58:P59"/>
    <mergeCell ref="Q58:Q59"/>
    <mergeCell ref="R58:R59"/>
    <mergeCell ref="S58:S59"/>
    <mergeCell ref="BU54:BU56"/>
    <mergeCell ref="E58:F59"/>
    <mergeCell ref="G58:G59"/>
    <mergeCell ref="H58:H59"/>
    <mergeCell ref="I58:I59"/>
    <mergeCell ref="J58:J59"/>
    <mergeCell ref="K58:K59"/>
    <mergeCell ref="L58:L59"/>
    <mergeCell ref="M58:M59"/>
    <mergeCell ref="BO54:BO56"/>
    <mergeCell ref="BP54:BP56"/>
    <mergeCell ref="BQ54:BQ56"/>
    <mergeCell ref="BR54:BR56"/>
    <mergeCell ref="BS54:BS56"/>
    <mergeCell ref="BT54:BT56"/>
    <mergeCell ref="BI54:BI56"/>
    <mergeCell ref="BJ54:BJ56"/>
    <mergeCell ref="AE58:AE59"/>
    <mergeCell ref="AF58:AF59"/>
    <mergeCell ref="AG58:AG59"/>
    <mergeCell ref="AH58:AH59"/>
    <mergeCell ref="AI58:AI59"/>
    <mergeCell ref="AJ58:AJ59"/>
    <mergeCell ref="T58:T59"/>
    <mergeCell ref="U58:U59"/>
    <mergeCell ref="V58:V59"/>
    <mergeCell ref="AB58:AB59"/>
    <mergeCell ref="AC58:AC59"/>
    <mergeCell ref="AD58:AD59"/>
    <mergeCell ref="AQ58:AQ59"/>
    <mergeCell ref="AR58:AR59"/>
    <mergeCell ref="AS58:AS59"/>
    <mergeCell ref="AT58:AT59"/>
    <mergeCell ref="AU58:AU59"/>
    <mergeCell ref="AV58:AV59"/>
    <mergeCell ref="AK58:AK59"/>
    <mergeCell ref="AL58:AL59"/>
    <mergeCell ref="AM58:AM59"/>
    <mergeCell ref="AN58:AN59"/>
    <mergeCell ref="AO58:AO59"/>
    <mergeCell ref="AP58:AP59"/>
    <mergeCell ref="BC58:BC59"/>
    <mergeCell ref="BD58:BD59"/>
    <mergeCell ref="BE58:BE59"/>
    <mergeCell ref="BF58:BF59"/>
    <mergeCell ref="BG58:BG59"/>
    <mergeCell ref="BH58:BH59"/>
    <mergeCell ref="AW58:AW59"/>
    <mergeCell ref="AX58:AX59"/>
    <mergeCell ref="AY58:AY59"/>
    <mergeCell ref="AZ58:AZ59"/>
    <mergeCell ref="BA58:BA59"/>
    <mergeCell ref="BB58:BB59"/>
    <mergeCell ref="BU58:BU59"/>
    <mergeCell ref="BO58:BO59"/>
    <mergeCell ref="BP58:BP59"/>
    <mergeCell ref="BQ58:BQ59"/>
    <mergeCell ref="BR58:BR59"/>
    <mergeCell ref="BS58:BS59"/>
    <mergeCell ref="BT58:BT59"/>
    <mergeCell ref="BI58:BI59"/>
    <mergeCell ref="BJ58:BJ59"/>
    <mergeCell ref="BK58:BK59"/>
    <mergeCell ref="BL58:BL59"/>
    <mergeCell ref="BM58:BM59"/>
    <mergeCell ref="BN58:BN59"/>
  </mergeCells>
  <pageMargins left="0.7" right="0.7" top="0.75" bottom="0.75" header="0.3" footer="0.3"/>
  <pageSetup orientation="portrait"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fitToPage="1"/>
  </sheetPr>
  <dimension ref="A1:BU92"/>
  <sheetViews>
    <sheetView showGridLines="0" zoomScale="70" zoomScaleNormal="70" workbookViewId="0">
      <selection activeCell="B23" sqref="B23"/>
    </sheetView>
  </sheetViews>
  <sheetFormatPr baseColWidth="10" defaultRowHeight="15" x14ac:dyDescent="0.2"/>
  <cols>
    <col min="1" max="1" width="15.5703125" style="2280" customWidth="1"/>
    <col min="2" max="2" width="14.42578125" style="2280" customWidth="1"/>
    <col min="3" max="3" width="13.140625" style="2280" customWidth="1"/>
    <col min="4" max="4" width="14.5703125" style="2280" customWidth="1"/>
    <col min="5" max="5" width="15.28515625" style="2280" customWidth="1"/>
    <col min="6" max="7" width="17.7109375" style="2280" customWidth="1"/>
    <col min="8" max="8" width="35.7109375" style="2280" customWidth="1"/>
    <col min="9" max="9" width="21.85546875" style="2280" customWidth="1"/>
    <col min="10" max="10" width="23.140625" style="2280" customWidth="1"/>
    <col min="11" max="11" width="19.42578125" style="2280" customWidth="1"/>
    <col min="12" max="12" width="21.140625" style="2280" customWidth="1"/>
    <col min="13" max="14" width="20.5703125" style="2280" customWidth="1"/>
    <col min="15" max="15" width="22.85546875" style="2280" customWidth="1"/>
    <col min="16" max="16" width="23.140625" style="2280" customWidth="1"/>
    <col min="17" max="17" width="26.7109375" style="2280" customWidth="1"/>
    <col min="18" max="18" width="34.140625" style="2280" customWidth="1"/>
    <col min="19" max="19" width="12.42578125" style="2280" customWidth="1"/>
    <col min="20" max="20" width="27" style="2280" customWidth="1"/>
    <col min="21" max="21" width="29.85546875" style="2280" hidden="1" customWidth="1"/>
    <col min="22" max="22" width="29.140625" style="2280" hidden="1" customWidth="1"/>
    <col min="23" max="23" width="69" style="2280" customWidth="1"/>
    <col min="24" max="26" width="31.28515625" style="2280" customWidth="1"/>
    <col min="27" max="27" width="49.42578125" style="2280" customWidth="1"/>
    <col min="28" max="28" width="15.7109375" style="2280" customWidth="1"/>
    <col min="29" max="29" width="21.140625" style="2280" customWidth="1"/>
    <col min="30" max="33" width="9.140625" style="2280" customWidth="1"/>
    <col min="34" max="35" width="10.7109375" style="2280" customWidth="1"/>
    <col min="36" max="59" width="9.140625" style="2280" customWidth="1"/>
    <col min="60" max="61" width="14.7109375" style="2280" customWidth="1"/>
    <col min="62" max="62" width="18.5703125" style="2280" customWidth="1"/>
    <col min="63" max="64" width="28" style="2280" customWidth="1"/>
    <col min="65" max="65" width="18.5703125" style="2280" customWidth="1"/>
    <col min="66" max="66" width="36.140625" style="2280" customWidth="1"/>
    <col min="67" max="67" width="23.7109375" style="2280" customWidth="1"/>
    <col min="68" max="68" width="21.140625" style="2280" customWidth="1"/>
    <col min="69" max="70" width="20.5703125" style="2280" customWidth="1"/>
    <col min="71" max="72" width="19.85546875" style="2280" customWidth="1"/>
    <col min="73" max="73" width="25.28515625" style="2280" customWidth="1"/>
    <col min="74" max="16384" width="11.42578125" style="1127"/>
  </cols>
  <sheetData>
    <row r="1" spans="1:73" ht="15.75" x14ac:dyDescent="0.2">
      <c r="A1" s="2632" t="s">
        <v>3344</v>
      </c>
      <c r="B1" s="2607"/>
      <c r="C1" s="2607"/>
      <c r="D1" s="2607"/>
      <c r="E1" s="2607"/>
      <c r="F1" s="2607"/>
      <c r="G1" s="2607"/>
      <c r="H1" s="2607"/>
      <c r="I1" s="2607"/>
      <c r="J1" s="2607"/>
      <c r="K1" s="2607"/>
      <c r="L1" s="2607"/>
      <c r="M1" s="2607"/>
      <c r="N1" s="2607"/>
      <c r="O1" s="2607"/>
      <c r="P1" s="2607"/>
      <c r="Q1" s="2607"/>
      <c r="R1" s="2607"/>
      <c r="S1" s="2607"/>
      <c r="T1" s="2607"/>
      <c r="U1" s="2607"/>
      <c r="V1" s="2607"/>
      <c r="W1" s="2607"/>
      <c r="X1" s="2607"/>
      <c r="Y1" s="2607"/>
      <c r="Z1" s="2607"/>
      <c r="AA1" s="2607"/>
      <c r="AB1" s="2607"/>
      <c r="AC1" s="2607"/>
      <c r="AD1" s="2607"/>
      <c r="AE1" s="2607"/>
      <c r="AF1" s="2607"/>
      <c r="AG1" s="2607"/>
      <c r="AH1" s="2607"/>
      <c r="AI1" s="2607"/>
      <c r="AJ1" s="2607"/>
      <c r="AK1" s="2607"/>
      <c r="AL1" s="2607"/>
      <c r="AM1" s="2607"/>
      <c r="AN1" s="2607"/>
      <c r="AO1" s="2607"/>
      <c r="AP1" s="2607"/>
      <c r="AQ1" s="2607"/>
      <c r="AR1" s="2607"/>
      <c r="AS1" s="2607"/>
      <c r="AT1" s="2607"/>
      <c r="AU1" s="2607"/>
      <c r="AV1" s="2607"/>
      <c r="AW1" s="2607"/>
      <c r="AX1" s="2607"/>
      <c r="AY1" s="2607"/>
      <c r="AZ1" s="2607"/>
      <c r="BA1" s="2607"/>
      <c r="BB1" s="2607"/>
      <c r="BC1" s="2607"/>
      <c r="BD1" s="2607"/>
      <c r="BE1" s="2607"/>
      <c r="BF1" s="2607"/>
      <c r="BG1" s="2607"/>
      <c r="BH1" s="2607"/>
      <c r="BI1" s="2607"/>
      <c r="BJ1" s="2607"/>
      <c r="BK1" s="2607"/>
      <c r="BL1" s="2607"/>
      <c r="BM1" s="2607"/>
      <c r="BN1" s="2607"/>
      <c r="BO1" s="2607"/>
      <c r="BP1" s="2607"/>
      <c r="BQ1" s="2607"/>
      <c r="BR1" s="2607"/>
      <c r="BS1" s="2603"/>
      <c r="BT1" s="2252" t="s">
        <v>138</v>
      </c>
      <c r="BU1" s="2459" t="s">
        <v>137</v>
      </c>
    </row>
    <row r="2" spans="1:73" ht="15.75" x14ac:dyDescent="0.2">
      <c r="A2" s="2607"/>
      <c r="B2" s="2607"/>
      <c r="C2" s="2607"/>
      <c r="D2" s="2607"/>
      <c r="E2" s="2607"/>
      <c r="F2" s="2607"/>
      <c r="G2" s="2607"/>
      <c r="H2" s="2607"/>
      <c r="I2" s="2607"/>
      <c r="J2" s="2607"/>
      <c r="K2" s="2607"/>
      <c r="L2" s="2607"/>
      <c r="M2" s="2607"/>
      <c r="N2" s="2607"/>
      <c r="O2" s="2607"/>
      <c r="P2" s="2607"/>
      <c r="Q2" s="2607"/>
      <c r="R2" s="2607"/>
      <c r="S2" s="2607"/>
      <c r="T2" s="2607"/>
      <c r="U2" s="2607"/>
      <c r="V2" s="2607"/>
      <c r="W2" s="2607"/>
      <c r="X2" s="2607"/>
      <c r="Y2" s="2607"/>
      <c r="Z2" s="2607"/>
      <c r="AA2" s="2607"/>
      <c r="AB2" s="2607"/>
      <c r="AC2" s="2607"/>
      <c r="AD2" s="2607"/>
      <c r="AE2" s="2607"/>
      <c r="AF2" s="2607"/>
      <c r="AG2" s="2607"/>
      <c r="AH2" s="2607"/>
      <c r="AI2" s="2607"/>
      <c r="AJ2" s="2607"/>
      <c r="AK2" s="2607"/>
      <c r="AL2" s="2607"/>
      <c r="AM2" s="2607"/>
      <c r="AN2" s="2607"/>
      <c r="AO2" s="2607"/>
      <c r="AP2" s="2607"/>
      <c r="AQ2" s="2607"/>
      <c r="AR2" s="2607"/>
      <c r="AS2" s="2607"/>
      <c r="AT2" s="2607"/>
      <c r="AU2" s="2607"/>
      <c r="AV2" s="2607"/>
      <c r="AW2" s="2607"/>
      <c r="AX2" s="2607"/>
      <c r="AY2" s="2607"/>
      <c r="AZ2" s="2607"/>
      <c r="BA2" s="2607"/>
      <c r="BB2" s="2607"/>
      <c r="BC2" s="2607"/>
      <c r="BD2" s="2607"/>
      <c r="BE2" s="2607"/>
      <c r="BF2" s="2607"/>
      <c r="BG2" s="2607"/>
      <c r="BH2" s="2607"/>
      <c r="BI2" s="2607"/>
      <c r="BJ2" s="2607"/>
      <c r="BK2" s="2607"/>
      <c r="BL2" s="2607"/>
      <c r="BM2" s="2607"/>
      <c r="BN2" s="2607"/>
      <c r="BO2" s="2607"/>
      <c r="BP2" s="2607"/>
      <c r="BQ2" s="2607"/>
      <c r="BR2" s="2607"/>
      <c r="BS2" s="2603"/>
      <c r="BT2" s="2252" t="s">
        <v>136</v>
      </c>
      <c r="BU2" s="2460" t="s">
        <v>1176</v>
      </c>
    </row>
    <row r="3" spans="1:73" ht="15.75" x14ac:dyDescent="0.2">
      <c r="A3" s="2607"/>
      <c r="B3" s="2607"/>
      <c r="C3" s="2607"/>
      <c r="D3" s="2607"/>
      <c r="E3" s="2607"/>
      <c r="F3" s="2607"/>
      <c r="G3" s="2607"/>
      <c r="H3" s="2607"/>
      <c r="I3" s="2607"/>
      <c r="J3" s="2607"/>
      <c r="K3" s="2607"/>
      <c r="L3" s="2607"/>
      <c r="M3" s="2607"/>
      <c r="N3" s="2607"/>
      <c r="O3" s="2607"/>
      <c r="P3" s="2607"/>
      <c r="Q3" s="2607"/>
      <c r="R3" s="2607"/>
      <c r="S3" s="2607"/>
      <c r="T3" s="2607"/>
      <c r="U3" s="2607"/>
      <c r="V3" s="2607"/>
      <c r="W3" s="2607"/>
      <c r="X3" s="2607"/>
      <c r="Y3" s="2607"/>
      <c r="Z3" s="2607"/>
      <c r="AA3" s="2607"/>
      <c r="AB3" s="2607"/>
      <c r="AC3" s="2607"/>
      <c r="AD3" s="2607"/>
      <c r="AE3" s="2607"/>
      <c r="AF3" s="2607"/>
      <c r="AG3" s="2607"/>
      <c r="AH3" s="2607"/>
      <c r="AI3" s="2607"/>
      <c r="AJ3" s="2607"/>
      <c r="AK3" s="2607"/>
      <c r="AL3" s="2607"/>
      <c r="AM3" s="2607"/>
      <c r="AN3" s="2607"/>
      <c r="AO3" s="2607"/>
      <c r="AP3" s="2607"/>
      <c r="AQ3" s="2607"/>
      <c r="AR3" s="2607"/>
      <c r="AS3" s="2607"/>
      <c r="AT3" s="2607"/>
      <c r="AU3" s="2607"/>
      <c r="AV3" s="2607"/>
      <c r="AW3" s="2607"/>
      <c r="AX3" s="2607"/>
      <c r="AY3" s="2607"/>
      <c r="AZ3" s="2607"/>
      <c r="BA3" s="2607"/>
      <c r="BB3" s="2607"/>
      <c r="BC3" s="2607"/>
      <c r="BD3" s="2607"/>
      <c r="BE3" s="2607"/>
      <c r="BF3" s="2607"/>
      <c r="BG3" s="2607"/>
      <c r="BH3" s="2607"/>
      <c r="BI3" s="2607"/>
      <c r="BJ3" s="2607"/>
      <c r="BK3" s="2607"/>
      <c r="BL3" s="2607"/>
      <c r="BM3" s="2607"/>
      <c r="BN3" s="2607"/>
      <c r="BO3" s="2607"/>
      <c r="BP3" s="2607"/>
      <c r="BQ3" s="2607"/>
      <c r="BR3" s="2607"/>
      <c r="BS3" s="2603"/>
      <c r="BT3" s="2252" t="s">
        <v>134</v>
      </c>
      <c r="BU3" s="2461">
        <v>44266</v>
      </c>
    </row>
    <row r="4" spans="1:73" ht="15.75" x14ac:dyDescent="0.2">
      <c r="A4" s="2604"/>
      <c r="B4" s="2604"/>
      <c r="C4" s="2604"/>
      <c r="D4" s="2604"/>
      <c r="E4" s="2604"/>
      <c r="F4" s="2604"/>
      <c r="G4" s="2604"/>
      <c r="H4" s="2604"/>
      <c r="I4" s="2604"/>
      <c r="J4" s="2604"/>
      <c r="K4" s="2604"/>
      <c r="L4" s="2604"/>
      <c r="M4" s="2604"/>
      <c r="N4" s="2604"/>
      <c r="O4" s="2604"/>
      <c r="P4" s="2604"/>
      <c r="Q4" s="2604"/>
      <c r="R4" s="2604"/>
      <c r="S4" s="2604"/>
      <c r="T4" s="2604"/>
      <c r="U4" s="2604"/>
      <c r="V4" s="2604"/>
      <c r="W4" s="2604"/>
      <c r="X4" s="2604"/>
      <c r="Y4" s="2604"/>
      <c r="Z4" s="2604"/>
      <c r="AA4" s="2604"/>
      <c r="AB4" s="2604"/>
      <c r="AC4" s="2604"/>
      <c r="AD4" s="2604"/>
      <c r="AE4" s="2604"/>
      <c r="AF4" s="2604"/>
      <c r="AG4" s="2604"/>
      <c r="AH4" s="2604"/>
      <c r="AI4" s="2604"/>
      <c r="AJ4" s="2604"/>
      <c r="AK4" s="2604"/>
      <c r="AL4" s="2604"/>
      <c r="AM4" s="2604"/>
      <c r="AN4" s="2604"/>
      <c r="AO4" s="2604"/>
      <c r="AP4" s="2604"/>
      <c r="AQ4" s="2604"/>
      <c r="AR4" s="2604"/>
      <c r="AS4" s="2604"/>
      <c r="AT4" s="2604"/>
      <c r="AU4" s="2604"/>
      <c r="AV4" s="2604"/>
      <c r="AW4" s="2604"/>
      <c r="AX4" s="2604"/>
      <c r="AY4" s="2604"/>
      <c r="AZ4" s="2604"/>
      <c r="BA4" s="2604"/>
      <c r="BB4" s="2604"/>
      <c r="BC4" s="2604"/>
      <c r="BD4" s="2604"/>
      <c r="BE4" s="2604"/>
      <c r="BF4" s="2604"/>
      <c r="BG4" s="2604"/>
      <c r="BH4" s="2604"/>
      <c r="BI4" s="2604"/>
      <c r="BJ4" s="2604"/>
      <c r="BK4" s="2604"/>
      <c r="BL4" s="2604"/>
      <c r="BM4" s="2604"/>
      <c r="BN4" s="2604"/>
      <c r="BO4" s="2604"/>
      <c r="BP4" s="2604"/>
      <c r="BQ4" s="2604"/>
      <c r="BR4" s="2604"/>
      <c r="BS4" s="2605"/>
      <c r="BT4" s="2252" t="s">
        <v>133</v>
      </c>
      <c r="BU4" s="2462" t="s">
        <v>132</v>
      </c>
    </row>
    <row r="5" spans="1:73" ht="15.75" x14ac:dyDescent="0.2">
      <c r="A5" s="2633" t="s">
        <v>131</v>
      </c>
      <c r="B5" s="2606"/>
      <c r="C5" s="2606"/>
      <c r="D5" s="2606"/>
      <c r="E5" s="2606"/>
      <c r="F5" s="2606"/>
      <c r="G5" s="2606"/>
      <c r="H5" s="2606"/>
      <c r="I5" s="2606"/>
      <c r="J5" s="2606"/>
      <c r="K5" s="2606"/>
      <c r="L5" s="2606"/>
      <c r="M5" s="2606"/>
      <c r="N5" s="2606"/>
      <c r="O5" s="2606"/>
      <c r="P5" s="2634"/>
      <c r="Q5" s="4702"/>
      <c r="R5" s="4701"/>
      <c r="S5" s="4701"/>
      <c r="T5" s="4701"/>
      <c r="U5" s="4701"/>
      <c r="V5" s="4701"/>
      <c r="W5" s="4701"/>
      <c r="X5" s="4701"/>
      <c r="Y5" s="4702"/>
      <c r="Z5" s="4702"/>
      <c r="AA5" s="4702"/>
      <c r="AB5" s="4702"/>
      <c r="AC5" s="4701"/>
      <c r="AD5" s="4701"/>
      <c r="AE5" s="4701"/>
      <c r="AF5" s="4701"/>
      <c r="AG5" s="4701"/>
      <c r="AH5" s="4701"/>
      <c r="AI5" s="4701"/>
      <c r="AJ5" s="4701"/>
      <c r="AK5" s="4701"/>
      <c r="AL5" s="4701"/>
      <c r="AM5" s="4701"/>
      <c r="AN5" s="4701"/>
      <c r="AO5" s="4701"/>
      <c r="AP5" s="4701"/>
      <c r="AQ5" s="4701"/>
      <c r="AR5" s="4701"/>
      <c r="AS5" s="4701"/>
      <c r="AT5" s="4701"/>
      <c r="AU5" s="4701"/>
      <c r="AV5" s="4701"/>
      <c r="AW5" s="4701"/>
      <c r="AX5" s="4701"/>
      <c r="AY5" s="4701"/>
      <c r="AZ5" s="4701"/>
      <c r="BA5" s="4701"/>
      <c r="BB5" s="4701"/>
      <c r="BC5" s="4701"/>
      <c r="BD5" s="4701"/>
      <c r="BE5" s="4701"/>
      <c r="BF5" s="4701"/>
      <c r="BG5" s="4701"/>
      <c r="BH5" s="4701"/>
      <c r="BI5" s="4701"/>
      <c r="BJ5" s="4701"/>
      <c r="BK5" s="4701"/>
      <c r="BL5" s="4701"/>
      <c r="BM5" s="4701"/>
      <c r="BN5" s="4701"/>
      <c r="BO5" s="4701"/>
      <c r="BP5" s="4701"/>
      <c r="BQ5" s="4701"/>
      <c r="BR5" s="4701"/>
      <c r="BS5" s="4701"/>
      <c r="BT5" s="4701"/>
      <c r="BU5" s="4701"/>
    </row>
    <row r="6" spans="1:73" ht="15.75" x14ac:dyDescent="0.2">
      <c r="A6" s="2635"/>
      <c r="B6" s="2604"/>
      <c r="C6" s="2604"/>
      <c r="D6" s="2604"/>
      <c r="E6" s="2604"/>
      <c r="F6" s="2604"/>
      <c r="G6" s="2604"/>
      <c r="H6" s="2604"/>
      <c r="I6" s="2604"/>
      <c r="J6" s="2604"/>
      <c r="K6" s="2604"/>
      <c r="L6" s="2604"/>
      <c r="M6" s="2604"/>
      <c r="N6" s="2604"/>
      <c r="O6" s="2604"/>
      <c r="P6" s="2605"/>
      <c r="Q6" s="2250"/>
      <c r="R6" s="2250"/>
      <c r="S6" s="2250"/>
      <c r="T6" s="2250"/>
      <c r="U6" s="2250"/>
      <c r="V6" s="2250"/>
      <c r="W6" s="2250"/>
      <c r="X6" s="2250"/>
      <c r="Y6" s="2250"/>
      <c r="Z6" s="2250"/>
      <c r="AA6" s="2250"/>
      <c r="AB6" s="2250"/>
      <c r="AC6" s="2250"/>
      <c r="AD6" s="2250"/>
      <c r="AE6" s="2250"/>
      <c r="AF6" s="2250"/>
      <c r="AG6" s="2250"/>
      <c r="AH6" s="2609" t="s">
        <v>130</v>
      </c>
      <c r="AI6" s="2602"/>
      <c r="AJ6" s="2602"/>
      <c r="AK6" s="2602"/>
      <c r="AL6" s="2602"/>
      <c r="AM6" s="2602"/>
      <c r="AN6" s="2602"/>
      <c r="AO6" s="2602"/>
      <c r="AP6" s="2602"/>
      <c r="AQ6" s="2602"/>
      <c r="AR6" s="2602"/>
      <c r="AS6" s="2602"/>
      <c r="AT6" s="2602"/>
      <c r="AU6" s="2602"/>
      <c r="AV6" s="2602"/>
      <c r="AW6" s="2602"/>
      <c r="AX6" s="2602"/>
      <c r="AY6" s="2602"/>
      <c r="AZ6" s="2602"/>
      <c r="BA6" s="2602"/>
      <c r="BB6" s="2602"/>
      <c r="BC6" s="2602"/>
      <c r="BD6" s="2602"/>
      <c r="BE6" s="2602"/>
      <c r="BF6" s="2602"/>
      <c r="BG6" s="2602"/>
      <c r="BH6" s="2602"/>
      <c r="BI6" s="2602"/>
      <c r="BJ6" s="2602"/>
      <c r="BK6" s="2602"/>
      <c r="BL6" s="2602"/>
      <c r="BM6" s="2602"/>
      <c r="BN6" s="2602"/>
      <c r="BO6" s="2602"/>
      <c r="BP6" s="2602"/>
      <c r="BQ6" s="2603"/>
      <c r="BR6" s="2250"/>
      <c r="BS6" s="2250"/>
      <c r="BT6" s="2250"/>
      <c r="BU6" s="2251"/>
    </row>
    <row r="7" spans="1:73" ht="30" customHeight="1" x14ac:dyDescent="0.2">
      <c r="A7" s="4803" t="s">
        <v>129</v>
      </c>
      <c r="B7" s="4803"/>
      <c r="C7" s="4803" t="s">
        <v>128</v>
      </c>
      <c r="D7" s="4803"/>
      <c r="E7" s="4803" t="s">
        <v>127</v>
      </c>
      <c r="F7" s="4803"/>
      <c r="G7" s="2642" t="s">
        <v>126</v>
      </c>
      <c r="H7" s="4268"/>
      <c r="I7" s="4268"/>
      <c r="J7" s="4268"/>
      <c r="K7" s="2642" t="s">
        <v>125</v>
      </c>
      <c r="L7" s="4268"/>
      <c r="M7" s="4268"/>
      <c r="N7" s="4268"/>
      <c r="O7" s="4053" t="s">
        <v>124</v>
      </c>
      <c r="P7" s="4054"/>
      <c r="Q7" s="4054"/>
      <c r="R7" s="4054"/>
      <c r="S7" s="4054"/>
      <c r="T7" s="4054"/>
      <c r="U7" s="4054"/>
      <c r="V7" s="4054"/>
      <c r="W7" s="4054"/>
      <c r="X7" s="4054"/>
      <c r="Y7" s="4054"/>
      <c r="Z7" s="4055"/>
      <c r="AA7" s="2610" t="s">
        <v>123</v>
      </c>
      <c r="AB7" s="2610"/>
      <c r="AC7" s="2610"/>
      <c r="AD7" s="2611" t="s">
        <v>122</v>
      </c>
      <c r="AE7" s="2612"/>
      <c r="AF7" s="2612"/>
      <c r="AG7" s="2613"/>
      <c r="AH7" s="2614" t="s">
        <v>121</v>
      </c>
      <c r="AI7" s="2615"/>
      <c r="AJ7" s="2615"/>
      <c r="AK7" s="2615"/>
      <c r="AL7" s="2615"/>
      <c r="AM7" s="2615"/>
      <c r="AN7" s="2615"/>
      <c r="AO7" s="2616"/>
      <c r="AP7" s="2660" t="s">
        <v>120</v>
      </c>
      <c r="AQ7" s="2661"/>
      <c r="AR7" s="2661"/>
      <c r="AS7" s="2661"/>
      <c r="AT7" s="2661"/>
      <c r="AU7" s="2661"/>
      <c r="AV7" s="2661"/>
      <c r="AW7" s="2661"/>
      <c r="AX7" s="2661"/>
      <c r="AY7" s="2661"/>
      <c r="AZ7" s="2661"/>
      <c r="BA7" s="2662"/>
      <c r="BB7" s="2614" t="s">
        <v>119</v>
      </c>
      <c r="BC7" s="2615"/>
      <c r="BD7" s="2615"/>
      <c r="BE7" s="2615"/>
      <c r="BF7" s="2615"/>
      <c r="BG7" s="2616"/>
      <c r="BH7" s="2644" t="s">
        <v>118</v>
      </c>
      <c r="BI7" s="2645"/>
      <c r="BJ7" s="4804" t="s">
        <v>117</v>
      </c>
      <c r="BK7" s="4805"/>
      <c r="BL7" s="4805"/>
      <c r="BM7" s="4805"/>
      <c r="BN7" s="4805"/>
      <c r="BO7" s="4805"/>
      <c r="BP7" s="4806"/>
      <c r="BQ7" s="4807" t="s">
        <v>1178</v>
      </c>
      <c r="BR7" s="4808"/>
      <c r="BS7" s="4811" t="s">
        <v>263</v>
      </c>
      <c r="BT7" s="4808"/>
      <c r="BU7" s="2891" t="s">
        <v>114</v>
      </c>
    </row>
    <row r="8" spans="1:73" ht="144.75" customHeight="1" x14ac:dyDescent="0.2">
      <c r="A8" s="2253" t="s">
        <v>71</v>
      </c>
      <c r="B8" s="2270" t="s">
        <v>70</v>
      </c>
      <c r="C8" s="2253" t="s">
        <v>71</v>
      </c>
      <c r="D8" s="2270" t="s">
        <v>70</v>
      </c>
      <c r="E8" s="2270" t="s">
        <v>71</v>
      </c>
      <c r="F8" s="2270" t="s">
        <v>70</v>
      </c>
      <c r="G8" s="2270" t="s">
        <v>110</v>
      </c>
      <c r="H8" s="2270" t="s">
        <v>113</v>
      </c>
      <c r="I8" s="2270" t="s">
        <v>112</v>
      </c>
      <c r="J8" s="2270" t="s">
        <v>142</v>
      </c>
      <c r="K8" s="2270" t="s">
        <v>110</v>
      </c>
      <c r="L8" s="2270" t="s">
        <v>109</v>
      </c>
      <c r="M8" s="2270" t="s">
        <v>108</v>
      </c>
      <c r="N8" s="2278" t="s">
        <v>107</v>
      </c>
      <c r="O8" s="4794" t="s">
        <v>739</v>
      </c>
      <c r="P8" s="4795"/>
      <c r="Q8" s="2270" t="s">
        <v>105</v>
      </c>
      <c r="R8" s="2270" t="s">
        <v>104</v>
      </c>
      <c r="S8" s="2272" t="s">
        <v>103</v>
      </c>
      <c r="T8" s="2271" t="s">
        <v>102</v>
      </c>
      <c r="U8" s="2270" t="s">
        <v>101</v>
      </c>
      <c r="V8" s="2270" t="s">
        <v>100</v>
      </c>
      <c r="W8" s="2270" t="s">
        <v>99</v>
      </c>
      <c r="X8" s="4813" t="s">
        <v>3345</v>
      </c>
      <c r="Y8" s="4814"/>
      <c r="Z8" s="4815"/>
      <c r="AA8" s="2270" t="s">
        <v>97</v>
      </c>
      <c r="AB8" s="2253" t="s">
        <v>96</v>
      </c>
      <c r="AC8" s="2270" t="s">
        <v>70</v>
      </c>
      <c r="AD8" s="2620" t="s">
        <v>95</v>
      </c>
      <c r="AE8" s="2621"/>
      <c r="AF8" s="2597" t="s">
        <v>94</v>
      </c>
      <c r="AG8" s="2598"/>
      <c r="AH8" s="2620" t="s">
        <v>93</v>
      </c>
      <c r="AI8" s="2621"/>
      <c r="AJ8" s="2620" t="s">
        <v>92</v>
      </c>
      <c r="AK8" s="2621"/>
      <c r="AL8" s="2620" t="s">
        <v>741</v>
      </c>
      <c r="AM8" s="2621"/>
      <c r="AN8" s="2620" t="s">
        <v>90</v>
      </c>
      <c r="AO8" s="2621"/>
      <c r="AP8" s="2620" t="s">
        <v>89</v>
      </c>
      <c r="AQ8" s="2621"/>
      <c r="AR8" s="2620" t="s">
        <v>88</v>
      </c>
      <c r="AS8" s="2621"/>
      <c r="AT8" s="2620" t="s">
        <v>87</v>
      </c>
      <c r="AU8" s="2621"/>
      <c r="AV8" s="2620" t="s">
        <v>86</v>
      </c>
      <c r="AW8" s="2621"/>
      <c r="AX8" s="2620" t="s">
        <v>85</v>
      </c>
      <c r="AY8" s="2621"/>
      <c r="AZ8" s="2620" t="s">
        <v>267</v>
      </c>
      <c r="BA8" s="2621"/>
      <c r="BB8" s="2620" t="s">
        <v>83</v>
      </c>
      <c r="BC8" s="2621"/>
      <c r="BD8" s="3602" t="s">
        <v>82</v>
      </c>
      <c r="BE8" s="3603"/>
      <c r="BF8" s="3602" t="s">
        <v>81</v>
      </c>
      <c r="BG8" s="3603"/>
      <c r="BH8" s="2646"/>
      <c r="BI8" s="2647"/>
      <c r="BJ8" s="4816" t="s">
        <v>80</v>
      </c>
      <c r="BK8" s="4819" t="s">
        <v>268</v>
      </c>
      <c r="BL8" s="4816" t="s">
        <v>269</v>
      </c>
      <c r="BM8" s="4821" t="s">
        <v>77</v>
      </c>
      <c r="BN8" s="4823" t="s">
        <v>76</v>
      </c>
      <c r="BO8" s="4824"/>
      <c r="BP8" s="4816" t="s">
        <v>75</v>
      </c>
      <c r="BQ8" s="4809"/>
      <c r="BR8" s="4810"/>
      <c r="BS8" s="4812"/>
      <c r="BT8" s="4810"/>
      <c r="BU8" s="2891"/>
    </row>
    <row r="9" spans="1:73" ht="21.75" customHeight="1" x14ac:dyDescent="0.2">
      <c r="A9" s="2281"/>
      <c r="B9" s="2275"/>
      <c r="C9" s="2275"/>
      <c r="D9" s="2275"/>
      <c r="E9" s="2275"/>
      <c r="F9" s="2275"/>
      <c r="G9" s="2275"/>
      <c r="H9" s="2275"/>
      <c r="I9" s="2275"/>
      <c r="J9" s="2275"/>
      <c r="K9" s="2282"/>
      <c r="L9" s="2282"/>
      <c r="M9" s="2282"/>
      <c r="N9" s="2275"/>
      <c r="O9" s="2270" t="s">
        <v>270</v>
      </c>
      <c r="P9" s="2279" t="s">
        <v>271</v>
      </c>
      <c r="Q9" s="2275"/>
      <c r="R9" s="2275"/>
      <c r="S9" s="2283"/>
      <c r="T9" s="2284"/>
      <c r="U9" s="2275"/>
      <c r="V9" s="2275"/>
      <c r="W9" s="2275"/>
      <c r="X9" s="2271" t="s">
        <v>272</v>
      </c>
      <c r="Y9" s="2271" t="s">
        <v>1623</v>
      </c>
      <c r="Z9" s="2271" t="s">
        <v>1624</v>
      </c>
      <c r="AA9" s="2284"/>
      <c r="AB9" s="2281"/>
      <c r="AC9" s="2275"/>
      <c r="AD9" s="2285" t="s">
        <v>69</v>
      </c>
      <c r="AE9" s="2285" t="s">
        <v>68</v>
      </c>
      <c r="AF9" s="2285" t="s">
        <v>69</v>
      </c>
      <c r="AG9" s="2285" t="s">
        <v>68</v>
      </c>
      <c r="AH9" s="2285" t="s">
        <v>69</v>
      </c>
      <c r="AI9" s="2285" t="s">
        <v>68</v>
      </c>
      <c r="AJ9" s="2285" t="s">
        <v>69</v>
      </c>
      <c r="AK9" s="2285" t="s">
        <v>68</v>
      </c>
      <c r="AL9" s="2285" t="s">
        <v>69</v>
      </c>
      <c r="AM9" s="2285" t="s">
        <v>68</v>
      </c>
      <c r="AN9" s="2285" t="s">
        <v>69</v>
      </c>
      <c r="AO9" s="2285" t="s">
        <v>68</v>
      </c>
      <c r="AP9" s="2285" t="s">
        <v>69</v>
      </c>
      <c r="AQ9" s="2285" t="s">
        <v>68</v>
      </c>
      <c r="AR9" s="2285" t="s">
        <v>69</v>
      </c>
      <c r="AS9" s="2285" t="s">
        <v>68</v>
      </c>
      <c r="AT9" s="2285" t="s">
        <v>69</v>
      </c>
      <c r="AU9" s="2285" t="s">
        <v>68</v>
      </c>
      <c r="AV9" s="2285" t="s">
        <v>69</v>
      </c>
      <c r="AW9" s="2285" t="s">
        <v>68</v>
      </c>
      <c r="AX9" s="2285" t="s">
        <v>69</v>
      </c>
      <c r="AY9" s="2285" t="s">
        <v>68</v>
      </c>
      <c r="AZ9" s="2285" t="s">
        <v>69</v>
      </c>
      <c r="BA9" s="2285" t="s">
        <v>68</v>
      </c>
      <c r="BB9" s="2285" t="s">
        <v>69</v>
      </c>
      <c r="BC9" s="2285" t="s">
        <v>68</v>
      </c>
      <c r="BD9" s="2285" t="s">
        <v>69</v>
      </c>
      <c r="BE9" s="2285" t="s">
        <v>68</v>
      </c>
      <c r="BF9" s="2285" t="s">
        <v>69</v>
      </c>
      <c r="BG9" s="2285" t="s">
        <v>68</v>
      </c>
      <c r="BH9" s="2286"/>
      <c r="BI9" s="2286"/>
      <c r="BJ9" s="4817"/>
      <c r="BK9" s="4820"/>
      <c r="BL9" s="4817"/>
      <c r="BM9" s="4822"/>
      <c r="BN9" s="2463" t="s">
        <v>71</v>
      </c>
      <c r="BO9" s="2464" t="s">
        <v>70</v>
      </c>
      <c r="BP9" s="4817"/>
      <c r="BQ9" s="2465" t="s">
        <v>69</v>
      </c>
      <c r="BR9" s="2466" t="s">
        <v>68</v>
      </c>
      <c r="BS9" s="2466" t="s">
        <v>69</v>
      </c>
      <c r="BT9" s="2466" t="s">
        <v>68</v>
      </c>
      <c r="BU9" s="2258"/>
    </row>
    <row r="10" spans="1:73" ht="15.75" x14ac:dyDescent="0.2">
      <c r="A10" s="2287">
        <v>1</v>
      </c>
      <c r="B10" s="4818" t="s">
        <v>409</v>
      </c>
      <c r="C10" s="4818"/>
      <c r="D10" s="4818"/>
      <c r="E10" s="4818"/>
      <c r="F10" s="4818"/>
      <c r="G10" s="4818"/>
      <c r="H10" s="4818"/>
      <c r="I10" s="4818"/>
      <c r="J10" s="2288"/>
      <c r="K10" s="2289" t="s">
        <v>153</v>
      </c>
      <c r="L10" s="2289"/>
      <c r="M10" s="2289" t="s">
        <v>153</v>
      </c>
      <c r="N10" s="2289"/>
      <c r="O10" s="2289" t="s">
        <v>153</v>
      </c>
      <c r="P10" s="2289"/>
      <c r="Q10" s="2289" t="s">
        <v>153</v>
      </c>
      <c r="R10" s="2289" t="s">
        <v>153</v>
      </c>
      <c r="S10" s="2289" t="s">
        <v>153</v>
      </c>
      <c r="T10" s="2289" t="s">
        <v>153</v>
      </c>
      <c r="U10" s="2289" t="s">
        <v>153</v>
      </c>
      <c r="V10" s="2289" t="s">
        <v>153</v>
      </c>
      <c r="W10" s="2289" t="s">
        <v>153</v>
      </c>
      <c r="X10" s="2289" t="s">
        <v>153</v>
      </c>
      <c r="Y10" s="2289"/>
      <c r="Z10" s="2289"/>
      <c r="AA10" s="2289" t="s">
        <v>153</v>
      </c>
      <c r="AB10" s="2289" t="s">
        <v>153</v>
      </c>
      <c r="AC10" s="2289" t="s">
        <v>153</v>
      </c>
      <c r="AD10" s="2289" t="s">
        <v>153</v>
      </c>
      <c r="AE10" s="2289"/>
      <c r="AF10" s="2289" t="s">
        <v>153</v>
      </c>
      <c r="AG10" s="2289"/>
      <c r="AH10" s="2289" t="s">
        <v>153</v>
      </c>
      <c r="AI10" s="2289"/>
      <c r="AJ10" s="2289" t="s">
        <v>153</v>
      </c>
      <c r="AK10" s="2289"/>
      <c r="AL10" s="2289" t="s">
        <v>153</v>
      </c>
      <c r="AM10" s="2289"/>
      <c r="AN10" s="2289" t="s">
        <v>153</v>
      </c>
      <c r="AO10" s="2289"/>
      <c r="AP10" s="2289" t="s">
        <v>153</v>
      </c>
      <c r="AQ10" s="2289"/>
      <c r="AR10" s="2289" t="s">
        <v>153</v>
      </c>
      <c r="AS10" s="2289"/>
      <c r="AT10" s="2289" t="s">
        <v>153</v>
      </c>
      <c r="AU10" s="2289"/>
      <c r="AV10" s="2289" t="s">
        <v>153</v>
      </c>
      <c r="AW10" s="2289"/>
      <c r="AX10" s="2289" t="s">
        <v>153</v>
      </c>
      <c r="AY10" s="2289"/>
      <c r="AZ10" s="2289" t="s">
        <v>153</v>
      </c>
      <c r="BA10" s="2289"/>
      <c r="BB10" s="2289" t="s">
        <v>153</v>
      </c>
      <c r="BC10" s="2289"/>
      <c r="BD10" s="2289" t="s">
        <v>153</v>
      </c>
      <c r="BE10" s="2289"/>
      <c r="BF10" s="2289" t="s">
        <v>153</v>
      </c>
      <c r="BG10" s="2289"/>
      <c r="BH10" s="2289" t="s">
        <v>153</v>
      </c>
      <c r="BI10" s="2289"/>
      <c r="BJ10" s="2289"/>
      <c r="BK10" s="2289"/>
      <c r="BL10" s="2289"/>
      <c r="BM10" s="2289"/>
      <c r="BN10" s="2289"/>
      <c r="BO10" s="2289"/>
      <c r="BP10" s="2289"/>
      <c r="BQ10" s="2289" t="s">
        <v>153</v>
      </c>
      <c r="BR10" s="2289"/>
      <c r="BS10" s="2289" t="s">
        <v>153</v>
      </c>
      <c r="BT10" s="2289"/>
      <c r="BU10" s="2290" t="s">
        <v>153</v>
      </c>
    </row>
    <row r="11" spans="1:73" ht="15.75" x14ac:dyDescent="0.2">
      <c r="A11" s="633"/>
      <c r="B11" s="2291"/>
      <c r="C11" s="2292">
        <v>43</v>
      </c>
      <c r="D11" s="4292" t="s">
        <v>493</v>
      </c>
      <c r="E11" s="3028"/>
      <c r="F11" s="3028"/>
      <c r="G11" s="3028"/>
      <c r="H11" s="3028"/>
      <c r="I11" s="3028"/>
      <c r="J11" s="3028"/>
      <c r="K11" s="3028"/>
      <c r="L11" s="3028"/>
      <c r="M11" s="3028"/>
      <c r="N11" s="2259"/>
      <c r="O11" s="2293"/>
      <c r="P11" s="2293"/>
      <c r="Q11" s="2293"/>
      <c r="R11" s="2293"/>
      <c r="S11" s="2293"/>
      <c r="T11" s="2293"/>
      <c r="U11" s="2293"/>
      <c r="V11" s="2293"/>
      <c r="W11" s="2293"/>
      <c r="X11" s="2293"/>
      <c r="Y11" s="2293"/>
      <c r="Z11" s="2293"/>
      <c r="AA11" s="2293"/>
      <c r="AB11" s="2293"/>
      <c r="AC11" s="2293"/>
      <c r="AD11" s="2293"/>
      <c r="AE11" s="2293"/>
      <c r="AF11" s="2293"/>
      <c r="AG11" s="2293"/>
      <c r="AH11" s="2293"/>
      <c r="AI11" s="2293"/>
      <c r="AJ11" s="2293"/>
      <c r="AK11" s="2293"/>
      <c r="AL11" s="2293"/>
      <c r="AM11" s="2293"/>
      <c r="AN11" s="2293"/>
      <c r="AO11" s="2293"/>
      <c r="AP11" s="2293"/>
      <c r="AQ11" s="2293"/>
      <c r="AR11" s="2293"/>
      <c r="AS11" s="2293"/>
      <c r="AT11" s="2293"/>
      <c r="AU11" s="2293"/>
      <c r="AV11" s="2293"/>
      <c r="AW11" s="2293"/>
      <c r="AX11" s="2293"/>
      <c r="AY11" s="2293"/>
      <c r="AZ11" s="2293"/>
      <c r="BA11" s="2293"/>
      <c r="BB11" s="2293"/>
      <c r="BC11" s="2293"/>
      <c r="BD11" s="2293"/>
      <c r="BE11" s="2293"/>
      <c r="BF11" s="2293"/>
      <c r="BG11" s="2293"/>
      <c r="BH11" s="2293"/>
      <c r="BI11" s="2293"/>
      <c r="BJ11" s="2293"/>
      <c r="BK11" s="2293"/>
      <c r="BL11" s="2293"/>
      <c r="BM11" s="2293"/>
      <c r="BN11" s="2293"/>
      <c r="BO11" s="2293"/>
      <c r="BP11" s="2293"/>
      <c r="BQ11" s="2293"/>
      <c r="BR11" s="2293"/>
      <c r="BS11" s="2293"/>
      <c r="BT11" s="2293"/>
      <c r="BU11" s="2294"/>
    </row>
    <row r="12" spans="1:73" ht="15.75" x14ac:dyDescent="0.2">
      <c r="A12" s="2257"/>
      <c r="B12" s="2295" t="s">
        <v>153</v>
      </c>
      <c r="C12" s="2296"/>
      <c r="D12" s="2295"/>
      <c r="E12" s="101">
        <v>4301</v>
      </c>
      <c r="F12" s="4826" t="s">
        <v>494</v>
      </c>
      <c r="G12" s="4827"/>
      <c r="H12" s="4827"/>
      <c r="I12" s="4827"/>
      <c r="J12" s="4827"/>
      <c r="K12" s="4827"/>
      <c r="L12" s="4827"/>
      <c r="M12" s="4827"/>
      <c r="N12" s="4827"/>
      <c r="O12" s="4827"/>
      <c r="P12" s="4827"/>
      <c r="Q12" s="4827"/>
      <c r="R12" s="4827"/>
      <c r="S12" s="4827"/>
      <c r="T12" s="4827"/>
      <c r="U12" s="4827"/>
      <c r="V12" s="2297" t="s">
        <v>153</v>
      </c>
      <c r="W12" s="2297" t="s">
        <v>153</v>
      </c>
      <c r="X12" s="2297" t="s">
        <v>153</v>
      </c>
      <c r="Y12" s="2297"/>
      <c r="Z12" s="2297"/>
      <c r="AA12" s="2297" t="s">
        <v>153</v>
      </c>
      <c r="AB12" s="2297" t="s">
        <v>153</v>
      </c>
      <c r="AC12" s="2297" t="s">
        <v>153</v>
      </c>
      <c r="AD12" s="2298" t="s">
        <v>153</v>
      </c>
      <c r="AE12" s="2298"/>
      <c r="AF12" s="2298" t="s">
        <v>153</v>
      </c>
      <c r="AG12" s="2298"/>
      <c r="AH12" s="2298" t="s">
        <v>153</v>
      </c>
      <c r="AI12" s="2298"/>
      <c r="AJ12" s="2298" t="s">
        <v>153</v>
      </c>
      <c r="AK12" s="2298"/>
      <c r="AL12" s="2298" t="s">
        <v>153</v>
      </c>
      <c r="AM12" s="2298"/>
      <c r="AN12" s="2298" t="s">
        <v>153</v>
      </c>
      <c r="AO12" s="2298"/>
      <c r="AP12" s="2298" t="s">
        <v>153</v>
      </c>
      <c r="AQ12" s="2298"/>
      <c r="AR12" s="2298" t="s">
        <v>153</v>
      </c>
      <c r="AS12" s="2298"/>
      <c r="AT12" s="2298" t="s">
        <v>153</v>
      </c>
      <c r="AU12" s="2298"/>
      <c r="AV12" s="2298" t="s">
        <v>153</v>
      </c>
      <c r="AW12" s="2298"/>
      <c r="AX12" s="2298" t="s">
        <v>153</v>
      </c>
      <c r="AY12" s="2298"/>
      <c r="AZ12" s="2298" t="s">
        <v>153</v>
      </c>
      <c r="BA12" s="2298"/>
      <c r="BB12" s="2298" t="s">
        <v>153</v>
      </c>
      <c r="BC12" s="2298"/>
      <c r="BD12" s="2298" t="s">
        <v>153</v>
      </c>
      <c r="BE12" s="2298"/>
      <c r="BF12" s="2298" t="s">
        <v>153</v>
      </c>
      <c r="BG12" s="2298"/>
      <c r="BH12" s="2298" t="s">
        <v>153</v>
      </c>
      <c r="BI12" s="2298"/>
      <c r="BJ12" s="2298"/>
      <c r="BK12" s="2298"/>
      <c r="BL12" s="2298"/>
      <c r="BM12" s="2298"/>
      <c r="BN12" s="2298"/>
      <c r="BO12" s="2298"/>
      <c r="BP12" s="2298"/>
      <c r="BQ12" s="2298" t="s">
        <v>153</v>
      </c>
      <c r="BR12" s="2298"/>
      <c r="BS12" s="2298" t="s">
        <v>153</v>
      </c>
      <c r="BT12" s="2298"/>
      <c r="BU12" s="2299" t="s">
        <v>153</v>
      </c>
    </row>
    <row r="13" spans="1:73" s="1126" customFormat="1" ht="30" customHeight="1" x14ac:dyDescent="0.2">
      <c r="A13" s="2300"/>
      <c r="B13" s="2301"/>
      <c r="C13" s="2302"/>
      <c r="D13" s="2303"/>
      <c r="E13" s="4828" t="s">
        <v>153</v>
      </c>
      <c r="F13" s="4828" t="s">
        <v>153</v>
      </c>
      <c r="G13" s="4829">
        <v>4301007</v>
      </c>
      <c r="H13" s="4830" t="s">
        <v>3346</v>
      </c>
      <c r="I13" s="4829">
        <v>4301007</v>
      </c>
      <c r="J13" s="4830" t="s">
        <v>3346</v>
      </c>
      <c r="K13" s="4829">
        <v>430100701</v>
      </c>
      <c r="L13" s="4830" t="s">
        <v>3347</v>
      </c>
      <c r="M13" s="4829">
        <v>430100701</v>
      </c>
      <c r="N13" s="4830" t="s">
        <v>3347</v>
      </c>
      <c r="O13" s="4849">
        <v>12</v>
      </c>
      <c r="P13" s="4849">
        <v>12</v>
      </c>
      <c r="Q13" s="4853">
        <v>2020003630009</v>
      </c>
      <c r="R13" s="4854" t="s">
        <v>3348</v>
      </c>
      <c r="S13" s="4850">
        <f>SUM(X13:X23)/T13</f>
        <v>0.51417476501560311</v>
      </c>
      <c r="T13" s="4855">
        <f>SUM(X13:X49)</f>
        <v>2847287098.9800005</v>
      </c>
      <c r="U13" s="4854" t="s">
        <v>3349</v>
      </c>
      <c r="V13" s="4854" t="s">
        <v>3350</v>
      </c>
      <c r="W13" s="4832" t="s">
        <v>3351</v>
      </c>
      <c r="X13" s="2304">
        <v>745120983.30999994</v>
      </c>
      <c r="Y13" s="2467">
        <v>602484228.32000005</v>
      </c>
      <c r="Z13" s="2467">
        <v>602484228.32000005</v>
      </c>
      <c r="AA13" s="2468" t="s">
        <v>3352</v>
      </c>
      <c r="AB13" s="2269">
        <v>5</v>
      </c>
      <c r="AC13" s="2269" t="s">
        <v>3353</v>
      </c>
      <c r="AD13" s="4834">
        <v>6991</v>
      </c>
      <c r="AE13" s="4825">
        <v>10002</v>
      </c>
      <c r="AF13" s="2569">
        <v>6453</v>
      </c>
      <c r="AG13" s="4825">
        <v>7973</v>
      </c>
      <c r="AH13" s="2526">
        <v>0</v>
      </c>
      <c r="AI13" s="4825">
        <v>6663</v>
      </c>
      <c r="AJ13" s="2569">
        <v>0</v>
      </c>
      <c r="AK13" s="4825">
        <v>3385</v>
      </c>
      <c r="AL13" s="2569">
        <v>0</v>
      </c>
      <c r="AM13" s="4825">
        <v>5571</v>
      </c>
      <c r="AN13" s="2569">
        <v>0</v>
      </c>
      <c r="AO13" s="4825">
        <v>2356</v>
      </c>
      <c r="AP13" s="2569">
        <v>0</v>
      </c>
      <c r="AQ13" s="4825">
        <v>70</v>
      </c>
      <c r="AR13" s="2569">
        <v>0</v>
      </c>
      <c r="AS13" s="4825">
        <v>67</v>
      </c>
      <c r="AT13" s="2569">
        <v>0</v>
      </c>
      <c r="AU13" s="4825">
        <v>0</v>
      </c>
      <c r="AV13" s="2569">
        <v>0</v>
      </c>
      <c r="AW13" s="4825">
        <v>0</v>
      </c>
      <c r="AX13" s="2569">
        <v>0</v>
      </c>
      <c r="AY13" s="4825">
        <v>0</v>
      </c>
      <c r="AZ13" s="2569">
        <v>0</v>
      </c>
      <c r="BA13" s="4825">
        <v>0</v>
      </c>
      <c r="BB13" s="2569">
        <v>0</v>
      </c>
      <c r="BC13" s="4825">
        <v>30</v>
      </c>
      <c r="BD13" s="2569">
        <v>0</v>
      </c>
      <c r="BE13" s="4825">
        <v>417</v>
      </c>
      <c r="BF13" s="2569">
        <v>0</v>
      </c>
      <c r="BG13" s="4825">
        <v>95</v>
      </c>
      <c r="BH13" s="2569">
        <f>+'[5]F-PLA-06 PLAN DE ACCION'!AP13:AP37</f>
        <v>13.444000000000001</v>
      </c>
      <c r="BI13" s="4825">
        <f>+AE13+AG13</f>
        <v>17975</v>
      </c>
      <c r="BJ13" s="4848">
        <v>66</v>
      </c>
      <c r="BK13" s="4835">
        <f>SUM(Y13:Y49)</f>
        <v>2191949700.79</v>
      </c>
      <c r="BL13" s="4835">
        <f>SUM(Z13:Z49)</f>
        <v>2191949700.79</v>
      </c>
      <c r="BM13" s="4845">
        <f>BL13/BK13</f>
        <v>1</v>
      </c>
      <c r="BN13" s="2274">
        <f t="shared" ref="BN13:BO16" si="0">+AB13</f>
        <v>5</v>
      </c>
      <c r="BO13" s="2305" t="str">
        <f t="shared" si="0"/>
        <v>30 % CIGARRILLO</v>
      </c>
      <c r="BP13" s="4840" t="s">
        <v>3354</v>
      </c>
      <c r="BQ13" s="4846">
        <v>44200</v>
      </c>
      <c r="BR13" s="4846">
        <v>44560</v>
      </c>
      <c r="BS13" s="4846">
        <v>44560</v>
      </c>
      <c r="BT13" s="4846">
        <v>44560</v>
      </c>
      <c r="BU13" s="4840" t="s">
        <v>3355</v>
      </c>
    </row>
    <row r="14" spans="1:73" s="1126" customFormat="1" ht="30" customHeight="1" x14ac:dyDescent="0.2">
      <c r="A14" s="2300"/>
      <c r="B14" s="2301"/>
      <c r="C14" s="2302"/>
      <c r="D14" s="2303"/>
      <c r="E14" s="4828"/>
      <c r="F14" s="4828"/>
      <c r="G14" s="4829"/>
      <c r="H14" s="4831"/>
      <c r="I14" s="4829"/>
      <c r="J14" s="4831"/>
      <c r="K14" s="4829"/>
      <c r="L14" s="4831"/>
      <c r="M14" s="4829"/>
      <c r="N14" s="4831"/>
      <c r="O14" s="4849"/>
      <c r="P14" s="4849"/>
      <c r="Q14" s="4853"/>
      <c r="R14" s="4854"/>
      <c r="S14" s="4850"/>
      <c r="T14" s="4855"/>
      <c r="U14" s="4854"/>
      <c r="V14" s="4854"/>
      <c r="W14" s="4833"/>
      <c r="X14" s="2304">
        <v>460056673.81</v>
      </c>
      <c r="Y14" s="2467">
        <v>460056673.81</v>
      </c>
      <c r="Z14" s="2467">
        <v>460056673.80999982</v>
      </c>
      <c r="AA14" s="2468" t="s">
        <v>3356</v>
      </c>
      <c r="AB14" s="2269">
        <v>25</v>
      </c>
      <c r="AC14" s="2269" t="s">
        <v>3357</v>
      </c>
      <c r="AD14" s="4834"/>
      <c r="AE14" s="4825"/>
      <c r="AF14" s="2569"/>
      <c r="AG14" s="4825"/>
      <c r="AH14" s="2526"/>
      <c r="AI14" s="4825"/>
      <c r="AJ14" s="2569"/>
      <c r="AK14" s="4825"/>
      <c r="AL14" s="2569"/>
      <c r="AM14" s="4825"/>
      <c r="AN14" s="2569"/>
      <c r="AO14" s="4825"/>
      <c r="AP14" s="2569"/>
      <c r="AQ14" s="4825"/>
      <c r="AR14" s="2569"/>
      <c r="AS14" s="4825"/>
      <c r="AT14" s="2569"/>
      <c r="AU14" s="4825"/>
      <c r="AV14" s="2569"/>
      <c r="AW14" s="4825"/>
      <c r="AX14" s="2569"/>
      <c r="AY14" s="4825"/>
      <c r="AZ14" s="2569"/>
      <c r="BA14" s="4825"/>
      <c r="BB14" s="2569"/>
      <c r="BC14" s="4825"/>
      <c r="BD14" s="2569"/>
      <c r="BE14" s="4825"/>
      <c r="BF14" s="2569"/>
      <c r="BG14" s="4825"/>
      <c r="BH14" s="2569"/>
      <c r="BI14" s="4825"/>
      <c r="BJ14" s="4848"/>
      <c r="BK14" s="4834"/>
      <c r="BL14" s="4834"/>
      <c r="BM14" s="4845"/>
      <c r="BN14" s="2267">
        <f t="shared" si="0"/>
        <v>25</v>
      </c>
      <c r="BO14" s="2261" t="str">
        <f t="shared" si="0"/>
        <v>CIGARRILLOS 30% R.B 2020</v>
      </c>
      <c r="BP14" s="2526"/>
      <c r="BQ14" s="2493"/>
      <c r="BR14" s="2493"/>
      <c r="BS14" s="2493"/>
      <c r="BT14" s="2493"/>
      <c r="BU14" s="2526"/>
    </row>
    <row r="15" spans="1:73" s="1126" customFormat="1" ht="50.25" customHeight="1" x14ac:dyDescent="0.2">
      <c r="A15" s="2300"/>
      <c r="B15" s="2301"/>
      <c r="C15" s="2302"/>
      <c r="D15" s="2303"/>
      <c r="E15" s="4828"/>
      <c r="F15" s="4828"/>
      <c r="G15" s="4829"/>
      <c r="H15" s="4831"/>
      <c r="I15" s="4829"/>
      <c r="J15" s="4831"/>
      <c r="K15" s="4829"/>
      <c r="L15" s="4831"/>
      <c r="M15" s="4829"/>
      <c r="N15" s="4831"/>
      <c r="O15" s="4849"/>
      <c r="P15" s="4849"/>
      <c r="Q15" s="4853"/>
      <c r="R15" s="4854"/>
      <c r="S15" s="4850"/>
      <c r="T15" s="4855"/>
      <c r="U15" s="4854"/>
      <c r="V15" s="4854"/>
      <c r="W15" s="2306" t="s">
        <v>3527</v>
      </c>
      <c r="X15" s="2469">
        <v>0</v>
      </c>
      <c r="Y15" s="2469">
        <v>0</v>
      </c>
      <c r="Z15" s="2469">
        <v>0</v>
      </c>
      <c r="AA15" s="2468" t="s">
        <v>3528</v>
      </c>
      <c r="AB15" s="2269">
        <v>28</v>
      </c>
      <c r="AC15" s="2269" t="s">
        <v>3387</v>
      </c>
      <c r="AD15" s="4834"/>
      <c r="AE15" s="4825"/>
      <c r="AF15" s="2569"/>
      <c r="AG15" s="4825"/>
      <c r="AH15" s="2526"/>
      <c r="AI15" s="4825"/>
      <c r="AJ15" s="2569"/>
      <c r="AK15" s="4825"/>
      <c r="AL15" s="2569"/>
      <c r="AM15" s="4825"/>
      <c r="AN15" s="2569"/>
      <c r="AO15" s="4825"/>
      <c r="AP15" s="2569"/>
      <c r="AQ15" s="4825"/>
      <c r="AR15" s="2569"/>
      <c r="AS15" s="4825"/>
      <c r="AT15" s="2569"/>
      <c r="AU15" s="4825"/>
      <c r="AV15" s="2569"/>
      <c r="AW15" s="4825"/>
      <c r="AX15" s="2569"/>
      <c r="AY15" s="4825"/>
      <c r="AZ15" s="2569"/>
      <c r="BA15" s="4825"/>
      <c r="BB15" s="2569"/>
      <c r="BC15" s="4825"/>
      <c r="BD15" s="2569"/>
      <c r="BE15" s="4825"/>
      <c r="BF15" s="2569"/>
      <c r="BG15" s="4825"/>
      <c r="BH15" s="2569"/>
      <c r="BI15" s="4825"/>
      <c r="BJ15" s="4848"/>
      <c r="BK15" s="4834"/>
      <c r="BL15" s="4834"/>
      <c r="BM15" s="4845"/>
      <c r="BN15" s="2267"/>
      <c r="BO15" s="2261"/>
      <c r="BP15" s="2526"/>
      <c r="BQ15" s="2493"/>
      <c r="BR15" s="2493"/>
      <c r="BS15" s="2493"/>
      <c r="BT15" s="2493"/>
      <c r="BU15" s="2526"/>
    </row>
    <row r="16" spans="1:73" s="1126" customFormat="1" ht="25.5" customHeight="1" x14ac:dyDescent="0.2">
      <c r="A16" s="2300"/>
      <c r="B16" s="2301"/>
      <c r="C16" s="2302"/>
      <c r="D16" s="2303"/>
      <c r="E16" s="4828"/>
      <c r="F16" s="4828"/>
      <c r="G16" s="4829"/>
      <c r="H16" s="4831"/>
      <c r="I16" s="4829"/>
      <c r="J16" s="4831"/>
      <c r="K16" s="4829"/>
      <c r="L16" s="4831"/>
      <c r="M16" s="4829"/>
      <c r="N16" s="4831"/>
      <c r="O16" s="4849"/>
      <c r="P16" s="4849"/>
      <c r="Q16" s="4853"/>
      <c r="R16" s="4854"/>
      <c r="S16" s="4850"/>
      <c r="T16" s="4855"/>
      <c r="U16" s="4854"/>
      <c r="V16" s="4854"/>
      <c r="W16" s="4842" t="s">
        <v>3358</v>
      </c>
      <c r="X16" s="2307">
        <v>118200000</v>
      </c>
      <c r="Y16" s="2467">
        <v>115599998</v>
      </c>
      <c r="Z16" s="2467">
        <v>115599998</v>
      </c>
      <c r="AA16" s="2468" t="s">
        <v>3359</v>
      </c>
      <c r="AB16" s="2269">
        <v>7</v>
      </c>
      <c r="AC16" s="2269" t="s">
        <v>3360</v>
      </c>
      <c r="AD16" s="4834"/>
      <c r="AE16" s="4825"/>
      <c r="AF16" s="2569"/>
      <c r="AG16" s="4825"/>
      <c r="AH16" s="2526"/>
      <c r="AI16" s="4825"/>
      <c r="AJ16" s="2569"/>
      <c r="AK16" s="4825"/>
      <c r="AL16" s="2569"/>
      <c r="AM16" s="4825"/>
      <c r="AN16" s="2569"/>
      <c r="AO16" s="4825"/>
      <c r="AP16" s="2569"/>
      <c r="AQ16" s="4825"/>
      <c r="AR16" s="2569"/>
      <c r="AS16" s="4825"/>
      <c r="AT16" s="2569"/>
      <c r="AU16" s="4825"/>
      <c r="AV16" s="2569"/>
      <c r="AW16" s="4825"/>
      <c r="AX16" s="2569"/>
      <c r="AY16" s="4825"/>
      <c r="AZ16" s="2569"/>
      <c r="BA16" s="4825"/>
      <c r="BB16" s="2569"/>
      <c r="BC16" s="4825"/>
      <c r="BD16" s="2569"/>
      <c r="BE16" s="4825"/>
      <c r="BF16" s="2569"/>
      <c r="BG16" s="4825"/>
      <c r="BH16" s="2569"/>
      <c r="BI16" s="4825"/>
      <c r="BJ16" s="4848"/>
      <c r="BK16" s="4834"/>
      <c r="BL16" s="4834"/>
      <c r="BM16" s="4845"/>
      <c r="BN16" s="2267">
        <f t="shared" si="0"/>
        <v>7</v>
      </c>
      <c r="BO16" s="2261" t="str">
        <f t="shared" si="0"/>
        <v>MINISTERIO</v>
      </c>
      <c r="BP16" s="2526"/>
      <c r="BQ16" s="2493"/>
      <c r="BR16" s="2493"/>
      <c r="BS16" s="2493"/>
      <c r="BT16" s="2493"/>
      <c r="BU16" s="2526"/>
    </row>
    <row r="17" spans="1:73" s="1126" customFormat="1" ht="25.5" customHeight="1" x14ac:dyDescent="0.2">
      <c r="A17" s="2300"/>
      <c r="B17" s="2301"/>
      <c r="C17" s="2302"/>
      <c r="D17" s="2303"/>
      <c r="E17" s="4828"/>
      <c r="F17" s="4828"/>
      <c r="G17" s="4829"/>
      <c r="H17" s="4831"/>
      <c r="I17" s="4829"/>
      <c r="J17" s="4831"/>
      <c r="K17" s="4829"/>
      <c r="L17" s="4831"/>
      <c r="M17" s="4829"/>
      <c r="N17" s="4831"/>
      <c r="O17" s="4849"/>
      <c r="P17" s="4849"/>
      <c r="Q17" s="4853"/>
      <c r="R17" s="4854"/>
      <c r="S17" s="4850"/>
      <c r="T17" s="4855"/>
      <c r="U17" s="4854"/>
      <c r="V17" s="4854"/>
      <c r="W17" s="4842"/>
      <c r="X17" s="2307">
        <v>42000000</v>
      </c>
      <c r="Y17" s="2467">
        <v>0</v>
      </c>
      <c r="Z17" s="2467">
        <v>0</v>
      </c>
      <c r="AA17" s="2468" t="s">
        <v>3361</v>
      </c>
      <c r="AB17" s="2269">
        <v>28</v>
      </c>
      <c r="AC17" s="2269" t="s">
        <v>3362</v>
      </c>
      <c r="AD17" s="4834"/>
      <c r="AE17" s="4825"/>
      <c r="AF17" s="2569"/>
      <c r="AG17" s="4825"/>
      <c r="AH17" s="2526"/>
      <c r="AI17" s="4825"/>
      <c r="AJ17" s="2569"/>
      <c r="AK17" s="4825"/>
      <c r="AL17" s="2569"/>
      <c r="AM17" s="4825"/>
      <c r="AN17" s="2569"/>
      <c r="AO17" s="4825"/>
      <c r="AP17" s="2569"/>
      <c r="AQ17" s="4825"/>
      <c r="AR17" s="2569"/>
      <c r="AS17" s="4825"/>
      <c r="AT17" s="2569"/>
      <c r="AU17" s="4825"/>
      <c r="AV17" s="2569"/>
      <c r="AW17" s="4825"/>
      <c r="AX17" s="2569"/>
      <c r="AY17" s="4825"/>
      <c r="AZ17" s="2569"/>
      <c r="BA17" s="4825"/>
      <c r="BB17" s="2569"/>
      <c r="BC17" s="4825"/>
      <c r="BD17" s="2569"/>
      <c r="BE17" s="4825"/>
      <c r="BF17" s="2569"/>
      <c r="BG17" s="4825"/>
      <c r="BH17" s="2569"/>
      <c r="BI17" s="4825"/>
      <c r="BJ17" s="4848"/>
      <c r="BK17" s="4834"/>
      <c r="BL17" s="4834"/>
      <c r="BM17" s="4845"/>
      <c r="BN17" s="2267"/>
      <c r="BO17" s="2261"/>
      <c r="BP17" s="2526"/>
      <c r="BQ17" s="2493"/>
      <c r="BR17" s="2493"/>
      <c r="BS17" s="2493"/>
      <c r="BT17" s="2493"/>
      <c r="BU17" s="2526"/>
    </row>
    <row r="18" spans="1:73" s="1126" customFormat="1" ht="25.5" customHeight="1" x14ac:dyDescent="0.2">
      <c r="A18" s="2300"/>
      <c r="B18" s="2301" t="s">
        <v>153</v>
      </c>
      <c r="C18" s="2302"/>
      <c r="D18" s="2303"/>
      <c r="E18" s="4828"/>
      <c r="F18" s="4828"/>
      <c r="G18" s="4829"/>
      <c r="H18" s="4831"/>
      <c r="I18" s="4829"/>
      <c r="J18" s="4831"/>
      <c r="K18" s="4829"/>
      <c r="L18" s="4831"/>
      <c r="M18" s="4829"/>
      <c r="N18" s="4831"/>
      <c r="O18" s="4849"/>
      <c r="P18" s="4849"/>
      <c r="Q18" s="4853"/>
      <c r="R18" s="4854"/>
      <c r="S18" s="4850"/>
      <c r="T18" s="4855"/>
      <c r="U18" s="4854"/>
      <c r="V18" s="4854"/>
      <c r="W18" s="4832"/>
      <c r="X18" s="2311">
        <v>60000000</v>
      </c>
      <c r="Y18" s="2470">
        <v>31533332</v>
      </c>
      <c r="Z18" s="2470">
        <v>31533332</v>
      </c>
      <c r="AA18" s="2471" t="s">
        <v>3363</v>
      </c>
      <c r="AB18" s="2268">
        <v>12</v>
      </c>
      <c r="AC18" s="2268" t="s">
        <v>3304</v>
      </c>
      <c r="AD18" s="4834"/>
      <c r="AE18" s="4825"/>
      <c r="AF18" s="2569"/>
      <c r="AG18" s="4825"/>
      <c r="AH18" s="2526"/>
      <c r="AI18" s="4825"/>
      <c r="AJ18" s="2569"/>
      <c r="AK18" s="4825"/>
      <c r="AL18" s="2569"/>
      <c r="AM18" s="4825"/>
      <c r="AN18" s="2569"/>
      <c r="AO18" s="4825"/>
      <c r="AP18" s="2569"/>
      <c r="AQ18" s="4825"/>
      <c r="AR18" s="2569"/>
      <c r="AS18" s="4825"/>
      <c r="AT18" s="2569"/>
      <c r="AU18" s="4825"/>
      <c r="AV18" s="2569"/>
      <c r="AW18" s="4825"/>
      <c r="AX18" s="2569"/>
      <c r="AY18" s="4825"/>
      <c r="AZ18" s="2569"/>
      <c r="BA18" s="4825"/>
      <c r="BB18" s="2569"/>
      <c r="BC18" s="4825"/>
      <c r="BD18" s="2569"/>
      <c r="BE18" s="4825"/>
      <c r="BF18" s="2569"/>
      <c r="BG18" s="4825"/>
      <c r="BH18" s="2569"/>
      <c r="BI18" s="4825"/>
      <c r="BJ18" s="4848"/>
      <c r="BK18" s="4834"/>
      <c r="BL18" s="4834"/>
      <c r="BM18" s="4845"/>
      <c r="BN18" s="2267">
        <v>12</v>
      </c>
      <c r="BO18" s="2261" t="s">
        <v>3304</v>
      </c>
      <c r="BP18" s="2526"/>
      <c r="BQ18" s="2493"/>
      <c r="BR18" s="2493"/>
      <c r="BS18" s="2493"/>
      <c r="BT18" s="2493"/>
      <c r="BU18" s="2526"/>
    </row>
    <row r="19" spans="1:73" s="1126" customFormat="1" ht="25.5" customHeight="1" x14ac:dyDescent="0.2">
      <c r="A19" s="2300"/>
      <c r="B19" s="2301"/>
      <c r="C19" s="2302"/>
      <c r="D19" s="2303"/>
      <c r="E19" s="4828"/>
      <c r="F19" s="4828"/>
      <c r="G19" s="4829"/>
      <c r="H19" s="4831"/>
      <c r="I19" s="4829"/>
      <c r="J19" s="4831"/>
      <c r="K19" s="4829"/>
      <c r="L19" s="4831"/>
      <c r="M19" s="4829"/>
      <c r="N19" s="4831"/>
      <c r="O19" s="4849"/>
      <c r="P19" s="4849"/>
      <c r="Q19" s="4853"/>
      <c r="R19" s="4854"/>
      <c r="S19" s="4850"/>
      <c r="T19" s="4855"/>
      <c r="U19" s="4854"/>
      <c r="V19" s="4838"/>
      <c r="W19" s="2507" t="s">
        <v>3364</v>
      </c>
      <c r="X19" s="2312">
        <v>0</v>
      </c>
      <c r="Y19" s="2312">
        <v>0</v>
      </c>
      <c r="Z19" s="2312">
        <v>0</v>
      </c>
      <c r="AA19" s="2472" t="s">
        <v>3529</v>
      </c>
      <c r="AB19" s="2260">
        <v>28</v>
      </c>
      <c r="AC19" s="2260" t="s">
        <v>3387</v>
      </c>
      <c r="AD19" s="4834"/>
      <c r="AE19" s="4825"/>
      <c r="AF19" s="2569"/>
      <c r="AG19" s="4825"/>
      <c r="AH19" s="2526"/>
      <c r="AI19" s="4825"/>
      <c r="AJ19" s="2569"/>
      <c r="AK19" s="4825"/>
      <c r="AL19" s="2569"/>
      <c r="AM19" s="4825"/>
      <c r="AN19" s="2569"/>
      <c r="AO19" s="4825"/>
      <c r="AP19" s="2569"/>
      <c r="AQ19" s="4825"/>
      <c r="AR19" s="2569"/>
      <c r="AS19" s="4825"/>
      <c r="AT19" s="2569"/>
      <c r="AU19" s="4825"/>
      <c r="AV19" s="2569"/>
      <c r="AW19" s="4825"/>
      <c r="AX19" s="2569"/>
      <c r="AY19" s="4825"/>
      <c r="AZ19" s="2569"/>
      <c r="BA19" s="4825"/>
      <c r="BB19" s="2569"/>
      <c r="BC19" s="4825"/>
      <c r="BD19" s="2569"/>
      <c r="BE19" s="4825"/>
      <c r="BF19" s="2569"/>
      <c r="BG19" s="4825"/>
      <c r="BH19" s="2569"/>
      <c r="BI19" s="4825"/>
      <c r="BJ19" s="4848"/>
      <c r="BK19" s="4834"/>
      <c r="BL19" s="4834"/>
      <c r="BM19" s="4845"/>
      <c r="BN19" s="2267"/>
      <c r="BO19" s="2261"/>
      <c r="BP19" s="2526"/>
      <c r="BQ19" s="2493"/>
      <c r="BR19" s="2493"/>
      <c r="BS19" s="2493"/>
      <c r="BT19" s="2493"/>
      <c r="BU19" s="2526"/>
    </row>
    <row r="20" spans="1:73" s="1126" customFormat="1" ht="25.5" customHeight="1" x14ac:dyDescent="0.2">
      <c r="A20" s="2300"/>
      <c r="B20" s="2301"/>
      <c r="C20" s="2302"/>
      <c r="D20" s="2303"/>
      <c r="E20" s="4828"/>
      <c r="F20" s="4828"/>
      <c r="G20" s="4829"/>
      <c r="H20" s="4831"/>
      <c r="I20" s="4829"/>
      <c r="J20" s="4831"/>
      <c r="K20" s="4829"/>
      <c r="L20" s="4831"/>
      <c r="M20" s="4829"/>
      <c r="N20" s="4831"/>
      <c r="O20" s="4849"/>
      <c r="P20" s="4849"/>
      <c r="Q20" s="4853"/>
      <c r="R20" s="4854"/>
      <c r="S20" s="4850"/>
      <c r="T20" s="4855"/>
      <c r="U20" s="4854"/>
      <c r="V20" s="4838"/>
      <c r="W20" s="2507"/>
      <c r="X20" s="2312">
        <v>0</v>
      </c>
      <c r="Y20" s="2312">
        <v>0</v>
      </c>
      <c r="Z20" s="2312">
        <v>0</v>
      </c>
      <c r="AA20" s="2472" t="s">
        <v>3361</v>
      </c>
      <c r="AB20" s="2260">
        <v>28</v>
      </c>
      <c r="AC20" s="2260" t="s">
        <v>3387</v>
      </c>
      <c r="AD20" s="4834"/>
      <c r="AE20" s="4825"/>
      <c r="AF20" s="2569"/>
      <c r="AG20" s="4825"/>
      <c r="AH20" s="2526"/>
      <c r="AI20" s="4825"/>
      <c r="AJ20" s="2569"/>
      <c r="AK20" s="4825"/>
      <c r="AL20" s="2569"/>
      <c r="AM20" s="4825"/>
      <c r="AN20" s="2569"/>
      <c r="AO20" s="4825"/>
      <c r="AP20" s="2569"/>
      <c r="AQ20" s="4825"/>
      <c r="AR20" s="2569"/>
      <c r="AS20" s="4825"/>
      <c r="AT20" s="2569"/>
      <c r="AU20" s="4825"/>
      <c r="AV20" s="2569"/>
      <c r="AW20" s="4825"/>
      <c r="AX20" s="2569"/>
      <c r="AY20" s="4825"/>
      <c r="AZ20" s="2569"/>
      <c r="BA20" s="4825"/>
      <c r="BB20" s="2569"/>
      <c r="BC20" s="4825"/>
      <c r="BD20" s="2569"/>
      <c r="BE20" s="4825"/>
      <c r="BF20" s="2569"/>
      <c r="BG20" s="4825"/>
      <c r="BH20" s="2569"/>
      <c r="BI20" s="4825"/>
      <c r="BJ20" s="4848"/>
      <c r="BK20" s="4834"/>
      <c r="BL20" s="4834"/>
      <c r="BM20" s="4845"/>
      <c r="BN20" s="2267"/>
      <c r="BO20" s="2261"/>
      <c r="BP20" s="2526"/>
      <c r="BQ20" s="2493"/>
      <c r="BR20" s="2493"/>
      <c r="BS20" s="2493"/>
      <c r="BT20" s="2493"/>
      <c r="BU20" s="2526"/>
    </row>
    <row r="21" spans="1:73" s="1126" customFormat="1" ht="25.5" customHeight="1" x14ac:dyDescent="0.2">
      <c r="A21" s="2300"/>
      <c r="B21" s="2301"/>
      <c r="C21" s="2302"/>
      <c r="D21" s="2303"/>
      <c r="E21" s="4828"/>
      <c r="F21" s="4828"/>
      <c r="G21" s="4829"/>
      <c r="H21" s="4831"/>
      <c r="I21" s="4829"/>
      <c r="J21" s="4831"/>
      <c r="K21" s="4829"/>
      <c r="L21" s="4831"/>
      <c r="M21" s="4829"/>
      <c r="N21" s="4831"/>
      <c r="O21" s="4849"/>
      <c r="P21" s="4849"/>
      <c r="Q21" s="4853"/>
      <c r="R21" s="4854"/>
      <c r="S21" s="4850"/>
      <c r="T21" s="4855"/>
      <c r="U21" s="4854"/>
      <c r="V21" s="4838"/>
      <c r="W21" s="2507"/>
      <c r="X21" s="2312">
        <v>0</v>
      </c>
      <c r="Y21" s="2312">
        <v>0</v>
      </c>
      <c r="Z21" s="2312">
        <v>0</v>
      </c>
      <c r="AA21" s="2472" t="s">
        <v>3530</v>
      </c>
      <c r="AB21" s="2260">
        <v>7</v>
      </c>
      <c r="AC21" s="2260" t="s">
        <v>3360</v>
      </c>
      <c r="AD21" s="4834"/>
      <c r="AE21" s="4825"/>
      <c r="AF21" s="2569"/>
      <c r="AG21" s="4825"/>
      <c r="AH21" s="2526"/>
      <c r="AI21" s="4825"/>
      <c r="AJ21" s="2569"/>
      <c r="AK21" s="4825"/>
      <c r="AL21" s="2569"/>
      <c r="AM21" s="4825"/>
      <c r="AN21" s="2569"/>
      <c r="AO21" s="4825"/>
      <c r="AP21" s="2569"/>
      <c r="AQ21" s="4825"/>
      <c r="AR21" s="2569"/>
      <c r="AS21" s="4825"/>
      <c r="AT21" s="2569"/>
      <c r="AU21" s="4825"/>
      <c r="AV21" s="2569"/>
      <c r="AW21" s="4825"/>
      <c r="AX21" s="2569"/>
      <c r="AY21" s="4825"/>
      <c r="AZ21" s="2569"/>
      <c r="BA21" s="4825"/>
      <c r="BB21" s="2569"/>
      <c r="BC21" s="4825"/>
      <c r="BD21" s="2569"/>
      <c r="BE21" s="4825"/>
      <c r="BF21" s="2569"/>
      <c r="BG21" s="4825"/>
      <c r="BH21" s="2569"/>
      <c r="BI21" s="4825"/>
      <c r="BJ21" s="4848"/>
      <c r="BK21" s="4834"/>
      <c r="BL21" s="4834"/>
      <c r="BM21" s="4845"/>
      <c r="BN21" s="2267"/>
      <c r="BO21" s="2261"/>
      <c r="BP21" s="2526"/>
      <c r="BQ21" s="2493"/>
      <c r="BR21" s="2493"/>
      <c r="BS21" s="2493"/>
      <c r="BT21" s="2493"/>
      <c r="BU21" s="2526"/>
    </row>
    <row r="22" spans="1:73" s="1126" customFormat="1" ht="25.5" customHeight="1" x14ac:dyDescent="0.2">
      <c r="A22" s="2300"/>
      <c r="B22" s="2301"/>
      <c r="C22" s="2302"/>
      <c r="D22" s="2303"/>
      <c r="E22" s="4828"/>
      <c r="F22" s="4828"/>
      <c r="G22" s="4829"/>
      <c r="H22" s="4831"/>
      <c r="I22" s="4829"/>
      <c r="J22" s="4831"/>
      <c r="K22" s="4829"/>
      <c r="L22" s="4831"/>
      <c r="M22" s="4829"/>
      <c r="N22" s="4831"/>
      <c r="O22" s="4849"/>
      <c r="P22" s="4849"/>
      <c r="Q22" s="4853"/>
      <c r="R22" s="4854"/>
      <c r="S22" s="4850"/>
      <c r="T22" s="4855"/>
      <c r="U22" s="4854"/>
      <c r="V22" s="4838"/>
      <c r="W22" s="2507"/>
      <c r="X22" s="2312">
        <v>0</v>
      </c>
      <c r="Y22" s="2312">
        <v>0</v>
      </c>
      <c r="Z22" s="2312">
        <v>0</v>
      </c>
      <c r="AA22" s="2472" t="s">
        <v>3531</v>
      </c>
      <c r="AB22" s="2260">
        <v>7</v>
      </c>
      <c r="AC22" s="2260" t="s">
        <v>3360</v>
      </c>
      <c r="AD22" s="4834"/>
      <c r="AE22" s="4825"/>
      <c r="AF22" s="2569"/>
      <c r="AG22" s="4825"/>
      <c r="AH22" s="2526"/>
      <c r="AI22" s="4825"/>
      <c r="AJ22" s="2569"/>
      <c r="AK22" s="4825"/>
      <c r="AL22" s="2569"/>
      <c r="AM22" s="4825"/>
      <c r="AN22" s="2569"/>
      <c r="AO22" s="4825"/>
      <c r="AP22" s="2569"/>
      <c r="AQ22" s="4825"/>
      <c r="AR22" s="2569"/>
      <c r="AS22" s="4825"/>
      <c r="AT22" s="2569"/>
      <c r="AU22" s="4825"/>
      <c r="AV22" s="2569"/>
      <c r="AW22" s="4825"/>
      <c r="AX22" s="2569"/>
      <c r="AY22" s="4825"/>
      <c r="AZ22" s="2569"/>
      <c r="BA22" s="4825"/>
      <c r="BB22" s="2569"/>
      <c r="BC22" s="4825"/>
      <c r="BD22" s="2569"/>
      <c r="BE22" s="4825"/>
      <c r="BF22" s="2569"/>
      <c r="BG22" s="4825"/>
      <c r="BH22" s="2569"/>
      <c r="BI22" s="4825"/>
      <c r="BJ22" s="4848"/>
      <c r="BK22" s="4834"/>
      <c r="BL22" s="4834"/>
      <c r="BM22" s="4845"/>
      <c r="BN22" s="2267"/>
      <c r="BO22" s="2261"/>
      <c r="BP22" s="2526"/>
      <c r="BQ22" s="2493"/>
      <c r="BR22" s="2493"/>
      <c r="BS22" s="2493"/>
      <c r="BT22" s="2493"/>
      <c r="BU22" s="2526"/>
    </row>
    <row r="23" spans="1:73" s="1126" customFormat="1" ht="25.5" customHeight="1" thickBot="1" x14ac:dyDescent="0.25">
      <c r="A23" s="2300"/>
      <c r="B23" s="2301"/>
      <c r="C23" s="2302"/>
      <c r="D23" s="2303"/>
      <c r="E23" s="4828"/>
      <c r="F23" s="4828"/>
      <c r="G23" s="4829"/>
      <c r="H23" s="4831"/>
      <c r="I23" s="4829"/>
      <c r="J23" s="4831"/>
      <c r="K23" s="4829"/>
      <c r="L23" s="4831"/>
      <c r="M23" s="4829"/>
      <c r="N23" s="4831"/>
      <c r="O23" s="4849"/>
      <c r="P23" s="4849"/>
      <c r="Q23" s="4853"/>
      <c r="R23" s="4854"/>
      <c r="S23" s="4850"/>
      <c r="T23" s="4855"/>
      <c r="U23" s="4854"/>
      <c r="V23" s="4838"/>
      <c r="W23" s="2507"/>
      <c r="X23" s="2313">
        <v>38625517.93</v>
      </c>
      <c r="Y23" s="2467">
        <v>0</v>
      </c>
      <c r="Z23" s="2467">
        <v>0</v>
      </c>
      <c r="AA23" s="2472" t="s">
        <v>3365</v>
      </c>
      <c r="AB23" s="2260">
        <v>12</v>
      </c>
      <c r="AC23" s="2260" t="s">
        <v>3304</v>
      </c>
      <c r="AD23" s="4834"/>
      <c r="AE23" s="4825"/>
      <c r="AF23" s="2569"/>
      <c r="AG23" s="4825"/>
      <c r="AH23" s="2526"/>
      <c r="AI23" s="4825"/>
      <c r="AJ23" s="2569"/>
      <c r="AK23" s="4825"/>
      <c r="AL23" s="2569"/>
      <c r="AM23" s="4825"/>
      <c r="AN23" s="2569"/>
      <c r="AO23" s="4825"/>
      <c r="AP23" s="2569"/>
      <c r="AQ23" s="4825"/>
      <c r="AR23" s="2569"/>
      <c r="AS23" s="4825"/>
      <c r="AT23" s="2569"/>
      <c r="AU23" s="4825"/>
      <c r="AV23" s="2569"/>
      <c r="AW23" s="4825"/>
      <c r="AX23" s="2569"/>
      <c r="AY23" s="4825"/>
      <c r="AZ23" s="2569"/>
      <c r="BA23" s="4825"/>
      <c r="BB23" s="2569"/>
      <c r="BC23" s="4825"/>
      <c r="BD23" s="2569"/>
      <c r="BE23" s="4825"/>
      <c r="BF23" s="2569"/>
      <c r="BG23" s="4825"/>
      <c r="BH23" s="2569"/>
      <c r="BI23" s="4825"/>
      <c r="BJ23" s="4848"/>
      <c r="BK23" s="4834"/>
      <c r="BL23" s="4834"/>
      <c r="BM23" s="4845"/>
      <c r="BN23" s="2267"/>
      <c r="BO23" s="2261"/>
      <c r="BP23" s="2526"/>
      <c r="BQ23" s="2493"/>
      <c r="BR23" s="2493"/>
      <c r="BS23" s="2493"/>
      <c r="BT23" s="2493"/>
      <c r="BU23" s="2526"/>
    </row>
    <row r="24" spans="1:73" s="1126" customFormat="1" ht="25.5" customHeight="1" thickTop="1" x14ac:dyDescent="0.2">
      <c r="A24" s="2308"/>
      <c r="B24" s="2309"/>
      <c r="C24" s="2308"/>
      <c r="D24" s="2309"/>
      <c r="E24" s="4"/>
      <c r="F24" s="4"/>
      <c r="G24" s="4843">
        <v>4301037</v>
      </c>
      <c r="H24" s="2518" t="s">
        <v>3366</v>
      </c>
      <c r="I24" s="4843">
        <v>4301037</v>
      </c>
      <c r="J24" s="2518" t="s">
        <v>3366</v>
      </c>
      <c r="K24" s="4829">
        <v>430103701</v>
      </c>
      <c r="L24" s="4844" t="s">
        <v>3367</v>
      </c>
      <c r="M24" s="4829">
        <v>430103701</v>
      </c>
      <c r="N24" s="4844" t="s">
        <v>3367</v>
      </c>
      <c r="O24" s="4849">
        <v>12</v>
      </c>
      <c r="P24" s="4849">
        <v>12</v>
      </c>
      <c r="Q24" s="4853"/>
      <c r="R24" s="4854"/>
      <c r="S24" s="4850">
        <f>SUM(X24:X31)/T13</f>
        <v>0.15313719224036096</v>
      </c>
      <c r="T24" s="4855"/>
      <c r="U24" s="4854"/>
      <c r="V24" s="4836" t="s">
        <v>3368</v>
      </c>
      <c r="W24" s="2507" t="s">
        <v>3369</v>
      </c>
      <c r="X24" s="2312">
        <v>65820060</v>
      </c>
      <c r="Y24" s="2313">
        <v>49675853.840000004</v>
      </c>
      <c r="Z24" s="2313">
        <v>49675853.840000004</v>
      </c>
      <c r="AA24" s="2472" t="s">
        <v>3370</v>
      </c>
      <c r="AB24" s="2260">
        <v>12</v>
      </c>
      <c r="AC24" s="2260" t="s">
        <v>3304</v>
      </c>
      <c r="AD24" s="4834"/>
      <c r="AE24" s="4825"/>
      <c r="AF24" s="2569"/>
      <c r="AG24" s="4825"/>
      <c r="AH24" s="2526"/>
      <c r="AI24" s="4825"/>
      <c r="AJ24" s="2569"/>
      <c r="AK24" s="4825"/>
      <c r="AL24" s="2569"/>
      <c r="AM24" s="4825"/>
      <c r="AN24" s="2569"/>
      <c r="AO24" s="4825"/>
      <c r="AP24" s="2569"/>
      <c r="AQ24" s="4825"/>
      <c r="AR24" s="2569"/>
      <c r="AS24" s="4825"/>
      <c r="AT24" s="2569"/>
      <c r="AU24" s="4825"/>
      <c r="AV24" s="2569"/>
      <c r="AW24" s="4825"/>
      <c r="AX24" s="2569"/>
      <c r="AY24" s="4825"/>
      <c r="AZ24" s="2569"/>
      <c r="BA24" s="4825"/>
      <c r="BB24" s="2569"/>
      <c r="BC24" s="4825"/>
      <c r="BD24" s="2569"/>
      <c r="BE24" s="4825"/>
      <c r="BF24" s="2569"/>
      <c r="BG24" s="4825"/>
      <c r="BH24" s="2569"/>
      <c r="BI24" s="4825"/>
      <c r="BJ24" s="4848"/>
      <c r="BK24" s="4834"/>
      <c r="BL24" s="4834"/>
      <c r="BM24" s="4845"/>
      <c r="BN24" s="2265">
        <v>12</v>
      </c>
      <c r="BO24" s="2265" t="s">
        <v>3304</v>
      </c>
      <c r="BP24" s="2526"/>
      <c r="BQ24" s="2493"/>
      <c r="BR24" s="2493"/>
      <c r="BS24" s="2493"/>
      <c r="BT24" s="2493"/>
      <c r="BU24" s="2526"/>
    </row>
    <row r="25" spans="1:73" s="1126" customFormat="1" ht="25.5" customHeight="1" x14ac:dyDescent="0.2">
      <c r="A25" s="2308"/>
      <c r="B25" s="2309"/>
      <c r="C25" s="2308"/>
      <c r="D25" s="2309"/>
      <c r="E25" s="4"/>
      <c r="F25" s="4"/>
      <c r="G25" s="4843"/>
      <c r="H25" s="2519"/>
      <c r="I25" s="4843"/>
      <c r="J25" s="2519"/>
      <c r="K25" s="4829"/>
      <c r="L25" s="4844"/>
      <c r="M25" s="4829"/>
      <c r="N25" s="4844"/>
      <c r="O25" s="4849"/>
      <c r="P25" s="4849"/>
      <c r="Q25" s="4853"/>
      <c r="R25" s="4854"/>
      <c r="S25" s="4850"/>
      <c r="T25" s="4855"/>
      <c r="U25" s="4854"/>
      <c r="V25" s="4837"/>
      <c r="W25" s="2507"/>
      <c r="X25" s="2312">
        <v>125000000</v>
      </c>
      <c r="Y25" s="2313">
        <v>96569799</v>
      </c>
      <c r="Z25" s="2313">
        <v>96569799</v>
      </c>
      <c r="AA25" s="2472" t="s">
        <v>3371</v>
      </c>
      <c r="AB25" s="2260">
        <v>7</v>
      </c>
      <c r="AC25" s="2260" t="s">
        <v>3360</v>
      </c>
      <c r="AD25" s="4834"/>
      <c r="AE25" s="4825"/>
      <c r="AF25" s="2569"/>
      <c r="AG25" s="4825"/>
      <c r="AH25" s="2526"/>
      <c r="AI25" s="4825"/>
      <c r="AJ25" s="2569"/>
      <c r="AK25" s="4825"/>
      <c r="AL25" s="2569"/>
      <c r="AM25" s="4825"/>
      <c r="AN25" s="2569"/>
      <c r="AO25" s="4825"/>
      <c r="AP25" s="2569"/>
      <c r="AQ25" s="4825"/>
      <c r="AR25" s="2569"/>
      <c r="AS25" s="4825"/>
      <c r="AT25" s="2569"/>
      <c r="AU25" s="4825"/>
      <c r="AV25" s="2569"/>
      <c r="AW25" s="4825"/>
      <c r="AX25" s="2569"/>
      <c r="AY25" s="4825"/>
      <c r="AZ25" s="2569"/>
      <c r="BA25" s="4825"/>
      <c r="BB25" s="2569"/>
      <c r="BC25" s="4825"/>
      <c r="BD25" s="2569"/>
      <c r="BE25" s="4825"/>
      <c r="BF25" s="2569"/>
      <c r="BG25" s="4825"/>
      <c r="BH25" s="2569"/>
      <c r="BI25" s="4825"/>
      <c r="BJ25" s="4848"/>
      <c r="BK25" s="4834"/>
      <c r="BL25" s="4834"/>
      <c r="BM25" s="4845"/>
      <c r="BN25" s="2265"/>
      <c r="BO25" s="2265"/>
      <c r="BP25" s="2526"/>
      <c r="BQ25" s="2493"/>
      <c r="BR25" s="2493"/>
      <c r="BS25" s="2493"/>
      <c r="BT25" s="2493"/>
      <c r="BU25" s="2526"/>
    </row>
    <row r="26" spans="1:73" s="1126" customFormat="1" ht="25.5" customHeight="1" x14ac:dyDescent="0.2">
      <c r="A26" s="2308"/>
      <c r="B26" s="2309"/>
      <c r="C26" s="2308"/>
      <c r="D26" s="2309"/>
      <c r="E26" s="4"/>
      <c r="F26" s="4"/>
      <c r="G26" s="4843"/>
      <c r="H26" s="2519"/>
      <c r="I26" s="4843"/>
      <c r="J26" s="2519"/>
      <c r="K26" s="4829"/>
      <c r="L26" s="4844"/>
      <c r="M26" s="4829"/>
      <c r="N26" s="4844"/>
      <c r="O26" s="4849"/>
      <c r="P26" s="4849"/>
      <c r="Q26" s="4853"/>
      <c r="R26" s="4854"/>
      <c r="S26" s="4850"/>
      <c r="T26" s="4855"/>
      <c r="U26" s="4854"/>
      <c r="V26" s="4838"/>
      <c r="W26" s="2507"/>
      <c r="X26" s="2312">
        <v>40000000</v>
      </c>
      <c r="Y26" s="2313">
        <v>40000000</v>
      </c>
      <c r="Z26" s="2313">
        <v>40000000</v>
      </c>
      <c r="AA26" s="2472" t="s">
        <v>3372</v>
      </c>
      <c r="AB26" s="2260">
        <v>24</v>
      </c>
      <c r="AC26" s="2260" t="s">
        <v>3373</v>
      </c>
      <c r="AD26" s="4834"/>
      <c r="AE26" s="4825"/>
      <c r="AF26" s="2569"/>
      <c r="AG26" s="4825"/>
      <c r="AH26" s="2526"/>
      <c r="AI26" s="4825"/>
      <c r="AJ26" s="2569"/>
      <c r="AK26" s="4825"/>
      <c r="AL26" s="2569"/>
      <c r="AM26" s="4825"/>
      <c r="AN26" s="2569"/>
      <c r="AO26" s="4825"/>
      <c r="AP26" s="2569"/>
      <c r="AQ26" s="4825"/>
      <c r="AR26" s="2569"/>
      <c r="AS26" s="4825"/>
      <c r="AT26" s="2569"/>
      <c r="AU26" s="4825"/>
      <c r="AV26" s="2569"/>
      <c r="AW26" s="4825"/>
      <c r="AX26" s="2569"/>
      <c r="AY26" s="4825"/>
      <c r="AZ26" s="2569"/>
      <c r="BA26" s="4825"/>
      <c r="BB26" s="2569"/>
      <c r="BC26" s="4825"/>
      <c r="BD26" s="2569"/>
      <c r="BE26" s="4825"/>
      <c r="BF26" s="2569"/>
      <c r="BG26" s="4825"/>
      <c r="BH26" s="2569"/>
      <c r="BI26" s="4825"/>
      <c r="BJ26" s="4848"/>
      <c r="BK26" s="4834"/>
      <c r="BL26" s="4834"/>
      <c r="BM26" s="4845"/>
      <c r="BN26" s="2267">
        <v>24</v>
      </c>
      <c r="BO26" s="2262" t="s">
        <v>3373</v>
      </c>
      <c r="BP26" s="2526"/>
      <c r="BQ26" s="2493"/>
      <c r="BR26" s="2493"/>
      <c r="BS26" s="2493"/>
      <c r="BT26" s="2493"/>
      <c r="BU26" s="2526"/>
    </row>
    <row r="27" spans="1:73" s="1126" customFormat="1" ht="25.5" customHeight="1" x14ac:dyDescent="0.2">
      <c r="A27" s="2308"/>
      <c r="B27" s="2309"/>
      <c r="C27" s="2308"/>
      <c r="D27" s="2309"/>
      <c r="E27" s="4"/>
      <c r="F27" s="4"/>
      <c r="G27" s="4843"/>
      <c r="H27" s="2519"/>
      <c r="I27" s="4843"/>
      <c r="J27" s="2519"/>
      <c r="K27" s="4829"/>
      <c r="L27" s="4844"/>
      <c r="M27" s="4829"/>
      <c r="N27" s="4844"/>
      <c r="O27" s="4849"/>
      <c r="P27" s="4849"/>
      <c r="Q27" s="4853"/>
      <c r="R27" s="4854"/>
      <c r="S27" s="4850"/>
      <c r="T27" s="4855"/>
      <c r="U27" s="4854"/>
      <c r="V27" s="4838"/>
      <c r="W27" s="2507" t="s">
        <v>3374</v>
      </c>
      <c r="X27" s="2312">
        <v>0</v>
      </c>
      <c r="Y27" s="2312">
        <v>0</v>
      </c>
      <c r="Z27" s="2312">
        <v>0</v>
      </c>
      <c r="AA27" s="2472" t="s">
        <v>3532</v>
      </c>
      <c r="AB27" s="2260">
        <v>7</v>
      </c>
      <c r="AC27" s="2260" t="s">
        <v>3360</v>
      </c>
      <c r="AD27" s="4834"/>
      <c r="AE27" s="4825"/>
      <c r="AF27" s="2569"/>
      <c r="AG27" s="4825"/>
      <c r="AH27" s="2526"/>
      <c r="AI27" s="4825"/>
      <c r="AJ27" s="2569"/>
      <c r="AK27" s="4825"/>
      <c r="AL27" s="2569"/>
      <c r="AM27" s="4825"/>
      <c r="AN27" s="2569"/>
      <c r="AO27" s="4825"/>
      <c r="AP27" s="2569"/>
      <c r="AQ27" s="4825"/>
      <c r="AR27" s="2569"/>
      <c r="AS27" s="4825"/>
      <c r="AT27" s="2569"/>
      <c r="AU27" s="4825"/>
      <c r="AV27" s="2569"/>
      <c r="AW27" s="4825"/>
      <c r="AX27" s="2569"/>
      <c r="AY27" s="4825"/>
      <c r="AZ27" s="2569"/>
      <c r="BA27" s="4825"/>
      <c r="BB27" s="2569"/>
      <c r="BC27" s="4825"/>
      <c r="BD27" s="2569"/>
      <c r="BE27" s="4825"/>
      <c r="BF27" s="2569"/>
      <c r="BG27" s="4825"/>
      <c r="BH27" s="2569"/>
      <c r="BI27" s="4825"/>
      <c r="BJ27" s="4848"/>
      <c r="BK27" s="4834"/>
      <c r="BL27" s="4834"/>
      <c r="BM27" s="4845"/>
      <c r="BN27" s="2267"/>
      <c r="BO27" s="2262"/>
      <c r="BP27" s="2526"/>
      <c r="BQ27" s="2493"/>
      <c r="BR27" s="2493"/>
      <c r="BS27" s="2493"/>
      <c r="BT27" s="2493"/>
      <c r="BU27" s="2526"/>
    </row>
    <row r="28" spans="1:73" s="1126" customFormat="1" ht="25.5" customHeight="1" x14ac:dyDescent="0.2">
      <c r="A28" s="2308"/>
      <c r="B28" s="2309"/>
      <c r="C28" s="2308"/>
      <c r="D28" s="2309"/>
      <c r="E28" s="4"/>
      <c r="F28" s="4"/>
      <c r="G28" s="4843"/>
      <c r="H28" s="2519"/>
      <c r="I28" s="4843"/>
      <c r="J28" s="2519"/>
      <c r="K28" s="4829"/>
      <c r="L28" s="4844"/>
      <c r="M28" s="4829"/>
      <c r="N28" s="4844"/>
      <c r="O28" s="4849"/>
      <c r="P28" s="4849"/>
      <c r="Q28" s="4853"/>
      <c r="R28" s="4854"/>
      <c r="S28" s="4850"/>
      <c r="T28" s="4855"/>
      <c r="U28" s="4854"/>
      <c r="V28" s="4838"/>
      <c r="W28" s="2507"/>
      <c r="X28" s="2312">
        <v>111000000</v>
      </c>
      <c r="Y28" s="2313">
        <v>90448006.159999996</v>
      </c>
      <c r="Z28" s="2313">
        <v>90448006.159999996</v>
      </c>
      <c r="AA28" s="2473" t="s">
        <v>3375</v>
      </c>
      <c r="AB28" s="2260">
        <v>12</v>
      </c>
      <c r="AC28" s="2260" t="s">
        <v>3304</v>
      </c>
      <c r="AD28" s="4834"/>
      <c r="AE28" s="4825"/>
      <c r="AF28" s="2569"/>
      <c r="AG28" s="4825"/>
      <c r="AH28" s="2526"/>
      <c r="AI28" s="4825"/>
      <c r="AJ28" s="2569"/>
      <c r="AK28" s="4825"/>
      <c r="AL28" s="2569"/>
      <c r="AM28" s="4825"/>
      <c r="AN28" s="2569"/>
      <c r="AO28" s="4825"/>
      <c r="AP28" s="2569"/>
      <c r="AQ28" s="4825"/>
      <c r="AR28" s="2569"/>
      <c r="AS28" s="4825"/>
      <c r="AT28" s="2569"/>
      <c r="AU28" s="4825"/>
      <c r="AV28" s="2569"/>
      <c r="AW28" s="4825"/>
      <c r="AX28" s="2569"/>
      <c r="AY28" s="4825"/>
      <c r="AZ28" s="2569"/>
      <c r="BA28" s="4825"/>
      <c r="BB28" s="2569"/>
      <c r="BC28" s="4825"/>
      <c r="BD28" s="2569"/>
      <c r="BE28" s="4825"/>
      <c r="BF28" s="2569"/>
      <c r="BG28" s="4825"/>
      <c r="BH28" s="2569"/>
      <c r="BI28" s="4825"/>
      <c r="BJ28" s="4848"/>
      <c r="BK28" s="4834"/>
      <c r="BL28" s="4834"/>
      <c r="BM28" s="4845"/>
      <c r="BN28" s="2265"/>
      <c r="BO28" s="2265"/>
      <c r="BP28" s="2526"/>
      <c r="BQ28" s="2493"/>
      <c r="BR28" s="2493"/>
      <c r="BS28" s="2493"/>
      <c r="BT28" s="2493"/>
      <c r="BU28" s="2526"/>
    </row>
    <row r="29" spans="1:73" s="1126" customFormat="1" ht="25.5" customHeight="1" x14ac:dyDescent="0.2">
      <c r="A29" s="2308"/>
      <c r="B29" s="2309"/>
      <c r="C29" s="2308"/>
      <c r="D29" s="2309"/>
      <c r="E29" s="4"/>
      <c r="F29" s="4"/>
      <c r="G29" s="4843"/>
      <c r="H29" s="2519"/>
      <c r="I29" s="4843"/>
      <c r="J29" s="2519"/>
      <c r="K29" s="4829"/>
      <c r="L29" s="4844"/>
      <c r="M29" s="4829"/>
      <c r="N29" s="4844"/>
      <c r="O29" s="4849"/>
      <c r="P29" s="4849"/>
      <c r="Q29" s="4853"/>
      <c r="R29" s="4854"/>
      <c r="S29" s="4850"/>
      <c r="T29" s="4855"/>
      <c r="U29" s="4854"/>
      <c r="V29" s="4838"/>
      <c r="W29" s="2507" t="s">
        <v>3376</v>
      </c>
      <c r="X29" s="2312">
        <v>68338279.909999996</v>
      </c>
      <c r="Y29" s="2313">
        <v>68338279.909999996</v>
      </c>
      <c r="Z29" s="2313">
        <v>68338279.909999996</v>
      </c>
      <c r="AA29" s="2473" t="s">
        <v>3377</v>
      </c>
      <c r="AB29" s="2260">
        <v>21</v>
      </c>
      <c r="AC29" s="2260" t="s">
        <v>3378</v>
      </c>
      <c r="AD29" s="4834"/>
      <c r="AE29" s="4825"/>
      <c r="AF29" s="2569"/>
      <c r="AG29" s="4825"/>
      <c r="AH29" s="2526"/>
      <c r="AI29" s="4825"/>
      <c r="AJ29" s="2569"/>
      <c r="AK29" s="4825"/>
      <c r="AL29" s="2569"/>
      <c r="AM29" s="4825"/>
      <c r="AN29" s="2569"/>
      <c r="AO29" s="4825"/>
      <c r="AP29" s="2569"/>
      <c r="AQ29" s="4825"/>
      <c r="AR29" s="2569"/>
      <c r="AS29" s="4825"/>
      <c r="AT29" s="2569"/>
      <c r="AU29" s="4825"/>
      <c r="AV29" s="2569"/>
      <c r="AW29" s="4825"/>
      <c r="AX29" s="2569"/>
      <c r="AY29" s="4825"/>
      <c r="AZ29" s="2569"/>
      <c r="BA29" s="4825"/>
      <c r="BB29" s="2569"/>
      <c r="BC29" s="4825"/>
      <c r="BD29" s="2569"/>
      <c r="BE29" s="4825"/>
      <c r="BF29" s="2569"/>
      <c r="BG29" s="4825"/>
      <c r="BH29" s="2569"/>
      <c r="BI29" s="4825"/>
      <c r="BJ29" s="4848"/>
      <c r="BK29" s="4834"/>
      <c r="BL29" s="4834"/>
      <c r="BM29" s="4845"/>
      <c r="BN29" s="2265"/>
      <c r="BO29" s="2265"/>
      <c r="BP29" s="2526"/>
      <c r="BQ29" s="2493"/>
      <c r="BR29" s="2493"/>
      <c r="BS29" s="2493"/>
      <c r="BT29" s="2493"/>
      <c r="BU29" s="2526"/>
    </row>
    <row r="30" spans="1:73" s="1126" customFormat="1" ht="25.5" customHeight="1" x14ac:dyDescent="0.2">
      <c r="A30" s="2308"/>
      <c r="B30" s="2309"/>
      <c r="C30" s="2308"/>
      <c r="D30" s="2309"/>
      <c r="E30" s="4"/>
      <c r="F30" s="4"/>
      <c r="G30" s="4843"/>
      <c r="H30" s="2519"/>
      <c r="I30" s="4843"/>
      <c r="J30" s="2519"/>
      <c r="K30" s="4829"/>
      <c r="L30" s="4844"/>
      <c r="M30" s="4829"/>
      <c r="N30" s="4844"/>
      <c r="O30" s="4849"/>
      <c r="P30" s="4849"/>
      <c r="Q30" s="4853"/>
      <c r="R30" s="4854"/>
      <c r="S30" s="4850"/>
      <c r="T30" s="4855"/>
      <c r="U30" s="4854"/>
      <c r="V30" s="4839"/>
      <c r="W30" s="2507"/>
      <c r="X30" s="2312">
        <v>0</v>
      </c>
      <c r="Y30" s="2312">
        <v>0</v>
      </c>
      <c r="Z30" s="2312">
        <v>0</v>
      </c>
      <c r="AA30" s="2473" t="s">
        <v>3533</v>
      </c>
      <c r="AB30" s="2260">
        <v>7</v>
      </c>
      <c r="AC30" s="2260" t="s">
        <v>3360</v>
      </c>
      <c r="AD30" s="4834"/>
      <c r="AE30" s="4825"/>
      <c r="AF30" s="2569"/>
      <c r="AG30" s="4825"/>
      <c r="AH30" s="2526"/>
      <c r="AI30" s="4825"/>
      <c r="AJ30" s="2569"/>
      <c r="AK30" s="4825"/>
      <c r="AL30" s="2569"/>
      <c r="AM30" s="4825"/>
      <c r="AN30" s="2569"/>
      <c r="AO30" s="4825"/>
      <c r="AP30" s="2569"/>
      <c r="AQ30" s="4825"/>
      <c r="AR30" s="2569"/>
      <c r="AS30" s="4825"/>
      <c r="AT30" s="2569"/>
      <c r="AU30" s="4825"/>
      <c r="AV30" s="2569"/>
      <c r="AW30" s="4825"/>
      <c r="AX30" s="2569"/>
      <c r="AY30" s="4825"/>
      <c r="AZ30" s="2569"/>
      <c r="BA30" s="4825"/>
      <c r="BB30" s="2569"/>
      <c r="BC30" s="4825"/>
      <c r="BD30" s="2569"/>
      <c r="BE30" s="4825"/>
      <c r="BF30" s="2569"/>
      <c r="BG30" s="4825"/>
      <c r="BH30" s="2569"/>
      <c r="BI30" s="4825"/>
      <c r="BJ30" s="4848"/>
      <c r="BK30" s="4834"/>
      <c r="BL30" s="4834"/>
      <c r="BM30" s="4845"/>
      <c r="BN30" s="2265"/>
      <c r="BO30" s="2265"/>
      <c r="BP30" s="2526"/>
      <c r="BQ30" s="2493"/>
      <c r="BR30" s="2493"/>
      <c r="BS30" s="2493"/>
      <c r="BT30" s="2493"/>
      <c r="BU30" s="2526"/>
    </row>
    <row r="31" spans="1:73" s="1126" customFormat="1" ht="25.5" customHeight="1" thickBot="1" x14ac:dyDescent="0.25">
      <c r="A31" s="2308"/>
      <c r="B31" s="2309"/>
      <c r="C31" s="2308"/>
      <c r="D31" s="2309"/>
      <c r="E31" s="4"/>
      <c r="F31" s="4"/>
      <c r="G31" s="4843"/>
      <c r="H31" s="2519"/>
      <c r="I31" s="4843"/>
      <c r="J31" s="2519"/>
      <c r="K31" s="4829"/>
      <c r="L31" s="4844"/>
      <c r="M31" s="4829"/>
      <c r="N31" s="4844"/>
      <c r="O31" s="4849"/>
      <c r="P31" s="4849"/>
      <c r="Q31" s="4853"/>
      <c r="R31" s="4854"/>
      <c r="S31" s="4850"/>
      <c r="T31" s="4855"/>
      <c r="U31" s="4854"/>
      <c r="V31" s="4839"/>
      <c r="W31" s="2507"/>
      <c r="X31" s="2312">
        <v>25867211.93</v>
      </c>
      <c r="Y31" s="2313">
        <v>25867211.93</v>
      </c>
      <c r="Z31" s="2313">
        <v>25867211.93</v>
      </c>
      <c r="AA31" s="2473" t="s">
        <v>3379</v>
      </c>
      <c r="AB31" s="2260">
        <v>22</v>
      </c>
      <c r="AC31" s="2260" t="s">
        <v>3380</v>
      </c>
      <c r="AD31" s="4834"/>
      <c r="AE31" s="4825"/>
      <c r="AF31" s="2569"/>
      <c r="AG31" s="4825"/>
      <c r="AH31" s="2526"/>
      <c r="AI31" s="4825"/>
      <c r="AJ31" s="2569"/>
      <c r="AK31" s="4825"/>
      <c r="AL31" s="2569"/>
      <c r="AM31" s="4825"/>
      <c r="AN31" s="2569"/>
      <c r="AO31" s="4825"/>
      <c r="AP31" s="2569"/>
      <c r="AQ31" s="4825"/>
      <c r="AR31" s="2569"/>
      <c r="AS31" s="4825"/>
      <c r="AT31" s="2569"/>
      <c r="AU31" s="4825"/>
      <c r="AV31" s="2569"/>
      <c r="AW31" s="4825"/>
      <c r="AX31" s="2569"/>
      <c r="AY31" s="4825"/>
      <c r="AZ31" s="2569"/>
      <c r="BA31" s="4825"/>
      <c r="BB31" s="2569"/>
      <c r="BC31" s="4825"/>
      <c r="BD31" s="2569"/>
      <c r="BE31" s="4825"/>
      <c r="BF31" s="2569"/>
      <c r="BG31" s="4825"/>
      <c r="BH31" s="2569"/>
      <c r="BI31" s="4825"/>
      <c r="BJ31" s="4848"/>
      <c r="BK31" s="4834"/>
      <c r="BL31" s="4834"/>
      <c r="BM31" s="4845"/>
      <c r="BN31" s="2265"/>
      <c r="BO31" s="2265"/>
      <c r="BP31" s="2526"/>
      <c r="BQ31" s="2493"/>
      <c r="BR31" s="2493"/>
      <c r="BS31" s="2493"/>
      <c r="BT31" s="2493"/>
      <c r="BU31" s="2526"/>
    </row>
    <row r="32" spans="1:73" s="1126" customFormat="1" ht="25.5" customHeight="1" thickTop="1" x14ac:dyDescent="0.2">
      <c r="A32" s="2308"/>
      <c r="B32" s="2309"/>
      <c r="C32" s="2308"/>
      <c r="D32" s="2309"/>
      <c r="E32" s="4"/>
      <c r="F32" s="4"/>
      <c r="G32" s="4843"/>
      <c r="H32" s="2519"/>
      <c r="I32" s="4843"/>
      <c r="J32" s="2519"/>
      <c r="K32" s="4829">
        <v>430103704</v>
      </c>
      <c r="L32" s="4844" t="s">
        <v>3381</v>
      </c>
      <c r="M32" s="4829">
        <v>430103704</v>
      </c>
      <c r="N32" s="4844" t="s">
        <v>3381</v>
      </c>
      <c r="O32" s="4849">
        <v>12</v>
      </c>
      <c r="P32" s="4849">
        <v>12</v>
      </c>
      <c r="Q32" s="4853"/>
      <c r="R32" s="4854"/>
      <c r="S32" s="4850">
        <f>SUM(X32:X46)/T13</f>
        <v>0.30593340777684552</v>
      </c>
      <c r="T32" s="4855"/>
      <c r="U32" s="4854"/>
      <c r="V32" s="4836" t="s">
        <v>3382</v>
      </c>
      <c r="W32" s="2507" t="s">
        <v>3383</v>
      </c>
      <c r="X32" s="2312">
        <v>136127636</v>
      </c>
      <c r="Y32" s="2312">
        <v>111986299.81999999</v>
      </c>
      <c r="Z32" s="2312">
        <v>111986299.81999999</v>
      </c>
      <c r="AA32" s="2473" t="s">
        <v>3384</v>
      </c>
      <c r="AB32" s="2260">
        <v>4</v>
      </c>
      <c r="AC32" s="2260" t="s">
        <v>3385</v>
      </c>
      <c r="AD32" s="4834"/>
      <c r="AE32" s="4825"/>
      <c r="AF32" s="2569"/>
      <c r="AG32" s="4825"/>
      <c r="AH32" s="2526"/>
      <c r="AI32" s="4825"/>
      <c r="AJ32" s="2569"/>
      <c r="AK32" s="4825"/>
      <c r="AL32" s="2569"/>
      <c r="AM32" s="4825"/>
      <c r="AN32" s="2569"/>
      <c r="AO32" s="4825"/>
      <c r="AP32" s="2569"/>
      <c r="AQ32" s="4825"/>
      <c r="AR32" s="2569"/>
      <c r="AS32" s="4825"/>
      <c r="AT32" s="2569"/>
      <c r="AU32" s="4825"/>
      <c r="AV32" s="2569"/>
      <c r="AW32" s="4825"/>
      <c r="AX32" s="2569"/>
      <c r="AY32" s="4825"/>
      <c r="AZ32" s="2569"/>
      <c r="BA32" s="4825"/>
      <c r="BB32" s="2569"/>
      <c r="BC32" s="4825"/>
      <c r="BD32" s="2569"/>
      <c r="BE32" s="4825"/>
      <c r="BF32" s="2569"/>
      <c r="BG32" s="4825"/>
      <c r="BH32" s="2569"/>
      <c r="BI32" s="4825"/>
      <c r="BJ32" s="4848"/>
      <c r="BK32" s="4834"/>
      <c r="BL32" s="4834"/>
      <c r="BM32" s="4845"/>
      <c r="BN32" s="2267">
        <v>4</v>
      </c>
      <c r="BO32" s="2261" t="s">
        <v>3385</v>
      </c>
      <c r="BP32" s="2526"/>
      <c r="BQ32" s="2493"/>
      <c r="BR32" s="2493"/>
      <c r="BS32" s="2493"/>
      <c r="BT32" s="2493"/>
      <c r="BU32" s="2526"/>
    </row>
    <row r="33" spans="1:73" s="1126" customFormat="1" ht="25.5" customHeight="1" x14ac:dyDescent="0.2">
      <c r="A33" s="2308"/>
      <c r="B33" s="2309"/>
      <c r="C33" s="2308"/>
      <c r="D33" s="2309"/>
      <c r="E33" s="4"/>
      <c r="F33" s="4"/>
      <c r="G33" s="4843"/>
      <c r="H33" s="2519"/>
      <c r="I33" s="4843"/>
      <c r="J33" s="2519"/>
      <c r="K33" s="4829"/>
      <c r="L33" s="4844"/>
      <c r="M33" s="4829"/>
      <c r="N33" s="4844"/>
      <c r="O33" s="4849"/>
      <c r="P33" s="4849"/>
      <c r="Q33" s="4853"/>
      <c r="R33" s="4854"/>
      <c r="S33" s="4850"/>
      <c r="T33" s="4855"/>
      <c r="U33" s="4854"/>
      <c r="V33" s="4838"/>
      <c r="W33" s="2507"/>
      <c r="X33" s="2312">
        <v>140800000</v>
      </c>
      <c r="Y33" s="2313">
        <v>0</v>
      </c>
      <c r="Z33" s="2313">
        <v>0</v>
      </c>
      <c r="AA33" s="2473" t="s">
        <v>3386</v>
      </c>
      <c r="AB33" s="2260">
        <v>28</v>
      </c>
      <c r="AC33" s="2260" t="s">
        <v>3387</v>
      </c>
      <c r="AD33" s="4834"/>
      <c r="AE33" s="4825"/>
      <c r="AF33" s="2569"/>
      <c r="AG33" s="4825"/>
      <c r="AH33" s="2526"/>
      <c r="AI33" s="4825"/>
      <c r="AJ33" s="2569"/>
      <c r="AK33" s="4825"/>
      <c r="AL33" s="2569"/>
      <c r="AM33" s="4825"/>
      <c r="AN33" s="2569"/>
      <c r="AO33" s="4825"/>
      <c r="AP33" s="2569"/>
      <c r="AQ33" s="4825"/>
      <c r="AR33" s="2569"/>
      <c r="AS33" s="4825"/>
      <c r="AT33" s="2569"/>
      <c r="AU33" s="4825"/>
      <c r="AV33" s="2569"/>
      <c r="AW33" s="4825"/>
      <c r="AX33" s="2569"/>
      <c r="AY33" s="4825"/>
      <c r="AZ33" s="2569"/>
      <c r="BA33" s="4825"/>
      <c r="BB33" s="2569"/>
      <c r="BC33" s="4825"/>
      <c r="BD33" s="2569"/>
      <c r="BE33" s="4825"/>
      <c r="BF33" s="2569"/>
      <c r="BG33" s="4825"/>
      <c r="BH33" s="2569"/>
      <c r="BI33" s="4825"/>
      <c r="BJ33" s="4848"/>
      <c r="BK33" s="4834"/>
      <c r="BL33" s="4834"/>
      <c r="BM33" s="4845"/>
      <c r="BN33" s="2267"/>
      <c r="BO33" s="2261"/>
      <c r="BP33" s="2526"/>
      <c r="BQ33" s="2493"/>
      <c r="BR33" s="2493"/>
      <c r="BS33" s="2493"/>
      <c r="BT33" s="2493"/>
      <c r="BU33" s="2526"/>
    </row>
    <row r="34" spans="1:73" s="1126" customFormat="1" ht="25.5" customHeight="1" x14ac:dyDescent="0.2">
      <c r="A34" s="2308"/>
      <c r="B34" s="2309"/>
      <c r="C34" s="2308"/>
      <c r="D34" s="2309"/>
      <c r="E34" s="4"/>
      <c r="F34" s="4"/>
      <c r="G34" s="4843"/>
      <c r="H34" s="2519"/>
      <c r="I34" s="4843"/>
      <c r="J34" s="2519"/>
      <c r="K34" s="4829"/>
      <c r="L34" s="4844"/>
      <c r="M34" s="4829"/>
      <c r="N34" s="4844"/>
      <c r="O34" s="4849"/>
      <c r="P34" s="4849"/>
      <c r="Q34" s="4853"/>
      <c r="R34" s="4854"/>
      <c r="S34" s="4850"/>
      <c r="T34" s="4855"/>
      <c r="U34" s="4854"/>
      <c r="V34" s="4838"/>
      <c r="W34" s="2507"/>
      <c r="X34" s="2312">
        <v>70000000</v>
      </c>
      <c r="Y34" s="2313">
        <v>67705000</v>
      </c>
      <c r="Z34" s="2313">
        <v>67705000</v>
      </c>
      <c r="AA34" s="2473" t="s">
        <v>3372</v>
      </c>
      <c r="AB34" s="2260">
        <v>24</v>
      </c>
      <c r="AC34" s="2260" t="s">
        <v>3373</v>
      </c>
      <c r="AD34" s="4834"/>
      <c r="AE34" s="4825"/>
      <c r="AF34" s="2569"/>
      <c r="AG34" s="4825"/>
      <c r="AH34" s="2526"/>
      <c r="AI34" s="4825"/>
      <c r="AJ34" s="2569"/>
      <c r="AK34" s="4825"/>
      <c r="AL34" s="2569"/>
      <c r="AM34" s="4825"/>
      <c r="AN34" s="2569"/>
      <c r="AO34" s="4825"/>
      <c r="AP34" s="2569"/>
      <c r="AQ34" s="4825"/>
      <c r="AR34" s="2569"/>
      <c r="AS34" s="4825"/>
      <c r="AT34" s="2569"/>
      <c r="AU34" s="4825"/>
      <c r="AV34" s="2569"/>
      <c r="AW34" s="4825"/>
      <c r="AX34" s="2569"/>
      <c r="AY34" s="4825"/>
      <c r="AZ34" s="2569"/>
      <c r="BA34" s="4825"/>
      <c r="BB34" s="2569"/>
      <c r="BC34" s="4825"/>
      <c r="BD34" s="2569"/>
      <c r="BE34" s="4825"/>
      <c r="BF34" s="2569"/>
      <c r="BG34" s="4825"/>
      <c r="BH34" s="2569"/>
      <c r="BI34" s="4825"/>
      <c r="BJ34" s="4848"/>
      <c r="BK34" s="4834"/>
      <c r="BL34" s="4834"/>
      <c r="BM34" s="4845"/>
      <c r="BN34" s="2267">
        <v>24</v>
      </c>
      <c r="BO34" s="2262" t="s">
        <v>3373</v>
      </c>
      <c r="BP34" s="2526"/>
      <c r="BQ34" s="2493"/>
      <c r="BR34" s="2493"/>
      <c r="BS34" s="2493"/>
      <c r="BT34" s="2493"/>
      <c r="BU34" s="2526"/>
    </row>
    <row r="35" spans="1:73" s="1126" customFormat="1" ht="25.5" customHeight="1" x14ac:dyDescent="0.2">
      <c r="A35" s="2308"/>
      <c r="B35" s="2309"/>
      <c r="C35" s="2308"/>
      <c r="D35" s="2309"/>
      <c r="E35" s="4"/>
      <c r="F35" s="4"/>
      <c r="G35" s="4843"/>
      <c r="H35" s="2519"/>
      <c r="I35" s="4843"/>
      <c r="J35" s="2519"/>
      <c r="K35" s="4829"/>
      <c r="L35" s="4844"/>
      <c r="M35" s="4829"/>
      <c r="N35" s="4844"/>
      <c r="O35" s="4849"/>
      <c r="P35" s="4849"/>
      <c r="Q35" s="4853"/>
      <c r="R35" s="4854"/>
      <c r="S35" s="4850"/>
      <c r="T35" s="4855"/>
      <c r="U35" s="4854"/>
      <c r="V35" s="4838"/>
      <c r="W35" s="2507"/>
      <c r="X35" s="2312">
        <v>58617531.109999999</v>
      </c>
      <c r="Y35" s="2313">
        <v>55725031</v>
      </c>
      <c r="Z35" s="2313">
        <v>55725031</v>
      </c>
      <c r="AA35" s="2473" t="s">
        <v>3388</v>
      </c>
      <c r="AB35" s="2260">
        <v>21</v>
      </c>
      <c r="AC35" s="2260" t="s">
        <v>3389</v>
      </c>
      <c r="AD35" s="4834"/>
      <c r="AE35" s="4825"/>
      <c r="AF35" s="2569"/>
      <c r="AG35" s="4825"/>
      <c r="AH35" s="2526"/>
      <c r="AI35" s="4825"/>
      <c r="AJ35" s="2569"/>
      <c r="AK35" s="4825"/>
      <c r="AL35" s="2569"/>
      <c r="AM35" s="4825"/>
      <c r="AN35" s="2569"/>
      <c r="AO35" s="4825"/>
      <c r="AP35" s="2569"/>
      <c r="AQ35" s="4825"/>
      <c r="AR35" s="2569"/>
      <c r="AS35" s="4825"/>
      <c r="AT35" s="2569"/>
      <c r="AU35" s="4825"/>
      <c r="AV35" s="2569"/>
      <c r="AW35" s="4825"/>
      <c r="AX35" s="2569"/>
      <c r="AY35" s="4825"/>
      <c r="AZ35" s="2569"/>
      <c r="BA35" s="4825"/>
      <c r="BB35" s="2569"/>
      <c r="BC35" s="4825"/>
      <c r="BD35" s="2569"/>
      <c r="BE35" s="4825"/>
      <c r="BF35" s="2569"/>
      <c r="BG35" s="4825"/>
      <c r="BH35" s="2569"/>
      <c r="BI35" s="4825"/>
      <c r="BJ35" s="4848"/>
      <c r="BK35" s="4834"/>
      <c r="BL35" s="4834"/>
      <c r="BM35" s="4845"/>
      <c r="BN35" s="2267">
        <v>21</v>
      </c>
      <c r="BO35" s="2261" t="s">
        <v>3389</v>
      </c>
      <c r="BP35" s="2526"/>
      <c r="BQ35" s="2493"/>
      <c r="BR35" s="2493"/>
      <c r="BS35" s="2493"/>
      <c r="BT35" s="2493"/>
      <c r="BU35" s="2526"/>
    </row>
    <row r="36" spans="1:73" s="1126" customFormat="1" ht="25.5" customHeight="1" x14ac:dyDescent="0.2">
      <c r="A36" s="2308"/>
      <c r="B36" s="2309"/>
      <c r="C36" s="2308"/>
      <c r="D36" s="2309"/>
      <c r="E36" s="4"/>
      <c r="F36" s="4"/>
      <c r="G36" s="4843"/>
      <c r="H36" s="2519"/>
      <c r="I36" s="4843"/>
      <c r="J36" s="2519"/>
      <c r="K36" s="4829"/>
      <c r="L36" s="4844"/>
      <c r="M36" s="4829"/>
      <c r="N36" s="4844"/>
      <c r="O36" s="4849"/>
      <c r="P36" s="4849"/>
      <c r="Q36" s="4853"/>
      <c r="R36" s="4854"/>
      <c r="S36" s="4850"/>
      <c r="T36" s="4855"/>
      <c r="U36" s="4854"/>
      <c r="V36" s="4838"/>
      <c r="W36" s="2507"/>
      <c r="X36" s="2312">
        <v>66355890</v>
      </c>
      <c r="Y36" s="2313">
        <v>6015000</v>
      </c>
      <c r="Z36" s="2313">
        <v>6015000</v>
      </c>
      <c r="AA36" s="2473" t="s">
        <v>3390</v>
      </c>
      <c r="AB36" s="2260">
        <v>3</v>
      </c>
      <c r="AC36" s="2260" t="s">
        <v>3391</v>
      </c>
      <c r="AD36" s="4834"/>
      <c r="AE36" s="4825"/>
      <c r="AF36" s="2569"/>
      <c r="AG36" s="4825"/>
      <c r="AH36" s="2526"/>
      <c r="AI36" s="4825"/>
      <c r="AJ36" s="2569"/>
      <c r="AK36" s="4825"/>
      <c r="AL36" s="2569"/>
      <c r="AM36" s="4825"/>
      <c r="AN36" s="2569"/>
      <c r="AO36" s="4825"/>
      <c r="AP36" s="2569"/>
      <c r="AQ36" s="4825"/>
      <c r="AR36" s="2569"/>
      <c r="AS36" s="4825"/>
      <c r="AT36" s="2569"/>
      <c r="AU36" s="4825"/>
      <c r="AV36" s="2569"/>
      <c r="AW36" s="4825"/>
      <c r="AX36" s="2569"/>
      <c r="AY36" s="4825"/>
      <c r="AZ36" s="2569"/>
      <c r="BA36" s="4825"/>
      <c r="BB36" s="2569"/>
      <c r="BC36" s="4825"/>
      <c r="BD36" s="2569"/>
      <c r="BE36" s="4825"/>
      <c r="BF36" s="2569"/>
      <c r="BG36" s="4825"/>
      <c r="BH36" s="2569"/>
      <c r="BI36" s="4825"/>
      <c r="BJ36" s="4848"/>
      <c r="BK36" s="4834"/>
      <c r="BL36" s="4834"/>
      <c r="BM36" s="4845"/>
      <c r="BN36" s="2267">
        <v>3</v>
      </c>
      <c r="BO36" s="2261" t="s">
        <v>3391</v>
      </c>
      <c r="BP36" s="2526"/>
      <c r="BQ36" s="2493"/>
      <c r="BR36" s="2493"/>
      <c r="BS36" s="2493"/>
      <c r="BT36" s="2493"/>
      <c r="BU36" s="2526"/>
    </row>
    <row r="37" spans="1:73" s="1126" customFormat="1" ht="25.5" customHeight="1" x14ac:dyDescent="0.2">
      <c r="A37" s="2308"/>
      <c r="B37" s="2309"/>
      <c r="C37" s="2308"/>
      <c r="D37" s="2309"/>
      <c r="E37" s="4"/>
      <c r="F37" s="4"/>
      <c r="G37" s="4843"/>
      <c r="H37" s="2519"/>
      <c r="I37" s="4843"/>
      <c r="J37" s="2519"/>
      <c r="K37" s="4829"/>
      <c r="L37" s="4844"/>
      <c r="M37" s="4829"/>
      <c r="N37" s="4844"/>
      <c r="O37" s="4849"/>
      <c r="P37" s="4849"/>
      <c r="Q37" s="4853"/>
      <c r="R37" s="4854"/>
      <c r="S37" s="4850"/>
      <c r="T37" s="4855"/>
      <c r="U37" s="4854"/>
      <c r="V37" s="4838"/>
      <c r="W37" s="2507" t="s">
        <v>3392</v>
      </c>
      <c r="X37" s="2312">
        <v>212157884</v>
      </c>
      <c r="Y37" s="2313">
        <v>192197436</v>
      </c>
      <c r="Z37" s="2313">
        <v>192197436</v>
      </c>
      <c r="AA37" s="2473" t="s">
        <v>3371</v>
      </c>
      <c r="AB37" s="2260">
        <v>7</v>
      </c>
      <c r="AC37" s="2260" t="s">
        <v>3360</v>
      </c>
      <c r="AD37" s="4834"/>
      <c r="AE37" s="4825"/>
      <c r="AF37" s="2569"/>
      <c r="AG37" s="4825"/>
      <c r="AH37" s="2526"/>
      <c r="AI37" s="4825"/>
      <c r="AJ37" s="2569"/>
      <c r="AK37" s="4825"/>
      <c r="AL37" s="2569"/>
      <c r="AM37" s="4825"/>
      <c r="AN37" s="2569"/>
      <c r="AO37" s="4825"/>
      <c r="AP37" s="2569"/>
      <c r="AQ37" s="4825"/>
      <c r="AR37" s="2569"/>
      <c r="AS37" s="4825"/>
      <c r="AT37" s="2569"/>
      <c r="AU37" s="4825"/>
      <c r="AV37" s="2569"/>
      <c r="AW37" s="4825"/>
      <c r="AX37" s="2569"/>
      <c r="AY37" s="4825"/>
      <c r="AZ37" s="2569"/>
      <c r="BA37" s="4825"/>
      <c r="BB37" s="2569"/>
      <c r="BC37" s="4825"/>
      <c r="BD37" s="2569"/>
      <c r="BE37" s="4825"/>
      <c r="BF37" s="2569"/>
      <c r="BG37" s="4825"/>
      <c r="BH37" s="2569"/>
      <c r="BI37" s="4825"/>
      <c r="BJ37" s="4848"/>
      <c r="BK37" s="4834"/>
      <c r="BL37" s="4834"/>
      <c r="BM37" s="4845"/>
      <c r="BN37" s="2267"/>
      <c r="BO37" s="2261"/>
      <c r="BP37" s="2526"/>
      <c r="BQ37" s="2493"/>
      <c r="BR37" s="2493"/>
      <c r="BS37" s="2493"/>
      <c r="BT37" s="2493"/>
      <c r="BU37" s="2526"/>
    </row>
    <row r="38" spans="1:73" s="1126" customFormat="1" ht="25.5" customHeight="1" x14ac:dyDescent="0.2">
      <c r="A38" s="2308"/>
      <c r="B38" s="2309"/>
      <c r="C38" s="2308"/>
      <c r="D38" s="2309"/>
      <c r="E38" s="4"/>
      <c r="F38" s="4"/>
      <c r="G38" s="4843"/>
      <c r="H38" s="2519"/>
      <c r="I38" s="4843"/>
      <c r="J38" s="2519"/>
      <c r="K38" s="4829"/>
      <c r="L38" s="4844"/>
      <c r="M38" s="4829"/>
      <c r="N38" s="4844"/>
      <c r="O38" s="4849"/>
      <c r="P38" s="4849"/>
      <c r="Q38" s="4853"/>
      <c r="R38" s="4854"/>
      <c r="S38" s="4850"/>
      <c r="T38" s="4855"/>
      <c r="U38" s="4854"/>
      <c r="V38" s="4838"/>
      <c r="W38" s="2507"/>
      <c r="X38" s="2312">
        <v>30000000</v>
      </c>
      <c r="Y38" s="2313">
        <v>0</v>
      </c>
      <c r="Z38" s="2313">
        <v>0</v>
      </c>
      <c r="AA38" s="2473" t="s">
        <v>3393</v>
      </c>
      <c r="AB38" s="2260">
        <v>9</v>
      </c>
      <c r="AC38" s="2260" t="s">
        <v>3394</v>
      </c>
      <c r="AD38" s="4834"/>
      <c r="AE38" s="4825"/>
      <c r="AF38" s="2569"/>
      <c r="AG38" s="4825"/>
      <c r="AH38" s="2526"/>
      <c r="AI38" s="4825"/>
      <c r="AJ38" s="2569"/>
      <c r="AK38" s="4825"/>
      <c r="AL38" s="2569"/>
      <c r="AM38" s="4825"/>
      <c r="AN38" s="2569"/>
      <c r="AO38" s="4825"/>
      <c r="AP38" s="2569"/>
      <c r="AQ38" s="4825"/>
      <c r="AR38" s="2569"/>
      <c r="AS38" s="4825"/>
      <c r="AT38" s="2569"/>
      <c r="AU38" s="4825"/>
      <c r="AV38" s="2569"/>
      <c r="AW38" s="4825"/>
      <c r="AX38" s="2569"/>
      <c r="AY38" s="4825"/>
      <c r="AZ38" s="2569"/>
      <c r="BA38" s="4825"/>
      <c r="BB38" s="2569"/>
      <c r="BC38" s="4825"/>
      <c r="BD38" s="2569"/>
      <c r="BE38" s="4825"/>
      <c r="BF38" s="2569"/>
      <c r="BG38" s="4825"/>
      <c r="BH38" s="2569"/>
      <c r="BI38" s="4825"/>
      <c r="BJ38" s="4848"/>
      <c r="BK38" s="4834"/>
      <c r="BL38" s="4834"/>
      <c r="BM38" s="4845"/>
      <c r="BN38" s="2267"/>
      <c r="BO38" s="2261"/>
      <c r="BP38" s="2526"/>
      <c r="BQ38" s="2493"/>
      <c r="BR38" s="2493"/>
      <c r="BS38" s="2493"/>
      <c r="BT38" s="2493"/>
      <c r="BU38" s="2526"/>
    </row>
    <row r="39" spans="1:73" s="1126" customFormat="1" ht="25.5" customHeight="1" x14ac:dyDescent="0.2">
      <c r="A39" s="2308"/>
      <c r="B39" s="2309"/>
      <c r="C39" s="2308"/>
      <c r="D39" s="2309"/>
      <c r="E39" s="4"/>
      <c r="F39" s="4"/>
      <c r="G39" s="4843"/>
      <c r="H39" s="2519"/>
      <c r="I39" s="4843"/>
      <c r="J39" s="2519"/>
      <c r="K39" s="4829"/>
      <c r="L39" s="4844"/>
      <c r="M39" s="4829"/>
      <c r="N39" s="4844"/>
      <c r="O39" s="4849"/>
      <c r="P39" s="4849"/>
      <c r="Q39" s="4853"/>
      <c r="R39" s="4854"/>
      <c r="S39" s="4850"/>
      <c r="T39" s="4855"/>
      <c r="U39" s="4854"/>
      <c r="V39" s="4838"/>
      <c r="W39" s="2507"/>
      <c r="X39" s="2312">
        <v>0</v>
      </c>
      <c r="Y39" s="2312">
        <v>0</v>
      </c>
      <c r="Z39" s="2312">
        <v>0</v>
      </c>
      <c r="AA39" s="2473" t="s">
        <v>3533</v>
      </c>
      <c r="AB39" s="2260">
        <v>7</v>
      </c>
      <c r="AC39" s="2260" t="s">
        <v>3360</v>
      </c>
      <c r="AD39" s="4834"/>
      <c r="AE39" s="4825"/>
      <c r="AF39" s="2569"/>
      <c r="AG39" s="4825"/>
      <c r="AH39" s="2526"/>
      <c r="AI39" s="4825"/>
      <c r="AJ39" s="2569"/>
      <c r="AK39" s="4825"/>
      <c r="AL39" s="2569"/>
      <c r="AM39" s="4825"/>
      <c r="AN39" s="2569"/>
      <c r="AO39" s="4825"/>
      <c r="AP39" s="2569"/>
      <c r="AQ39" s="4825"/>
      <c r="AR39" s="2569"/>
      <c r="AS39" s="4825"/>
      <c r="AT39" s="2569"/>
      <c r="AU39" s="4825"/>
      <c r="AV39" s="2569"/>
      <c r="AW39" s="4825"/>
      <c r="AX39" s="2569"/>
      <c r="AY39" s="4825"/>
      <c r="AZ39" s="2569"/>
      <c r="BA39" s="4825"/>
      <c r="BB39" s="2569"/>
      <c r="BC39" s="4825"/>
      <c r="BD39" s="2569"/>
      <c r="BE39" s="4825"/>
      <c r="BF39" s="2569"/>
      <c r="BG39" s="4825"/>
      <c r="BH39" s="2569"/>
      <c r="BI39" s="4825"/>
      <c r="BJ39" s="4848"/>
      <c r="BK39" s="4834"/>
      <c r="BL39" s="4834"/>
      <c r="BM39" s="4845"/>
      <c r="BN39" s="2267"/>
      <c r="BO39" s="2261"/>
      <c r="BP39" s="2526"/>
      <c r="BQ39" s="2493"/>
      <c r="BR39" s="2493"/>
      <c r="BS39" s="2493"/>
      <c r="BT39" s="2493"/>
      <c r="BU39" s="2526"/>
    </row>
    <row r="40" spans="1:73" s="1126" customFormat="1" ht="25.5" customHeight="1" x14ac:dyDescent="0.2">
      <c r="A40" s="2308"/>
      <c r="B40" s="2309"/>
      <c r="C40" s="2308"/>
      <c r="D40" s="2309"/>
      <c r="E40" s="4"/>
      <c r="F40" s="4"/>
      <c r="G40" s="4843"/>
      <c r="H40" s="2519"/>
      <c r="I40" s="4843"/>
      <c r="J40" s="2519"/>
      <c r="K40" s="4829"/>
      <c r="L40" s="4844"/>
      <c r="M40" s="4829"/>
      <c r="N40" s="4844"/>
      <c r="O40" s="4849"/>
      <c r="P40" s="4849"/>
      <c r="Q40" s="4853"/>
      <c r="R40" s="4854"/>
      <c r="S40" s="4850"/>
      <c r="T40" s="4855"/>
      <c r="U40" s="4854"/>
      <c r="V40" s="4838"/>
      <c r="W40" s="2507"/>
      <c r="X40" s="2312">
        <v>0</v>
      </c>
      <c r="Y40" s="2312">
        <v>0</v>
      </c>
      <c r="Z40" s="2312">
        <v>0</v>
      </c>
      <c r="AA40" s="2473" t="s">
        <v>3534</v>
      </c>
      <c r="AB40" s="2260">
        <v>28</v>
      </c>
      <c r="AC40" s="2260" t="s">
        <v>3387</v>
      </c>
      <c r="AD40" s="4834"/>
      <c r="AE40" s="4825"/>
      <c r="AF40" s="2569"/>
      <c r="AG40" s="4825"/>
      <c r="AH40" s="2526"/>
      <c r="AI40" s="4825"/>
      <c r="AJ40" s="2569"/>
      <c r="AK40" s="4825"/>
      <c r="AL40" s="2569"/>
      <c r="AM40" s="4825"/>
      <c r="AN40" s="2569"/>
      <c r="AO40" s="4825"/>
      <c r="AP40" s="2569"/>
      <c r="AQ40" s="4825"/>
      <c r="AR40" s="2569"/>
      <c r="AS40" s="4825"/>
      <c r="AT40" s="2569"/>
      <c r="AU40" s="4825"/>
      <c r="AV40" s="2569"/>
      <c r="AW40" s="4825"/>
      <c r="AX40" s="2569"/>
      <c r="AY40" s="4825"/>
      <c r="AZ40" s="2569"/>
      <c r="BA40" s="4825"/>
      <c r="BB40" s="2569"/>
      <c r="BC40" s="4825"/>
      <c r="BD40" s="2569"/>
      <c r="BE40" s="4825"/>
      <c r="BF40" s="2569"/>
      <c r="BG40" s="4825"/>
      <c r="BH40" s="2569"/>
      <c r="BI40" s="4825"/>
      <c r="BJ40" s="4848"/>
      <c r="BK40" s="4834"/>
      <c r="BL40" s="4834"/>
      <c r="BM40" s="4845"/>
      <c r="BN40" s="2267"/>
      <c r="BO40" s="2261"/>
      <c r="BP40" s="2526"/>
      <c r="BQ40" s="2493"/>
      <c r="BR40" s="2493"/>
      <c r="BS40" s="2493"/>
      <c r="BT40" s="2493"/>
      <c r="BU40" s="2526"/>
    </row>
    <row r="41" spans="1:73" s="1126" customFormat="1" ht="25.5" customHeight="1" x14ac:dyDescent="0.2">
      <c r="A41" s="2308"/>
      <c r="B41" s="2309"/>
      <c r="C41" s="2308"/>
      <c r="D41" s="2309"/>
      <c r="E41" s="4"/>
      <c r="F41" s="4"/>
      <c r="G41" s="4843"/>
      <c r="H41" s="2519"/>
      <c r="I41" s="4843"/>
      <c r="J41" s="2519"/>
      <c r="K41" s="4829"/>
      <c r="L41" s="4844"/>
      <c r="M41" s="4829"/>
      <c r="N41" s="4844"/>
      <c r="O41" s="4849"/>
      <c r="P41" s="4849"/>
      <c r="Q41" s="4853"/>
      <c r="R41" s="4854"/>
      <c r="S41" s="4850"/>
      <c r="T41" s="4855"/>
      <c r="U41" s="4854"/>
      <c r="V41" s="4838"/>
      <c r="W41" s="2507"/>
      <c r="X41" s="2312">
        <v>0</v>
      </c>
      <c r="Y41" s="2312">
        <v>0</v>
      </c>
      <c r="Z41" s="2312">
        <v>0</v>
      </c>
      <c r="AA41" s="2473" t="s">
        <v>3535</v>
      </c>
      <c r="AB41" s="2260">
        <v>28</v>
      </c>
      <c r="AC41" s="2260" t="s">
        <v>3387</v>
      </c>
      <c r="AD41" s="4834"/>
      <c r="AE41" s="4825"/>
      <c r="AF41" s="2569"/>
      <c r="AG41" s="4825"/>
      <c r="AH41" s="2526"/>
      <c r="AI41" s="4825"/>
      <c r="AJ41" s="2569"/>
      <c r="AK41" s="4825"/>
      <c r="AL41" s="2569"/>
      <c r="AM41" s="4825"/>
      <c r="AN41" s="2569"/>
      <c r="AO41" s="4825"/>
      <c r="AP41" s="2569"/>
      <c r="AQ41" s="4825"/>
      <c r="AR41" s="2569"/>
      <c r="AS41" s="4825"/>
      <c r="AT41" s="2569"/>
      <c r="AU41" s="4825"/>
      <c r="AV41" s="2569"/>
      <c r="AW41" s="4825"/>
      <c r="AX41" s="2569"/>
      <c r="AY41" s="4825"/>
      <c r="AZ41" s="2569"/>
      <c r="BA41" s="4825"/>
      <c r="BB41" s="2569"/>
      <c r="BC41" s="4825"/>
      <c r="BD41" s="2569"/>
      <c r="BE41" s="4825"/>
      <c r="BF41" s="2569"/>
      <c r="BG41" s="4825"/>
      <c r="BH41" s="2569"/>
      <c r="BI41" s="4825"/>
      <c r="BJ41" s="4848"/>
      <c r="BK41" s="4834"/>
      <c r="BL41" s="4834"/>
      <c r="BM41" s="4845"/>
      <c r="BN41" s="2267"/>
      <c r="BO41" s="2261"/>
      <c r="BP41" s="2526"/>
      <c r="BQ41" s="2493"/>
      <c r="BR41" s="2493"/>
      <c r="BS41" s="2493"/>
      <c r="BT41" s="2493"/>
      <c r="BU41" s="2526"/>
    </row>
    <row r="42" spans="1:73" s="1126" customFormat="1" ht="25.5" customHeight="1" x14ac:dyDescent="0.2">
      <c r="A42" s="2308"/>
      <c r="B42" s="2309"/>
      <c r="C42" s="2308"/>
      <c r="D42" s="2309"/>
      <c r="E42" s="4"/>
      <c r="F42" s="4"/>
      <c r="G42" s="4843"/>
      <c r="H42" s="2519"/>
      <c r="I42" s="4843"/>
      <c r="J42" s="2519"/>
      <c r="K42" s="4829"/>
      <c r="L42" s="4844"/>
      <c r="M42" s="4829"/>
      <c r="N42" s="4844"/>
      <c r="O42" s="4849"/>
      <c r="P42" s="4849"/>
      <c r="Q42" s="4853"/>
      <c r="R42" s="4854"/>
      <c r="S42" s="4850"/>
      <c r="T42" s="4855"/>
      <c r="U42" s="4854"/>
      <c r="V42" s="4838"/>
      <c r="W42" s="2507"/>
      <c r="X42" s="2312">
        <v>0</v>
      </c>
      <c r="Y42" s="2312">
        <v>0</v>
      </c>
      <c r="Z42" s="2312">
        <v>0</v>
      </c>
      <c r="AA42" s="2473" t="s">
        <v>3532</v>
      </c>
      <c r="AB42" s="2260">
        <v>7</v>
      </c>
      <c r="AC42" s="2260" t="s">
        <v>3360</v>
      </c>
      <c r="AD42" s="4834"/>
      <c r="AE42" s="4825"/>
      <c r="AF42" s="2569"/>
      <c r="AG42" s="4825"/>
      <c r="AH42" s="2526"/>
      <c r="AI42" s="4825"/>
      <c r="AJ42" s="2569"/>
      <c r="AK42" s="4825"/>
      <c r="AL42" s="2569"/>
      <c r="AM42" s="4825"/>
      <c r="AN42" s="2569"/>
      <c r="AO42" s="4825"/>
      <c r="AP42" s="2569"/>
      <c r="AQ42" s="4825"/>
      <c r="AR42" s="2569"/>
      <c r="AS42" s="4825"/>
      <c r="AT42" s="2569"/>
      <c r="AU42" s="4825"/>
      <c r="AV42" s="2569"/>
      <c r="AW42" s="4825"/>
      <c r="AX42" s="2569"/>
      <c r="AY42" s="4825"/>
      <c r="AZ42" s="2569"/>
      <c r="BA42" s="4825"/>
      <c r="BB42" s="2569"/>
      <c r="BC42" s="4825"/>
      <c r="BD42" s="2569"/>
      <c r="BE42" s="4825"/>
      <c r="BF42" s="2569"/>
      <c r="BG42" s="4825"/>
      <c r="BH42" s="2569"/>
      <c r="BI42" s="4825"/>
      <c r="BJ42" s="4848"/>
      <c r="BK42" s="4834"/>
      <c r="BL42" s="4834"/>
      <c r="BM42" s="4845"/>
      <c r="BN42" s="2267"/>
      <c r="BO42" s="2261"/>
      <c r="BP42" s="2526"/>
      <c r="BQ42" s="2493"/>
      <c r="BR42" s="2493"/>
      <c r="BS42" s="2493"/>
      <c r="BT42" s="2493"/>
      <c r="BU42" s="2526"/>
    </row>
    <row r="43" spans="1:73" s="1126" customFormat="1" ht="25.5" customHeight="1" x14ac:dyDescent="0.2">
      <c r="A43" s="2308"/>
      <c r="B43" s="2309"/>
      <c r="C43" s="2308"/>
      <c r="D43" s="2309"/>
      <c r="E43" s="4"/>
      <c r="F43" s="4"/>
      <c r="G43" s="4843"/>
      <c r="H43" s="2519"/>
      <c r="I43" s="4843"/>
      <c r="J43" s="2519"/>
      <c r="K43" s="4829"/>
      <c r="L43" s="4844"/>
      <c r="M43" s="4829"/>
      <c r="N43" s="4844"/>
      <c r="O43" s="4849"/>
      <c r="P43" s="4849"/>
      <c r="Q43" s="4853"/>
      <c r="R43" s="4854"/>
      <c r="S43" s="4850"/>
      <c r="T43" s="4855"/>
      <c r="U43" s="4854"/>
      <c r="V43" s="4838"/>
      <c r="W43" s="2507"/>
      <c r="X43" s="2312">
        <v>40000000</v>
      </c>
      <c r="Y43" s="2313">
        <v>39691000</v>
      </c>
      <c r="Z43" s="2313">
        <v>39691000</v>
      </c>
      <c r="AA43" s="2473" t="s">
        <v>3395</v>
      </c>
      <c r="AB43" s="2260">
        <v>3</v>
      </c>
      <c r="AC43" s="2260" t="s">
        <v>3391</v>
      </c>
      <c r="AD43" s="4834"/>
      <c r="AE43" s="4825"/>
      <c r="AF43" s="2569"/>
      <c r="AG43" s="4825"/>
      <c r="AH43" s="2526"/>
      <c r="AI43" s="4825"/>
      <c r="AJ43" s="2569"/>
      <c r="AK43" s="4825"/>
      <c r="AL43" s="2569"/>
      <c r="AM43" s="4825"/>
      <c r="AN43" s="2569"/>
      <c r="AO43" s="4825"/>
      <c r="AP43" s="2569"/>
      <c r="AQ43" s="4825"/>
      <c r="AR43" s="2569"/>
      <c r="AS43" s="4825"/>
      <c r="AT43" s="2569"/>
      <c r="AU43" s="4825"/>
      <c r="AV43" s="2569"/>
      <c r="AW43" s="4825"/>
      <c r="AX43" s="2569"/>
      <c r="AY43" s="4825"/>
      <c r="AZ43" s="2569"/>
      <c r="BA43" s="4825"/>
      <c r="BB43" s="2569"/>
      <c r="BC43" s="4825"/>
      <c r="BD43" s="2569"/>
      <c r="BE43" s="4825"/>
      <c r="BF43" s="2569"/>
      <c r="BG43" s="4825"/>
      <c r="BH43" s="2569"/>
      <c r="BI43" s="4825"/>
      <c r="BJ43" s="4848"/>
      <c r="BK43" s="4834"/>
      <c r="BL43" s="4834"/>
      <c r="BM43" s="4845"/>
      <c r="BN43" s="2267"/>
      <c r="BO43" s="2261"/>
      <c r="BP43" s="2526"/>
      <c r="BQ43" s="2493"/>
      <c r="BR43" s="2493"/>
      <c r="BS43" s="2493"/>
      <c r="BT43" s="2493"/>
      <c r="BU43" s="2526"/>
    </row>
    <row r="44" spans="1:73" s="1126" customFormat="1" ht="25.5" customHeight="1" x14ac:dyDescent="0.2">
      <c r="A44" s="2308"/>
      <c r="B44" s="2309"/>
      <c r="C44" s="2308"/>
      <c r="D44" s="2309"/>
      <c r="E44" s="4"/>
      <c r="F44" s="4"/>
      <c r="G44" s="4843"/>
      <c r="H44" s="2519"/>
      <c r="I44" s="4843"/>
      <c r="J44" s="2519"/>
      <c r="K44" s="4829"/>
      <c r="L44" s="4844"/>
      <c r="M44" s="4829"/>
      <c r="N44" s="4844"/>
      <c r="O44" s="4849"/>
      <c r="P44" s="4849"/>
      <c r="Q44" s="4853"/>
      <c r="R44" s="4854"/>
      <c r="S44" s="4850"/>
      <c r="T44" s="4855"/>
      <c r="U44" s="4854"/>
      <c r="V44" s="4838"/>
      <c r="W44" s="2507" t="s">
        <v>3396</v>
      </c>
      <c r="X44" s="2312">
        <v>87240753</v>
      </c>
      <c r="Y44" s="2312">
        <v>73731554</v>
      </c>
      <c r="Z44" s="2312">
        <v>73731554</v>
      </c>
      <c r="AA44" s="2473" t="s">
        <v>3375</v>
      </c>
      <c r="AB44" s="2260">
        <v>12</v>
      </c>
      <c r="AC44" s="2260" t="s">
        <v>3304</v>
      </c>
      <c r="AD44" s="4834"/>
      <c r="AE44" s="4825"/>
      <c r="AF44" s="2569"/>
      <c r="AG44" s="4825"/>
      <c r="AH44" s="2526"/>
      <c r="AI44" s="4825"/>
      <c r="AJ44" s="2569"/>
      <c r="AK44" s="4825"/>
      <c r="AL44" s="2569"/>
      <c r="AM44" s="4825"/>
      <c r="AN44" s="2569"/>
      <c r="AO44" s="4825"/>
      <c r="AP44" s="2569"/>
      <c r="AQ44" s="4825"/>
      <c r="AR44" s="2569"/>
      <c r="AS44" s="4825"/>
      <c r="AT44" s="2569"/>
      <c r="AU44" s="4825"/>
      <c r="AV44" s="2569"/>
      <c r="AW44" s="4825"/>
      <c r="AX44" s="2569"/>
      <c r="AY44" s="4825"/>
      <c r="AZ44" s="2569"/>
      <c r="BA44" s="4825"/>
      <c r="BB44" s="2569"/>
      <c r="BC44" s="4825"/>
      <c r="BD44" s="2569"/>
      <c r="BE44" s="4825"/>
      <c r="BF44" s="2569"/>
      <c r="BG44" s="4825"/>
      <c r="BH44" s="2569"/>
      <c r="BI44" s="4825"/>
      <c r="BJ44" s="4848"/>
      <c r="BK44" s="4834"/>
      <c r="BL44" s="4834"/>
      <c r="BM44" s="4845"/>
      <c r="BN44" s="2265"/>
      <c r="BO44" s="2262"/>
      <c r="BP44" s="2526"/>
      <c r="BQ44" s="2493"/>
      <c r="BR44" s="2493"/>
      <c r="BS44" s="2493"/>
      <c r="BT44" s="2493"/>
      <c r="BU44" s="2526"/>
    </row>
    <row r="45" spans="1:73" s="1126" customFormat="1" ht="25.5" customHeight="1" x14ac:dyDescent="0.2">
      <c r="A45" s="2308"/>
      <c r="B45" s="2309"/>
      <c r="C45" s="2308"/>
      <c r="D45" s="2309"/>
      <c r="E45" s="4"/>
      <c r="F45" s="4"/>
      <c r="G45" s="4843"/>
      <c r="H45" s="2519"/>
      <c r="I45" s="4843"/>
      <c r="J45" s="2519"/>
      <c r="K45" s="4829"/>
      <c r="L45" s="4844"/>
      <c r="M45" s="4829"/>
      <c r="N45" s="4844"/>
      <c r="O45" s="4849"/>
      <c r="P45" s="4849"/>
      <c r="Q45" s="4853"/>
      <c r="R45" s="4854"/>
      <c r="S45" s="4850"/>
      <c r="T45" s="4855"/>
      <c r="U45" s="4854"/>
      <c r="V45" s="4839"/>
      <c r="W45" s="2507"/>
      <c r="X45" s="2312">
        <v>0</v>
      </c>
      <c r="Y45" s="2312">
        <v>0</v>
      </c>
      <c r="Z45" s="2312">
        <v>0</v>
      </c>
      <c r="AA45" s="2473" t="s">
        <v>3532</v>
      </c>
      <c r="AB45" s="2260">
        <v>7</v>
      </c>
      <c r="AC45" s="2260" t="s">
        <v>3360</v>
      </c>
      <c r="AD45" s="4834"/>
      <c r="AE45" s="4825"/>
      <c r="AF45" s="2569"/>
      <c r="AG45" s="4825"/>
      <c r="AH45" s="2526"/>
      <c r="AI45" s="4825"/>
      <c r="AJ45" s="2569"/>
      <c r="AK45" s="4825"/>
      <c r="AL45" s="2569"/>
      <c r="AM45" s="4825"/>
      <c r="AN45" s="2569"/>
      <c r="AO45" s="4825"/>
      <c r="AP45" s="2569"/>
      <c r="AQ45" s="4825"/>
      <c r="AR45" s="2569"/>
      <c r="AS45" s="4825"/>
      <c r="AT45" s="2569"/>
      <c r="AU45" s="4825"/>
      <c r="AV45" s="2569"/>
      <c r="AW45" s="4825"/>
      <c r="AX45" s="2569"/>
      <c r="AY45" s="4825"/>
      <c r="AZ45" s="2569"/>
      <c r="BA45" s="4825"/>
      <c r="BB45" s="2569"/>
      <c r="BC45" s="4825"/>
      <c r="BD45" s="2569"/>
      <c r="BE45" s="4825"/>
      <c r="BF45" s="2569"/>
      <c r="BG45" s="4825"/>
      <c r="BH45" s="2569"/>
      <c r="BI45" s="4825"/>
      <c r="BJ45" s="4848"/>
      <c r="BK45" s="4834"/>
      <c r="BL45" s="4834"/>
      <c r="BM45" s="4845"/>
      <c r="BN45" s="2265"/>
      <c r="BO45" s="2262"/>
      <c r="BP45" s="2526"/>
      <c r="BQ45" s="2493"/>
      <c r="BR45" s="2493"/>
      <c r="BS45" s="2493"/>
      <c r="BT45" s="2493"/>
      <c r="BU45" s="2526"/>
    </row>
    <row r="46" spans="1:73" s="1126" customFormat="1" ht="25.5" customHeight="1" thickBot="1" x14ac:dyDescent="0.25">
      <c r="A46" s="2308"/>
      <c r="B46" s="2309"/>
      <c r="C46" s="2308"/>
      <c r="D46" s="2309"/>
      <c r="E46" s="4"/>
      <c r="F46" s="4"/>
      <c r="G46" s="4843"/>
      <c r="H46" s="2519"/>
      <c r="I46" s="4843"/>
      <c r="J46" s="2519"/>
      <c r="K46" s="4829"/>
      <c r="L46" s="4844"/>
      <c r="M46" s="4829"/>
      <c r="N46" s="4844"/>
      <c r="O46" s="4849"/>
      <c r="P46" s="4849"/>
      <c r="Q46" s="4853"/>
      <c r="R46" s="4854"/>
      <c r="S46" s="4850"/>
      <c r="T46" s="4855"/>
      <c r="U46" s="4854"/>
      <c r="V46" s="4839"/>
      <c r="W46" s="2507"/>
      <c r="X46" s="2312">
        <v>29780551</v>
      </c>
      <c r="Y46" s="2313">
        <v>0</v>
      </c>
      <c r="Z46" s="2313">
        <v>0</v>
      </c>
      <c r="AA46" s="2473" t="s">
        <v>3397</v>
      </c>
      <c r="AB46" s="2260">
        <v>12</v>
      </c>
      <c r="AC46" s="2260" t="s">
        <v>3304</v>
      </c>
      <c r="AD46" s="4834"/>
      <c r="AE46" s="4825"/>
      <c r="AF46" s="2569"/>
      <c r="AG46" s="4825"/>
      <c r="AH46" s="2526"/>
      <c r="AI46" s="4825"/>
      <c r="AJ46" s="2569"/>
      <c r="AK46" s="4825"/>
      <c r="AL46" s="2569"/>
      <c r="AM46" s="4825"/>
      <c r="AN46" s="2569"/>
      <c r="AO46" s="4825"/>
      <c r="AP46" s="2569"/>
      <c r="AQ46" s="4825"/>
      <c r="AR46" s="2569"/>
      <c r="AS46" s="4825"/>
      <c r="AT46" s="2569"/>
      <c r="AU46" s="4825"/>
      <c r="AV46" s="2569"/>
      <c r="AW46" s="4825"/>
      <c r="AX46" s="2569"/>
      <c r="AY46" s="4825"/>
      <c r="AZ46" s="2569"/>
      <c r="BA46" s="4825"/>
      <c r="BB46" s="2569"/>
      <c r="BC46" s="4825"/>
      <c r="BD46" s="2569"/>
      <c r="BE46" s="4825"/>
      <c r="BF46" s="2569"/>
      <c r="BG46" s="4825"/>
      <c r="BH46" s="2569"/>
      <c r="BI46" s="4825"/>
      <c r="BJ46" s="4848"/>
      <c r="BK46" s="4834"/>
      <c r="BL46" s="4834"/>
      <c r="BM46" s="4845"/>
      <c r="BN46" s="2265"/>
      <c r="BO46" s="2262"/>
      <c r="BP46" s="2526"/>
      <c r="BQ46" s="2493"/>
      <c r="BR46" s="2493"/>
      <c r="BS46" s="2493"/>
      <c r="BT46" s="2493"/>
      <c r="BU46" s="2526"/>
    </row>
    <row r="47" spans="1:73" s="1126" customFormat="1" ht="57" customHeight="1" thickTop="1" x14ac:dyDescent="0.2">
      <c r="A47" s="2308"/>
      <c r="B47" s="2309"/>
      <c r="C47" s="2308"/>
      <c r="D47" s="2309"/>
      <c r="E47" s="4"/>
      <c r="F47" s="4"/>
      <c r="G47" s="4829" t="s">
        <v>20</v>
      </c>
      <c r="H47" s="4844" t="s">
        <v>3398</v>
      </c>
      <c r="I47" s="4829">
        <v>4301006</v>
      </c>
      <c r="J47" s="4830" t="s">
        <v>3399</v>
      </c>
      <c r="K47" s="4829" t="s">
        <v>20</v>
      </c>
      <c r="L47" s="4844" t="s">
        <v>3400</v>
      </c>
      <c r="M47" s="4829">
        <v>430100600</v>
      </c>
      <c r="N47" s="4830" t="s">
        <v>3401</v>
      </c>
      <c r="O47" s="4849">
        <v>1</v>
      </c>
      <c r="P47" s="4849">
        <v>0.65</v>
      </c>
      <c r="Q47" s="4853"/>
      <c r="R47" s="4854"/>
      <c r="S47" s="4850">
        <f>SUM(X47:X49)/T13</f>
        <v>2.6754634967190247E-2</v>
      </c>
      <c r="T47" s="4855"/>
      <c r="U47" s="4854"/>
      <c r="V47" s="4836" t="s">
        <v>3402</v>
      </c>
      <c r="W47" s="2507" t="s">
        <v>3403</v>
      </c>
      <c r="X47" s="2312">
        <v>20000000</v>
      </c>
      <c r="Y47" s="2313">
        <v>18425166</v>
      </c>
      <c r="Z47" s="2313">
        <v>18425166</v>
      </c>
      <c r="AA47" s="2472" t="s">
        <v>3404</v>
      </c>
      <c r="AB47" s="2260">
        <v>3</v>
      </c>
      <c r="AC47" s="2260" t="s">
        <v>3391</v>
      </c>
      <c r="AD47" s="4834"/>
      <c r="AE47" s="4825"/>
      <c r="AF47" s="2569"/>
      <c r="AG47" s="4825"/>
      <c r="AH47" s="2526"/>
      <c r="AI47" s="4825"/>
      <c r="AJ47" s="2569"/>
      <c r="AK47" s="4825"/>
      <c r="AL47" s="2569"/>
      <c r="AM47" s="4825"/>
      <c r="AN47" s="2569"/>
      <c r="AO47" s="4825"/>
      <c r="AP47" s="2569"/>
      <c r="AQ47" s="4825"/>
      <c r="AR47" s="2569"/>
      <c r="AS47" s="4825"/>
      <c r="AT47" s="2569"/>
      <c r="AU47" s="4825"/>
      <c r="AV47" s="2569"/>
      <c r="AW47" s="4825"/>
      <c r="AX47" s="2569"/>
      <c r="AY47" s="4825"/>
      <c r="AZ47" s="2569"/>
      <c r="BA47" s="4825"/>
      <c r="BB47" s="2569"/>
      <c r="BC47" s="4825"/>
      <c r="BD47" s="2569"/>
      <c r="BE47" s="4825"/>
      <c r="BF47" s="2569"/>
      <c r="BG47" s="4825"/>
      <c r="BH47" s="2569"/>
      <c r="BI47" s="4825"/>
      <c r="BJ47" s="4848"/>
      <c r="BK47" s="4834"/>
      <c r="BL47" s="4834"/>
      <c r="BM47" s="4845"/>
      <c r="BN47" s="2267">
        <v>3</v>
      </c>
      <c r="BO47" s="2261" t="s">
        <v>3391</v>
      </c>
      <c r="BP47" s="2526"/>
      <c r="BQ47" s="2493"/>
      <c r="BR47" s="2493"/>
      <c r="BS47" s="2493"/>
      <c r="BT47" s="2493"/>
      <c r="BU47" s="2526"/>
    </row>
    <row r="48" spans="1:73" s="1126" customFormat="1" ht="57" customHeight="1" x14ac:dyDescent="0.2">
      <c r="A48" s="2308"/>
      <c r="B48" s="2309"/>
      <c r="C48" s="2308"/>
      <c r="D48" s="2309"/>
      <c r="E48" s="4"/>
      <c r="F48" s="4"/>
      <c r="G48" s="4829"/>
      <c r="H48" s="4844"/>
      <c r="I48" s="4829"/>
      <c r="J48" s="4831"/>
      <c r="K48" s="4829"/>
      <c r="L48" s="4844"/>
      <c r="M48" s="4829"/>
      <c r="N48" s="4831"/>
      <c r="O48" s="4849"/>
      <c r="P48" s="4849"/>
      <c r="Q48" s="4853"/>
      <c r="R48" s="4854"/>
      <c r="S48" s="4850"/>
      <c r="T48" s="4855"/>
      <c r="U48" s="4854"/>
      <c r="V48" s="4838"/>
      <c r="W48" s="2507"/>
      <c r="X48" s="2312">
        <v>50000000</v>
      </c>
      <c r="Y48" s="2313">
        <v>45899831</v>
      </c>
      <c r="Z48" s="2313">
        <v>45899831</v>
      </c>
      <c r="AA48" s="2472" t="s">
        <v>3405</v>
      </c>
      <c r="AB48" s="2260">
        <v>12</v>
      </c>
      <c r="AC48" s="2260" t="s">
        <v>3304</v>
      </c>
      <c r="AD48" s="4834"/>
      <c r="AE48" s="4825"/>
      <c r="AF48" s="2569"/>
      <c r="AG48" s="4825"/>
      <c r="AH48" s="2526"/>
      <c r="AI48" s="4825"/>
      <c r="AJ48" s="2569"/>
      <c r="AK48" s="4825"/>
      <c r="AL48" s="2569"/>
      <c r="AM48" s="4825"/>
      <c r="AN48" s="2569"/>
      <c r="AO48" s="4825"/>
      <c r="AP48" s="2569"/>
      <c r="AQ48" s="4825"/>
      <c r="AR48" s="2569"/>
      <c r="AS48" s="4825"/>
      <c r="AT48" s="2569"/>
      <c r="AU48" s="4825"/>
      <c r="AV48" s="2569"/>
      <c r="AW48" s="4825"/>
      <c r="AX48" s="2569"/>
      <c r="AY48" s="4825"/>
      <c r="AZ48" s="2569"/>
      <c r="BA48" s="4825"/>
      <c r="BB48" s="2569"/>
      <c r="BC48" s="4825"/>
      <c r="BD48" s="2569"/>
      <c r="BE48" s="4825"/>
      <c r="BF48" s="2569"/>
      <c r="BG48" s="4825"/>
      <c r="BH48" s="2569"/>
      <c r="BI48" s="4825"/>
      <c r="BJ48" s="4848"/>
      <c r="BK48" s="4834"/>
      <c r="BL48" s="4834"/>
      <c r="BM48" s="4845"/>
      <c r="BN48" s="2265">
        <v>12</v>
      </c>
      <c r="BO48" s="2314" t="s">
        <v>3304</v>
      </c>
      <c r="BP48" s="2526"/>
      <c r="BQ48" s="2493"/>
      <c r="BR48" s="2493"/>
      <c r="BS48" s="2493"/>
      <c r="BT48" s="2493"/>
      <c r="BU48" s="2526"/>
    </row>
    <row r="49" spans="1:73" s="1126" customFormat="1" ht="57" customHeight="1" thickBot="1" x14ac:dyDescent="0.25">
      <c r="A49" s="2308"/>
      <c r="B49" s="2309"/>
      <c r="C49" s="2308"/>
      <c r="D49" s="2309"/>
      <c r="E49" s="4"/>
      <c r="F49" s="4"/>
      <c r="G49" s="4829"/>
      <c r="H49" s="4844"/>
      <c r="I49" s="4829"/>
      <c r="J49" s="4852"/>
      <c r="K49" s="4829"/>
      <c r="L49" s="4844"/>
      <c r="M49" s="4829"/>
      <c r="N49" s="4852"/>
      <c r="O49" s="4849"/>
      <c r="P49" s="4849"/>
      <c r="Q49" s="4853"/>
      <c r="R49" s="4854"/>
      <c r="S49" s="4850"/>
      <c r="T49" s="4855"/>
      <c r="U49" s="4854"/>
      <c r="V49" s="4851"/>
      <c r="W49" s="2255" t="s">
        <v>3406</v>
      </c>
      <c r="X49" s="2474">
        <v>6178126.9800000004</v>
      </c>
      <c r="Y49" s="2313">
        <v>0</v>
      </c>
      <c r="Z49" s="2313">
        <v>0</v>
      </c>
      <c r="AA49" s="74" t="s">
        <v>3407</v>
      </c>
      <c r="AB49" s="2254">
        <v>3</v>
      </c>
      <c r="AC49" s="2254" t="s">
        <v>3391</v>
      </c>
      <c r="AD49" s="4834"/>
      <c r="AE49" s="4825"/>
      <c r="AF49" s="2569"/>
      <c r="AG49" s="4825"/>
      <c r="AH49" s="2526"/>
      <c r="AI49" s="4825"/>
      <c r="AJ49" s="2569"/>
      <c r="AK49" s="4825"/>
      <c r="AL49" s="2569"/>
      <c r="AM49" s="4825"/>
      <c r="AN49" s="2569"/>
      <c r="AO49" s="4825"/>
      <c r="AP49" s="2569"/>
      <c r="AQ49" s="4825"/>
      <c r="AR49" s="2569"/>
      <c r="AS49" s="4825"/>
      <c r="AT49" s="2569"/>
      <c r="AU49" s="4825"/>
      <c r="AV49" s="2569"/>
      <c r="AW49" s="4825"/>
      <c r="AX49" s="2569"/>
      <c r="AY49" s="4825"/>
      <c r="AZ49" s="2569"/>
      <c r="BA49" s="4825"/>
      <c r="BB49" s="2569"/>
      <c r="BC49" s="4825"/>
      <c r="BD49" s="2569"/>
      <c r="BE49" s="4825"/>
      <c r="BF49" s="2569"/>
      <c r="BG49" s="4825"/>
      <c r="BH49" s="2569"/>
      <c r="BI49" s="4825"/>
      <c r="BJ49" s="4848"/>
      <c r="BK49" s="4834"/>
      <c r="BL49" s="4834"/>
      <c r="BM49" s="4845"/>
      <c r="BN49" s="2273"/>
      <c r="BO49" s="2315"/>
      <c r="BP49" s="4841"/>
      <c r="BQ49" s="4847"/>
      <c r="BR49" s="4847"/>
      <c r="BS49" s="4847"/>
      <c r="BT49" s="4847"/>
      <c r="BU49" s="4841"/>
    </row>
    <row r="50" spans="1:73" ht="25.5" customHeight="1" thickTop="1" x14ac:dyDescent="0.2">
      <c r="A50" s="2316" t="s">
        <v>153</v>
      </c>
      <c r="B50" s="2295" t="s">
        <v>153</v>
      </c>
      <c r="C50" s="2316"/>
      <c r="D50" s="2295"/>
      <c r="E50" s="2317">
        <v>4302</v>
      </c>
      <c r="F50" s="2318" t="s">
        <v>3408</v>
      </c>
      <c r="G50" s="2319"/>
      <c r="H50" s="264"/>
      <c r="I50" s="2319"/>
      <c r="J50" s="264"/>
      <c r="K50" s="2319"/>
      <c r="L50" s="264"/>
      <c r="M50" s="2319"/>
      <c r="N50" s="2319"/>
      <c r="O50" s="2319"/>
      <c r="P50" s="2319"/>
      <c r="Q50" s="2319"/>
      <c r="R50" s="1089"/>
      <c r="S50" s="2475" t="s">
        <v>153</v>
      </c>
      <c r="T50" s="2320" t="s">
        <v>153</v>
      </c>
      <c r="U50" s="2321" t="s">
        <v>153</v>
      </c>
      <c r="V50" s="2321" t="s">
        <v>153</v>
      </c>
      <c r="W50" s="2321" t="s">
        <v>153</v>
      </c>
      <c r="X50" s="2322"/>
      <c r="Y50" s="2322"/>
      <c r="Z50" s="2322"/>
      <c r="AA50" s="2476"/>
      <c r="AB50" s="2323" t="s">
        <v>153</v>
      </c>
      <c r="AC50" s="2323" t="s">
        <v>153</v>
      </c>
      <c r="AD50" s="2324" t="s">
        <v>153</v>
      </c>
      <c r="AE50" s="2324"/>
      <c r="AF50" s="2324" t="s">
        <v>153</v>
      </c>
      <c r="AG50" s="2324"/>
      <c r="AH50" s="2324" t="s">
        <v>153</v>
      </c>
      <c r="AI50" s="2324" t="s">
        <v>153</v>
      </c>
      <c r="AJ50" s="2324" t="s">
        <v>153</v>
      </c>
      <c r="AK50" s="2324" t="s">
        <v>153</v>
      </c>
      <c r="AL50" s="2324" t="s">
        <v>153</v>
      </c>
      <c r="AM50" s="2324" t="s">
        <v>153</v>
      </c>
      <c r="AN50" s="2324" t="s">
        <v>153</v>
      </c>
      <c r="AO50" s="2324" t="s">
        <v>153</v>
      </c>
      <c r="AP50" s="2324" t="s">
        <v>153</v>
      </c>
      <c r="AQ50" s="2324" t="s">
        <v>153</v>
      </c>
      <c r="AR50" s="2324" t="s">
        <v>153</v>
      </c>
      <c r="AS50" s="2324" t="s">
        <v>153</v>
      </c>
      <c r="AT50" s="2324" t="s">
        <v>153</v>
      </c>
      <c r="AU50" s="2324" t="s">
        <v>153</v>
      </c>
      <c r="AV50" s="2324" t="s">
        <v>153</v>
      </c>
      <c r="AW50" s="2324" t="s">
        <v>153</v>
      </c>
      <c r="AX50" s="2324" t="s">
        <v>153</v>
      </c>
      <c r="AY50" s="2324" t="s">
        <v>153</v>
      </c>
      <c r="AZ50" s="2324" t="s">
        <v>153</v>
      </c>
      <c r="BA50" s="2324" t="s">
        <v>153</v>
      </c>
      <c r="BB50" s="2324" t="s">
        <v>153</v>
      </c>
      <c r="BC50" s="2324" t="s">
        <v>153</v>
      </c>
      <c r="BD50" s="2324" t="s">
        <v>153</v>
      </c>
      <c r="BE50" s="2324" t="s">
        <v>153</v>
      </c>
      <c r="BF50" s="2324" t="s">
        <v>153</v>
      </c>
      <c r="BG50" s="2324" t="s">
        <v>153</v>
      </c>
      <c r="BH50" s="2324" t="s">
        <v>153</v>
      </c>
      <c r="BI50" s="2324" t="s">
        <v>153</v>
      </c>
      <c r="BJ50" s="398"/>
      <c r="BK50" s="2324"/>
      <c r="BL50" s="2324"/>
      <c r="BM50" s="2324"/>
      <c r="BN50" s="262"/>
      <c r="BO50" s="262"/>
      <c r="BP50" s="2324"/>
      <c r="BQ50" s="2324" t="s">
        <v>153</v>
      </c>
      <c r="BR50" s="2324"/>
      <c r="BS50" s="2324" t="s">
        <v>153</v>
      </c>
      <c r="BT50" s="2324"/>
      <c r="BU50" s="2325" t="s">
        <v>153</v>
      </c>
    </row>
    <row r="51" spans="1:73" ht="25.5" customHeight="1" x14ac:dyDescent="0.2">
      <c r="A51" s="2257"/>
      <c r="B51" s="2256"/>
      <c r="C51" s="2257"/>
      <c r="D51" s="2256"/>
      <c r="E51" s="4856" t="s">
        <v>153</v>
      </c>
      <c r="F51" s="4856" t="s">
        <v>153</v>
      </c>
      <c r="G51" s="4857">
        <v>4302075</v>
      </c>
      <c r="H51" s="4859" t="s">
        <v>3409</v>
      </c>
      <c r="I51" s="4857">
        <v>4302075</v>
      </c>
      <c r="J51" s="4859" t="s">
        <v>3409</v>
      </c>
      <c r="K51" s="4857">
        <v>430207500</v>
      </c>
      <c r="L51" s="4859" t="s">
        <v>3410</v>
      </c>
      <c r="M51" s="4857">
        <v>430207500</v>
      </c>
      <c r="N51" s="4859" t="s">
        <v>3410</v>
      </c>
      <c r="O51" s="4857">
        <v>25</v>
      </c>
      <c r="P51" s="4857">
        <v>25</v>
      </c>
      <c r="Q51" s="4861">
        <v>2020003630010</v>
      </c>
      <c r="R51" s="4859" t="s">
        <v>3411</v>
      </c>
      <c r="S51" s="4863">
        <f>SUM(X51:X75)/T51</f>
        <v>1</v>
      </c>
      <c r="T51" s="4865">
        <f>SUM(X51:X75)</f>
        <v>4186248516.4099998</v>
      </c>
      <c r="U51" s="4859" t="s">
        <v>3412</v>
      </c>
      <c r="V51" s="4859" t="s">
        <v>3413</v>
      </c>
      <c r="W51" s="4870" t="s">
        <v>3414</v>
      </c>
      <c r="X51" s="2312">
        <v>250000000</v>
      </c>
      <c r="Y51" s="2477">
        <v>239990000</v>
      </c>
      <c r="Z51" s="2477">
        <v>238490000</v>
      </c>
      <c r="AA51" s="2472" t="s">
        <v>3415</v>
      </c>
      <c r="AB51" s="2260">
        <v>4</v>
      </c>
      <c r="AC51" s="2260" t="s">
        <v>3385</v>
      </c>
      <c r="AD51" s="4869">
        <v>230</v>
      </c>
      <c r="AE51" s="4869">
        <v>280</v>
      </c>
      <c r="AF51" s="2566">
        <v>270</v>
      </c>
      <c r="AG51" s="4869">
        <v>468</v>
      </c>
      <c r="AH51" s="2566">
        <v>0</v>
      </c>
      <c r="AI51" s="4869">
        <v>175</v>
      </c>
      <c r="AJ51" s="2566">
        <v>0</v>
      </c>
      <c r="AK51" s="4869">
        <v>273</v>
      </c>
      <c r="AL51" s="2566">
        <v>0</v>
      </c>
      <c r="AM51" s="4869">
        <v>288</v>
      </c>
      <c r="AN51" s="2566">
        <v>0</v>
      </c>
      <c r="AO51" s="4869">
        <v>12</v>
      </c>
      <c r="AP51" s="2566">
        <v>0</v>
      </c>
      <c r="AQ51" s="4869">
        <v>0</v>
      </c>
      <c r="AR51" s="2566">
        <v>0</v>
      </c>
      <c r="AS51" s="4869">
        <v>0</v>
      </c>
      <c r="AT51" s="2566">
        <v>0</v>
      </c>
      <c r="AU51" s="4869">
        <v>0</v>
      </c>
      <c r="AV51" s="2566">
        <v>0</v>
      </c>
      <c r="AW51" s="4869">
        <v>0</v>
      </c>
      <c r="AX51" s="2566">
        <v>0</v>
      </c>
      <c r="AY51" s="4869">
        <v>0</v>
      </c>
      <c r="AZ51" s="2566">
        <v>0</v>
      </c>
      <c r="BA51" s="4869">
        <v>0</v>
      </c>
      <c r="BB51" s="2566">
        <v>0</v>
      </c>
      <c r="BC51" s="4869">
        <v>0</v>
      </c>
      <c r="BD51" s="2566">
        <v>0</v>
      </c>
      <c r="BE51" s="4869">
        <v>186</v>
      </c>
      <c r="BF51" s="2566">
        <v>0</v>
      </c>
      <c r="BG51" s="4869">
        <v>0</v>
      </c>
      <c r="BH51" s="2566">
        <f>+AD51+AF51</f>
        <v>500</v>
      </c>
      <c r="BI51" s="4825">
        <f>+AE51+AG51</f>
        <v>748</v>
      </c>
      <c r="BJ51" s="4848">
        <v>53</v>
      </c>
      <c r="BK51" s="4881">
        <f>SUM(Y51:Y75)</f>
        <v>2404633024.1799998</v>
      </c>
      <c r="BL51" s="4881">
        <f>SUM(Z51:Z75)</f>
        <v>2383718024.1799998</v>
      </c>
      <c r="BM51" s="4879">
        <f>BL51/BK51</f>
        <v>0.99130220711863837</v>
      </c>
      <c r="BN51" s="2326">
        <v>4</v>
      </c>
      <c r="BO51" s="2326" t="s">
        <v>3385</v>
      </c>
      <c r="BP51" s="2872" t="s">
        <v>3416</v>
      </c>
      <c r="BQ51" s="4880">
        <v>44200</v>
      </c>
      <c r="BR51" s="4880">
        <v>44560</v>
      </c>
      <c r="BS51" s="4880">
        <v>44560</v>
      </c>
      <c r="BT51" s="4880">
        <v>44560</v>
      </c>
      <c r="BU51" s="2872" t="s">
        <v>3416</v>
      </c>
    </row>
    <row r="52" spans="1:73" ht="25.5" customHeight="1" x14ac:dyDescent="0.2">
      <c r="A52" s="2257"/>
      <c r="B52" s="2256"/>
      <c r="C52" s="2257"/>
      <c r="D52" s="2256"/>
      <c r="E52" s="4856"/>
      <c r="F52" s="4856"/>
      <c r="G52" s="4858"/>
      <c r="H52" s="4860"/>
      <c r="I52" s="4858"/>
      <c r="J52" s="4860"/>
      <c r="K52" s="4858"/>
      <c r="L52" s="4860"/>
      <c r="M52" s="4858"/>
      <c r="N52" s="4860"/>
      <c r="O52" s="4858"/>
      <c r="P52" s="4858"/>
      <c r="Q52" s="4862"/>
      <c r="R52" s="4860"/>
      <c r="S52" s="4864"/>
      <c r="T52" s="4866"/>
      <c r="U52" s="4860"/>
      <c r="V52" s="4860"/>
      <c r="W52" s="4870"/>
      <c r="X52" s="2312">
        <v>988816460</v>
      </c>
      <c r="Y52" s="2307">
        <v>0</v>
      </c>
      <c r="Z52" s="2478">
        <v>0</v>
      </c>
      <c r="AA52" s="2472" t="s">
        <v>3417</v>
      </c>
      <c r="AB52" s="2260">
        <v>28</v>
      </c>
      <c r="AC52" s="2260" t="s">
        <v>3362</v>
      </c>
      <c r="AD52" s="4869"/>
      <c r="AE52" s="4869"/>
      <c r="AF52" s="2566"/>
      <c r="AG52" s="4869"/>
      <c r="AH52" s="2566"/>
      <c r="AI52" s="4869"/>
      <c r="AJ52" s="2566"/>
      <c r="AK52" s="4869"/>
      <c r="AL52" s="2566"/>
      <c r="AM52" s="4869"/>
      <c r="AN52" s="2566"/>
      <c r="AO52" s="4869"/>
      <c r="AP52" s="2566"/>
      <c r="AQ52" s="4869"/>
      <c r="AR52" s="2566"/>
      <c r="AS52" s="4869"/>
      <c r="AT52" s="2566"/>
      <c r="AU52" s="4869"/>
      <c r="AV52" s="2566"/>
      <c r="AW52" s="4869"/>
      <c r="AX52" s="2566"/>
      <c r="AY52" s="4869"/>
      <c r="AZ52" s="2566"/>
      <c r="BA52" s="4869"/>
      <c r="BB52" s="2566"/>
      <c r="BC52" s="4869"/>
      <c r="BD52" s="2566"/>
      <c r="BE52" s="4869"/>
      <c r="BF52" s="2566"/>
      <c r="BG52" s="4869"/>
      <c r="BH52" s="2566"/>
      <c r="BI52" s="4825"/>
      <c r="BJ52" s="4848"/>
      <c r="BK52" s="4881"/>
      <c r="BL52" s="4881"/>
      <c r="BM52" s="4879"/>
      <c r="BN52" s="2265"/>
      <c r="BO52" s="2265"/>
      <c r="BP52" s="2872"/>
      <c r="BQ52" s="4880"/>
      <c r="BR52" s="4880"/>
      <c r="BS52" s="4880"/>
      <c r="BT52" s="4880"/>
      <c r="BU52" s="2872"/>
    </row>
    <row r="53" spans="1:73" ht="25.5" customHeight="1" x14ac:dyDescent="0.2">
      <c r="A53" s="2257"/>
      <c r="B53" s="2256"/>
      <c r="C53" s="2257"/>
      <c r="D53" s="2256"/>
      <c r="E53" s="4856"/>
      <c r="F53" s="4856"/>
      <c r="G53" s="4858"/>
      <c r="H53" s="4860"/>
      <c r="I53" s="4858"/>
      <c r="J53" s="4860"/>
      <c r="K53" s="4858"/>
      <c r="L53" s="4860"/>
      <c r="M53" s="4858"/>
      <c r="N53" s="4860"/>
      <c r="O53" s="4858"/>
      <c r="P53" s="4858"/>
      <c r="Q53" s="4862"/>
      <c r="R53" s="4860"/>
      <c r="S53" s="4864"/>
      <c r="T53" s="4866"/>
      <c r="U53" s="4860"/>
      <c r="V53" s="4860"/>
      <c r="W53" s="4870"/>
      <c r="X53" s="2312">
        <v>323078233.44</v>
      </c>
      <c r="Y53" s="2479">
        <v>321968000</v>
      </c>
      <c r="Z53" s="2479">
        <v>321968000</v>
      </c>
      <c r="AA53" s="2472" t="s">
        <v>3418</v>
      </c>
      <c r="AB53" s="2260">
        <v>22</v>
      </c>
      <c r="AC53" s="2260" t="s">
        <v>3419</v>
      </c>
      <c r="AD53" s="4869"/>
      <c r="AE53" s="4869"/>
      <c r="AF53" s="2566"/>
      <c r="AG53" s="4869"/>
      <c r="AH53" s="2566"/>
      <c r="AI53" s="4869"/>
      <c r="AJ53" s="2566"/>
      <c r="AK53" s="4869"/>
      <c r="AL53" s="2566"/>
      <c r="AM53" s="4869"/>
      <c r="AN53" s="2566"/>
      <c r="AO53" s="4869"/>
      <c r="AP53" s="2566"/>
      <c r="AQ53" s="4869"/>
      <c r="AR53" s="2566"/>
      <c r="AS53" s="4869"/>
      <c r="AT53" s="2566"/>
      <c r="AU53" s="4869"/>
      <c r="AV53" s="2566"/>
      <c r="AW53" s="4869"/>
      <c r="AX53" s="2566"/>
      <c r="AY53" s="4869"/>
      <c r="AZ53" s="2566"/>
      <c r="BA53" s="4869"/>
      <c r="BB53" s="2566"/>
      <c r="BC53" s="4869"/>
      <c r="BD53" s="2566"/>
      <c r="BE53" s="4869"/>
      <c r="BF53" s="2566"/>
      <c r="BG53" s="4869"/>
      <c r="BH53" s="2566"/>
      <c r="BI53" s="4825"/>
      <c r="BJ53" s="4848"/>
      <c r="BK53" s="4869"/>
      <c r="BL53" s="4869"/>
      <c r="BM53" s="4879"/>
      <c r="BN53" s="2265">
        <v>22</v>
      </c>
      <c r="BO53" s="2262" t="s">
        <v>3419</v>
      </c>
      <c r="BP53" s="2872"/>
      <c r="BQ53" s="4880"/>
      <c r="BR53" s="4880"/>
      <c r="BS53" s="4880"/>
      <c r="BT53" s="4880"/>
      <c r="BU53" s="2872"/>
    </row>
    <row r="54" spans="1:73" ht="25.5" customHeight="1" x14ac:dyDescent="0.2">
      <c r="A54" s="2257"/>
      <c r="B54" s="2256"/>
      <c r="C54" s="2257"/>
      <c r="D54" s="2256"/>
      <c r="E54" s="4856"/>
      <c r="F54" s="4856"/>
      <c r="G54" s="4858"/>
      <c r="H54" s="4860"/>
      <c r="I54" s="4858"/>
      <c r="J54" s="4860"/>
      <c r="K54" s="4858"/>
      <c r="L54" s="4860"/>
      <c r="M54" s="4858"/>
      <c r="N54" s="4860"/>
      <c r="O54" s="4858"/>
      <c r="P54" s="4858"/>
      <c r="Q54" s="4862"/>
      <c r="R54" s="4860"/>
      <c r="S54" s="4864"/>
      <c r="T54" s="4866"/>
      <c r="U54" s="4860"/>
      <c r="V54" s="4860"/>
      <c r="W54" s="4870"/>
      <c r="X54" s="2312">
        <v>100000000</v>
      </c>
      <c r="Y54" s="2312">
        <v>97400660</v>
      </c>
      <c r="Z54" s="2312">
        <v>97400660</v>
      </c>
      <c r="AA54" s="2472" t="s">
        <v>3420</v>
      </c>
      <c r="AB54" s="2260">
        <v>21</v>
      </c>
      <c r="AC54" s="2260" t="s">
        <v>3389</v>
      </c>
      <c r="AD54" s="4869"/>
      <c r="AE54" s="4869"/>
      <c r="AF54" s="2566"/>
      <c r="AG54" s="4869"/>
      <c r="AH54" s="2566"/>
      <c r="AI54" s="4869"/>
      <c r="AJ54" s="2566"/>
      <c r="AK54" s="4869"/>
      <c r="AL54" s="2566"/>
      <c r="AM54" s="4869"/>
      <c r="AN54" s="2566"/>
      <c r="AO54" s="4869"/>
      <c r="AP54" s="2566"/>
      <c r="AQ54" s="4869"/>
      <c r="AR54" s="2566"/>
      <c r="AS54" s="4869"/>
      <c r="AT54" s="2566"/>
      <c r="AU54" s="4869"/>
      <c r="AV54" s="2566"/>
      <c r="AW54" s="4869"/>
      <c r="AX54" s="2566"/>
      <c r="AY54" s="4869"/>
      <c r="AZ54" s="2566"/>
      <c r="BA54" s="4869"/>
      <c r="BB54" s="2566"/>
      <c r="BC54" s="4869"/>
      <c r="BD54" s="2566"/>
      <c r="BE54" s="4869"/>
      <c r="BF54" s="2566"/>
      <c r="BG54" s="4869"/>
      <c r="BH54" s="2566"/>
      <c r="BI54" s="4825"/>
      <c r="BJ54" s="4848"/>
      <c r="BK54" s="4869"/>
      <c r="BL54" s="4869"/>
      <c r="BM54" s="4879"/>
      <c r="BN54" s="2265">
        <v>21</v>
      </c>
      <c r="BO54" s="2262" t="s">
        <v>3389</v>
      </c>
      <c r="BP54" s="2872"/>
      <c r="BQ54" s="4880"/>
      <c r="BR54" s="4880"/>
      <c r="BS54" s="4880"/>
      <c r="BT54" s="4880"/>
      <c r="BU54" s="2872"/>
    </row>
    <row r="55" spans="1:73" ht="25.5" customHeight="1" x14ac:dyDescent="0.2">
      <c r="A55" s="2257"/>
      <c r="B55" s="2256"/>
      <c r="C55" s="2257"/>
      <c r="D55" s="2256"/>
      <c r="E55" s="4856"/>
      <c r="F55" s="4856"/>
      <c r="G55" s="4858"/>
      <c r="H55" s="4860"/>
      <c r="I55" s="4858"/>
      <c r="J55" s="4860"/>
      <c r="K55" s="4858"/>
      <c r="L55" s="4860"/>
      <c r="M55" s="4858"/>
      <c r="N55" s="4860"/>
      <c r="O55" s="4858"/>
      <c r="P55" s="4858"/>
      <c r="Q55" s="4862"/>
      <c r="R55" s="4860"/>
      <c r="S55" s="4864"/>
      <c r="T55" s="4866"/>
      <c r="U55" s="4860"/>
      <c r="V55" s="4860"/>
      <c r="W55" s="4870"/>
      <c r="X55" s="2312">
        <v>58390811</v>
      </c>
      <c r="Y55" s="2313">
        <v>0</v>
      </c>
      <c r="Z55" s="2313">
        <v>0</v>
      </c>
      <c r="AA55" s="2472" t="s">
        <v>3421</v>
      </c>
      <c r="AB55" s="2260">
        <v>3</v>
      </c>
      <c r="AC55" s="2260" t="s">
        <v>3391</v>
      </c>
      <c r="AD55" s="4869"/>
      <c r="AE55" s="4869"/>
      <c r="AF55" s="2566"/>
      <c r="AG55" s="4869"/>
      <c r="AH55" s="2566"/>
      <c r="AI55" s="4869"/>
      <c r="AJ55" s="2566"/>
      <c r="AK55" s="4869"/>
      <c r="AL55" s="2566"/>
      <c r="AM55" s="4869"/>
      <c r="AN55" s="2566"/>
      <c r="AO55" s="4869"/>
      <c r="AP55" s="2566"/>
      <c r="AQ55" s="4869"/>
      <c r="AR55" s="2566"/>
      <c r="AS55" s="4869"/>
      <c r="AT55" s="2566"/>
      <c r="AU55" s="4869"/>
      <c r="AV55" s="2566"/>
      <c r="AW55" s="4869"/>
      <c r="AX55" s="2566"/>
      <c r="AY55" s="4869"/>
      <c r="AZ55" s="2566"/>
      <c r="BA55" s="4869"/>
      <c r="BB55" s="2566"/>
      <c r="BC55" s="4869"/>
      <c r="BD55" s="2566"/>
      <c r="BE55" s="4869"/>
      <c r="BF55" s="2566"/>
      <c r="BG55" s="4869"/>
      <c r="BH55" s="2566"/>
      <c r="BI55" s="4825"/>
      <c r="BJ55" s="4848"/>
      <c r="BK55" s="4869"/>
      <c r="BL55" s="4869"/>
      <c r="BM55" s="4879"/>
      <c r="BN55" s="2265"/>
      <c r="BO55" s="2265"/>
      <c r="BP55" s="2872"/>
      <c r="BQ55" s="2872"/>
      <c r="BR55" s="2872"/>
      <c r="BS55" s="2872"/>
      <c r="BT55" s="2872"/>
      <c r="BU55" s="2872"/>
    </row>
    <row r="56" spans="1:73" ht="25.5" customHeight="1" x14ac:dyDescent="0.2">
      <c r="A56" s="2257"/>
      <c r="B56" s="2256"/>
      <c r="C56" s="2257"/>
      <c r="D56" s="2256"/>
      <c r="E56" s="4856"/>
      <c r="F56" s="4856"/>
      <c r="G56" s="4858"/>
      <c r="H56" s="4860"/>
      <c r="I56" s="4858"/>
      <c r="J56" s="4860"/>
      <c r="K56" s="4858"/>
      <c r="L56" s="4860"/>
      <c r="M56" s="4858"/>
      <c r="N56" s="4860"/>
      <c r="O56" s="4858"/>
      <c r="P56" s="4858"/>
      <c r="Q56" s="4862"/>
      <c r="R56" s="4860"/>
      <c r="S56" s="4864"/>
      <c r="T56" s="4866"/>
      <c r="U56" s="4860"/>
      <c r="V56" s="4860"/>
      <c r="W56" s="4887" t="s">
        <v>3422</v>
      </c>
      <c r="X56" s="2312">
        <v>1084247733.1800001</v>
      </c>
      <c r="Y56" s="2312">
        <v>1031156721.1799999</v>
      </c>
      <c r="Z56" s="2312">
        <v>1029121721.1799999</v>
      </c>
      <c r="AA56" s="2472" t="s">
        <v>3423</v>
      </c>
      <c r="AB56" s="2260">
        <v>24</v>
      </c>
      <c r="AC56" s="2260" t="s">
        <v>3373</v>
      </c>
      <c r="AD56" s="4869"/>
      <c r="AE56" s="4869"/>
      <c r="AF56" s="2566"/>
      <c r="AG56" s="4869"/>
      <c r="AH56" s="2566"/>
      <c r="AI56" s="4869"/>
      <c r="AJ56" s="2566"/>
      <c r="AK56" s="4869"/>
      <c r="AL56" s="2566"/>
      <c r="AM56" s="4869"/>
      <c r="AN56" s="2566"/>
      <c r="AO56" s="4869"/>
      <c r="AP56" s="2566"/>
      <c r="AQ56" s="4869"/>
      <c r="AR56" s="2566"/>
      <c r="AS56" s="4869"/>
      <c r="AT56" s="2566"/>
      <c r="AU56" s="4869"/>
      <c r="AV56" s="2566"/>
      <c r="AW56" s="4869"/>
      <c r="AX56" s="2566"/>
      <c r="AY56" s="4869"/>
      <c r="AZ56" s="2566"/>
      <c r="BA56" s="4869"/>
      <c r="BB56" s="2566"/>
      <c r="BC56" s="4869"/>
      <c r="BD56" s="2566"/>
      <c r="BE56" s="4869"/>
      <c r="BF56" s="2566"/>
      <c r="BG56" s="4869"/>
      <c r="BH56" s="2566"/>
      <c r="BI56" s="4825"/>
      <c r="BJ56" s="4848"/>
      <c r="BK56" s="4869"/>
      <c r="BL56" s="4869"/>
      <c r="BM56" s="4879"/>
      <c r="BN56" s="2265">
        <v>24</v>
      </c>
      <c r="BO56" s="2262" t="s">
        <v>3373</v>
      </c>
      <c r="BP56" s="2872"/>
      <c r="BQ56" s="2872"/>
      <c r="BR56" s="2872"/>
      <c r="BS56" s="2872"/>
      <c r="BT56" s="2872"/>
      <c r="BU56" s="2872"/>
    </row>
    <row r="57" spans="1:73" ht="25.5" customHeight="1" x14ac:dyDescent="0.2">
      <c r="A57" s="2257"/>
      <c r="B57" s="2256"/>
      <c r="C57" s="2257"/>
      <c r="D57" s="2256"/>
      <c r="E57" s="4856"/>
      <c r="F57" s="4856"/>
      <c r="G57" s="4858"/>
      <c r="H57" s="4860"/>
      <c r="I57" s="4858"/>
      <c r="J57" s="4860"/>
      <c r="K57" s="4858"/>
      <c r="L57" s="4860"/>
      <c r="M57" s="4858"/>
      <c r="N57" s="4860"/>
      <c r="O57" s="4858"/>
      <c r="P57" s="4858"/>
      <c r="Q57" s="4862"/>
      <c r="R57" s="4860"/>
      <c r="S57" s="4864"/>
      <c r="T57" s="4866"/>
      <c r="U57" s="4860"/>
      <c r="V57" s="4860"/>
      <c r="W57" s="4867"/>
      <c r="X57" s="2312">
        <v>379796205.79000002</v>
      </c>
      <c r="Y57" s="2312">
        <v>322011245</v>
      </c>
      <c r="Z57" s="2312">
        <v>304631245</v>
      </c>
      <c r="AA57" s="2472" t="s">
        <v>3424</v>
      </c>
      <c r="AB57" s="2260">
        <v>26</v>
      </c>
      <c r="AC57" s="2260" t="s">
        <v>3373</v>
      </c>
      <c r="AD57" s="4869"/>
      <c r="AE57" s="4869"/>
      <c r="AF57" s="2566"/>
      <c r="AG57" s="4869"/>
      <c r="AH57" s="2566"/>
      <c r="AI57" s="4869"/>
      <c r="AJ57" s="2566"/>
      <c r="AK57" s="4869"/>
      <c r="AL57" s="2566"/>
      <c r="AM57" s="4869"/>
      <c r="AN57" s="2566"/>
      <c r="AO57" s="4869"/>
      <c r="AP57" s="2566"/>
      <c r="AQ57" s="4869"/>
      <c r="AR57" s="2566"/>
      <c r="AS57" s="4869"/>
      <c r="AT57" s="2566"/>
      <c r="AU57" s="4869"/>
      <c r="AV57" s="2566"/>
      <c r="AW57" s="4869"/>
      <c r="AX57" s="2566"/>
      <c r="AY57" s="4869"/>
      <c r="AZ57" s="2566"/>
      <c r="BA57" s="4869"/>
      <c r="BB57" s="2566"/>
      <c r="BC57" s="4869"/>
      <c r="BD57" s="2566"/>
      <c r="BE57" s="4869"/>
      <c r="BF57" s="2566"/>
      <c r="BG57" s="4869"/>
      <c r="BH57" s="2566"/>
      <c r="BI57" s="4825"/>
      <c r="BJ57" s="4848"/>
      <c r="BK57" s="4869"/>
      <c r="BL57" s="4869"/>
      <c r="BM57" s="4879"/>
      <c r="BN57" s="2265">
        <v>26</v>
      </c>
      <c r="BO57" s="2262" t="s">
        <v>3373</v>
      </c>
      <c r="BP57" s="2872"/>
      <c r="BQ57" s="2872"/>
      <c r="BR57" s="2872"/>
      <c r="BS57" s="2872"/>
      <c r="BT57" s="2872"/>
      <c r="BU57" s="2872"/>
    </row>
    <row r="58" spans="1:73" ht="25.5" customHeight="1" x14ac:dyDescent="0.2">
      <c r="A58" s="2257"/>
      <c r="B58" s="2256"/>
      <c r="C58" s="2257"/>
      <c r="D58" s="2256"/>
      <c r="E58" s="4856"/>
      <c r="F58" s="4856"/>
      <c r="G58" s="4858"/>
      <c r="H58" s="4860"/>
      <c r="I58" s="4858"/>
      <c r="J58" s="4860"/>
      <c r="K58" s="4858"/>
      <c r="L58" s="4860"/>
      <c r="M58" s="4858"/>
      <c r="N58" s="4860"/>
      <c r="O58" s="4858"/>
      <c r="P58" s="4858"/>
      <c r="Q58" s="4862"/>
      <c r="R58" s="4860"/>
      <c r="S58" s="4864"/>
      <c r="T58" s="4866"/>
      <c r="U58" s="4860"/>
      <c r="V58" s="4860"/>
      <c r="W58" s="4867"/>
      <c r="X58" s="2312">
        <v>285000000</v>
      </c>
      <c r="Y58" s="2312">
        <f>241030000-176590000</f>
        <v>64440000</v>
      </c>
      <c r="Z58" s="2312">
        <f>241030000-176590000</f>
        <v>64440000</v>
      </c>
      <c r="AA58" s="2472" t="s">
        <v>3415</v>
      </c>
      <c r="AB58" s="2260">
        <v>4</v>
      </c>
      <c r="AC58" s="2260" t="s">
        <v>3385</v>
      </c>
      <c r="AD58" s="4869"/>
      <c r="AE58" s="4869"/>
      <c r="AF58" s="2566"/>
      <c r="AG58" s="4869"/>
      <c r="AH58" s="2566"/>
      <c r="AI58" s="4869"/>
      <c r="AJ58" s="2566"/>
      <c r="AK58" s="4869"/>
      <c r="AL58" s="2566"/>
      <c r="AM58" s="4869"/>
      <c r="AN58" s="2566"/>
      <c r="AO58" s="4869"/>
      <c r="AP58" s="2566"/>
      <c r="AQ58" s="4869"/>
      <c r="AR58" s="2566"/>
      <c r="AS58" s="4869"/>
      <c r="AT58" s="2566"/>
      <c r="AU58" s="4869"/>
      <c r="AV58" s="2566"/>
      <c r="AW58" s="4869"/>
      <c r="AX58" s="2566"/>
      <c r="AY58" s="4869"/>
      <c r="AZ58" s="2566"/>
      <c r="BA58" s="4869"/>
      <c r="BB58" s="2566"/>
      <c r="BC58" s="4869"/>
      <c r="BD58" s="2566"/>
      <c r="BE58" s="4869"/>
      <c r="BF58" s="2566"/>
      <c r="BG58" s="4869"/>
      <c r="BH58" s="2566"/>
      <c r="BI58" s="4825"/>
      <c r="BJ58" s="4848"/>
      <c r="BK58" s="4869"/>
      <c r="BL58" s="4869"/>
      <c r="BM58" s="4879"/>
      <c r="BN58" s="2265">
        <v>4</v>
      </c>
      <c r="BO58" s="2265" t="s">
        <v>3385</v>
      </c>
      <c r="BP58" s="2872"/>
      <c r="BQ58" s="2872"/>
      <c r="BR58" s="2872"/>
      <c r="BS58" s="2872"/>
      <c r="BT58" s="2872"/>
      <c r="BU58" s="2872"/>
    </row>
    <row r="59" spans="1:73" ht="25.5" customHeight="1" x14ac:dyDescent="0.2">
      <c r="A59" s="2257"/>
      <c r="B59" s="2256"/>
      <c r="C59" s="2257"/>
      <c r="D59" s="2256"/>
      <c r="E59" s="4856"/>
      <c r="F59" s="4856"/>
      <c r="G59" s="4858"/>
      <c r="H59" s="4860"/>
      <c r="I59" s="4858"/>
      <c r="J59" s="4860"/>
      <c r="K59" s="4858"/>
      <c r="L59" s="4860"/>
      <c r="M59" s="4858"/>
      <c r="N59" s="4860"/>
      <c r="O59" s="4858"/>
      <c r="P59" s="4858"/>
      <c r="Q59" s="4862"/>
      <c r="R59" s="4860"/>
      <c r="S59" s="4864"/>
      <c r="T59" s="4866"/>
      <c r="U59" s="4860"/>
      <c r="V59" s="4860"/>
      <c r="W59" s="4888"/>
      <c r="X59" s="2312">
        <v>69000000</v>
      </c>
      <c r="Y59" s="2312">
        <v>28552000</v>
      </c>
      <c r="Z59" s="2312">
        <v>28552000</v>
      </c>
      <c r="AA59" s="2472" t="s">
        <v>3425</v>
      </c>
      <c r="AB59" s="2260">
        <v>12</v>
      </c>
      <c r="AC59" s="2260" t="s">
        <v>3304</v>
      </c>
      <c r="AD59" s="4869"/>
      <c r="AE59" s="4869"/>
      <c r="AF59" s="2566"/>
      <c r="AG59" s="4869"/>
      <c r="AH59" s="2566"/>
      <c r="AI59" s="4869"/>
      <c r="AJ59" s="2566"/>
      <c r="AK59" s="4869"/>
      <c r="AL59" s="2566"/>
      <c r="AM59" s="4869"/>
      <c r="AN59" s="2566"/>
      <c r="AO59" s="4869"/>
      <c r="AP59" s="2566"/>
      <c r="AQ59" s="4869"/>
      <c r="AR59" s="2566"/>
      <c r="AS59" s="4869"/>
      <c r="AT59" s="2566"/>
      <c r="AU59" s="4869"/>
      <c r="AV59" s="2566"/>
      <c r="AW59" s="4869"/>
      <c r="AX59" s="2566"/>
      <c r="AY59" s="4869"/>
      <c r="AZ59" s="2566"/>
      <c r="BA59" s="4869"/>
      <c r="BB59" s="2566"/>
      <c r="BC59" s="4869"/>
      <c r="BD59" s="2566"/>
      <c r="BE59" s="4869"/>
      <c r="BF59" s="2566"/>
      <c r="BG59" s="4869"/>
      <c r="BH59" s="2566"/>
      <c r="BI59" s="4825"/>
      <c r="BJ59" s="4848"/>
      <c r="BK59" s="4869"/>
      <c r="BL59" s="4869"/>
      <c r="BM59" s="4879"/>
      <c r="BN59" s="2265">
        <v>12</v>
      </c>
      <c r="BO59" s="2265" t="s">
        <v>3304</v>
      </c>
      <c r="BP59" s="2872"/>
      <c r="BQ59" s="2872"/>
      <c r="BR59" s="2872"/>
      <c r="BS59" s="2872"/>
      <c r="BT59" s="2872"/>
      <c r="BU59" s="2872"/>
    </row>
    <row r="60" spans="1:73" ht="25.5" customHeight="1" x14ac:dyDescent="0.2">
      <c r="A60" s="2257"/>
      <c r="B60" s="2256"/>
      <c r="C60" s="2257"/>
      <c r="D60" s="2256"/>
      <c r="E60" s="4856"/>
      <c r="F60" s="4856"/>
      <c r="G60" s="4858"/>
      <c r="H60" s="4860"/>
      <c r="I60" s="4858"/>
      <c r="J60" s="4860"/>
      <c r="K60" s="4858"/>
      <c r="L60" s="4860"/>
      <c r="M60" s="4858"/>
      <c r="N60" s="4860"/>
      <c r="O60" s="4858"/>
      <c r="P60" s="4858"/>
      <c r="Q60" s="4862"/>
      <c r="R60" s="4860"/>
      <c r="S60" s="4864"/>
      <c r="T60" s="4866"/>
      <c r="U60" s="4860"/>
      <c r="V60" s="4860"/>
      <c r="W60" s="4870" t="s">
        <v>3426</v>
      </c>
      <c r="X60" s="2312">
        <v>149120550</v>
      </c>
      <c r="Y60" s="2312">
        <v>0</v>
      </c>
      <c r="Z60" s="2312">
        <v>0</v>
      </c>
      <c r="AA60" s="2472" t="s">
        <v>3427</v>
      </c>
      <c r="AB60" s="2260">
        <v>4</v>
      </c>
      <c r="AC60" s="2260" t="s">
        <v>3385</v>
      </c>
      <c r="AD60" s="4869"/>
      <c r="AE60" s="4869"/>
      <c r="AF60" s="2566"/>
      <c r="AG60" s="4869"/>
      <c r="AH60" s="2566"/>
      <c r="AI60" s="4869"/>
      <c r="AJ60" s="2566"/>
      <c r="AK60" s="4869"/>
      <c r="AL60" s="2566"/>
      <c r="AM60" s="4869"/>
      <c r="AN60" s="2566"/>
      <c r="AO60" s="4869"/>
      <c r="AP60" s="2566"/>
      <c r="AQ60" s="4869"/>
      <c r="AR60" s="2566"/>
      <c r="AS60" s="4869"/>
      <c r="AT60" s="2566"/>
      <c r="AU60" s="4869"/>
      <c r="AV60" s="2566"/>
      <c r="AW60" s="4869"/>
      <c r="AX60" s="2566"/>
      <c r="AY60" s="4869"/>
      <c r="AZ60" s="2566"/>
      <c r="BA60" s="4869"/>
      <c r="BB60" s="2566"/>
      <c r="BC60" s="4869"/>
      <c r="BD60" s="2566"/>
      <c r="BE60" s="4869"/>
      <c r="BF60" s="2566"/>
      <c r="BG60" s="4869"/>
      <c r="BH60" s="2566"/>
      <c r="BI60" s="4825"/>
      <c r="BJ60" s="4848"/>
      <c r="BK60" s="4869"/>
      <c r="BL60" s="4869"/>
      <c r="BM60" s="4879"/>
      <c r="BN60" s="2265"/>
      <c r="BO60" s="2265"/>
      <c r="BP60" s="2872"/>
      <c r="BQ60" s="2872"/>
      <c r="BR60" s="2872"/>
      <c r="BS60" s="2872"/>
      <c r="BT60" s="2872"/>
      <c r="BU60" s="2872"/>
    </row>
    <row r="61" spans="1:73" ht="25.5" customHeight="1" x14ac:dyDescent="0.2">
      <c r="A61" s="2257"/>
      <c r="B61" s="2256"/>
      <c r="C61" s="2257"/>
      <c r="D61" s="2256"/>
      <c r="E61" s="4856"/>
      <c r="F61" s="4856"/>
      <c r="G61" s="4858"/>
      <c r="H61" s="4860"/>
      <c r="I61" s="4858"/>
      <c r="J61" s="4860"/>
      <c r="K61" s="4858"/>
      <c r="L61" s="4860"/>
      <c r="M61" s="4858"/>
      <c r="N61" s="4860"/>
      <c r="O61" s="4858"/>
      <c r="P61" s="4858"/>
      <c r="Q61" s="4862"/>
      <c r="R61" s="4860"/>
      <c r="S61" s="4864"/>
      <c r="T61" s="4866"/>
      <c r="U61" s="4860"/>
      <c r="V61" s="4860"/>
      <c r="W61" s="4870"/>
      <c r="X61" s="2312">
        <v>75829148</v>
      </c>
      <c r="Y61" s="2312">
        <v>50429148</v>
      </c>
      <c r="Z61" s="2312">
        <v>50429148</v>
      </c>
      <c r="AA61" s="2472" t="s">
        <v>3428</v>
      </c>
      <c r="AB61" s="2260">
        <v>26</v>
      </c>
      <c r="AC61" s="2260" t="s">
        <v>3373</v>
      </c>
      <c r="AD61" s="4869"/>
      <c r="AE61" s="4869"/>
      <c r="AF61" s="2566"/>
      <c r="AG61" s="4869"/>
      <c r="AH61" s="2566"/>
      <c r="AI61" s="4869"/>
      <c r="AJ61" s="2566"/>
      <c r="AK61" s="4869"/>
      <c r="AL61" s="2566"/>
      <c r="AM61" s="4869"/>
      <c r="AN61" s="2566"/>
      <c r="AO61" s="4869"/>
      <c r="AP61" s="2566"/>
      <c r="AQ61" s="4869"/>
      <c r="AR61" s="2566"/>
      <c r="AS61" s="4869"/>
      <c r="AT61" s="2566"/>
      <c r="AU61" s="4869"/>
      <c r="AV61" s="2566"/>
      <c r="AW61" s="4869"/>
      <c r="AX61" s="2566"/>
      <c r="AY61" s="4869"/>
      <c r="AZ61" s="2566"/>
      <c r="BA61" s="4869"/>
      <c r="BB61" s="2566"/>
      <c r="BC61" s="4869"/>
      <c r="BD61" s="2566"/>
      <c r="BE61" s="4869"/>
      <c r="BF61" s="2566"/>
      <c r="BG61" s="4869"/>
      <c r="BH61" s="2566"/>
      <c r="BI61" s="4825"/>
      <c r="BJ61" s="4848"/>
      <c r="BK61" s="4869"/>
      <c r="BL61" s="4869"/>
      <c r="BM61" s="4879"/>
      <c r="BN61" s="2265"/>
      <c r="BO61" s="2265"/>
      <c r="BP61" s="2872"/>
      <c r="BQ61" s="2872"/>
      <c r="BR61" s="2872"/>
      <c r="BS61" s="2872"/>
      <c r="BT61" s="2872"/>
      <c r="BU61" s="2872"/>
    </row>
    <row r="62" spans="1:73" ht="25.5" customHeight="1" x14ac:dyDescent="0.2">
      <c r="A62" s="2257"/>
      <c r="B62" s="2256"/>
      <c r="C62" s="2257"/>
      <c r="D62" s="2256"/>
      <c r="E62" s="4856"/>
      <c r="F62" s="4856"/>
      <c r="G62" s="4858"/>
      <c r="H62" s="4860"/>
      <c r="I62" s="4858"/>
      <c r="J62" s="4860"/>
      <c r="K62" s="4858"/>
      <c r="L62" s="4860"/>
      <c r="M62" s="4858"/>
      <c r="N62" s="4860"/>
      <c r="O62" s="4858"/>
      <c r="P62" s="4858"/>
      <c r="Q62" s="4862"/>
      <c r="R62" s="4860"/>
      <c r="S62" s="4864"/>
      <c r="T62" s="4866"/>
      <c r="U62" s="4860"/>
      <c r="V62" s="4860"/>
      <c r="W62" s="4870"/>
      <c r="X62" s="2312">
        <v>80000000</v>
      </c>
      <c r="Y62" s="2312">
        <v>0</v>
      </c>
      <c r="Z62" s="2313">
        <v>0</v>
      </c>
      <c r="AA62" s="2472" t="s">
        <v>3429</v>
      </c>
      <c r="AB62" s="2260">
        <v>28</v>
      </c>
      <c r="AC62" s="2260" t="s">
        <v>3362</v>
      </c>
      <c r="AD62" s="4869"/>
      <c r="AE62" s="4869"/>
      <c r="AF62" s="2566"/>
      <c r="AG62" s="4869"/>
      <c r="AH62" s="2566"/>
      <c r="AI62" s="4869"/>
      <c r="AJ62" s="2566"/>
      <c r="AK62" s="4869"/>
      <c r="AL62" s="2566"/>
      <c r="AM62" s="4869"/>
      <c r="AN62" s="2566"/>
      <c r="AO62" s="4869"/>
      <c r="AP62" s="2566"/>
      <c r="AQ62" s="4869"/>
      <c r="AR62" s="2566"/>
      <c r="AS62" s="4869"/>
      <c r="AT62" s="2566"/>
      <c r="AU62" s="4869"/>
      <c r="AV62" s="2566"/>
      <c r="AW62" s="4869"/>
      <c r="AX62" s="2566"/>
      <c r="AY62" s="4869"/>
      <c r="AZ62" s="2566"/>
      <c r="BA62" s="4869"/>
      <c r="BB62" s="2566"/>
      <c r="BC62" s="4869"/>
      <c r="BD62" s="2566"/>
      <c r="BE62" s="4869"/>
      <c r="BF62" s="2566"/>
      <c r="BG62" s="4869"/>
      <c r="BH62" s="2566"/>
      <c r="BI62" s="4825"/>
      <c r="BJ62" s="4848"/>
      <c r="BK62" s="4869"/>
      <c r="BL62" s="4869"/>
      <c r="BM62" s="4879"/>
      <c r="BN62" s="2265"/>
      <c r="BO62" s="2265"/>
      <c r="BP62" s="2872"/>
      <c r="BQ62" s="2872"/>
      <c r="BR62" s="2872"/>
      <c r="BS62" s="2872"/>
      <c r="BT62" s="2872"/>
      <c r="BU62" s="2872"/>
    </row>
    <row r="63" spans="1:73" ht="25.5" customHeight="1" x14ac:dyDescent="0.2">
      <c r="A63" s="2257"/>
      <c r="B63" s="2256"/>
      <c r="C63" s="2257"/>
      <c r="D63" s="2256"/>
      <c r="E63" s="4856"/>
      <c r="F63" s="4856"/>
      <c r="G63" s="4858"/>
      <c r="H63" s="4860"/>
      <c r="I63" s="4858"/>
      <c r="J63" s="4860"/>
      <c r="K63" s="4858"/>
      <c r="L63" s="4860"/>
      <c r="M63" s="4858"/>
      <c r="N63" s="4860"/>
      <c r="O63" s="4858"/>
      <c r="P63" s="4858"/>
      <c r="Q63" s="4862"/>
      <c r="R63" s="4860"/>
      <c r="S63" s="4864"/>
      <c r="T63" s="4866"/>
      <c r="U63" s="4860"/>
      <c r="V63" s="4860"/>
      <c r="W63" s="4870"/>
      <c r="X63" s="2313">
        <v>70000000</v>
      </c>
      <c r="Y63" s="2312">
        <v>70000000</v>
      </c>
      <c r="Z63" s="2312">
        <v>70000000</v>
      </c>
      <c r="AA63" s="2472" t="s">
        <v>3430</v>
      </c>
      <c r="AB63" s="2260">
        <v>23</v>
      </c>
      <c r="AC63" s="2260" t="s">
        <v>3431</v>
      </c>
      <c r="AD63" s="4869"/>
      <c r="AE63" s="4869"/>
      <c r="AF63" s="2566"/>
      <c r="AG63" s="4869"/>
      <c r="AH63" s="2566"/>
      <c r="AI63" s="4869"/>
      <c r="AJ63" s="2566"/>
      <c r="AK63" s="4869"/>
      <c r="AL63" s="2566"/>
      <c r="AM63" s="4869"/>
      <c r="AN63" s="2566"/>
      <c r="AO63" s="4869"/>
      <c r="AP63" s="2566"/>
      <c r="AQ63" s="4869"/>
      <c r="AR63" s="2566"/>
      <c r="AS63" s="4869"/>
      <c r="AT63" s="2566"/>
      <c r="AU63" s="4869"/>
      <c r="AV63" s="2566"/>
      <c r="AW63" s="4869"/>
      <c r="AX63" s="2566"/>
      <c r="AY63" s="4869"/>
      <c r="AZ63" s="2566"/>
      <c r="BA63" s="4869"/>
      <c r="BB63" s="2566"/>
      <c r="BC63" s="4869"/>
      <c r="BD63" s="2566"/>
      <c r="BE63" s="4869"/>
      <c r="BF63" s="2566"/>
      <c r="BG63" s="4869"/>
      <c r="BH63" s="2566"/>
      <c r="BI63" s="4825"/>
      <c r="BJ63" s="4848"/>
      <c r="BK63" s="4869"/>
      <c r="BL63" s="4869"/>
      <c r="BM63" s="4879"/>
      <c r="BN63" s="2265">
        <v>23</v>
      </c>
      <c r="BO63" s="2265" t="s">
        <v>3431</v>
      </c>
      <c r="BP63" s="2872"/>
      <c r="BQ63" s="2872"/>
      <c r="BR63" s="2872"/>
      <c r="BS63" s="2872"/>
      <c r="BT63" s="2872"/>
      <c r="BU63" s="2872"/>
    </row>
    <row r="64" spans="1:73" ht="25.5" customHeight="1" x14ac:dyDescent="0.2">
      <c r="A64" s="2257"/>
      <c r="B64" s="2256"/>
      <c r="C64" s="2257"/>
      <c r="D64" s="2256"/>
      <c r="E64" s="4856"/>
      <c r="F64" s="4856"/>
      <c r="G64" s="4858"/>
      <c r="H64" s="4860"/>
      <c r="I64" s="4858"/>
      <c r="J64" s="4860"/>
      <c r="K64" s="4858"/>
      <c r="L64" s="4860"/>
      <c r="M64" s="4858"/>
      <c r="N64" s="4860"/>
      <c r="O64" s="4858"/>
      <c r="P64" s="4858"/>
      <c r="Q64" s="4862"/>
      <c r="R64" s="4860"/>
      <c r="S64" s="4864"/>
      <c r="T64" s="4866"/>
      <c r="U64" s="4860"/>
      <c r="V64" s="4860"/>
      <c r="W64" s="4870"/>
      <c r="X64" s="2469">
        <v>0</v>
      </c>
      <c r="Y64" s="2469">
        <v>0</v>
      </c>
      <c r="Z64" s="2469">
        <v>0</v>
      </c>
      <c r="AA64" s="2472" t="s">
        <v>3536</v>
      </c>
      <c r="AB64" s="2260">
        <v>28</v>
      </c>
      <c r="AC64" s="2260" t="s">
        <v>3387</v>
      </c>
      <c r="AD64" s="4869"/>
      <c r="AE64" s="4869"/>
      <c r="AF64" s="2566"/>
      <c r="AG64" s="4869"/>
      <c r="AH64" s="2566"/>
      <c r="AI64" s="4869"/>
      <c r="AJ64" s="2566"/>
      <c r="AK64" s="4869"/>
      <c r="AL64" s="2566"/>
      <c r="AM64" s="4869"/>
      <c r="AN64" s="2566"/>
      <c r="AO64" s="4869"/>
      <c r="AP64" s="2566"/>
      <c r="AQ64" s="4869"/>
      <c r="AR64" s="2566"/>
      <c r="AS64" s="4869"/>
      <c r="AT64" s="2566"/>
      <c r="AU64" s="4869"/>
      <c r="AV64" s="2566"/>
      <c r="AW64" s="4869"/>
      <c r="AX64" s="2566"/>
      <c r="AY64" s="4869"/>
      <c r="AZ64" s="2566"/>
      <c r="BA64" s="4869"/>
      <c r="BB64" s="2566"/>
      <c r="BC64" s="4869"/>
      <c r="BD64" s="2566"/>
      <c r="BE64" s="4869"/>
      <c r="BF64" s="2566"/>
      <c r="BG64" s="4869"/>
      <c r="BH64" s="2566"/>
      <c r="BI64" s="4825"/>
      <c r="BJ64" s="4848"/>
      <c r="BK64" s="4869"/>
      <c r="BL64" s="4869"/>
      <c r="BM64" s="4879"/>
      <c r="BN64" s="2265"/>
      <c r="BO64" s="2265"/>
      <c r="BP64" s="2872"/>
      <c r="BQ64" s="2872"/>
      <c r="BR64" s="2872"/>
      <c r="BS64" s="2872"/>
      <c r="BT64" s="2872"/>
      <c r="BU64" s="2872"/>
    </row>
    <row r="65" spans="1:73" ht="25.5" customHeight="1" x14ac:dyDescent="0.2">
      <c r="A65" s="2257"/>
      <c r="B65" s="2256"/>
      <c r="C65" s="2257"/>
      <c r="D65" s="2256"/>
      <c r="E65" s="4856"/>
      <c r="F65" s="4856"/>
      <c r="G65" s="4858"/>
      <c r="H65" s="4860"/>
      <c r="I65" s="4858"/>
      <c r="J65" s="4860"/>
      <c r="K65" s="4858"/>
      <c r="L65" s="4860"/>
      <c r="M65" s="4858"/>
      <c r="N65" s="4860"/>
      <c r="O65" s="4858"/>
      <c r="P65" s="4858"/>
      <c r="Q65" s="4862"/>
      <c r="R65" s="4860"/>
      <c r="S65" s="4864"/>
      <c r="T65" s="4866"/>
      <c r="U65" s="4860"/>
      <c r="V65" s="4860"/>
      <c r="W65" s="4870"/>
      <c r="X65" s="2469">
        <v>0</v>
      </c>
      <c r="Y65" s="2469">
        <v>0</v>
      </c>
      <c r="Z65" s="2469">
        <v>0</v>
      </c>
      <c r="AA65" s="2472" t="s">
        <v>3429</v>
      </c>
      <c r="AB65" s="2260">
        <v>28</v>
      </c>
      <c r="AC65" s="2260" t="s">
        <v>3387</v>
      </c>
      <c r="AD65" s="4869"/>
      <c r="AE65" s="4869"/>
      <c r="AF65" s="2566"/>
      <c r="AG65" s="4869"/>
      <c r="AH65" s="2566"/>
      <c r="AI65" s="4869"/>
      <c r="AJ65" s="2566"/>
      <c r="AK65" s="4869"/>
      <c r="AL65" s="2566"/>
      <c r="AM65" s="4869"/>
      <c r="AN65" s="2566"/>
      <c r="AO65" s="4869"/>
      <c r="AP65" s="2566"/>
      <c r="AQ65" s="4869"/>
      <c r="AR65" s="2566"/>
      <c r="AS65" s="4869"/>
      <c r="AT65" s="2566"/>
      <c r="AU65" s="4869"/>
      <c r="AV65" s="2566"/>
      <c r="AW65" s="4869"/>
      <c r="AX65" s="2566"/>
      <c r="AY65" s="4869"/>
      <c r="AZ65" s="2566"/>
      <c r="BA65" s="4869"/>
      <c r="BB65" s="2566"/>
      <c r="BC65" s="4869"/>
      <c r="BD65" s="2566"/>
      <c r="BE65" s="4869"/>
      <c r="BF65" s="2566"/>
      <c r="BG65" s="4869"/>
      <c r="BH65" s="2566"/>
      <c r="BI65" s="4825"/>
      <c r="BJ65" s="4848"/>
      <c r="BK65" s="4869"/>
      <c r="BL65" s="4869"/>
      <c r="BM65" s="4879"/>
      <c r="BN65" s="2265"/>
      <c r="BO65" s="2265"/>
      <c r="BP65" s="2872"/>
      <c r="BQ65" s="2872"/>
      <c r="BR65" s="2872"/>
      <c r="BS65" s="2872"/>
      <c r="BT65" s="2872"/>
      <c r="BU65" s="2872"/>
    </row>
    <row r="66" spans="1:73" ht="25.5" customHeight="1" x14ac:dyDescent="0.2">
      <c r="A66" s="2257"/>
      <c r="B66" s="2256"/>
      <c r="C66" s="2257"/>
      <c r="D66" s="2256"/>
      <c r="E66" s="4856"/>
      <c r="F66" s="4856"/>
      <c r="G66" s="4858"/>
      <c r="H66" s="4860"/>
      <c r="I66" s="4858"/>
      <c r="J66" s="4860"/>
      <c r="K66" s="4858"/>
      <c r="L66" s="4860"/>
      <c r="M66" s="4858"/>
      <c r="N66" s="4860"/>
      <c r="O66" s="4858"/>
      <c r="P66" s="4858"/>
      <c r="Q66" s="4862"/>
      <c r="R66" s="4860"/>
      <c r="S66" s="4864"/>
      <c r="T66" s="4866"/>
      <c r="U66" s="4860"/>
      <c r="V66" s="4860"/>
      <c r="W66" s="4870"/>
      <c r="X66" s="2312">
        <v>50000000</v>
      </c>
      <c r="Y66" s="2310">
        <v>0</v>
      </c>
      <c r="Z66" s="2480">
        <v>0</v>
      </c>
      <c r="AA66" s="2472" t="s">
        <v>3432</v>
      </c>
      <c r="AB66" s="2260">
        <v>12</v>
      </c>
      <c r="AC66" s="2260" t="s">
        <v>3304</v>
      </c>
      <c r="AD66" s="4869"/>
      <c r="AE66" s="4869"/>
      <c r="AF66" s="2566"/>
      <c r="AG66" s="4869"/>
      <c r="AH66" s="2566"/>
      <c r="AI66" s="4869"/>
      <c r="AJ66" s="2566"/>
      <c r="AK66" s="4869"/>
      <c r="AL66" s="2566"/>
      <c r="AM66" s="4869"/>
      <c r="AN66" s="2566"/>
      <c r="AO66" s="4869"/>
      <c r="AP66" s="2566"/>
      <c r="AQ66" s="4869"/>
      <c r="AR66" s="2566"/>
      <c r="AS66" s="4869"/>
      <c r="AT66" s="2566"/>
      <c r="AU66" s="4869"/>
      <c r="AV66" s="2566"/>
      <c r="AW66" s="4869"/>
      <c r="AX66" s="2566"/>
      <c r="AY66" s="4869"/>
      <c r="AZ66" s="2566"/>
      <c r="BA66" s="4869"/>
      <c r="BB66" s="2566"/>
      <c r="BC66" s="4869"/>
      <c r="BD66" s="2566"/>
      <c r="BE66" s="4869"/>
      <c r="BF66" s="2566"/>
      <c r="BG66" s="4869"/>
      <c r="BH66" s="2566"/>
      <c r="BI66" s="4825"/>
      <c r="BJ66" s="4848"/>
      <c r="BK66" s="4869"/>
      <c r="BL66" s="4869"/>
      <c r="BM66" s="4879"/>
      <c r="BN66" s="2265"/>
      <c r="BO66" s="2265"/>
      <c r="BP66" s="2872"/>
      <c r="BQ66" s="2872"/>
      <c r="BR66" s="2872"/>
      <c r="BS66" s="2872"/>
      <c r="BT66" s="2872"/>
      <c r="BU66" s="2872"/>
    </row>
    <row r="67" spans="1:73" ht="25.5" customHeight="1" x14ac:dyDescent="0.2">
      <c r="A67" s="2257"/>
      <c r="B67" s="2256"/>
      <c r="C67" s="2257"/>
      <c r="D67" s="2256"/>
      <c r="E67" s="4856"/>
      <c r="F67" s="4856"/>
      <c r="G67" s="4858"/>
      <c r="H67" s="4860"/>
      <c r="I67" s="4858"/>
      <c r="J67" s="4860"/>
      <c r="K67" s="4858"/>
      <c r="L67" s="4860"/>
      <c r="M67" s="4858"/>
      <c r="N67" s="4860"/>
      <c r="O67" s="4858"/>
      <c r="P67" s="4858"/>
      <c r="Q67" s="4862"/>
      <c r="R67" s="4860"/>
      <c r="S67" s="4864"/>
      <c r="T67" s="4866"/>
      <c r="U67" s="4860"/>
      <c r="V67" s="4860"/>
      <c r="W67" s="4870" t="s">
        <v>3433</v>
      </c>
      <c r="X67" s="2312">
        <v>50164200</v>
      </c>
      <c r="Y67" s="2312">
        <v>18744825</v>
      </c>
      <c r="Z67" s="2312">
        <v>18744825</v>
      </c>
      <c r="AA67" s="2472" t="s">
        <v>3432</v>
      </c>
      <c r="AB67" s="2260">
        <v>12</v>
      </c>
      <c r="AC67" s="2260" t="s">
        <v>3304</v>
      </c>
      <c r="AD67" s="4869"/>
      <c r="AE67" s="4869"/>
      <c r="AF67" s="2566"/>
      <c r="AG67" s="4869"/>
      <c r="AH67" s="2566"/>
      <c r="AI67" s="4869"/>
      <c r="AJ67" s="2566"/>
      <c r="AK67" s="4869"/>
      <c r="AL67" s="2566"/>
      <c r="AM67" s="4869"/>
      <c r="AN67" s="2566"/>
      <c r="AO67" s="4869"/>
      <c r="AP67" s="2566"/>
      <c r="AQ67" s="4869"/>
      <c r="AR67" s="2566"/>
      <c r="AS67" s="4869"/>
      <c r="AT67" s="2566"/>
      <c r="AU67" s="4869"/>
      <c r="AV67" s="2566"/>
      <c r="AW67" s="4869"/>
      <c r="AX67" s="2566"/>
      <c r="AY67" s="4869"/>
      <c r="AZ67" s="2566"/>
      <c r="BA67" s="4869"/>
      <c r="BB67" s="2566"/>
      <c r="BC67" s="4869"/>
      <c r="BD67" s="2566"/>
      <c r="BE67" s="4869"/>
      <c r="BF67" s="2566"/>
      <c r="BG67" s="4869"/>
      <c r="BH67" s="2566"/>
      <c r="BI67" s="4825"/>
      <c r="BJ67" s="4848"/>
      <c r="BK67" s="4869"/>
      <c r="BL67" s="4869"/>
      <c r="BM67" s="4879"/>
      <c r="BN67" s="2265">
        <v>12</v>
      </c>
      <c r="BO67" s="2265" t="s">
        <v>3304</v>
      </c>
      <c r="BP67" s="2872"/>
      <c r="BQ67" s="2872"/>
      <c r="BR67" s="2872"/>
      <c r="BS67" s="2872"/>
      <c r="BT67" s="2872"/>
      <c r="BU67" s="2872"/>
    </row>
    <row r="68" spans="1:73" ht="25.5" customHeight="1" x14ac:dyDescent="0.2">
      <c r="A68" s="2257"/>
      <c r="B68" s="2256"/>
      <c r="C68" s="2257"/>
      <c r="D68" s="2256"/>
      <c r="E68" s="4856"/>
      <c r="F68" s="4856"/>
      <c r="G68" s="4858"/>
      <c r="H68" s="4860"/>
      <c r="I68" s="4858"/>
      <c r="J68" s="4860"/>
      <c r="K68" s="4858"/>
      <c r="L68" s="4860"/>
      <c r="M68" s="4858"/>
      <c r="N68" s="4860"/>
      <c r="O68" s="4858"/>
      <c r="P68" s="4858"/>
      <c r="Q68" s="4862"/>
      <c r="R68" s="4860"/>
      <c r="S68" s="4864"/>
      <c r="T68" s="4866"/>
      <c r="U68" s="4860"/>
      <c r="V68" s="4860"/>
      <c r="W68" s="4870"/>
      <c r="X68" s="2312">
        <v>60805175</v>
      </c>
      <c r="Y68" s="2312">
        <v>58805175</v>
      </c>
      <c r="Z68" s="2312">
        <v>58805175</v>
      </c>
      <c r="AA68" s="2472" t="s">
        <v>3434</v>
      </c>
      <c r="AB68" s="2260">
        <v>3</v>
      </c>
      <c r="AC68" s="2260" t="s">
        <v>3391</v>
      </c>
      <c r="AD68" s="4869"/>
      <c r="AE68" s="4869"/>
      <c r="AF68" s="2566"/>
      <c r="AG68" s="4869"/>
      <c r="AH68" s="2566"/>
      <c r="AI68" s="4869"/>
      <c r="AJ68" s="2566"/>
      <c r="AK68" s="4869"/>
      <c r="AL68" s="2566"/>
      <c r="AM68" s="4869"/>
      <c r="AN68" s="2566"/>
      <c r="AO68" s="4869"/>
      <c r="AP68" s="2566"/>
      <c r="AQ68" s="4869"/>
      <c r="AR68" s="2566"/>
      <c r="AS68" s="4869"/>
      <c r="AT68" s="2566"/>
      <c r="AU68" s="4869"/>
      <c r="AV68" s="2566"/>
      <c r="AW68" s="4869"/>
      <c r="AX68" s="2566"/>
      <c r="AY68" s="4869"/>
      <c r="AZ68" s="2566"/>
      <c r="BA68" s="4869"/>
      <c r="BB68" s="2566"/>
      <c r="BC68" s="4869"/>
      <c r="BD68" s="2566"/>
      <c r="BE68" s="4869"/>
      <c r="BF68" s="2566"/>
      <c r="BG68" s="4869"/>
      <c r="BH68" s="2566"/>
      <c r="BI68" s="4825"/>
      <c r="BJ68" s="4848"/>
      <c r="BK68" s="4869"/>
      <c r="BL68" s="4869"/>
      <c r="BM68" s="4879"/>
      <c r="BN68" s="2265">
        <v>3</v>
      </c>
      <c r="BO68" s="2265" t="str">
        <f>+AC68</f>
        <v>IPOCONSUMO</v>
      </c>
      <c r="BP68" s="2872"/>
      <c r="BQ68" s="2872"/>
      <c r="BR68" s="2872"/>
      <c r="BS68" s="2872"/>
      <c r="BT68" s="2872"/>
      <c r="BU68" s="2872"/>
    </row>
    <row r="69" spans="1:73" ht="55.5" customHeight="1" x14ac:dyDescent="0.2">
      <c r="A69" s="2257"/>
      <c r="B69" s="2256"/>
      <c r="C69" s="2257"/>
      <c r="D69" s="2256"/>
      <c r="E69" s="4856"/>
      <c r="F69" s="4856"/>
      <c r="G69" s="4858"/>
      <c r="H69" s="4860"/>
      <c r="I69" s="4858"/>
      <c r="J69" s="4860"/>
      <c r="K69" s="4858"/>
      <c r="L69" s="4860"/>
      <c r="M69" s="4858"/>
      <c r="N69" s="4860"/>
      <c r="O69" s="4858"/>
      <c r="P69" s="4858"/>
      <c r="Q69" s="4862"/>
      <c r="R69" s="4860"/>
      <c r="S69" s="4864"/>
      <c r="T69" s="4866"/>
      <c r="U69" s="4860"/>
      <c r="V69" s="4860"/>
      <c r="W69" s="2327" t="s">
        <v>3537</v>
      </c>
      <c r="X69" s="2469">
        <v>0</v>
      </c>
      <c r="Y69" s="2469">
        <v>0</v>
      </c>
      <c r="Z69" s="2469">
        <v>0</v>
      </c>
      <c r="AA69" s="2472" t="s">
        <v>3538</v>
      </c>
      <c r="AB69" s="2260">
        <v>28</v>
      </c>
      <c r="AC69" s="2260" t="s">
        <v>3387</v>
      </c>
      <c r="AD69" s="4869"/>
      <c r="AE69" s="4869"/>
      <c r="AF69" s="2566"/>
      <c r="AG69" s="4869"/>
      <c r="AH69" s="2566"/>
      <c r="AI69" s="4869"/>
      <c r="AJ69" s="2566"/>
      <c r="AK69" s="4869"/>
      <c r="AL69" s="2566"/>
      <c r="AM69" s="4869"/>
      <c r="AN69" s="2566"/>
      <c r="AO69" s="4869"/>
      <c r="AP69" s="2566"/>
      <c r="AQ69" s="4869"/>
      <c r="AR69" s="2566"/>
      <c r="AS69" s="4869"/>
      <c r="AT69" s="2566"/>
      <c r="AU69" s="4869"/>
      <c r="AV69" s="2566"/>
      <c r="AW69" s="4869"/>
      <c r="AX69" s="2566"/>
      <c r="AY69" s="4869"/>
      <c r="AZ69" s="2566"/>
      <c r="BA69" s="4869"/>
      <c r="BB69" s="2566"/>
      <c r="BC69" s="4869"/>
      <c r="BD69" s="2566"/>
      <c r="BE69" s="4869"/>
      <c r="BF69" s="2566"/>
      <c r="BG69" s="4869"/>
      <c r="BH69" s="2566"/>
      <c r="BI69" s="4825"/>
      <c r="BJ69" s="4848"/>
      <c r="BK69" s="4869"/>
      <c r="BL69" s="4869"/>
      <c r="BM69" s="4879"/>
      <c r="BN69" s="2265"/>
      <c r="BO69" s="2265"/>
      <c r="BP69" s="2872"/>
      <c r="BQ69" s="2872"/>
      <c r="BR69" s="2872"/>
      <c r="BS69" s="2872"/>
      <c r="BT69" s="2872"/>
      <c r="BU69" s="2872"/>
    </row>
    <row r="70" spans="1:73" ht="55.5" customHeight="1" x14ac:dyDescent="0.2">
      <c r="A70" s="2257"/>
      <c r="B70" s="2256"/>
      <c r="C70" s="2257"/>
      <c r="D70" s="2256"/>
      <c r="E70" s="4856"/>
      <c r="F70" s="4856"/>
      <c r="G70" s="4858"/>
      <c r="H70" s="4860"/>
      <c r="I70" s="4858"/>
      <c r="J70" s="4860"/>
      <c r="K70" s="4858"/>
      <c r="L70" s="4860"/>
      <c r="M70" s="4858"/>
      <c r="N70" s="4860"/>
      <c r="O70" s="4858"/>
      <c r="P70" s="4858"/>
      <c r="Q70" s="4862"/>
      <c r="R70" s="4860"/>
      <c r="S70" s="4864"/>
      <c r="T70" s="4866"/>
      <c r="U70" s="4860"/>
      <c r="V70" s="4860"/>
      <c r="W70" s="2327" t="s">
        <v>3435</v>
      </c>
      <c r="X70" s="2313">
        <v>26000000</v>
      </c>
      <c r="Y70" s="2312">
        <v>15226200</v>
      </c>
      <c r="Z70" s="2312">
        <v>15226200</v>
      </c>
      <c r="AA70" s="2472" t="s">
        <v>3436</v>
      </c>
      <c r="AB70" s="2260">
        <v>23</v>
      </c>
      <c r="AC70" s="2260" t="s">
        <v>3431</v>
      </c>
      <c r="AD70" s="4869"/>
      <c r="AE70" s="4869"/>
      <c r="AF70" s="2566"/>
      <c r="AG70" s="4869"/>
      <c r="AH70" s="2566"/>
      <c r="AI70" s="4869"/>
      <c r="AJ70" s="2566"/>
      <c r="AK70" s="4869"/>
      <c r="AL70" s="2566"/>
      <c r="AM70" s="4869"/>
      <c r="AN70" s="2566"/>
      <c r="AO70" s="4869"/>
      <c r="AP70" s="2566"/>
      <c r="AQ70" s="4869"/>
      <c r="AR70" s="2566"/>
      <c r="AS70" s="4869"/>
      <c r="AT70" s="2566"/>
      <c r="AU70" s="4869"/>
      <c r="AV70" s="2566"/>
      <c r="AW70" s="4869"/>
      <c r="AX70" s="2566"/>
      <c r="AY70" s="4869"/>
      <c r="AZ70" s="2566"/>
      <c r="BA70" s="4869"/>
      <c r="BB70" s="2566"/>
      <c r="BC70" s="4869"/>
      <c r="BD70" s="2566"/>
      <c r="BE70" s="4869"/>
      <c r="BF70" s="2566"/>
      <c r="BG70" s="4869"/>
      <c r="BH70" s="2566"/>
      <c r="BI70" s="4825"/>
      <c r="BJ70" s="4848"/>
      <c r="BK70" s="4869"/>
      <c r="BL70" s="4869"/>
      <c r="BM70" s="4879"/>
      <c r="BN70" s="2265"/>
      <c r="BO70" s="2265"/>
      <c r="BP70" s="2872"/>
      <c r="BQ70" s="2872"/>
      <c r="BR70" s="2872"/>
      <c r="BS70" s="2872"/>
      <c r="BT70" s="2872"/>
      <c r="BU70" s="2872"/>
    </row>
    <row r="71" spans="1:73" ht="25.5" customHeight="1" x14ac:dyDescent="0.2">
      <c r="A71" s="2257"/>
      <c r="B71" s="2256"/>
      <c r="C71" s="2257"/>
      <c r="D71" s="2256"/>
      <c r="E71" s="4856"/>
      <c r="F71" s="4856"/>
      <c r="G71" s="4858"/>
      <c r="H71" s="4860"/>
      <c r="I71" s="4858"/>
      <c r="J71" s="4860"/>
      <c r="K71" s="4858"/>
      <c r="L71" s="4860"/>
      <c r="M71" s="4858"/>
      <c r="N71" s="4860"/>
      <c r="O71" s="4858"/>
      <c r="P71" s="4858"/>
      <c r="Q71" s="4862"/>
      <c r="R71" s="4860"/>
      <c r="S71" s="4864"/>
      <c r="T71" s="4866"/>
      <c r="U71" s="4860"/>
      <c r="V71" s="4867"/>
      <c r="W71" s="2528" t="s">
        <v>3437</v>
      </c>
      <c r="X71" s="2312">
        <v>50000000</v>
      </c>
      <c r="Y71" s="2312">
        <v>50000000</v>
      </c>
      <c r="Z71" s="2312">
        <v>50000000</v>
      </c>
      <c r="AA71" s="2472" t="s">
        <v>3438</v>
      </c>
      <c r="AB71" s="2260">
        <v>24</v>
      </c>
      <c r="AC71" s="2260" t="s">
        <v>3439</v>
      </c>
      <c r="AD71" s="4869"/>
      <c r="AE71" s="4869"/>
      <c r="AF71" s="2566"/>
      <c r="AG71" s="4869"/>
      <c r="AH71" s="2566"/>
      <c r="AI71" s="4869"/>
      <c r="AJ71" s="2566"/>
      <c r="AK71" s="4869"/>
      <c r="AL71" s="2566"/>
      <c r="AM71" s="4869"/>
      <c r="AN71" s="2566"/>
      <c r="AO71" s="4869"/>
      <c r="AP71" s="2566"/>
      <c r="AQ71" s="4869"/>
      <c r="AR71" s="2566"/>
      <c r="AS71" s="4869"/>
      <c r="AT71" s="2566"/>
      <c r="AU71" s="4869"/>
      <c r="AV71" s="2566"/>
      <c r="AW71" s="4869"/>
      <c r="AX71" s="2566"/>
      <c r="AY71" s="4869"/>
      <c r="AZ71" s="2566"/>
      <c r="BA71" s="4869"/>
      <c r="BB71" s="2566"/>
      <c r="BC71" s="4869"/>
      <c r="BD71" s="2566"/>
      <c r="BE71" s="4869"/>
      <c r="BF71" s="2566"/>
      <c r="BG71" s="4869"/>
      <c r="BH71" s="2566"/>
      <c r="BI71" s="4825"/>
      <c r="BJ71" s="4848"/>
      <c r="BK71" s="4869"/>
      <c r="BL71" s="4869"/>
      <c r="BM71" s="4879"/>
      <c r="BN71" s="2265">
        <v>24</v>
      </c>
      <c r="BO71" s="2262" t="s">
        <v>3439</v>
      </c>
      <c r="BP71" s="2872"/>
      <c r="BQ71" s="2872"/>
      <c r="BR71" s="2872"/>
      <c r="BS71" s="2872"/>
      <c r="BT71" s="2872"/>
      <c r="BU71" s="2872"/>
    </row>
    <row r="72" spans="1:73" ht="25.5" customHeight="1" x14ac:dyDescent="0.2">
      <c r="A72" s="2257"/>
      <c r="B72" s="2256"/>
      <c r="C72" s="2257"/>
      <c r="D72" s="2256"/>
      <c r="E72" s="4856"/>
      <c r="F72" s="4856"/>
      <c r="G72" s="4858"/>
      <c r="H72" s="4860"/>
      <c r="I72" s="4858"/>
      <c r="J72" s="4860"/>
      <c r="K72" s="4858"/>
      <c r="L72" s="4860"/>
      <c r="M72" s="4858"/>
      <c r="N72" s="4860"/>
      <c r="O72" s="4858"/>
      <c r="P72" s="4858"/>
      <c r="Q72" s="4862"/>
      <c r="R72" s="4860"/>
      <c r="S72" s="4864"/>
      <c r="T72" s="4866"/>
      <c r="U72" s="4860"/>
      <c r="V72" s="4867"/>
      <c r="W72" s="2528"/>
      <c r="X72" s="2313">
        <v>4000000</v>
      </c>
      <c r="Y72" s="2312">
        <v>3989050</v>
      </c>
      <c r="Z72" s="2312">
        <v>3989050</v>
      </c>
      <c r="AA72" s="2472" t="s">
        <v>3440</v>
      </c>
      <c r="AB72" s="2260">
        <v>23</v>
      </c>
      <c r="AC72" s="2260" t="s">
        <v>3431</v>
      </c>
      <c r="AD72" s="4869"/>
      <c r="AE72" s="4869"/>
      <c r="AF72" s="2566"/>
      <c r="AG72" s="4869"/>
      <c r="AH72" s="2566"/>
      <c r="AI72" s="4869"/>
      <c r="AJ72" s="2566"/>
      <c r="AK72" s="4869"/>
      <c r="AL72" s="2566"/>
      <c r="AM72" s="4869"/>
      <c r="AN72" s="2566"/>
      <c r="AO72" s="4869"/>
      <c r="AP72" s="2566"/>
      <c r="AQ72" s="4869"/>
      <c r="AR72" s="2566"/>
      <c r="AS72" s="4869"/>
      <c r="AT72" s="2566"/>
      <c r="AU72" s="4869"/>
      <c r="AV72" s="2566"/>
      <c r="AW72" s="4869"/>
      <c r="AX72" s="2566"/>
      <c r="AY72" s="4869"/>
      <c r="AZ72" s="2566"/>
      <c r="BA72" s="4869"/>
      <c r="BB72" s="2566"/>
      <c r="BC72" s="4869"/>
      <c r="BD72" s="2566"/>
      <c r="BE72" s="4869"/>
      <c r="BF72" s="2566"/>
      <c r="BG72" s="4869"/>
      <c r="BH72" s="2566"/>
      <c r="BI72" s="4825"/>
      <c r="BJ72" s="4848"/>
      <c r="BK72" s="4869"/>
      <c r="BL72" s="4869"/>
      <c r="BM72" s="4879"/>
      <c r="BN72" s="2265">
        <v>23</v>
      </c>
      <c r="BO72" s="2262" t="s">
        <v>3431</v>
      </c>
      <c r="BP72" s="2872"/>
      <c r="BQ72" s="2872"/>
      <c r="BR72" s="2872"/>
      <c r="BS72" s="2872"/>
      <c r="BT72" s="2872"/>
      <c r="BU72" s="2872"/>
    </row>
    <row r="73" spans="1:73" ht="25.5" customHeight="1" x14ac:dyDescent="0.2">
      <c r="A73" s="2257"/>
      <c r="B73" s="2256"/>
      <c r="C73" s="2257"/>
      <c r="D73" s="2256"/>
      <c r="E73" s="4856"/>
      <c r="F73" s="4856"/>
      <c r="G73" s="4858"/>
      <c r="H73" s="4860"/>
      <c r="I73" s="4858"/>
      <c r="J73" s="4860"/>
      <c r="K73" s="4858"/>
      <c r="L73" s="4860"/>
      <c r="M73" s="4858"/>
      <c r="N73" s="4860"/>
      <c r="O73" s="4858"/>
      <c r="P73" s="4858"/>
      <c r="Q73" s="4862"/>
      <c r="R73" s="4860"/>
      <c r="S73" s="4864"/>
      <c r="T73" s="4866"/>
      <c r="U73" s="4860"/>
      <c r="V73" s="4867"/>
      <c r="W73" s="2528"/>
      <c r="X73" s="2312">
        <v>0</v>
      </c>
      <c r="Y73" s="2312">
        <v>0</v>
      </c>
      <c r="Z73" s="2312">
        <v>0</v>
      </c>
      <c r="AA73" s="2472" t="s">
        <v>3424</v>
      </c>
      <c r="AB73" s="2260">
        <v>26</v>
      </c>
      <c r="AC73" s="2260" t="s">
        <v>3539</v>
      </c>
      <c r="AD73" s="4869"/>
      <c r="AE73" s="4869"/>
      <c r="AF73" s="2566"/>
      <c r="AG73" s="4869"/>
      <c r="AH73" s="2566"/>
      <c r="AI73" s="4869"/>
      <c r="AJ73" s="2566"/>
      <c r="AK73" s="4869"/>
      <c r="AL73" s="2566"/>
      <c r="AM73" s="4869"/>
      <c r="AN73" s="2566"/>
      <c r="AO73" s="4869"/>
      <c r="AP73" s="2566"/>
      <c r="AQ73" s="4869"/>
      <c r="AR73" s="2566"/>
      <c r="AS73" s="4869"/>
      <c r="AT73" s="2566"/>
      <c r="AU73" s="4869"/>
      <c r="AV73" s="2566"/>
      <c r="AW73" s="4869"/>
      <c r="AX73" s="2566"/>
      <c r="AY73" s="4869"/>
      <c r="AZ73" s="2566"/>
      <c r="BA73" s="4869"/>
      <c r="BB73" s="2566"/>
      <c r="BC73" s="4869"/>
      <c r="BD73" s="2566"/>
      <c r="BE73" s="4869"/>
      <c r="BF73" s="2566"/>
      <c r="BG73" s="4869"/>
      <c r="BH73" s="2566"/>
      <c r="BI73" s="4825"/>
      <c r="BJ73" s="4848"/>
      <c r="BK73" s="4869"/>
      <c r="BL73" s="4869"/>
      <c r="BM73" s="4879"/>
      <c r="BN73" s="2265"/>
      <c r="BO73" s="2262"/>
      <c r="BP73" s="2872"/>
      <c r="BQ73" s="2872"/>
      <c r="BR73" s="2872"/>
      <c r="BS73" s="2872"/>
      <c r="BT73" s="2872"/>
      <c r="BU73" s="2872"/>
    </row>
    <row r="74" spans="1:73" ht="25.5" customHeight="1" x14ac:dyDescent="0.2">
      <c r="A74" s="2257"/>
      <c r="B74" s="2256"/>
      <c r="C74" s="2257"/>
      <c r="D74" s="2256"/>
      <c r="E74" s="4856"/>
      <c r="F74" s="4856"/>
      <c r="G74" s="4858"/>
      <c r="H74" s="4860"/>
      <c r="I74" s="4858"/>
      <c r="J74" s="4860"/>
      <c r="K74" s="4858"/>
      <c r="L74" s="4860"/>
      <c r="M74" s="4858"/>
      <c r="N74" s="4860"/>
      <c r="O74" s="4858"/>
      <c r="P74" s="4858"/>
      <c r="Q74" s="4862"/>
      <c r="R74" s="4860"/>
      <c r="S74" s="4864"/>
      <c r="T74" s="4866"/>
      <c r="U74" s="4860"/>
      <c r="V74" s="4867"/>
      <c r="W74" s="2528"/>
      <c r="X74" s="2312">
        <v>0</v>
      </c>
      <c r="Y74" s="2312">
        <v>0</v>
      </c>
      <c r="Z74" s="2312">
        <v>0</v>
      </c>
      <c r="AA74" s="2472" t="s">
        <v>3536</v>
      </c>
      <c r="AB74" s="2260">
        <v>28</v>
      </c>
      <c r="AC74" s="2260" t="s">
        <v>3387</v>
      </c>
      <c r="AD74" s="4869"/>
      <c r="AE74" s="4869"/>
      <c r="AF74" s="2566"/>
      <c r="AG74" s="4869"/>
      <c r="AH74" s="2566"/>
      <c r="AI74" s="4869"/>
      <c r="AJ74" s="2566"/>
      <c r="AK74" s="4869"/>
      <c r="AL74" s="2566"/>
      <c r="AM74" s="4869"/>
      <c r="AN74" s="2566"/>
      <c r="AO74" s="4869"/>
      <c r="AP74" s="2566"/>
      <c r="AQ74" s="4869"/>
      <c r="AR74" s="2566"/>
      <c r="AS74" s="4869"/>
      <c r="AT74" s="2566"/>
      <c r="AU74" s="4869"/>
      <c r="AV74" s="2566"/>
      <c r="AW74" s="4869"/>
      <c r="AX74" s="2566"/>
      <c r="AY74" s="4869"/>
      <c r="AZ74" s="2566"/>
      <c r="BA74" s="4869"/>
      <c r="BB74" s="2566"/>
      <c r="BC74" s="4869"/>
      <c r="BD74" s="2566"/>
      <c r="BE74" s="4869"/>
      <c r="BF74" s="2566"/>
      <c r="BG74" s="4869"/>
      <c r="BH74" s="2566"/>
      <c r="BI74" s="4825"/>
      <c r="BJ74" s="4848"/>
      <c r="BK74" s="4869"/>
      <c r="BL74" s="4869"/>
      <c r="BM74" s="4879"/>
      <c r="BN74" s="2265"/>
      <c r="BO74" s="2262"/>
      <c r="BP74" s="2872"/>
      <c r="BQ74" s="2872"/>
      <c r="BR74" s="2872"/>
      <c r="BS74" s="2872"/>
      <c r="BT74" s="2872"/>
      <c r="BU74" s="2872"/>
    </row>
    <row r="75" spans="1:73" ht="25.5" customHeight="1" thickBot="1" x14ac:dyDescent="0.25">
      <c r="A75" s="2257"/>
      <c r="B75" s="2256"/>
      <c r="C75" s="2257"/>
      <c r="D75" s="2256"/>
      <c r="E75" s="4856"/>
      <c r="F75" s="4856"/>
      <c r="G75" s="4858"/>
      <c r="H75" s="4860"/>
      <c r="I75" s="4858"/>
      <c r="J75" s="4860"/>
      <c r="K75" s="4858"/>
      <c r="L75" s="4860"/>
      <c r="M75" s="4858"/>
      <c r="N75" s="4860"/>
      <c r="O75" s="4858"/>
      <c r="P75" s="4858"/>
      <c r="Q75" s="4862"/>
      <c r="R75" s="4860"/>
      <c r="S75" s="4864"/>
      <c r="T75" s="4866"/>
      <c r="U75" s="4860"/>
      <c r="V75" s="4868"/>
      <c r="W75" s="2528"/>
      <c r="X75" s="2312">
        <v>32000000</v>
      </c>
      <c r="Y75" s="2312">
        <v>31920000</v>
      </c>
      <c r="Z75" s="2312">
        <v>31920000</v>
      </c>
      <c r="AA75" s="2472" t="s">
        <v>3441</v>
      </c>
      <c r="AB75" s="2260">
        <v>26</v>
      </c>
      <c r="AC75" s="2260" t="s">
        <v>3373</v>
      </c>
      <c r="AD75" s="4869"/>
      <c r="AE75" s="4869"/>
      <c r="AF75" s="2566"/>
      <c r="AG75" s="4869"/>
      <c r="AH75" s="2566"/>
      <c r="AI75" s="4869"/>
      <c r="AJ75" s="2566"/>
      <c r="AK75" s="4869"/>
      <c r="AL75" s="2566"/>
      <c r="AM75" s="4869"/>
      <c r="AN75" s="2566"/>
      <c r="AO75" s="4869"/>
      <c r="AP75" s="2566"/>
      <c r="AQ75" s="4869"/>
      <c r="AR75" s="2566"/>
      <c r="AS75" s="4869"/>
      <c r="AT75" s="2566"/>
      <c r="AU75" s="4869"/>
      <c r="AV75" s="2566"/>
      <c r="AW75" s="4869"/>
      <c r="AX75" s="2566"/>
      <c r="AY75" s="4869"/>
      <c r="AZ75" s="2566"/>
      <c r="BA75" s="4869"/>
      <c r="BB75" s="2566"/>
      <c r="BC75" s="4869"/>
      <c r="BD75" s="2566"/>
      <c r="BE75" s="4869"/>
      <c r="BF75" s="2566"/>
      <c r="BG75" s="4869"/>
      <c r="BH75" s="2566"/>
      <c r="BI75" s="4825"/>
      <c r="BJ75" s="4848"/>
      <c r="BK75" s="4869"/>
      <c r="BL75" s="4869"/>
      <c r="BM75" s="4879"/>
      <c r="BN75" s="2265">
        <v>26</v>
      </c>
      <c r="BO75" s="2263" t="str">
        <f>+AC75</f>
        <v>CIGARRILLOS 70% R.B 2020</v>
      </c>
      <c r="BP75" s="2872"/>
      <c r="BQ75" s="2872"/>
      <c r="BR75" s="2872"/>
      <c r="BS75" s="2872"/>
      <c r="BT75" s="2872"/>
      <c r="BU75" s="2872"/>
    </row>
    <row r="76" spans="1:73" ht="91.5" customHeight="1" thickTop="1" x14ac:dyDescent="0.2">
      <c r="A76" s="2257"/>
      <c r="B76" s="2256"/>
      <c r="C76" s="2257"/>
      <c r="D76" s="2256"/>
      <c r="E76" s="2328"/>
      <c r="F76" s="2328"/>
      <c r="G76" s="4871">
        <v>4302075</v>
      </c>
      <c r="H76" s="4873" t="s">
        <v>3409</v>
      </c>
      <c r="I76" s="4875">
        <v>4302004</v>
      </c>
      <c r="J76" s="4873" t="s">
        <v>3442</v>
      </c>
      <c r="K76" s="4877" t="s">
        <v>20</v>
      </c>
      <c r="L76" s="2523" t="s">
        <v>3443</v>
      </c>
      <c r="M76" s="4883">
        <v>430200401</v>
      </c>
      <c r="N76" s="2523" t="s">
        <v>3444</v>
      </c>
      <c r="O76" s="4857">
        <v>1</v>
      </c>
      <c r="P76" s="4857">
        <v>0.5</v>
      </c>
      <c r="Q76" s="4861">
        <v>2020003630013</v>
      </c>
      <c r="R76" s="4859" t="s">
        <v>3445</v>
      </c>
      <c r="S76" s="4863">
        <f>(X77+X76)/T76</f>
        <v>1</v>
      </c>
      <c r="T76" s="4891">
        <f>SUM(X76:X77)</f>
        <v>126882074.64</v>
      </c>
      <c r="U76" s="4859" t="s">
        <v>3446</v>
      </c>
      <c r="V76" s="4867" t="s">
        <v>3447</v>
      </c>
      <c r="W76" s="2255" t="s">
        <v>3448</v>
      </c>
      <c r="X76" s="2313">
        <v>35000000</v>
      </c>
      <c r="Y76" s="2313">
        <v>0</v>
      </c>
      <c r="Z76" s="2313">
        <v>0</v>
      </c>
      <c r="AA76" s="2472" t="s">
        <v>3449</v>
      </c>
      <c r="AB76" s="2260">
        <v>4</v>
      </c>
      <c r="AC76" s="2260" t="s">
        <v>3385</v>
      </c>
      <c r="AD76" s="2495">
        <v>82</v>
      </c>
      <c r="AE76" s="2495">
        <v>0</v>
      </c>
      <c r="AF76" s="2495">
        <v>98</v>
      </c>
      <c r="AG76" s="2495"/>
      <c r="AH76" s="2495">
        <v>60</v>
      </c>
      <c r="AI76" s="2565"/>
      <c r="AJ76" s="2565">
        <v>75</v>
      </c>
      <c r="AK76" s="2565"/>
      <c r="AL76" s="2565">
        <v>45</v>
      </c>
      <c r="AM76" s="2565"/>
      <c r="AN76" s="2565">
        <v>0</v>
      </c>
      <c r="AO76" s="2565"/>
      <c r="AP76" s="2565">
        <v>0</v>
      </c>
      <c r="AQ76" s="2565"/>
      <c r="AR76" s="2565">
        <v>0</v>
      </c>
      <c r="AS76" s="2565"/>
      <c r="AT76" s="2565">
        <v>0</v>
      </c>
      <c r="AU76" s="2565"/>
      <c r="AV76" s="2565">
        <v>0</v>
      </c>
      <c r="AW76" s="2565"/>
      <c r="AX76" s="2565">
        <v>0</v>
      </c>
      <c r="AY76" s="2565"/>
      <c r="AZ76" s="2565">
        <v>0</v>
      </c>
      <c r="BA76" s="2565"/>
      <c r="BB76" s="2565">
        <v>0</v>
      </c>
      <c r="BC76" s="2565"/>
      <c r="BD76" s="2565">
        <v>10</v>
      </c>
      <c r="BE76" s="2565"/>
      <c r="BF76" s="2565">
        <v>50</v>
      </c>
      <c r="BG76" s="2565"/>
      <c r="BH76" s="2565">
        <f>AD76+AF76</f>
        <v>180</v>
      </c>
      <c r="BI76" s="2565">
        <v>0</v>
      </c>
      <c r="BJ76" s="3615">
        <v>3</v>
      </c>
      <c r="BK76" s="4893">
        <f>SUM(Y76:Y77)</f>
        <v>76411332</v>
      </c>
      <c r="BL76" s="4894">
        <f>SUM(Z76:Z77)</f>
        <v>76411332</v>
      </c>
      <c r="BM76" s="4370">
        <f>+BL76/BK76</f>
        <v>1</v>
      </c>
      <c r="BN76" s="2264"/>
      <c r="BO76" s="2329"/>
      <c r="BP76" s="2560" t="s">
        <v>3416</v>
      </c>
      <c r="BQ76" s="2800">
        <v>44200</v>
      </c>
      <c r="BR76" s="2800">
        <v>44560</v>
      </c>
      <c r="BS76" s="2800">
        <v>44560</v>
      </c>
      <c r="BT76" s="2800">
        <v>44560</v>
      </c>
      <c r="BU76" s="2560" t="s">
        <v>3416</v>
      </c>
    </row>
    <row r="77" spans="1:73" ht="60.75" customHeight="1" thickBot="1" x14ac:dyDescent="0.25">
      <c r="A77" s="2257"/>
      <c r="B77" s="2256"/>
      <c r="C77" s="2257"/>
      <c r="D77" s="2256"/>
      <c r="E77" s="2328" t="s">
        <v>153</v>
      </c>
      <c r="F77" s="2328" t="s">
        <v>153</v>
      </c>
      <c r="G77" s="4872"/>
      <c r="H77" s="4874"/>
      <c r="I77" s="4876"/>
      <c r="J77" s="4874"/>
      <c r="K77" s="4878"/>
      <c r="L77" s="4882"/>
      <c r="M77" s="4884"/>
      <c r="N77" s="4882"/>
      <c r="O77" s="4885"/>
      <c r="P77" s="4885"/>
      <c r="Q77" s="4886"/>
      <c r="R77" s="4889"/>
      <c r="S77" s="4890"/>
      <c r="T77" s="4892"/>
      <c r="U77" s="4889"/>
      <c r="V77" s="4889"/>
      <c r="W77" s="2330" t="s">
        <v>3450</v>
      </c>
      <c r="X77" s="2331">
        <v>91882074.640000001</v>
      </c>
      <c r="Y77" s="2481">
        <v>76411332</v>
      </c>
      <c r="Z77" s="2481">
        <v>76411332</v>
      </c>
      <c r="AA77" s="2482" t="s">
        <v>3451</v>
      </c>
      <c r="AB77" s="2276">
        <v>23</v>
      </c>
      <c r="AC77" s="2277" t="s">
        <v>3431</v>
      </c>
      <c r="AD77" s="2495"/>
      <c r="AE77" s="2495"/>
      <c r="AF77" s="2495"/>
      <c r="AG77" s="2495"/>
      <c r="AH77" s="2495"/>
      <c r="AI77" s="2567"/>
      <c r="AJ77" s="2567">
        <v>0</v>
      </c>
      <c r="AK77" s="2567"/>
      <c r="AL77" s="2567">
        <v>0</v>
      </c>
      <c r="AM77" s="2567"/>
      <c r="AN77" s="2567" t="s">
        <v>153</v>
      </c>
      <c r="AO77" s="2567"/>
      <c r="AP77" s="2567" t="s">
        <v>153</v>
      </c>
      <c r="AQ77" s="2567"/>
      <c r="AR77" s="2567" t="s">
        <v>153</v>
      </c>
      <c r="AS77" s="2567"/>
      <c r="AT77" s="2567" t="s">
        <v>153</v>
      </c>
      <c r="AU77" s="2567"/>
      <c r="AV77" s="2567" t="s">
        <v>153</v>
      </c>
      <c r="AW77" s="2567"/>
      <c r="AX77" s="2567" t="s">
        <v>153</v>
      </c>
      <c r="AY77" s="2567"/>
      <c r="AZ77" s="2567" t="s">
        <v>153</v>
      </c>
      <c r="BA77" s="2567"/>
      <c r="BB77" s="2567">
        <v>0</v>
      </c>
      <c r="BC77" s="2567"/>
      <c r="BD77" s="2567" t="s">
        <v>153</v>
      </c>
      <c r="BE77" s="2567"/>
      <c r="BF77" s="2567" t="s">
        <v>153</v>
      </c>
      <c r="BG77" s="2567"/>
      <c r="BH77" s="2567">
        <v>0</v>
      </c>
      <c r="BI77" s="2567">
        <v>0</v>
      </c>
      <c r="BJ77" s="4498"/>
      <c r="BK77" s="2567">
        <f>SUM(Y77)</f>
        <v>76411332</v>
      </c>
      <c r="BL77" s="2567">
        <f>SUM(Z77)</f>
        <v>76411332</v>
      </c>
      <c r="BM77" s="4895"/>
      <c r="BN77" s="2266">
        <v>23</v>
      </c>
      <c r="BO77" s="2332" t="str">
        <f>+AC77</f>
        <v xml:space="preserve"> 1% ICLD R.B 2020</v>
      </c>
      <c r="BP77" s="2560"/>
      <c r="BQ77" s="2800"/>
      <c r="BR77" s="2800"/>
      <c r="BS77" s="2800"/>
      <c r="BT77" s="2800"/>
      <c r="BU77" s="2560"/>
    </row>
    <row r="78" spans="1:73" ht="27" customHeight="1" x14ac:dyDescent="0.2">
      <c r="A78" s="2333"/>
      <c r="B78" s="2334"/>
      <c r="C78" s="2334"/>
      <c r="D78" s="2334"/>
      <c r="E78" s="2334" t="s">
        <v>153</v>
      </c>
      <c r="F78" s="2334" t="s">
        <v>153</v>
      </c>
      <c r="G78" s="2334" t="s">
        <v>153</v>
      </c>
      <c r="H78" s="2334"/>
      <c r="I78" s="2334" t="s">
        <v>153</v>
      </c>
      <c r="J78" s="2334"/>
      <c r="K78" s="2334" t="s">
        <v>153</v>
      </c>
      <c r="L78" s="2334"/>
      <c r="M78" s="2334" t="s">
        <v>153</v>
      </c>
      <c r="N78" s="2334"/>
      <c r="O78" s="2334" t="s">
        <v>153</v>
      </c>
      <c r="P78" s="2334"/>
      <c r="Q78" s="2334" t="s">
        <v>153</v>
      </c>
      <c r="R78" s="2334" t="s">
        <v>153</v>
      </c>
      <c r="S78" s="2334" t="s">
        <v>153</v>
      </c>
      <c r="T78" s="2335">
        <f>SUM(T13:T77)</f>
        <v>7160417690.0300007</v>
      </c>
      <c r="U78" s="2334" t="s">
        <v>153</v>
      </c>
      <c r="V78" s="2334" t="s">
        <v>153</v>
      </c>
      <c r="W78" s="2334" t="s">
        <v>153</v>
      </c>
      <c r="X78" s="2336">
        <f>SUM(X13:X49,X51:X77)</f>
        <v>7160417690.0300007</v>
      </c>
      <c r="Y78" s="2336">
        <f>SUM(Y13:Y49,Y51:Y77)</f>
        <v>4672994056.9699993</v>
      </c>
      <c r="Z78" s="2336">
        <f>SUM(Z13:Z49,Z51:Z77)</f>
        <v>4652079056.9699993</v>
      </c>
      <c r="AA78" s="2334" t="s">
        <v>153</v>
      </c>
      <c r="AB78" s="2334" t="s">
        <v>153</v>
      </c>
      <c r="AC78" s="2334" t="s">
        <v>153</v>
      </c>
      <c r="AD78" s="2334" t="s">
        <v>153</v>
      </c>
      <c r="AE78" s="2334"/>
      <c r="AF78" s="2334" t="s">
        <v>153</v>
      </c>
      <c r="AG78" s="2334"/>
      <c r="AH78" s="2334" t="s">
        <v>153</v>
      </c>
      <c r="AI78" s="2334"/>
      <c r="AJ78" s="2334" t="s">
        <v>153</v>
      </c>
      <c r="AK78" s="2334"/>
      <c r="AL78" s="2334" t="s">
        <v>153</v>
      </c>
      <c r="AM78" s="2334"/>
      <c r="AN78" s="2334" t="s">
        <v>153</v>
      </c>
      <c r="AO78" s="2334"/>
      <c r="AP78" s="2334" t="s">
        <v>153</v>
      </c>
      <c r="AQ78" s="2334"/>
      <c r="AR78" s="2334" t="s">
        <v>153</v>
      </c>
      <c r="AS78" s="2334"/>
      <c r="AT78" s="2334" t="s">
        <v>153</v>
      </c>
      <c r="AU78" s="2334"/>
      <c r="AV78" s="2334" t="s">
        <v>153</v>
      </c>
      <c r="AW78" s="2334"/>
      <c r="AX78" s="2334" t="s">
        <v>153</v>
      </c>
      <c r="AY78" s="2334"/>
      <c r="AZ78" s="2334" t="s">
        <v>153</v>
      </c>
      <c r="BA78" s="2334"/>
      <c r="BB78" s="2334" t="s">
        <v>153</v>
      </c>
      <c r="BC78" s="2334"/>
      <c r="BD78" s="2334" t="s">
        <v>153</v>
      </c>
      <c r="BE78" s="2334"/>
      <c r="BF78" s="2334" t="s">
        <v>153</v>
      </c>
      <c r="BG78" s="2334"/>
      <c r="BH78" s="2334" t="s">
        <v>153</v>
      </c>
      <c r="BI78" s="2334"/>
      <c r="BJ78" s="2337">
        <f>BJ76+BJ51+BJ13</f>
        <v>122</v>
      </c>
      <c r="BK78" s="2338">
        <f>BK76+BK51+BK13</f>
        <v>4672994056.9699993</v>
      </c>
      <c r="BL78" s="2338">
        <f>BL76+BL51+BL13</f>
        <v>4652079056.9699993</v>
      </c>
      <c r="BM78" s="2483">
        <f>BL78/BK78</f>
        <v>0.99552428277352412</v>
      </c>
      <c r="BN78" s="2334"/>
      <c r="BO78" s="2334"/>
      <c r="BP78" s="2334"/>
      <c r="BQ78" s="2334" t="s">
        <v>153</v>
      </c>
      <c r="BR78" s="2334"/>
      <c r="BS78" s="2334" t="s">
        <v>153</v>
      </c>
      <c r="BT78" s="2334"/>
      <c r="BU78" s="2339" t="s">
        <v>153</v>
      </c>
    </row>
    <row r="79" spans="1:73" x14ac:dyDescent="0.2">
      <c r="X79" s="2340"/>
      <c r="Y79" s="23"/>
      <c r="Z79" s="23"/>
      <c r="BK79" s="2341">
        <f>+BK78-Y78</f>
        <v>0</v>
      </c>
      <c r="BL79" s="2341">
        <f>+BL78-Z78</f>
        <v>0</v>
      </c>
    </row>
    <row r="83" spans="24:27" x14ac:dyDescent="0.2">
      <c r="Y83" s="1920"/>
      <c r="Z83" s="1920"/>
    </row>
    <row r="84" spans="24:27" x14ac:dyDescent="0.2">
      <c r="X84" s="1921"/>
      <c r="Y84" s="1921"/>
      <c r="Z84" s="1921"/>
      <c r="AA84" s="1920"/>
    </row>
    <row r="85" spans="24:27" x14ac:dyDescent="0.2">
      <c r="X85" s="1921"/>
      <c r="Y85" s="1921"/>
      <c r="Z85" s="1921"/>
      <c r="AA85" s="1920"/>
    </row>
    <row r="86" spans="24:27" x14ac:dyDescent="0.2">
      <c r="X86" s="1921"/>
      <c r="Y86" s="1921"/>
      <c r="Z86" s="1921"/>
      <c r="AA86" s="1920"/>
    </row>
    <row r="87" spans="24:27" x14ac:dyDescent="0.2">
      <c r="X87" s="1921"/>
      <c r="Y87" s="1921"/>
      <c r="Z87" s="1921"/>
      <c r="AA87" s="1920"/>
    </row>
    <row r="88" spans="24:27" x14ac:dyDescent="0.2">
      <c r="X88" s="1921"/>
      <c r="Y88" s="1921"/>
      <c r="Z88" s="1921"/>
      <c r="AA88" s="1920"/>
    </row>
    <row r="89" spans="24:27" x14ac:dyDescent="0.2">
      <c r="X89" s="1921"/>
      <c r="Y89" s="1921"/>
      <c r="Z89" s="1921"/>
      <c r="AA89" s="1920"/>
    </row>
    <row r="90" spans="24:27" x14ac:dyDescent="0.2">
      <c r="X90" s="1921"/>
      <c r="Y90" s="1921"/>
      <c r="Z90" s="1921"/>
      <c r="AA90" s="1920"/>
    </row>
    <row r="91" spans="24:27" x14ac:dyDescent="0.2">
      <c r="X91" s="1921"/>
      <c r="Y91" s="1921"/>
      <c r="Z91" s="1921"/>
      <c r="AA91" s="1920"/>
    </row>
    <row r="92" spans="24:27" x14ac:dyDescent="0.2">
      <c r="X92" s="1921"/>
      <c r="Y92" s="1921"/>
      <c r="Z92" s="1921"/>
      <c r="AA92" s="1920"/>
    </row>
  </sheetData>
  <mergeCells count="271">
    <mergeCell ref="BQ76:BQ77"/>
    <mergeCell ref="BR76:BR77"/>
    <mergeCell ref="BS76:BS77"/>
    <mergeCell ref="BT76:BT77"/>
    <mergeCell ref="BU76:BU77"/>
    <mergeCell ref="BI76:BI77"/>
    <mergeCell ref="BJ76:BJ77"/>
    <mergeCell ref="BK76:BK77"/>
    <mergeCell ref="BL76:BL77"/>
    <mergeCell ref="BM76:BM77"/>
    <mergeCell ref="BP76:BP77"/>
    <mergeCell ref="BC76:BC77"/>
    <mergeCell ref="BD76:BD77"/>
    <mergeCell ref="BE76:BE77"/>
    <mergeCell ref="BF76:BF77"/>
    <mergeCell ref="BG76:BG77"/>
    <mergeCell ref="BH76:BH77"/>
    <mergeCell ref="AW76:AW77"/>
    <mergeCell ref="AX76:AX77"/>
    <mergeCell ref="AY76:AY77"/>
    <mergeCell ref="AZ76:AZ77"/>
    <mergeCell ref="BA76:BA77"/>
    <mergeCell ref="BB76:BB77"/>
    <mergeCell ref="AQ76:AQ77"/>
    <mergeCell ref="AR76:AR77"/>
    <mergeCell ref="AS76:AS77"/>
    <mergeCell ref="AT76:AT77"/>
    <mergeCell ref="AU76:AU77"/>
    <mergeCell ref="AV76:AV77"/>
    <mergeCell ref="AK76:AK77"/>
    <mergeCell ref="AL76:AL77"/>
    <mergeCell ref="AM76:AM77"/>
    <mergeCell ref="AN76:AN77"/>
    <mergeCell ref="AO76:AO77"/>
    <mergeCell ref="AP76:AP77"/>
    <mergeCell ref="AE76:AE77"/>
    <mergeCell ref="AF76:AF77"/>
    <mergeCell ref="AG76:AG77"/>
    <mergeCell ref="AH76:AH77"/>
    <mergeCell ref="AI76:AI77"/>
    <mergeCell ref="AJ76:AJ77"/>
    <mergeCell ref="R76:R77"/>
    <mergeCell ref="S76:S77"/>
    <mergeCell ref="T76:T77"/>
    <mergeCell ref="U76:U77"/>
    <mergeCell ref="V76:V77"/>
    <mergeCell ref="AD76:AD77"/>
    <mergeCell ref="L76:L77"/>
    <mergeCell ref="M76:M77"/>
    <mergeCell ref="N76:N77"/>
    <mergeCell ref="O76:O77"/>
    <mergeCell ref="P76:P77"/>
    <mergeCell ref="Q76:Q77"/>
    <mergeCell ref="BU51:BU75"/>
    <mergeCell ref="W56:W59"/>
    <mergeCell ref="W60:W66"/>
    <mergeCell ref="W67:W68"/>
    <mergeCell ref="W71:W75"/>
    <mergeCell ref="BS51:BS75"/>
    <mergeCell ref="BT51:BT75"/>
    <mergeCell ref="AX51:AX75"/>
    <mergeCell ref="AY51:AY75"/>
    <mergeCell ref="AZ51:AZ75"/>
    <mergeCell ref="AO51:AO75"/>
    <mergeCell ref="AP51:AP75"/>
    <mergeCell ref="AQ51:AQ75"/>
    <mergeCell ref="AR51:AR75"/>
    <mergeCell ref="AS51:AS75"/>
    <mergeCell ref="AT51:AT75"/>
    <mergeCell ref="AI51:AI75"/>
    <mergeCell ref="AJ51:AJ75"/>
    <mergeCell ref="G76:G77"/>
    <mergeCell ref="H76:H77"/>
    <mergeCell ref="I76:I77"/>
    <mergeCell ref="J76:J77"/>
    <mergeCell ref="K76:K77"/>
    <mergeCell ref="BM51:BM75"/>
    <mergeCell ref="BP51:BP75"/>
    <mergeCell ref="BQ51:BQ75"/>
    <mergeCell ref="BR51:BR75"/>
    <mergeCell ref="BG51:BG75"/>
    <mergeCell ref="BH51:BH75"/>
    <mergeCell ref="BI51:BI75"/>
    <mergeCell ref="BJ51:BJ75"/>
    <mergeCell ref="BK51:BK75"/>
    <mergeCell ref="BL51:BL75"/>
    <mergeCell ref="BA51:BA75"/>
    <mergeCell ref="BB51:BB75"/>
    <mergeCell ref="BC51:BC75"/>
    <mergeCell ref="BD51:BD75"/>
    <mergeCell ref="BE51:BE75"/>
    <mergeCell ref="BF51:BF75"/>
    <mergeCell ref="AU51:AU75"/>
    <mergeCell ref="AV51:AV75"/>
    <mergeCell ref="AW51:AW75"/>
    <mergeCell ref="AK51:AK75"/>
    <mergeCell ref="AL51:AL75"/>
    <mergeCell ref="AM51:AM75"/>
    <mergeCell ref="AN51:AN75"/>
    <mergeCell ref="W51:W55"/>
    <mergeCell ref="AD51:AD75"/>
    <mergeCell ref="AE51:AE75"/>
    <mergeCell ref="AF51:AF75"/>
    <mergeCell ref="AG51:AG75"/>
    <mergeCell ref="AH51:AH75"/>
    <mergeCell ref="Q51:Q75"/>
    <mergeCell ref="R51:R75"/>
    <mergeCell ref="S51:S75"/>
    <mergeCell ref="T51:T75"/>
    <mergeCell ref="U51:U75"/>
    <mergeCell ref="V51:V75"/>
    <mergeCell ref="K51:K75"/>
    <mergeCell ref="L51:L75"/>
    <mergeCell ref="M51:M75"/>
    <mergeCell ref="N51:N75"/>
    <mergeCell ref="O51:O75"/>
    <mergeCell ref="P51:P75"/>
    <mergeCell ref="M13:M23"/>
    <mergeCell ref="N13:N23"/>
    <mergeCell ref="O13:O23"/>
    <mergeCell ref="P13:P23"/>
    <mergeCell ref="K32:K46"/>
    <mergeCell ref="E51:E75"/>
    <mergeCell ref="F51:F75"/>
    <mergeCell ref="G51:G75"/>
    <mergeCell ref="H51:H75"/>
    <mergeCell ref="I51:I75"/>
    <mergeCell ref="J51:J75"/>
    <mergeCell ref="M47:M49"/>
    <mergeCell ref="N47:N49"/>
    <mergeCell ref="O47:O49"/>
    <mergeCell ref="P32:P46"/>
    <mergeCell ref="N24:N31"/>
    <mergeCell ref="O24:O31"/>
    <mergeCell ref="P24:P31"/>
    <mergeCell ref="S24:S31"/>
    <mergeCell ref="P47:P49"/>
    <mergeCell ref="S47:S49"/>
    <mergeCell ref="V47:V49"/>
    <mergeCell ref="G47:G49"/>
    <mergeCell ref="H47:H49"/>
    <mergeCell ref="I47:I49"/>
    <mergeCell ref="J47:J49"/>
    <mergeCell ref="K47:K49"/>
    <mergeCell ref="L47:L49"/>
    <mergeCell ref="Q13:Q49"/>
    <mergeCell ref="R13:R49"/>
    <mergeCell ref="S13:S23"/>
    <mergeCell ref="T13:T49"/>
    <mergeCell ref="U13:U49"/>
    <mergeCell ref="V13:V23"/>
    <mergeCell ref="S32:S46"/>
    <mergeCell ref="V32:V46"/>
    <mergeCell ref="K13:K23"/>
    <mergeCell ref="L13:L23"/>
    <mergeCell ref="BU13:BU49"/>
    <mergeCell ref="W16:W18"/>
    <mergeCell ref="W19:W23"/>
    <mergeCell ref="G24:G46"/>
    <mergeCell ref="H24:H46"/>
    <mergeCell ref="I24:I46"/>
    <mergeCell ref="J24:J46"/>
    <mergeCell ref="K24:K31"/>
    <mergeCell ref="L24:L31"/>
    <mergeCell ref="M24:M31"/>
    <mergeCell ref="BM13:BM49"/>
    <mergeCell ref="BP13:BP49"/>
    <mergeCell ref="BQ13:BQ49"/>
    <mergeCell ref="BR13:BR49"/>
    <mergeCell ref="BS13:BS49"/>
    <mergeCell ref="BT13:BT49"/>
    <mergeCell ref="BG13:BG49"/>
    <mergeCell ref="BH13:BH49"/>
    <mergeCell ref="BI13:BI49"/>
    <mergeCell ref="BJ13:BJ49"/>
    <mergeCell ref="L32:L46"/>
    <mergeCell ref="M32:M46"/>
    <mergeCell ref="N32:N46"/>
    <mergeCell ref="O32:O46"/>
    <mergeCell ref="BK13:BK49"/>
    <mergeCell ref="BL13:BL49"/>
    <mergeCell ref="BA13:BA49"/>
    <mergeCell ref="BB13:BB49"/>
    <mergeCell ref="BC13:BC49"/>
    <mergeCell ref="BD13:BD49"/>
    <mergeCell ref="BE13:BE49"/>
    <mergeCell ref="BF13:BF49"/>
    <mergeCell ref="AW13:AW49"/>
    <mergeCell ref="AX13:AX49"/>
    <mergeCell ref="AY13:AY49"/>
    <mergeCell ref="AZ13:AZ49"/>
    <mergeCell ref="AU13:AU49"/>
    <mergeCell ref="AV13:AV49"/>
    <mergeCell ref="F12:U12"/>
    <mergeCell ref="E13:E23"/>
    <mergeCell ref="F13:F23"/>
    <mergeCell ref="G13:G23"/>
    <mergeCell ref="H13:H23"/>
    <mergeCell ref="I13:I23"/>
    <mergeCell ref="J13:J23"/>
    <mergeCell ref="W13:W14"/>
    <mergeCell ref="AD13:AD49"/>
    <mergeCell ref="AE13:AE49"/>
    <mergeCell ref="AO13:AO49"/>
    <mergeCell ref="AP13:AP49"/>
    <mergeCell ref="AQ13:AQ49"/>
    <mergeCell ref="AR13:AR49"/>
    <mergeCell ref="AS13:AS49"/>
    <mergeCell ref="AT13:AT49"/>
    <mergeCell ref="AF13:AF49"/>
    <mergeCell ref="AG13:AG49"/>
    <mergeCell ref="AH13:AH49"/>
    <mergeCell ref="V24:V31"/>
    <mergeCell ref="W24:W26"/>
    <mergeCell ref="W27:W28"/>
    <mergeCell ref="AI13:AI49"/>
    <mergeCell ref="AJ13:AJ49"/>
    <mergeCell ref="AK13:AK49"/>
    <mergeCell ref="AL13:AL49"/>
    <mergeCell ref="AM13:AM49"/>
    <mergeCell ref="AN13:AN49"/>
    <mergeCell ref="W32:W36"/>
    <mergeCell ref="W37:W43"/>
    <mergeCell ref="W44:W46"/>
    <mergeCell ref="W47:W48"/>
    <mergeCell ref="W29:W31"/>
    <mergeCell ref="BB7:BG7"/>
    <mergeCell ref="BH7:BI8"/>
    <mergeCell ref="AL8:AM8"/>
    <mergeCell ref="AN8:AO8"/>
    <mergeCell ref="AP8:AQ8"/>
    <mergeCell ref="AR8:AS8"/>
    <mergeCell ref="BP8:BP9"/>
    <mergeCell ref="B10:I10"/>
    <mergeCell ref="D11:M11"/>
    <mergeCell ref="BK8:BK9"/>
    <mergeCell ref="BL8:BL9"/>
    <mergeCell ref="BM8:BM9"/>
    <mergeCell ref="BN8:BO8"/>
    <mergeCell ref="BF8:BG8"/>
    <mergeCell ref="BJ8:BJ9"/>
    <mergeCell ref="AT8:AU8"/>
    <mergeCell ref="AV8:AW8"/>
    <mergeCell ref="AX8:AY8"/>
    <mergeCell ref="AZ8:BA8"/>
    <mergeCell ref="BB8:BC8"/>
    <mergeCell ref="BD8:BE8"/>
    <mergeCell ref="A1:BS4"/>
    <mergeCell ref="A5:P6"/>
    <mergeCell ref="Q5:BU5"/>
    <mergeCell ref="AH6:BQ6"/>
    <mergeCell ref="A7:B7"/>
    <mergeCell ref="C7:D7"/>
    <mergeCell ref="E7:F7"/>
    <mergeCell ref="G7:J7"/>
    <mergeCell ref="K7:N7"/>
    <mergeCell ref="O7:Z7"/>
    <mergeCell ref="BJ7:BP7"/>
    <mergeCell ref="BQ7:BR8"/>
    <mergeCell ref="BS7:BT8"/>
    <mergeCell ref="BU7:BU8"/>
    <mergeCell ref="O8:P8"/>
    <mergeCell ref="X8:Z8"/>
    <mergeCell ref="AD8:AE8"/>
    <mergeCell ref="AF8:AG8"/>
    <mergeCell ref="AH8:AI8"/>
    <mergeCell ref="AJ8:AK8"/>
    <mergeCell ref="AA7:AC7"/>
    <mergeCell ref="AD7:AG7"/>
    <mergeCell ref="AH7:AO7"/>
    <mergeCell ref="AP7:BA7"/>
  </mergeCells>
  <pageMargins left="0.7" right="0.7" top="0.75" bottom="0.75" header="0.3" footer="0.3"/>
  <pageSetup paperSize="258" scale="12" fitToHeight="0" orientation="landscape"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2060"/>
  </sheetPr>
  <dimension ref="A1:BU57"/>
  <sheetViews>
    <sheetView showGridLines="0" topLeftCell="M10" zoomScale="60" zoomScaleNormal="60" workbookViewId="0">
      <selection activeCell="N17" sqref="N17:N18"/>
    </sheetView>
  </sheetViews>
  <sheetFormatPr baseColWidth="10" defaultRowHeight="15.75" x14ac:dyDescent="0.25"/>
  <cols>
    <col min="1" max="1" width="13" style="1139" customWidth="1"/>
    <col min="2" max="2" width="13.7109375" style="1139" bestFit="1" customWidth="1"/>
    <col min="3" max="3" width="13" style="1139" bestFit="1" customWidth="1"/>
    <col min="4" max="4" width="19.42578125" style="1139" customWidth="1"/>
    <col min="5" max="5" width="14.140625" style="1139" customWidth="1"/>
    <col min="6" max="6" width="14.85546875" style="1139" customWidth="1"/>
    <col min="7" max="7" width="19.5703125" style="1139" customWidth="1"/>
    <col min="8" max="8" width="20.42578125" style="1139" customWidth="1"/>
    <col min="9" max="9" width="27" style="1139" customWidth="1"/>
    <col min="10" max="10" width="24.28515625" style="1139" customWidth="1"/>
    <col min="11" max="11" width="12.7109375" style="1139" customWidth="1"/>
    <col min="12" max="12" width="20.85546875" style="1139" customWidth="1"/>
    <col min="13" max="13" width="17.42578125" style="1139" customWidth="1"/>
    <col min="14" max="14" width="19.28515625" style="1139" customWidth="1"/>
    <col min="15" max="15" width="25.42578125" style="2238" customWidth="1"/>
    <col min="16" max="16" width="20.85546875" style="2238" customWidth="1"/>
    <col min="17" max="17" width="23.42578125" style="1139" customWidth="1"/>
    <col min="18" max="18" width="23.5703125" style="1139" customWidth="1"/>
    <col min="19" max="19" width="11.5703125" style="1139" customWidth="1"/>
    <col min="20" max="20" width="26.5703125" style="1139" customWidth="1"/>
    <col min="21" max="21" width="44.5703125" style="1139" customWidth="1"/>
    <col min="22" max="22" width="31.5703125" style="1139" customWidth="1"/>
    <col min="23" max="23" width="39.7109375" style="1139" customWidth="1"/>
    <col min="24" max="24" width="27.7109375" style="1139" bestFit="1" customWidth="1"/>
    <col min="25" max="25" width="27.7109375" style="1139" customWidth="1"/>
    <col min="26" max="26" width="28.7109375" style="1139" customWidth="1"/>
    <col min="27" max="27" width="37" style="1139" customWidth="1"/>
    <col min="28" max="28" width="17.7109375" style="2238" customWidth="1"/>
    <col min="29" max="29" width="17" style="1139" customWidth="1"/>
    <col min="30" max="42" width="10.28515625" style="2456" customWidth="1"/>
    <col min="43" max="43" width="9.85546875" style="2456" bestFit="1" customWidth="1"/>
    <col min="44" max="59" width="13.5703125" style="2456" customWidth="1"/>
    <col min="60" max="61" width="12.28515625" style="2456" customWidth="1"/>
    <col min="62" max="62" width="16" style="2456" customWidth="1"/>
    <col min="63" max="63" width="29.42578125" style="2456" customWidth="1"/>
    <col min="64" max="64" width="27.140625" style="2456" customWidth="1"/>
    <col min="65" max="65" width="15.28515625" style="2456" customWidth="1"/>
    <col min="66" max="67" width="13.5703125" style="2456" customWidth="1"/>
    <col min="68" max="68" width="22.42578125" style="2456" customWidth="1"/>
    <col min="69" max="72" width="13" style="1139" customWidth="1"/>
    <col min="73" max="73" width="22.42578125" style="1139" customWidth="1"/>
  </cols>
  <sheetData>
    <row r="1" spans="1:73" ht="15" x14ac:dyDescent="0.25">
      <c r="A1" s="2632" t="s">
        <v>3452</v>
      </c>
      <c r="B1" s="2632"/>
      <c r="C1" s="2632"/>
      <c r="D1" s="2632"/>
      <c r="E1" s="2632"/>
      <c r="F1" s="2632"/>
      <c r="G1" s="2632"/>
      <c r="H1" s="2632"/>
      <c r="I1" s="2632"/>
      <c r="J1" s="2632"/>
      <c r="K1" s="2632"/>
      <c r="L1" s="2632"/>
      <c r="M1" s="2632"/>
      <c r="N1" s="2632"/>
      <c r="O1" s="2632"/>
      <c r="P1" s="2632"/>
      <c r="Q1" s="2632"/>
      <c r="R1" s="2632"/>
      <c r="S1" s="2632"/>
      <c r="T1" s="2632"/>
      <c r="U1" s="2632"/>
      <c r="V1" s="2632"/>
      <c r="W1" s="2632"/>
      <c r="X1" s="2632"/>
      <c r="Y1" s="2632"/>
      <c r="Z1" s="2632"/>
      <c r="AA1" s="2632"/>
      <c r="AB1" s="2632"/>
      <c r="AC1" s="2632"/>
      <c r="AD1" s="2632"/>
      <c r="AE1" s="2632"/>
      <c r="AF1" s="2632"/>
      <c r="AG1" s="2632"/>
      <c r="AH1" s="2632"/>
      <c r="AI1" s="2632"/>
      <c r="AJ1" s="2632"/>
      <c r="AK1" s="2632"/>
      <c r="AL1" s="2632"/>
      <c r="AM1" s="2632"/>
      <c r="AN1" s="2632"/>
      <c r="AO1" s="2632"/>
      <c r="AP1" s="2632"/>
      <c r="AQ1" s="2632"/>
      <c r="AR1" s="2632"/>
      <c r="AS1" s="2632"/>
      <c r="AT1" s="2632"/>
      <c r="AU1" s="2632"/>
      <c r="AV1" s="2632"/>
      <c r="AW1" s="2632"/>
      <c r="AX1" s="2632"/>
      <c r="AY1" s="2632"/>
      <c r="AZ1" s="2632"/>
      <c r="BA1" s="2632"/>
      <c r="BB1" s="2632"/>
      <c r="BC1" s="2632"/>
      <c r="BD1" s="2632"/>
      <c r="BE1" s="2632"/>
      <c r="BF1" s="2632"/>
      <c r="BG1" s="2632"/>
      <c r="BH1" s="2632"/>
      <c r="BI1" s="2632"/>
      <c r="BJ1" s="2632"/>
      <c r="BK1" s="2632"/>
      <c r="BL1" s="2632"/>
      <c r="BM1" s="2632"/>
      <c r="BN1" s="2632"/>
      <c r="BO1" s="2632"/>
      <c r="BP1" s="2632"/>
      <c r="BQ1" s="2632"/>
      <c r="BR1" s="2632"/>
      <c r="BS1" s="3087"/>
      <c r="BT1" s="2342" t="s">
        <v>138</v>
      </c>
      <c r="BU1" s="2343" t="s">
        <v>137</v>
      </c>
    </row>
    <row r="2" spans="1:73" ht="15" x14ac:dyDescent="0.25">
      <c r="A2" s="2632"/>
      <c r="B2" s="2632"/>
      <c r="C2" s="2632"/>
      <c r="D2" s="2632"/>
      <c r="E2" s="2632"/>
      <c r="F2" s="2632"/>
      <c r="G2" s="2632"/>
      <c r="H2" s="2632"/>
      <c r="I2" s="2632"/>
      <c r="J2" s="2632"/>
      <c r="K2" s="2632"/>
      <c r="L2" s="2632"/>
      <c r="M2" s="2632"/>
      <c r="N2" s="2632"/>
      <c r="O2" s="2632"/>
      <c r="P2" s="2632"/>
      <c r="Q2" s="2632"/>
      <c r="R2" s="2632"/>
      <c r="S2" s="2632"/>
      <c r="T2" s="2632"/>
      <c r="U2" s="2632"/>
      <c r="V2" s="2632"/>
      <c r="W2" s="2632"/>
      <c r="X2" s="2632"/>
      <c r="Y2" s="2632"/>
      <c r="Z2" s="2632"/>
      <c r="AA2" s="2632"/>
      <c r="AB2" s="2632"/>
      <c r="AC2" s="2632"/>
      <c r="AD2" s="2632"/>
      <c r="AE2" s="2632"/>
      <c r="AF2" s="2632"/>
      <c r="AG2" s="2632"/>
      <c r="AH2" s="2632"/>
      <c r="AI2" s="2632"/>
      <c r="AJ2" s="2632"/>
      <c r="AK2" s="2632"/>
      <c r="AL2" s="2632"/>
      <c r="AM2" s="2632"/>
      <c r="AN2" s="2632"/>
      <c r="AO2" s="2632"/>
      <c r="AP2" s="2632"/>
      <c r="AQ2" s="2632"/>
      <c r="AR2" s="2632"/>
      <c r="AS2" s="2632"/>
      <c r="AT2" s="2632"/>
      <c r="AU2" s="2632"/>
      <c r="AV2" s="2632"/>
      <c r="AW2" s="2632"/>
      <c r="AX2" s="2632"/>
      <c r="AY2" s="2632"/>
      <c r="AZ2" s="2632"/>
      <c r="BA2" s="2632"/>
      <c r="BB2" s="2632"/>
      <c r="BC2" s="2632"/>
      <c r="BD2" s="2632"/>
      <c r="BE2" s="2632"/>
      <c r="BF2" s="2632"/>
      <c r="BG2" s="2632"/>
      <c r="BH2" s="2632"/>
      <c r="BI2" s="2632"/>
      <c r="BJ2" s="2632"/>
      <c r="BK2" s="2632"/>
      <c r="BL2" s="2632"/>
      <c r="BM2" s="2632"/>
      <c r="BN2" s="2632"/>
      <c r="BO2" s="2632"/>
      <c r="BP2" s="2632"/>
      <c r="BQ2" s="2632"/>
      <c r="BR2" s="2632"/>
      <c r="BS2" s="3087"/>
      <c r="BT2" s="2342" t="s">
        <v>136</v>
      </c>
      <c r="BU2" s="2344">
        <v>8</v>
      </c>
    </row>
    <row r="3" spans="1:73" ht="15" x14ac:dyDescent="0.25">
      <c r="A3" s="2632"/>
      <c r="B3" s="2632"/>
      <c r="C3" s="2632"/>
      <c r="D3" s="2632"/>
      <c r="E3" s="2632"/>
      <c r="F3" s="2632"/>
      <c r="G3" s="2632"/>
      <c r="H3" s="2632"/>
      <c r="I3" s="2632"/>
      <c r="J3" s="2632"/>
      <c r="K3" s="2632"/>
      <c r="L3" s="2632"/>
      <c r="M3" s="2632"/>
      <c r="N3" s="2632"/>
      <c r="O3" s="2632"/>
      <c r="P3" s="2632"/>
      <c r="Q3" s="2632"/>
      <c r="R3" s="2632"/>
      <c r="S3" s="2632"/>
      <c r="T3" s="2632"/>
      <c r="U3" s="2632"/>
      <c r="V3" s="2632"/>
      <c r="W3" s="2632"/>
      <c r="X3" s="2632"/>
      <c r="Y3" s="2632"/>
      <c r="Z3" s="2632"/>
      <c r="AA3" s="2632"/>
      <c r="AB3" s="2632"/>
      <c r="AC3" s="2632"/>
      <c r="AD3" s="2632"/>
      <c r="AE3" s="2632"/>
      <c r="AF3" s="2632"/>
      <c r="AG3" s="2632"/>
      <c r="AH3" s="2632"/>
      <c r="AI3" s="2632"/>
      <c r="AJ3" s="2632"/>
      <c r="AK3" s="2632"/>
      <c r="AL3" s="2632"/>
      <c r="AM3" s="2632"/>
      <c r="AN3" s="2632"/>
      <c r="AO3" s="2632"/>
      <c r="AP3" s="2632"/>
      <c r="AQ3" s="2632"/>
      <c r="AR3" s="2632"/>
      <c r="AS3" s="2632"/>
      <c r="AT3" s="2632"/>
      <c r="AU3" s="2632"/>
      <c r="AV3" s="2632"/>
      <c r="AW3" s="2632"/>
      <c r="AX3" s="2632"/>
      <c r="AY3" s="2632"/>
      <c r="AZ3" s="2632"/>
      <c r="BA3" s="2632"/>
      <c r="BB3" s="2632"/>
      <c r="BC3" s="2632"/>
      <c r="BD3" s="2632"/>
      <c r="BE3" s="2632"/>
      <c r="BF3" s="2632"/>
      <c r="BG3" s="2632"/>
      <c r="BH3" s="2632"/>
      <c r="BI3" s="2632"/>
      <c r="BJ3" s="2632"/>
      <c r="BK3" s="2632"/>
      <c r="BL3" s="2632"/>
      <c r="BM3" s="2632"/>
      <c r="BN3" s="2632"/>
      <c r="BO3" s="2632"/>
      <c r="BP3" s="2632"/>
      <c r="BQ3" s="2632"/>
      <c r="BR3" s="2632"/>
      <c r="BS3" s="3087"/>
      <c r="BT3" s="2342" t="s">
        <v>134</v>
      </c>
      <c r="BU3" s="312">
        <v>44266</v>
      </c>
    </row>
    <row r="4" spans="1:73" ht="15" x14ac:dyDescent="0.25">
      <c r="A4" s="4062"/>
      <c r="B4" s="4062"/>
      <c r="C4" s="4062"/>
      <c r="D4" s="4062"/>
      <c r="E4" s="4062"/>
      <c r="F4" s="4062"/>
      <c r="G4" s="4062"/>
      <c r="H4" s="4062"/>
      <c r="I4" s="4062"/>
      <c r="J4" s="4062"/>
      <c r="K4" s="4062"/>
      <c r="L4" s="4062"/>
      <c r="M4" s="4062"/>
      <c r="N4" s="4062"/>
      <c r="O4" s="4062"/>
      <c r="P4" s="4062"/>
      <c r="Q4" s="4062"/>
      <c r="R4" s="4062"/>
      <c r="S4" s="4062"/>
      <c r="T4" s="4062"/>
      <c r="U4" s="4062"/>
      <c r="V4" s="4062"/>
      <c r="W4" s="4062"/>
      <c r="X4" s="4062"/>
      <c r="Y4" s="4062"/>
      <c r="Z4" s="4062"/>
      <c r="AA4" s="4062"/>
      <c r="AB4" s="4062"/>
      <c r="AC4" s="4062"/>
      <c r="AD4" s="4062"/>
      <c r="AE4" s="4062"/>
      <c r="AF4" s="4062"/>
      <c r="AG4" s="4062"/>
      <c r="AH4" s="4062"/>
      <c r="AI4" s="4062"/>
      <c r="AJ4" s="4062"/>
      <c r="AK4" s="4062"/>
      <c r="AL4" s="4062"/>
      <c r="AM4" s="4062"/>
      <c r="AN4" s="4062"/>
      <c r="AO4" s="4062"/>
      <c r="AP4" s="4062"/>
      <c r="AQ4" s="4062"/>
      <c r="AR4" s="4062"/>
      <c r="AS4" s="4062"/>
      <c r="AT4" s="4062"/>
      <c r="AU4" s="4062"/>
      <c r="AV4" s="4062"/>
      <c r="AW4" s="4062"/>
      <c r="AX4" s="4062"/>
      <c r="AY4" s="4062"/>
      <c r="AZ4" s="4062"/>
      <c r="BA4" s="4062"/>
      <c r="BB4" s="4062"/>
      <c r="BC4" s="4062"/>
      <c r="BD4" s="4062"/>
      <c r="BE4" s="4062"/>
      <c r="BF4" s="4062"/>
      <c r="BG4" s="4062"/>
      <c r="BH4" s="4062"/>
      <c r="BI4" s="4062"/>
      <c r="BJ4" s="4062"/>
      <c r="BK4" s="4062"/>
      <c r="BL4" s="4062"/>
      <c r="BM4" s="4062"/>
      <c r="BN4" s="4062"/>
      <c r="BO4" s="4062"/>
      <c r="BP4" s="4062"/>
      <c r="BQ4" s="4062"/>
      <c r="BR4" s="4062"/>
      <c r="BS4" s="3088"/>
      <c r="BT4" s="2342" t="s">
        <v>133</v>
      </c>
      <c r="BU4" s="2345" t="s">
        <v>3453</v>
      </c>
    </row>
    <row r="5" spans="1:73" ht="12.75" customHeight="1" x14ac:dyDescent="0.25">
      <c r="A5" s="2633" t="s">
        <v>131</v>
      </c>
      <c r="B5" s="2606"/>
      <c r="C5" s="2606"/>
      <c r="D5" s="2606"/>
      <c r="E5" s="2606"/>
      <c r="F5" s="2606"/>
      <c r="G5" s="2606"/>
      <c r="H5" s="2606"/>
      <c r="I5" s="2606"/>
      <c r="J5" s="2606"/>
      <c r="K5" s="2606"/>
      <c r="L5" s="2606"/>
      <c r="M5" s="2606"/>
      <c r="N5" s="2606"/>
      <c r="O5" s="2606"/>
      <c r="P5" s="2634"/>
      <c r="Q5" s="2237"/>
      <c r="R5" s="2237"/>
      <c r="S5" s="2237"/>
      <c r="T5" s="2237"/>
      <c r="U5" s="2237"/>
      <c r="V5" s="2237"/>
      <c r="W5" s="2237"/>
      <c r="X5" s="2237"/>
      <c r="Y5" s="2237"/>
      <c r="Z5" s="2237"/>
      <c r="AA5" s="2237"/>
      <c r="AB5" s="2237"/>
      <c r="AC5" s="2237"/>
      <c r="AD5" s="2237"/>
      <c r="AE5" s="2237"/>
      <c r="AF5" s="2237"/>
      <c r="AG5" s="2237"/>
      <c r="AH5" s="2237"/>
      <c r="AI5" s="2237"/>
      <c r="AJ5" s="2237"/>
      <c r="AK5" s="2237"/>
      <c r="AL5" s="2237"/>
      <c r="AM5" s="2237"/>
      <c r="AN5" s="2237"/>
      <c r="AO5" s="2237"/>
      <c r="AP5" s="2237"/>
      <c r="AQ5" s="2237"/>
      <c r="AR5" s="2237"/>
      <c r="AS5" s="2237"/>
      <c r="AT5" s="2237"/>
      <c r="AU5" s="2237"/>
      <c r="AV5" s="2237"/>
      <c r="AW5" s="2237"/>
      <c r="AX5" s="2237"/>
      <c r="AY5" s="2237"/>
      <c r="AZ5" s="2237"/>
      <c r="BA5" s="2237"/>
      <c r="BB5" s="2237"/>
      <c r="BC5" s="2237"/>
      <c r="BD5" s="2237"/>
      <c r="BE5" s="2237"/>
      <c r="BF5" s="2237"/>
      <c r="BG5" s="2237"/>
      <c r="BH5" s="2237"/>
      <c r="BI5" s="2237"/>
      <c r="BJ5" s="2237"/>
      <c r="BK5" s="2237"/>
      <c r="BL5" s="2237"/>
      <c r="BM5" s="2237"/>
      <c r="BN5" s="2237"/>
      <c r="BO5" s="2237"/>
      <c r="BP5" s="2237"/>
      <c r="BQ5" s="2237"/>
      <c r="BR5" s="2237"/>
      <c r="BS5" s="2237"/>
      <c r="BT5" s="2237"/>
      <c r="BU5" s="2214"/>
    </row>
    <row r="6" spans="1:73" ht="12.75" customHeight="1" x14ac:dyDescent="0.25">
      <c r="A6" s="2635"/>
      <c r="B6" s="2604"/>
      <c r="C6" s="2604"/>
      <c r="D6" s="2604"/>
      <c r="E6" s="2604"/>
      <c r="F6" s="2604"/>
      <c r="G6" s="2604"/>
      <c r="H6" s="2604"/>
      <c r="I6" s="2604"/>
      <c r="J6" s="2604"/>
      <c r="K6" s="2604"/>
      <c r="L6" s="2604"/>
      <c r="M6" s="2604"/>
      <c r="N6" s="2604"/>
      <c r="O6" s="2604"/>
      <c r="P6" s="2605"/>
      <c r="Q6" s="2210"/>
      <c r="R6" s="2210"/>
      <c r="S6" s="2210"/>
      <c r="T6" s="2210"/>
      <c r="U6" s="2210"/>
      <c r="V6" s="2210"/>
      <c r="W6" s="2210"/>
      <c r="X6" s="2210"/>
      <c r="Y6" s="2210"/>
      <c r="Z6" s="2210"/>
      <c r="AA6" s="2210"/>
      <c r="AB6" s="2210"/>
      <c r="AC6" s="2210"/>
      <c r="AD6" s="2346"/>
      <c r="AE6" s="2346"/>
      <c r="AF6" s="2346"/>
      <c r="AG6" s="2346"/>
      <c r="AH6" s="2213" t="s">
        <v>130</v>
      </c>
      <c r="AI6" s="2210"/>
      <c r="AJ6" s="2210"/>
      <c r="AK6" s="2210"/>
      <c r="AL6" s="2210"/>
      <c r="AM6" s="2210"/>
      <c r="AN6" s="2210"/>
      <c r="AO6" s="2210"/>
      <c r="AP6" s="2210"/>
      <c r="AQ6" s="2210"/>
      <c r="AR6" s="2210"/>
      <c r="AS6" s="2210"/>
      <c r="AT6" s="2210"/>
      <c r="AU6" s="2210"/>
      <c r="AV6" s="2210"/>
      <c r="AW6" s="2210"/>
      <c r="AX6" s="2210"/>
      <c r="AY6" s="2210"/>
      <c r="AZ6" s="2210"/>
      <c r="BA6" s="2210"/>
      <c r="BB6" s="2210"/>
      <c r="BC6" s="2210"/>
      <c r="BD6" s="2210"/>
      <c r="BE6" s="2210"/>
      <c r="BF6" s="2210"/>
      <c r="BG6" s="2210"/>
      <c r="BH6" s="2210"/>
      <c r="BI6" s="2210"/>
      <c r="BJ6" s="2210"/>
      <c r="BK6" s="2210"/>
      <c r="BL6" s="2210"/>
      <c r="BM6" s="2210"/>
      <c r="BN6" s="2210"/>
      <c r="BO6" s="2210"/>
      <c r="BP6" s="2210"/>
      <c r="BQ6" s="2211"/>
      <c r="BR6" s="2210"/>
      <c r="BS6" s="2210"/>
      <c r="BT6" s="2210"/>
      <c r="BU6" s="2212"/>
    </row>
    <row r="7" spans="1:73" ht="35.25" customHeight="1" x14ac:dyDescent="0.25">
      <c r="A7" s="2639" t="s">
        <v>129</v>
      </c>
      <c r="B7" s="2638"/>
      <c r="C7" s="2639" t="s">
        <v>128</v>
      </c>
      <c r="D7" s="2638"/>
      <c r="E7" s="2639" t="s">
        <v>127</v>
      </c>
      <c r="F7" s="2638"/>
      <c r="G7" s="2642" t="s">
        <v>126</v>
      </c>
      <c r="H7" s="4268"/>
      <c r="I7" s="4268"/>
      <c r="J7" s="4268"/>
      <c r="K7" s="2642" t="s">
        <v>125</v>
      </c>
      <c r="L7" s="4268"/>
      <c r="M7" s="4268"/>
      <c r="N7" s="4268"/>
      <c r="O7" s="4053" t="s">
        <v>124</v>
      </c>
      <c r="P7" s="4054"/>
      <c r="Q7" s="4054"/>
      <c r="R7" s="4054"/>
      <c r="S7" s="4054"/>
      <c r="T7" s="4054"/>
      <c r="U7" s="4054"/>
      <c r="V7" s="4054"/>
      <c r="W7" s="4054"/>
      <c r="X7" s="4054"/>
      <c r="Y7" s="4054"/>
      <c r="Z7" s="4055"/>
      <c r="AA7" s="2639" t="s">
        <v>123</v>
      </c>
      <c r="AB7" s="2637"/>
      <c r="AC7" s="2638"/>
      <c r="AD7" s="2611" t="s">
        <v>122</v>
      </c>
      <c r="AE7" s="2612"/>
      <c r="AF7" s="2612"/>
      <c r="AG7" s="2613"/>
      <c r="AH7" s="2611" t="s">
        <v>121</v>
      </c>
      <c r="AI7" s="2612"/>
      <c r="AJ7" s="2612"/>
      <c r="AK7" s="2612"/>
      <c r="AL7" s="2612"/>
      <c r="AM7" s="2612"/>
      <c r="AN7" s="2612"/>
      <c r="AO7" s="2613"/>
      <c r="AP7" s="4959" t="s">
        <v>120</v>
      </c>
      <c r="AQ7" s="4960"/>
      <c r="AR7" s="4960"/>
      <c r="AS7" s="4960"/>
      <c r="AT7" s="4960"/>
      <c r="AU7" s="4960"/>
      <c r="AV7" s="4960"/>
      <c r="AW7" s="4960"/>
      <c r="AX7" s="4960"/>
      <c r="AY7" s="4960"/>
      <c r="AZ7" s="4960"/>
      <c r="BA7" s="4961"/>
      <c r="BB7" s="2892" t="s">
        <v>119</v>
      </c>
      <c r="BC7" s="2892"/>
      <c r="BD7" s="2892"/>
      <c r="BE7" s="2892"/>
      <c r="BF7" s="2892"/>
      <c r="BG7" s="2892"/>
      <c r="BH7" s="4962" t="s">
        <v>118</v>
      </c>
      <c r="BI7" s="4963"/>
      <c r="BJ7" s="3599" t="s">
        <v>117</v>
      </c>
      <c r="BK7" s="3600"/>
      <c r="BL7" s="3600"/>
      <c r="BM7" s="3600"/>
      <c r="BN7" s="3600"/>
      <c r="BO7" s="3600"/>
      <c r="BP7" s="3601"/>
      <c r="BQ7" s="4281" t="s">
        <v>1178</v>
      </c>
      <c r="BR7" s="4274"/>
      <c r="BS7" s="4273" t="s">
        <v>263</v>
      </c>
      <c r="BT7" s="4274"/>
      <c r="BU7" s="2629" t="s">
        <v>114</v>
      </c>
    </row>
    <row r="8" spans="1:73" ht="135.75" customHeight="1" x14ac:dyDescent="0.25">
      <c r="A8" s="2653" t="s">
        <v>71</v>
      </c>
      <c r="B8" s="4797" t="s">
        <v>70</v>
      </c>
      <c r="C8" s="2593" t="s">
        <v>71</v>
      </c>
      <c r="D8" s="3591" t="s">
        <v>70</v>
      </c>
      <c r="E8" s="3591" t="s">
        <v>71</v>
      </c>
      <c r="F8" s="3591" t="s">
        <v>70</v>
      </c>
      <c r="G8" s="3591" t="s">
        <v>110</v>
      </c>
      <c r="H8" s="3591" t="s">
        <v>113</v>
      </c>
      <c r="I8" s="3591" t="s">
        <v>112</v>
      </c>
      <c r="J8" s="3591" t="s">
        <v>142</v>
      </c>
      <c r="K8" s="3591" t="s">
        <v>110</v>
      </c>
      <c r="L8" s="3591" t="s">
        <v>109</v>
      </c>
      <c r="M8" s="3591" t="s">
        <v>108</v>
      </c>
      <c r="N8" s="3591" t="s">
        <v>107</v>
      </c>
      <c r="O8" s="4794" t="s">
        <v>739</v>
      </c>
      <c r="P8" s="4795"/>
      <c r="Q8" s="3591" t="s">
        <v>105</v>
      </c>
      <c r="R8" s="3591" t="s">
        <v>104</v>
      </c>
      <c r="S8" s="3596" t="s">
        <v>103</v>
      </c>
      <c r="T8" s="3590" t="s">
        <v>102</v>
      </c>
      <c r="U8" s="3591" t="s">
        <v>101</v>
      </c>
      <c r="V8" s="3591" t="s">
        <v>100</v>
      </c>
      <c r="W8" s="3591" t="s">
        <v>99</v>
      </c>
      <c r="X8" s="4813" t="s">
        <v>102</v>
      </c>
      <c r="Y8" s="4814"/>
      <c r="Z8" s="4815"/>
      <c r="AA8" s="3591" t="s">
        <v>97</v>
      </c>
      <c r="AB8" s="2593" t="s">
        <v>96</v>
      </c>
      <c r="AC8" s="3591" t="s">
        <v>70</v>
      </c>
      <c r="AD8" s="4954" t="s">
        <v>95</v>
      </c>
      <c r="AE8" s="4955"/>
      <c r="AF8" s="4954" t="s">
        <v>94</v>
      </c>
      <c r="AG8" s="4955"/>
      <c r="AH8" s="4954" t="s">
        <v>93</v>
      </c>
      <c r="AI8" s="4955"/>
      <c r="AJ8" s="4954" t="s">
        <v>92</v>
      </c>
      <c r="AK8" s="4955"/>
      <c r="AL8" s="4954" t="s">
        <v>91</v>
      </c>
      <c r="AM8" s="4955"/>
      <c r="AN8" s="4954" t="s">
        <v>90</v>
      </c>
      <c r="AO8" s="4955"/>
      <c r="AP8" s="4954" t="s">
        <v>89</v>
      </c>
      <c r="AQ8" s="4955"/>
      <c r="AR8" s="4954" t="s">
        <v>88</v>
      </c>
      <c r="AS8" s="4955"/>
      <c r="AT8" s="4954" t="s">
        <v>87</v>
      </c>
      <c r="AU8" s="4955"/>
      <c r="AV8" s="4954" t="s">
        <v>86</v>
      </c>
      <c r="AW8" s="4955"/>
      <c r="AX8" s="4954" t="s">
        <v>85</v>
      </c>
      <c r="AY8" s="4955"/>
      <c r="AZ8" s="4954" t="s">
        <v>84</v>
      </c>
      <c r="BA8" s="4955"/>
      <c r="BB8" s="4956" t="s">
        <v>83</v>
      </c>
      <c r="BC8" s="4957"/>
      <c r="BD8" s="4956" t="s">
        <v>82</v>
      </c>
      <c r="BE8" s="4957"/>
      <c r="BF8" s="4956" t="s">
        <v>81</v>
      </c>
      <c r="BG8" s="4957"/>
      <c r="BH8" s="4964"/>
      <c r="BI8" s="4965"/>
      <c r="BJ8" s="2588" t="s">
        <v>80</v>
      </c>
      <c r="BK8" s="2673" t="s">
        <v>268</v>
      </c>
      <c r="BL8" s="2588" t="s">
        <v>269</v>
      </c>
      <c r="BM8" s="2675" t="s">
        <v>77</v>
      </c>
      <c r="BN8" s="2586" t="s">
        <v>76</v>
      </c>
      <c r="BO8" s="2587"/>
      <c r="BP8" s="2588" t="s">
        <v>75</v>
      </c>
      <c r="BQ8" s="4282"/>
      <c r="BR8" s="4276"/>
      <c r="BS8" s="4275"/>
      <c r="BT8" s="4276"/>
      <c r="BU8" s="2630"/>
    </row>
    <row r="9" spans="1:73" ht="32.25" customHeight="1" x14ac:dyDescent="0.25">
      <c r="A9" s="2654"/>
      <c r="B9" s="4958"/>
      <c r="C9" s="2593"/>
      <c r="D9" s="3591"/>
      <c r="E9" s="3591"/>
      <c r="F9" s="3591"/>
      <c r="G9" s="3591"/>
      <c r="H9" s="3591"/>
      <c r="I9" s="3591"/>
      <c r="J9" s="3591"/>
      <c r="K9" s="3591"/>
      <c r="L9" s="3591"/>
      <c r="M9" s="3591"/>
      <c r="N9" s="3591"/>
      <c r="O9" s="2225" t="s">
        <v>270</v>
      </c>
      <c r="P9" s="2239" t="s">
        <v>271</v>
      </c>
      <c r="Q9" s="3591"/>
      <c r="R9" s="3591"/>
      <c r="S9" s="3596"/>
      <c r="T9" s="3590"/>
      <c r="U9" s="3591"/>
      <c r="V9" s="3591"/>
      <c r="W9" s="3591"/>
      <c r="X9" s="2224" t="s">
        <v>74</v>
      </c>
      <c r="Y9" s="2224" t="s">
        <v>1623</v>
      </c>
      <c r="Z9" s="2224" t="s">
        <v>1624</v>
      </c>
      <c r="AA9" s="3591"/>
      <c r="AB9" s="2593"/>
      <c r="AC9" s="3591"/>
      <c r="AD9" s="319" t="s">
        <v>69</v>
      </c>
      <c r="AE9" s="320" t="s">
        <v>68</v>
      </c>
      <c r="AF9" s="320" t="s">
        <v>69</v>
      </c>
      <c r="AG9" s="320" t="s">
        <v>68</v>
      </c>
      <c r="AH9" s="320" t="s">
        <v>69</v>
      </c>
      <c r="AI9" s="320" t="s">
        <v>68</v>
      </c>
      <c r="AJ9" s="320" t="s">
        <v>69</v>
      </c>
      <c r="AK9" s="320" t="s">
        <v>68</v>
      </c>
      <c r="AL9" s="320" t="s">
        <v>69</v>
      </c>
      <c r="AM9" s="320" t="s">
        <v>68</v>
      </c>
      <c r="AN9" s="320" t="s">
        <v>69</v>
      </c>
      <c r="AO9" s="320" t="s">
        <v>68</v>
      </c>
      <c r="AP9" s="320" t="s">
        <v>69</v>
      </c>
      <c r="AQ9" s="320" t="s">
        <v>68</v>
      </c>
      <c r="AR9" s="320" t="s">
        <v>69</v>
      </c>
      <c r="AS9" s="320" t="s">
        <v>68</v>
      </c>
      <c r="AT9" s="320" t="s">
        <v>69</v>
      </c>
      <c r="AU9" s="320" t="s">
        <v>68</v>
      </c>
      <c r="AV9" s="320" t="s">
        <v>69</v>
      </c>
      <c r="AW9" s="320" t="s">
        <v>68</v>
      </c>
      <c r="AX9" s="320" t="s">
        <v>69</v>
      </c>
      <c r="AY9" s="320" t="s">
        <v>68</v>
      </c>
      <c r="AZ9" s="320" t="s">
        <v>69</v>
      </c>
      <c r="BA9" s="320" t="s">
        <v>68</v>
      </c>
      <c r="BB9" s="320" t="s">
        <v>69</v>
      </c>
      <c r="BC9" s="320" t="s">
        <v>68</v>
      </c>
      <c r="BD9" s="320" t="s">
        <v>69</v>
      </c>
      <c r="BE9" s="320" t="s">
        <v>68</v>
      </c>
      <c r="BF9" s="320" t="s">
        <v>69</v>
      </c>
      <c r="BG9" s="320" t="s">
        <v>68</v>
      </c>
      <c r="BH9" s="320" t="s">
        <v>69</v>
      </c>
      <c r="BI9" s="320" t="s">
        <v>68</v>
      </c>
      <c r="BJ9" s="2589"/>
      <c r="BK9" s="2674"/>
      <c r="BL9" s="2589"/>
      <c r="BM9" s="2676"/>
      <c r="BN9" s="130" t="s">
        <v>71</v>
      </c>
      <c r="BO9" s="2209" t="s">
        <v>70</v>
      </c>
      <c r="BP9" s="2589"/>
      <c r="BQ9" s="321" t="s">
        <v>69</v>
      </c>
      <c r="BR9" s="322" t="s">
        <v>68</v>
      </c>
      <c r="BS9" s="322" t="s">
        <v>69</v>
      </c>
      <c r="BT9" s="322" t="s">
        <v>68</v>
      </c>
      <c r="BU9" s="2631"/>
    </row>
    <row r="10" spans="1:73" ht="27" customHeight="1" x14ac:dyDescent="0.25">
      <c r="A10" s="2347">
        <v>1</v>
      </c>
      <c r="B10" s="4952" t="s">
        <v>409</v>
      </c>
      <c r="C10" s="4953"/>
      <c r="D10" s="4953"/>
      <c r="E10" s="4953"/>
      <c r="F10" s="4953"/>
      <c r="G10" s="2348"/>
      <c r="H10" s="2348"/>
      <c r="I10" s="2348"/>
      <c r="J10" s="2348"/>
      <c r="K10" s="2349"/>
      <c r="L10" s="2349"/>
      <c r="M10" s="2349"/>
      <c r="N10" s="2349"/>
      <c r="O10" s="2289" t="s">
        <v>153</v>
      </c>
      <c r="P10" s="2289"/>
      <c r="Q10" s="2349" t="s">
        <v>153</v>
      </c>
      <c r="R10" s="2349" t="s">
        <v>153</v>
      </c>
      <c r="S10" s="2349" t="s">
        <v>153</v>
      </c>
      <c r="T10" s="2349" t="s">
        <v>153</v>
      </c>
      <c r="U10" s="2349" t="s">
        <v>153</v>
      </c>
      <c r="V10" s="2349" t="s">
        <v>153</v>
      </c>
      <c r="W10" s="2350" t="s">
        <v>153</v>
      </c>
      <c r="X10" s="2349" t="s">
        <v>153</v>
      </c>
      <c r="Y10" s="2349"/>
      <c r="Z10" s="2349"/>
      <c r="AA10" s="2349" t="s">
        <v>153</v>
      </c>
      <c r="AB10" s="2289" t="s">
        <v>153</v>
      </c>
      <c r="AC10" s="2349" t="s">
        <v>153</v>
      </c>
      <c r="AD10" s="2351" t="s">
        <v>153</v>
      </c>
      <c r="AE10" s="2351"/>
      <c r="AF10" s="2351" t="s">
        <v>153</v>
      </c>
      <c r="AG10" s="2351"/>
      <c r="AH10" s="2351" t="s">
        <v>153</v>
      </c>
      <c r="AI10" s="2351"/>
      <c r="AJ10" s="2351" t="s">
        <v>153</v>
      </c>
      <c r="AK10" s="2351"/>
      <c r="AL10" s="2351" t="s">
        <v>153</v>
      </c>
      <c r="AM10" s="2351"/>
      <c r="AN10" s="2351" t="s">
        <v>153</v>
      </c>
      <c r="AO10" s="2351"/>
      <c r="AP10" s="2351" t="s">
        <v>153</v>
      </c>
      <c r="AQ10" s="2351"/>
      <c r="AR10" s="2351" t="s">
        <v>153</v>
      </c>
      <c r="AS10" s="2351"/>
      <c r="AT10" s="2351" t="s">
        <v>153</v>
      </c>
      <c r="AU10" s="2351"/>
      <c r="AV10" s="2351" t="s">
        <v>153</v>
      </c>
      <c r="AW10" s="2351"/>
      <c r="AX10" s="2351" t="s">
        <v>153</v>
      </c>
      <c r="AY10" s="2351"/>
      <c r="AZ10" s="2351" t="s">
        <v>153</v>
      </c>
      <c r="BA10" s="2351"/>
      <c r="BB10" s="2351" t="s">
        <v>153</v>
      </c>
      <c r="BC10" s="2351"/>
      <c r="BD10" s="2351" t="s">
        <v>153</v>
      </c>
      <c r="BE10" s="2351"/>
      <c r="BF10" s="2351" t="s">
        <v>153</v>
      </c>
      <c r="BG10" s="2351"/>
      <c r="BH10" s="2351" t="s">
        <v>153</v>
      </c>
      <c r="BI10" s="2351"/>
      <c r="BJ10" s="2351"/>
      <c r="BK10" s="2351"/>
      <c r="BL10" s="2351"/>
      <c r="BM10" s="2351"/>
      <c r="BN10" s="2351"/>
      <c r="BO10" s="2351"/>
      <c r="BP10" s="2351"/>
      <c r="BQ10" s="2349" t="s">
        <v>153</v>
      </c>
      <c r="BR10" s="2349"/>
      <c r="BS10" s="2349" t="s">
        <v>153</v>
      </c>
      <c r="BT10" s="2349"/>
      <c r="BU10" s="2352" t="s">
        <v>153</v>
      </c>
    </row>
    <row r="11" spans="1:73" ht="27" customHeight="1" x14ac:dyDescent="0.25">
      <c r="A11" s="2353"/>
      <c r="B11" s="2354"/>
      <c r="C11" s="628">
        <v>43</v>
      </c>
      <c r="D11" s="2877" t="s">
        <v>493</v>
      </c>
      <c r="E11" s="3299"/>
      <c r="F11" s="3299"/>
      <c r="G11" s="3299"/>
      <c r="H11" s="3299"/>
      <c r="I11" s="2218"/>
      <c r="J11" s="2218"/>
      <c r="K11" s="2355"/>
      <c r="L11" s="2355"/>
      <c r="M11" s="2355"/>
      <c r="N11" s="2355"/>
      <c r="O11" s="2356"/>
      <c r="P11" s="2356"/>
      <c r="Q11" s="2355"/>
      <c r="R11" s="2355"/>
      <c r="S11" s="2355"/>
      <c r="T11" s="2355"/>
      <c r="U11" s="2355"/>
      <c r="V11" s="2355"/>
      <c r="W11" s="2357"/>
      <c r="X11" s="2355"/>
      <c r="Y11" s="2355"/>
      <c r="Z11" s="2355"/>
      <c r="AA11" s="2355"/>
      <c r="AB11" s="2356"/>
      <c r="AC11" s="2355"/>
      <c r="AD11" s="2358"/>
      <c r="AE11" s="2358"/>
      <c r="AF11" s="2358"/>
      <c r="AG11" s="2358"/>
      <c r="AH11" s="2358"/>
      <c r="AI11" s="2358"/>
      <c r="AJ11" s="2358"/>
      <c r="AK11" s="2358"/>
      <c r="AL11" s="2358"/>
      <c r="AM11" s="2358"/>
      <c r="AN11" s="2358"/>
      <c r="AO11" s="2358"/>
      <c r="AP11" s="2358"/>
      <c r="AQ11" s="2358"/>
      <c r="AR11" s="2358"/>
      <c r="AS11" s="2358"/>
      <c r="AT11" s="2358"/>
      <c r="AU11" s="2358"/>
      <c r="AV11" s="2358"/>
      <c r="AW11" s="2358"/>
      <c r="AX11" s="2358"/>
      <c r="AY11" s="2358"/>
      <c r="AZ11" s="2358"/>
      <c r="BA11" s="2358"/>
      <c r="BB11" s="2358"/>
      <c r="BC11" s="2358"/>
      <c r="BD11" s="2358"/>
      <c r="BE11" s="2358"/>
      <c r="BF11" s="2358"/>
      <c r="BG11" s="2358"/>
      <c r="BH11" s="2358"/>
      <c r="BI11" s="2358"/>
      <c r="BJ11" s="2358"/>
      <c r="BK11" s="2358"/>
      <c r="BL11" s="2358"/>
      <c r="BM11" s="2358"/>
      <c r="BN11" s="2358"/>
      <c r="BO11" s="2358"/>
      <c r="BP11" s="2358"/>
      <c r="BQ11" s="2355"/>
      <c r="BR11" s="2355"/>
      <c r="BS11" s="2355"/>
      <c r="BT11" s="2355"/>
      <c r="BU11" s="2359"/>
    </row>
    <row r="12" spans="1:73" x14ac:dyDescent="0.25">
      <c r="A12" s="2360" t="s">
        <v>153</v>
      </c>
      <c r="B12" s="2361" t="s">
        <v>153</v>
      </c>
      <c r="C12" s="2362"/>
      <c r="D12" s="2363"/>
      <c r="E12" s="2364">
        <v>4301</v>
      </c>
      <c r="F12" s="4949" t="s">
        <v>3454</v>
      </c>
      <c r="G12" s="4927"/>
      <c r="H12" s="4927"/>
      <c r="I12" s="4927"/>
      <c r="J12" s="4927"/>
      <c r="K12" s="4927"/>
      <c r="L12" s="4927"/>
      <c r="M12" s="4927"/>
      <c r="N12" s="4927"/>
      <c r="O12" s="4927"/>
      <c r="P12" s="4927"/>
      <c r="Q12" s="4927"/>
      <c r="R12" s="4927"/>
      <c r="S12" s="4927"/>
      <c r="T12" s="4927"/>
      <c r="U12" s="2365" t="s">
        <v>153</v>
      </c>
      <c r="V12" s="2365" t="s">
        <v>153</v>
      </c>
      <c r="W12" s="2365" t="s">
        <v>153</v>
      </c>
      <c r="X12" s="2365" t="s">
        <v>153</v>
      </c>
      <c r="Y12" s="2365"/>
      <c r="Z12" s="2365"/>
      <c r="AA12" s="2365" t="s">
        <v>153</v>
      </c>
      <c r="AB12" s="2317" t="s">
        <v>153</v>
      </c>
      <c r="AC12" s="2365" t="s">
        <v>153</v>
      </c>
      <c r="AD12" s="2366" t="s">
        <v>153</v>
      </c>
      <c r="AE12" s="2366"/>
      <c r="AF12" s="2366" t="s">
        <v>153</v>
      </c>
      <c r="AG12" s="2366"/>
      <c r="AH12" s="2366" t="s">
        <v>153</v>
      </c>
      <c r="AI12" s="2366"/>
      <c r="AJ12" s="2366" t="s">
        <v>153</v>
      </c>
      <c r="AK12" s="2366"/>
      <c r="AL12" s="2366" t="s">
        <v>153</v>
      </c>
      <c r="AM12" s="2366"/>
      <c r="AN12" s="2366" t="s">
        <v>153</v>
      </c>
      <c r="AO12" s="2366"/>
      <c r="AP12" s="2366" t="s">
        <v>153</v>
      </c>
      <c r="AQ12" s="2366"/>
      <c r="AR12" s="2366" t="s">
        <v>153</v>
      </c>
      <c r="AS12" s="2366"/>
      <c r="AT12" s="2366" t="s">
        <v>153</v>
      </c>
      <c r="AU12" s="2366"/>
      <c r="AV12" s="2366" t="s">
        <v>153</v>
      </c>
      <c r="AW12" s="2366"/>
      <c r="AX12" s="2366" t="s">
        <v>153</v>
      </c>
      <c r="AY12" s="2366"/>
      <c r="AZ12" s="2366" t="s">
        <v>153</v>
      </c>
      <c r="BA12" s="2366"/>
      <c r="BB12" s="2367" t="s">
        <v>153</v>
      </c>
      <c r="BC12" s="2367"/>
      <c r="BD12" s="2367" t="s">
        <v>153</v>
      </c>
      <c r="BE12" s="2367"/>
      <c r="BF12" s="2367" t="s">
        <v>153</v>
      </c>
      <c r="BG12" s="2367"/>
      <c r="BH12" s="2367" t="s">
        <v>153</v>
      </c>
      <c r="BI12" s="2367"/>
      <c r="BJ12" s="2367"/>
      <c r="BK12" s="2367"/>
      <c r="BL12" s="2367"/>
      <c r="BM12" s="2367"/>
      <c r="BN12" s="2368"/>
      <c r="BO12" s="2368"/>
      <c r="BP12" s="2367"/>
      <c r="BQ12" s="2369" t="s">
        <v>153</v>
      </c>
      <c r="BR12" s="2369"/>
      <c r="BS12" s="2369" t="s">
        <v>153</v>
      </c>
      <c r="BT12" s="2369"/>
      <c r="BU12" s="2370" t="s">
        <v>153</v>
      </c>
    </row>
    <row r="13" spans="1:73" ht="102.75" customHeight="1" x14ac:dyDescent="0.25">
      <c r="A13" s="2371"/>
      <c r="B13" s="2222"/>
      <c r="C13" s="2215"/>
      <c r="D13" s="2206"/>
      <c r="E13" s="2219"/>
      <c r="F13" s="2220"/>
      <c r="G13" s="4376" t="s">
        <v>20</v>
      </c>
      <c r="H13" s="4896" t="s">
        <v>3455</v>
      </c>
      <c r="I13" s="4376">
        <v>4301004</v>
      </c>
      <c r="J13" s="4896" t="s">
        <v>496</v>
      </c>
      <c r="K13" s="4376" t="s">
        <v>20</v>
      </c>
      <c r="L13" s="4896" t="s">
        <v>3456</v>
      </c>
      <c r="M13" s="4376">
        <v>430100401</v>
      </c>
      <c r="N13" s="4950" t="s">
        <v>498</v>
      </c>
      <c r="O13" s="4376">
        <v>3</v>
      </c>
      <c r="P13" s="4376">
        <v>13</v>
      </c>
      <c r="Q13" s="4376" t="s">
        <v>3457</v>
      </c>
      <c r="R13" s="4896" t="s">
        <v>3458</v>
      </c>
      <c r="S13" s="4940">
        <f>SUM(X13:X14)/T13</f>
        <v>1</v>
      </c>
      <c r="T13" s="4922">
        <f>SUM(X13:X14)</f>
        <v>690464077.75999999</v>
      </c>
      <c r="U13" s="4896" t="s">
        <v>3459</v>
      </c>
      <c r="V13" s="2372" t="s">
        <v>3460</v>
      </c>
      <c r="W13" s="2373" t="s">
        <v>3461</v>
      </c>
      <c r="X13" s="2374">
        <v>661882330.12</v>
      </c>
      <c r="Y13" s="2374">
        <v>655683142.94999981</v>
      </c>
      <c r="Z13" s="2375">
        <v>655683142.94999981</v>
      </c>
      <c r="AA13" s="2235" t="s">
        <v>3462</v>
      </c>
      <c r="AB13" s="2376">
        <v>3</v>
      </c>
      <c r="AC13" s="2376" t="s">
        <v>458</v>
      </c>
      <c r="AD13" s="4376">
        <v>295972</v>
      </c>
      <c r="AE13" s="4376">
        <f>SUM(AD13*0.99)</f>
        <v>293012.27999999997</v>
      </c>
      <c r="AF13" s="4376">
        <v>285580</v>
      </c>
      <c r="AG13" s="4376">
        <f>SUM(AF13*0.99)</f>
        <v>282724.2</v>
      </c>
      <c r="AH13" s="4376">
        <v>135545</v>
      </c>
      <c r="AI13" s="4376">
        <f>SUM(AH13*0.99)</f>
        <v>134189.54999999999</v>
      </c>
      <c r="AJ13" s="4376">
        <v>44254</v>
      </c>
      <c r="AK13" s="4376">
        <f>SUM(AJ13*0.99)</f>
        <v>43811.46</v>
      </c>
      <c r="AL13" s="4376">
        <v>309146</v>
      </c>
      <c r="AM13" s="4376">
        <f>SUM(AL13*0.99)</f>
        <v>306054.53999999998</v>
      </c>
      <c r="AN13" s="4376">
        <v>92607</v>
      </c>
      <c r="AO13" s="4376">
        <f>SUM(AN13*0.99)</f>
        <v>91680.93</v>
      </c>
      <c r="AP13" s="4376">
        <v>2145</v>
      </c>
      <c r="AQ13" s="4376">
        <f>SUM(AP13*0.99)</f>
        <v>2123.5500000000002</v>
      </c>
      <c r="AR13" s="4376">
        <v>12718</v>
      </c>
      <c r="AS13" s="4376">
        <f>SUM(AR13*0.99)</f>
        <v>12590.82</v>
      </c>
      <c r="AT13" s="4376">
        <v>26</v>
      </c>
      <c r="AU13" s="4937">
        <f>SUM(AT13*0.99)</f>
        <v>25.74</v>
      </c>
      <c r="AV13" s="4376">
        <v>37</v>
      </c>
      <c r="AW13" s="4937">
        <f>SUM(AV13*0.99)</f>
        <v>36.630000000000003</v>
      </c>
      <c r="AX13" s="4376" t="s">
        <v>153</v>
      </c>
      <c r="AY13" s="4376"/>
      <c r="AZ13" s="4376" t="s">
        <v>153</v>
      </c>
      <c r="BA13" s="4376"/>
      <c r="BB13" s="4376">
        <v>44350</v>
      </c>
      <c r="BC13" s="4376">
        <f>SUM(BB13*0.99)</f>
        <v>43906.5</v>
      </c>
      <c r="BD13" s="4376">
        <v>21944</v>
      </c>
      <c r="BE13" s="4376">
        <f>SUM(BD13*0.99)</f>
        <v>21724.560000000001</v>
      </c>
      <c r="BF13" s="4376">
        <v>75687</v>
      </c>
      <c r="BG13" s="4376">
        <f>SUM(BF13*0.99)</f>
        <v>74930.13</v>
      </c>
      <c r="BH13" s="4376">
        <v>581552</v>
      </c>
      <c r="BI13" s="4376">
        <f>SUM(BH13*0.99)</f>
        <v>575736.48</v>
      </c>
      <c r="BJ13" s="2568">
        <v>4</v>
      </c>
      <c r="BK13" s="4915">
        <f>SUM(Y13:Y14)</f>
        <v>683590194.49999976</v>
      </c>
      <c r="BL13" s="4915">
        <f>SUM(Z13:Z14)</f>
        <v>683590194.49999976</v>
      </c>
      <c r="BM13" s="4928">
        <f>BL13/T13</f>
        <v>0.99004454615177018</v>
      </c>
      <c r="BN13" s="2231">
        <v>3</v>
      </c>
      <c r="BO13" s="2231" t="s">
        <v>458</v>
      </c>
      <c r="BP13" s="4931" t="s">
        <v>3463</v>
      </c>
      <c r="BQ13" s="4909">
        <v>44197</v>
      </c>
      <c r="BR13" s="4909">
        <v>44197</v>
      </c>
      <c r="BS13" s="4909">
        <v>44561</v>
      </c>
      <c r="BT13" s="4909">
        <v>44561</v>
      </c>
      <c r="BU13" s="4376" t="s">
        <v>3464</v>
      </c>
    </row>
    <row r="14" spans="1:73" ht="102.75" customHeight="1" x14ac:dyDescent="0.25">
      <c r="A14" s="2371"/>
      <c r="B14" s="2222"/>
      <c r="C14" s="2216"/>
      <c r="D14" s="2221"/>
      <c r="E14" s="2216"/>
      <c r="F14" s="2221"/>
      <c r="G14" s="4359"/>
      <c r="H14" s="4897"/>
      <c r="I14" s="4359"/>
      <c r="J14" s="4897"/>
      <c r="K14" s="4359"/>
      <c r="L14" s="4897"/>
      <c r="M14" s="4359"/>
      <c r="N14" s="4951"/>
      <c r="O14" s="4359"/>
      <c r="P14" s="4359"/>
      <c r="Q14" s="4359"/>
      <c r="R14" s="4897"/>
      <c r="S14" s="4942"/>
      <c r="T14" s="4943"/>
      <c r="U14" s="4897"/>
      <c r="V14" s="2377" t="s">
        <v>3465</v>
      </c>
      <c r="W14" s="2378" t="s">
        <v>3466</v>
      </c>
      <c r="X14" s="2379">
        <v>28581747.640000001</v>
      </c>
      <c r="Y14" s="2379">
        <v>27907051.550000001</v>
      </c>
      <c r="Z14" s="2375">
        <v>27907051.550000001</v>
      </c>
      <c r="AA14" s="2228" t="s">
        <v>3467</v>
      </c>
      <c r="AB14" s="960">
        <v>3</v>
      </c>
      <c r="AC14" s="960" t="s">
        <v>458</v>
      </c>
      <c r="AD14" s="4359"/>
      <c r="AE14" s="4359"/>
      <c r="AF14" s="4359"/>
      <c r="AG14" s="4359"/>
      <c r="AH14" s="4359"/>
      <c r="AI14" s="4359"/>
      <c r="AJ14" s="4359"/>
      <c r="AK14" s="4359"/>
      <c r="AL14" s="4359"/>
      <c r="AM14" s="4359"/>
      <c r="AN14" s="4359"/>
      <c r="AO14" s="4359"/>
      <c r="AP14" s="4359"/>
      <c r="AQ14" s="4359"/>
      <c r="AR14" s="4359"/>
      <c r="AS14" s="4359"/>
      <c r="AT14" s="4359"/>
      <c r="AU14" s="4939"/>
      <c r="AV14" s="4359"/>
      <c r="AW14" s="4939"/>
      <c r="AX14" s="4359"/>
      <c r="AY14" s="4359"/>
      <c r="AZ14" s="4359"/>
      <c r="BA14" s="4359"/>
      <c r="BB14" s="4359"/>
      <c r="BC14" s="4359"/>
      <c r="BD14" s="4359"/>
      <c r="BE14" s="4359"/>
      <c r="BF14" s="4359"/>
      <c r="BG14" s="4359"/>
      <c r="BH14" s="4359"/>
      <c r="BI14" s="4359"/>
      <c r="BJ14" s="4352"/>
      <c r="BK14" s="4917"/>
      <c r="BL14" s="4917"/>
      <c r="BM14" s="4930"/>
      <c r="BN14" s="2227">
        <v>3</v>
      </c>
      <c r="BO14" s="2227" t="s">
        <v>458</v>
      </c>
      <c r="BP14" s="4933"/>
      <c r="BQ14" s="4911"/>
      <c r="BR14" s="4911"/>
      <c r="BS14" s="4911"/>
      <c r="BT14" s="4911"/>
      <c r="BU14" s="4359"/>
    </row>
    <row r="15" spans="1:73" ht="29.25" customHeight="1" x14ac:dyDescent="0.25">
      <c r="A15" s="2371"/>
      <c r="B15" s="2206"/>
      <c r="C15" s="2380">
        <v>22</v>
      </c>
      <c r="D15" s="2877" t="s">
        <v>444</v>
      </c>
      <c r="E15" s="3299"/>
      <c r="F15" s="3299"/>
      <c r="G15" s="3299"/>
      <c r="H15" s="3299"/>
      <c r="I15" s="967"/>
      <c r="J15" s="967"/>
      <c r="K15" s="967"/>
      <c r="L15" s="2381"/>
      <c r="M15" s="967"/>
      <c r="N15" s="2381"/>
      <c r="O15" s="967"/>
      <c r="P15" s="967"/>
      <c r="Q15" s="967"/>
      <c r="R15" s="2381"/>
      <c r="S15" s="2382"/>
      <c r="T15" s="2383"/>
      <c r="U15" s="2381"/>
      <c r="V15" s="2381"/>
      <c r="W15" s="2381"/>
      <c r="X15" s="2384"/>
      <c r="Y15" s="2384"/>
      <c r="Z15" s="2384"/>
      <c r="AA15" s="967"/>
      <c r="AB15" s="967"/>
      <c r="AC15" s="967"/>
      <c r="AD15" s="967"/>
      <c r="AE15" s="967"/>
      <c r="AF15" s="967"/>
      <c r="AG15" s="967"/>
      <c r="AH15" s="967"/>
      <c r="AI15" s="967"/>
      <c r="AJ15" s="967"/>
      <c r="AK15" s="967"/>
      <c r="AL15" s="967"/>
      <c r="AM15" s="967"/>
      <c r="AN15" s="967"/>
      <c r="AO15" s="967"/>
      <c r="AP15" s="967"/>
      <c r="AQ15" s="967"/>
      <c r="AR15" s="967"/>
      <c r="AS15" s="967"/>
      <c r="AT15" s="967"/>
      <c r="AU15" s="967"/>
      <c r="AV15" s="967"/>
      <c r="AW15" s="967"/>
      <c r="AX15" s="967"/>
      <c r="AY15" s="967"/>
      <c r="AZ15" s="967"/>
      <c r="BA15" s="967"/>
      <c r="BB15" s="967"/>
      <c r="BC15" s="967"/>
      <c r="BD15" s="967"/>
      <c r="BE15" s="967"/>
      <c r="BF15" s="967"/>
      <c r="BG15" s="967"/>
      <c r="BH15" s="967"/>
      <c r="BI15" s="967"/>
      <c r="BJ15" s="967"/>
      <c r="BK15" s="2385"/>
      <c r="BL15" s="2385"/>
      <c r="BM15" s="967"/>
      <c r="BN15" s="2386"/>
      <c r="BO15" s="2386"/>
      <c r="BP15" s="967"/>
      <c r="BQ15" s="967"/>
      <c r="BR15" s="967"/>
      <c r="BS15" s="967"/>
      <c r="BT15" s="967"/>
      <c r="BU15" s="2387"/>
    </row>
    <row r="16" spans="1:73" ht="29.25" customHeight="1" x14ac:dyDescent="0.25">
      <c r="A16" s="2360" t="s">
        <v>153</v>
      </c>
      <c r="B16" s="48" t="s">
        <v>153</v>
      </c>
      <c r="C16" s="187"/>
      <c r="D16" s="102"/>
      <c r="E16" s="2388">
        <v>2201</v>
      </c>
      <c r="F16" s="2389" t="s">
        <v>3468</v>
      </c>
      <c r="G16" s="2390"/>
      <c r="H16" s="2391"/>
      <c r="I16" s="2390"/>
      <c r="J16" s="2390"/>
      <c r="K16" s="2390"/>
      <c r="L16" s="2391"/>
      <c r="M16" s="2390"/>
      <c r="N16" s="2391"/>
      <c r="O16" s="2390"/>
      <c r="P16" s="2390"/>
      <c r="Q16" s="2390"/>
      <c r="R16" s="2391"/>
      <c r="S16" s="2317" t="s">
        <v>153</v>
      </c>
      <c r="T16" s="2392" t="s">
        <v>153</v>
      </c>
      <c r="U16" s="2393" t="s">
        <v>153</v>
      </c>
      <c r="V16" s="2393" t="s">
        <v>153</v>
      </c>
      <c r="W16" s="2393" t="s">
        <v>153</v>
      </c>
      <c r="X16" s="2394"/>
      <c r="Y16" s="2394"/>
      <c r="Z16" s="2394"/>
      <c r="AA16" s="2317" t="s">
        <v>153</v>
      </c>
      <c r="AB16" s="2317" t="s">
        <v>153</v>
      </c>
      <c r="AC16" s="2317" t="s">
        <v>153</v>
      </c>
      <c r="AD16" s="2395" t="s">
        <v>153</v>
      </c>
      <c r="AE16" s="2395"/>
      <c r="AF16" s="2395" t="s">
        <v>153</v>
      </c>
      <c r="AG16" s="2395"/>
      <c r="AH16" s="2395" t="s">
        <v>153</v>
      </c>
      <c r="AI16" s="2395"/>
      <c r="AJ16" s="2395" t="s">
        <v>153</v>
      </c>
      <c r="AK16" s="2395"/>
      <c r="AL16" s="2395" t="s">
        <v>153</v>
      </c>
      <c r="AM16" s="2395"/>
      <c r="AN16" s="2395" t="s">
        <v>153</v>
      </c>
      <c r="AO16" s="2395"/>
      <c r="AP16" s="2395" t="s">
        <v>153</v>
      </c>
      <c r="AQ16" s="2395"/>
      <c r="AR16" s="2395" t="s">
        <v>153</v>
      </c>
      <c r="AS16" s="2395"/>
      <c r="AT16" s="2395" t="s">
        <v>153</v>
      </c>
      <c r="AU16" s="2395"/>
      <c r="AV16" s="2395" t="s">
        <v>153</v>
      </c>
      <c r="AW16" s="2395"/>
      <c r="AX16" s="2395" t="s">
        <v>153</v>
      </c>
      <c r="AY16" s="2395"/>
      <c r="AZ16" s="2395" t="s">
        <v>153</v>
      </c>
      <c r="BA16" s="2395"/>
      <c r="BB16" s="2396" t="s">
        <v>153</v>
      </c>
      <c r="BC16" s="2396"/>
      <c r="BD16" s="2396" t="s">
        <v>153</v>
      </c>
      <c r="BE16" s="2396"/>
      <c r="BF16" s="2396" t="s">
        <v>153</v>
      </c>
      <c r="BG16" s="2396"/>
      <c r="BH16" s="2396" t="s">
        <v>153</v>
      </c>
      <c r="BI16" s="2396"/>
      <c r="BJ16" s="2396"/>
      <c r="BK16" s="2397"/>
      <c r="BL16" s="2397"/>
      <c r="BM16" s="2396"/>
      <c r="BN16" s="2398"/>
      <c r="BO16" s="2396"/>
      <c r="BP16" s="2396"/>
      <c r="BQ16" s="2399" t="s">
        <v>153</v>
      </c>
      <c r="BR16" s="2399"/>
      <c r="BS16" s="2399" t="s">
        <v>153</v>
      </c>
      <c r="BT16" s="2399"/>
      <c r="BU16" s="2400" t="s">
        <v>153</v>
      </c>
    </row>
    <row r="17" spans="1:73" ht="105" customHeight="1" x14ac:dyDescent="0.25">
      <c r="A17" s="2401" t="s">
        <v>153</v>
      </c>
      <c r="B17" s="960" t="s">
        <v>153</v>
      </c>
      <c r="C17" s="2402"/>
      <c r="D17" s="960"/>
      <c r="E17" s="2402" t="s">
        <v>153</v>
      </c>
      <c r="F17" s="2402" t="s">
        <v>153</v>
      </c>
      <c r="G17" s="4376" t="s">
        <v>1523</v>
      </c>
      <c r="H17" s="4902" t="s">
        <v>3469</v>
      </c>
      <c r="I17" s="4376">
        <v>2201062</v>
      </c>
      <c r="J17" s="4896" t="s">
        <v>447</v>
      </c>
      <c r="K17" s="4376" t="s">
        <v>20</v>
      </c>
      <c r="L17" s="4896" t="s">
        <v>3470</v>
      </c>
      <c r="M17" s="4376">
        <v>220106200</v>
      </c>
      <c r="N17" s="4948" t="s">
        <v>449</v>
      </c>
      <c r="O17" s="4376">
        <v>15</v>
      </c>
      <c r="P17" s="4376">
        <v>9</v>
      </c>
      <c r="Q17" s="4376" t="s">
        <v>3471</v>
      </c>
      <c r="R17" s="4896" t="s">
        <v>3472</v>
      </c>
      <c r="S17" s="4940">
        <f>SUM(X17:X18)/T17</f>
        <v>1</v>
      </c>
      <c r="T17" s="4922">
        <f>SUM(X17:X18)</f>
        <v>329008863.94999999</v>
      </c>
      <c r="U17" s="4896" t="s">
        <v>3473</v>
      </c>
      <c r="V17" s="2377" t="s">
        <v>3474</v>
      </c>
      <c r="W17" s="2373" t="s">
        <v>3475</v>
      </c>
      <c r="X17" s="1276">
        <v>273228286.55000001</v>
      </c>
      <c r="Y17" s="2403">
        <v>235232312.40000001</v>
      </c>
      <c r="Z17" s="2404">
        <v>235232312.40000001</v>
      </c>
      <c r="AA17" s="2235" t="s">
        <v>3476</v>
      </c>
      <c r="AB17" s="2376">
        <v>3</v>
      </c>
      <c r="AC17" s="2376" t="s">
        <v>458</v>
      </c>
      <c r="AD17" s="4376">
        <v>295972</v>
      </c>
      <c r="AE17" s="4376">
        <f>SUM(AD17*0.88)</f>
        <v>260455.36000000002</v>
      </c>
      <c r="AF17" s="4376">
        <v>285580</v>
      </c>
      <c r="AG17" s="4376">
        <f>SUM(AF17*0.88)</f>
        <v>251310.4</v>
      </c>
      <c r="AH17" s="4376">
        <v>135545</v>
      </c>
      <c r="AI17" s="4376">
        <f>SUM(AH17*0.88)</f>
        <v>119279.6</v>
      </c>
      <c r="AJ17" s="4376">
        <v>44254</v>
      </c>
      <c r="AK17" s="4376">
        <f>SUM(AJ17*0.88)</f>
        <v>38943.519999999997</v>
      </c>
      <c r="AL17" s="4376">
        <v>309146</v>
      </c>
      <c r="AM17" s="4376">
        <f>SUM(AL17*0.88)</f>
        <v>272048.48</v>
      </c>
      <c r="AN17" s="4376">
        <v>92607</v>
      </c>
      <c r="AO17" s="4376">
        <f>SUM(AN17*0.88)</f>
        <v>81494.16</v>
      </c>
      <c r="AP17" s="4376">
        <v>2145</v>
      </c>
      <c r="AQ17" s="4376">
        <f>SUM(AP17*0.88)</f>
        <v>1887.6</v>
      </c>
      <c r="AR17" s="4376">
        <v>12718</v>
      </c>
      <c r="AS17" s="4376">
        <f>SUM(AR17*0.88)</f>
        <v>11191.84</v>
      </c>
      <c r="AT17" s="4376">
        <v>26</v>
      </c>
      <c r="AU17" s="4376">
        <f>SUM(AT17*0.88)</f>
        <v>22.88</v>
      </c>
      <c r="AV17" s="4376">
        <v>37</v>
      </c>
      <c r="AW17" s="4376">
        <f>SUM(AV17*0.88)</f>
        <v>32.56</v>
      </c>
      <c r="AX17" s="4376" t="s">
        <v>153</v>
      </c>
      <c r="AY17" s="4376"/>
      <c r="AZ17" s="4376" t="s">
        <v>153</v>
      </c>
      <c r="BA17" s="4376"/>
      <c r="BB17" s="4376">
        <v>44350</v>
      </c>
      <c r="BC17" s="4376">
        <f>SUM(BB17*0.88)</f>
        <v>39028</v>
      </c>
      <c r="BD17" s="4376">
        <v>21944</v>
      </c>
      <c r="BE17" s="4376">
        <f>SUM(BD17*0.88)</f>
        <v>19310.72</v>
      </c>
      <c r="BF17" s="4376">
        <v>75687</v>
      </c>
      <c r="BG17" s="4376">
        <f>SUM(BF17*0.88)</f>
        <v>66604.56</v>
      </c>
      <c r="BH17" s="4376">
        <v>581552</v>
      </c>
      <c r="BI17" s="4376">
        <f>SUM(BH17*0.88)</f>
        <v>511765.76000000001</v>
      </c>
      <c r="BJ17" s="4376">
        <v>2</v>
      </c>
      <c r="BK17" s="4915">
        <f>SUM(Y17:Y18)</f>
        <v>290761030.31</v>
      </c>
      <c r="BL17" s="4915">
        <f>SUM(Z17:Z18)</f>
        <v>290761030.31</v>
      </c>
      <c r="BM17" s="4918">
        <f>BL17/T17</f>
        <v>0.88374831856866753</v>
      </c>
      <c r="BN17" s="2231">
        <v>3</v>
      </c>
      <c r="BO17" s="2231" t="s">
        <v>458</v>
      </c>
      <c r="BP17" s="4376" t="s">
        <v>3463</v>
      </c>
      <c r="BQ17" s="4909">
        <v>44197</v>
      </c>
      <c r="BR17" s="4909">
        <v>44197</v>
      </c>
      <c r="BS17" s="4909">
        <v>44561</v>
      </c>
      <c r="BT17" s="4909">
        <v>44561</v>
      </c>
      <c r="BU17" s="4376" t="s">
        <v>3464</v>
      </c>
    </row>
    <row r="18" spans="1:73" ht="105" customHeight="1" x14ac:dyDescent="0.25">
      <c r="A18" s="2405"/>
      <c r="B18" s="2376"/>
      <c r="C18" s="2406"/>
      <c r="D18" s="2376"/>
      <c r="E18" s="2402"/>
      <c r="F18" s="2402"/>
      <c r="G18" s="4359"/>
      <c r="H18" s="4904"/>
      <c r="I18" s="4359"/>
      <c r="J18" s="4897"/>
      <c r="K18" s="4359"/>
      <c r="L18" s="4897"/>
      <c r="M18" s="4359"/>
      <c r="N18" s="3026"/>
      <c r="O18" s="4359"/>
      <c r="P18" s="4359"/>
      <c r="Q18" s="4359"/>
      <c r="R18" s="4897"/>
      <c r="S18" s="4942"/>
      <c r="T18" s="4943"/>
      <c r="U18" s="4897"/>
      <c r="V18" s="2407" t="s">
        <v>3477</v>
      </c>
      <c r="W18" s="2408" t="s">
        <v>3478</v>
      </c>
      <c r="X18" s="2403">
        <v>55780577.399999999</v>
      </c>
      <c r="Y18" s="1276">
        <v>55528717.909999996</v>
      </c>
      <c r="Z18" s="1276">
        <v>55528717.909999996</v>
      </c>
      <c r="AA18" s="2228" t="s">
        <v>3479</v>
      </c>
      <c r="AB18" s="960">
        <v>3</v>
      </c>
      <c r="AC18" s="960" t="s">
        <v>458</v>
      </c>
      <c r="AD18" s="4359"/>
      <c r="AE18" s="4359"/>
      <c r="AF18" s="4359"/>
      <c r="AG18" s="4359"/>
      <c r="AH18" s="4359"/>
      <c r="AI18" s="4359"/>
      <c r="AJ18" s="4359"/>
      <c r="AK18" s="4359"/>
      <c r="AL18" s="4359"/>
      <c r="AM18" s="4359"/>
      <c r="AN18" s="4359"/>
      <c r="AO18" s="4359"/>
      <c r="AP18" s="4359"/>
      <c r="AQ18" s="4359"/>
      <c r="AR18" s="4359"/>
      <c r="AS18" s="4359"/>
      <c r="AT18" s="4359"/>
      <c r="AU18" s="4359"/>
      <c r="AV18" s="4359"/>
      <c r="AW18" s="4359"/>
      <c r="AX18" s="4359"/>
      <c r="AY18" s="4359"/>
      <c r="AZ18" s="4359"/>
      <c r="BA18" s="4359"/>
      <c r="BB18" s="4359"/>
      <c r="BC18" s="4359"/>
      <c r="BD18" s="4359"/>
      <c r="BE18" s="4359"/>
      <c r="BF18" s="4359"/>
      <c r="BG18" s="4359"/>
      <c r="BH18" s="4359"/>
      <c r="BI18" s="4359"/>
      <c r="BJ18" s="4359"/>
      <c r="BK18" s="4917"/>
      <c r="BL18" s="4917"/>
      <c r="BM18" s="4920"/>
      <c r="BN18" s="2227">
        <v>3</v>
      </c>
      <c r="BO18" s="2231" t="s">
        <v>458</v>
      </c>
      <c r="BP18" s="4359"/>
      <c r="BQ18" s="4911"/>
      <c r="BR18" s="4911"/>
      <c r="BS18" s="4911"/>
      <c r="BT18" s="4911"/>
      <c r="BU18" s="4359"/>
    </row>
    <row r="19" spans="1:73" ht="23.25" customHeight="1" x14ac:dyDescent="0.25">
      <c r="A19" s="127">
        <v>3</v>
      </c>
      <c r="B19" s="2590" t="s">
        <v>3480</v>
      </c>
      <c r="C19" s="2591"/>
      <c r="D19" s="2591"/>
      <c r="E19" s="4944"/>
      <c r="F19" s="4944"/>
      <c r="G19" s="2409"/>
      <c r="H19" s="2409"/>
      <c r="I19" s="2409"/>
      <c r="J19" s="2409"/>
      <c r="K19" s="2409"/>
      <c r="L19" s="2409"/>
      <c r="M19" s="2409"/>
      <c r="N19" s="2409"/>
      <c r="O19" s="2409" t="s">
        <v>153</v>
      </c>
      <c r="P19" s="2409"/>
      <c r="Q19" s="2409" t="s">
        <v>153</v>
      </c>
      <c r="R19" s="2410" t="s">
        <v>153</v>
      </c>
      <c r="S19" s="2409" t="s">
        <v>153</v>
      </c>
      <c r="T19" s="2411" t="s">
        <v>153</v>
      </c>
      <c r="U19" s="2409" t="s">
        <v>153</v>
      </c>
      <c r="V19" s="2409" t="s">
        <v>153</v>
      </c>
      <c r="W19" s="2409" t="s">
        <v>153</v>
      </c>
      <c r="X19" s="2412"/>
      <c r="Y19" s="2412"/>
      <c r="Z19" s="2412"/>
      <c r="AA19" s="2409" t="s">
        <v>153</v>
      </c>
      <c r="AB19" s="2409" t="s">
        <v>153</v>
      </c>
      <c r="AC19" s="2409" t="s">
        <v>153</v>
      </c>
      <c r="AD19" s="2413" t="s">
        <v>153</v>
      </c>
      <c r="AE19" s="2413"/>
      <c r="AF19" s="2413" t="s">
        <v>153</v>
      </c>
      <c r="AG19" s="2413"/>
      <c r="AH19" s="2413" t="s">
        <v>153</v>
      </c>
      <c r="AI19" s="2413"/>
      <c r="AJ19" s="2413" t="s">
        <v>153</v>
      </c>
      <c r="AK19" s="2413"/>
      <c r="AL19" s="2413" t="s">
        <v>153</v>
      </c>
      <c r="AM19" s="2413"/>
      <c r="AN19" s="2413" t="s">
        <v>153</v>
      </c>
      <c r="AO19" s="2413"/>
      <c r="AP19" s="2413" t="s">
        <v>153</v>
      </c>
      <c r="AQ19" s="2413"/>
      <c r="AR19" s="2413" t="s">
        <v>153</v>
      </c>
      <c r="AS19" s="2413"/>
      <c r="AT19" s="2413" t="s">
        <v>153</v>
      </c>
      <c r="AU19" s="2413"/>
      <c r="AV19" s="2413" t="s">
        <v>153</v>
      </c>
      <c r="AW19" s="2413"/>
      <c r="AX19" s="2413" t="s">
        <v>153</v>
      </c>
      <c r="AY19" s="2413"/>
      <c r="AZ19" s="2413" t="s">
        <v>153</v>
      </c>
      <c r="BA19" s="2413"/>
      <c r="BB19" s="2414" t="s">
        <v>153</v>
      </c>
      <c r="BC19" s="2414"/>
      <c r="BD19" s="2414" t="s">
        <v>153</v>
      </c>
      <c r="BE19" s="2414"/>
      <c r="BF19" s="2414" t="s">
        <v>153</v>
      </c>
      <c r="BG19" s="2414"/>
      <c r="BH19" s="2414" t="s">
        <v>153</v>
      </c>
      <c r="BI19" s="2414"/>
      <c r="BJ19" s="2414"/>
      <c r="BK19" s="2415"/>
      <c r="BL19" s="2415"/>
      <c r="BM19" s="2414"/>
      <c r="BN19" s="2416"/>
      <c r="BO19" s="2414"/>
      <c r="BP19" s="2414"/>
      <c r="BQ19" s="2410" t="s">
        <v>153</v>
      </c>
      <c r="BR19" s="2410"/>
      <c r="BS19" s="2410" t="s">
        <v>153</v>
      </c>
      <c r="BT19" s="2410"/>
      <c r="BU19" s="2417" t="s">
        <v>153</v>
      </c>
    </row>
    <row r="20" spans="1:73" ht="23.25" customHeight="1" x14ac:dyDescent="0.25">
      <c r="A20" s="2362"/>
      <c r="B20" s="102"/>
      <c r="C20" s="2418">
        <v>24</v>
      </c>
      <c r="D20" s="2067" t="s">
        <v>525</v>
      </c>
      <c r="E20" s="628"/>
      <c r="F20" s="628"/>
      <c r="G20" s="628"/>
      <c r="H20" s="628"/>
      <c r="I20" s="628"/>
      <c r="J20" s="628"/>
      <c r="K20" s="628"/>
      <c r="L20" s="628"/>
      <c r="M20" s="628"/>
      <c r="N20" s="628"/>
      <c r="O20" s="628"/>
      <c r="P20" s="628"/>
      <c r="Q20" s="628"/>
      <c r="R20" s="569"/>
      <c r="S20" s="628"/>
      <c r="T20" s="2419"/>
      <c r="U20" s="628"/>
      <c r="V20" s="628"/>
      <c r="W20" s="628"/>
      <c r="X20" s="2420"/>
      <c r="Y20" s="2420"/>
      <c r="Z20" s="2420"/>
      <c r="AA20" s="628"/>
      <c r="AB20" s="628"/>
      <c r="AC20" s="628"/>
      <c r="AD20" s="2421"/>
      <c r="AE20" s="2421"/>
      <c r="AF20" s="2421"/>
      <c r="AG20" s="2421"/>
      <c r="AH20" s="2421"/>
      <c r="AI20" s="2421"/>
      <c r="AJ20" s="2421"/>
      <c r="AK20" s="2421"/>
      <c r="AL20" s="2421"/>
      <c r="AM20" s="2421"/>
      <c r="AN20" s="2421"/>
      <c r="AO20" s="2421"/>
      <c r="AP20" s="2421"/>
      <c r="AQ20" s="2421"/>
      <c r="AR20" s="2421"/>
      <c r="AS20" s="2421"/>
      <c r="AT20" s="2421"/>
      <c r="AU20" s="2421"/>
      <c r="AV20" s="2421"/>
      <c r="AW20" s="2421"/>
      <c r="AX20" s="2421"/>
      <c r="AY20" s="2421"/>
      <c r="AZ20" s="2421"/>
      <c r="BA20" s="2421"/>
      <c r="BB20" s="2422"/>
      <c r="BC20" s="2422"/>
      <c r="BD20" s="2422"/>
      <c r="BE20" s="2422"/>
      <c r="BF20" s="2422"/>
      <c r="BG20" s="2422"/>
      <c r="BH20" s="2422"/>
      <c r="BI20" s="2422"/>
      <c r="BJ20" s="2422"/>
      <c r="BK20" s="2423"/>
      <c r="BL20" s="2423"/>
      <c r="BM20" s="2422"/>
      <c r="BN20" s="2422"/>
      <c r="BO20" s="2422"/>
      <c r="BP20" s="2422"/>
      <c r="BQ20" s="569"/>
      <c r="BR20" s="569"/>
      <c r="BS20" s="569"/>
      <c r="BT20" s="569"/>
      <c r="BU20" s="2424"/>
    </row>
    <row r="21" spans="1:73" ht="23.25" customHeight="1" x14ac:dyDescent="0.25">
      <c r="A21" s="2360" t="s">
        <v>153</v>
      </c>
      <c r="B21" s="48" t="s">
        <v>153</v>
      </c>
      <c r="C21" s="2226"/>
      <c r="D21" s="102"/>
      <c r="E21" s="2388">
        <v>2402</v>
      </c>
      <c r="F21" s="2318" t="s">
        <v>526</v>
      </c>
      <c r="G21" s="2319"/>
      <c r="H21" s="2319"/>
      <c r="I21" s="2319"/>
      <c r="J21" s="2319"/>
      <c r="K21" s="2319"/>
      <c r="L21" s="2319"/>
      <c r="M21" s="2319"/>
      <c r="N21" s="2319"/>
      <c r="O21" s="2319"/>
      <c r="P21" s="2319"/>
      <c r="Q21" s="2319"/>
      <c r="R21" s="63" t="s">
        <v>153</v>
      </c>
      <c r="S21" s="262" t="s">
        <v>153</v>
      </c>
      <c r="T21" s="2425" t="s">
        <v>153</v>
      </c>
      <c r="U21" s="262" t="s">
        <v>153</v>
      </c>
      <c r="V21" s="2426" t="s">
        <v>153</v>
      </c>
      <c r="W21" s="262" t="s">
        <v>153</v>
      </c>
      <c r="X21" s="1090"/>
      <c r="Y21" s="1090"/>
      <c r="Z21" s="1090"/>
      <c r="AA21" s="262" t="s">
        <v>153</v>
      </c>
      <c r="AB21" s="262" t="s">
        <v>153</v>
      </c>
      <c r="AC21" s="262" t="s">
        <v>153</v>
      </c>
      <c r="AD21" s="2427" t="s">
        <v>153</v>
      </c>
      <c r="AE21" s="2427"/>
      <c r="AF21" s="2427" t="s">
        <v>153</v>
      </c>
      <c r="AG21" s="2427"/>
      <c r="AH21" s="2427" t="s">
        <v>153</v>
      </c>
      <c r="AI21" s="2427"/>
      <c r="AJ21" s="2427" t="s">
        <v>153</v>
      </c>
      <c r="AK21" s="2427"/>
      <c r="AL21" s="2427" t="s">
        <v>153</v>
      </c>
      <c r="AM21" s="2427"/>
      <c r="AN21" s="2427" t="s">
        <v>153</v>
      </c>
      <c r="AO21" s="2427"/>
      <c r="AP21" s="2427" t="s">
        <v>153</v>
      </c>
      <c r="AQ21" s="2427"/>
      <c r="AR21" s="2427" t="s">
        <v>153</v>
      </c>
      <c r="AS21" s="2427"/>
      <c r="AT21" s="2427" t="s">
        <v>153</v>
      </c>
      <c r="AU21" s="2427"/>
      <c r="AV21" s="2427" t="s">
        <v>153</v>
      </c>
      <c r="AW21" s="2427"/>
      <c r="AX21" s="2427" t="s">
        <v>153</v>
      </c>
      <c r="AY21" s="2427"/>
      <c r="AZ21" s="2427" t="s">
        <v>153</v>
      </c>
      <c r="BA21" s="2427"/>
      <c r="BB21" s="2428" t="s">
        <v>153</v>
      </c>
      <c r="BC21" s="2428"/>
      <c r="BD21" s="2428" t="s">
        <v>153</v>
      </c>
      <c r="BE21" s="2428"/>
      <c r="BF21" s="2428" t="s">
        <v>153</v>
      </c>
      <c r="BG21" s="2428"/>
      <c r="BH21" s="2428" t="s">
        <v>153</v>
      </c>
      <c r="BI21" s="2428"/>
      <c r="BJ21" s="2428"/>
      <c r="BK21" s="2429"/>
      <c r="BL21" s="2429"/>
      <c r="BM21" s="2428"/>
      <c r="BN21" s="2430"/>
      <c r="BO21" s="2430"/>
      <c r="BP21" s="2428"/>
      <c r="BQ21" s="63" t="s">
        <v>153</v>
      </c>
      <c r="BR21" s="63"/>
      <c r="BS21" s="63" t="s">
        <v>153</v>
      </c>
      <c r="BT21" s="63"/>
      <c r="BU21" s="2165" t="s">
        <v>153</v>
      </c>
    </row>
    <row r="22" spans="1:73" ht="82.5" customHeight="1" x14ac:dyDescent="0.25">
      <c r="A22" s="2401" t="s">
        <v>153</v>
      </c>
      <c r="B22" s="960" t="s">
        <v>153</v>
      </c>
      <c r="C22" s="2234"/>
      <c r="D22" s="960"/>
      <c r="E22" s="2402" t="s">
        <v>153</v>
      </c>
      <c r="F22" s="2402" t="s">
        <v>153</v>
      </c>
      <c r="G22" s="4332" t="s">
        <v>1523</v>
      </c>
      <c r="H22" s="4902" t="s">
        <v>3481</v>
      </c>
      <c r="I22" s="4332">
        <v>2402041</v>
      </c>
      <c r="J22" s="4945" t="s">
        <v>543</v>
      </c>
      <c r="K22" s="4376" t="s">
        <v>20</v>
      </c>
      <c r="L22" s="4896" t="s">
        <v>3482</v>
      </c>
      <c r="M22" s="4376">
        <v>240204100</v>
      </c>
      <c r="N22" s="4948" t="s">
        <v>545</v>
      </c>
      <c r="O22" s="4376">
        <v>130</v>
      </c>
      <c r="P22" s="4376">
        <v>5</v>
      </c>
      <c r="Q22" s="4376" t="s">
        <v>3483</v>
      </c>
      <c r="R22" s="4896" t="s">
        <v>3484</v>
      </c>
      <c r="S22" s="4940">
        <f>SUM(X22:X24)/T22</f>
        <v>1</v>
      </c>
      <c r="T22" s="4922">
        <f>SUM(X22:X24)</f>
        <v>348896731.19999999</v>
      </c>
      <c r="U22" s="4896" t="s">
        <v>3485</v>
      </c>
      <c r="V22" s="2217" t="s">
        <v>3486</v>
      </c>
      <c r="W22" s="2373" t="s">
        <v>3487</v>
      </c>
      <c r="X22" s="2431">
        <v>289058164</v>
      </c>
      <c r="Y22" s="2403">
        <v>288616537.07000005</v>
      </c>
      <c r="Z22" s="2403">
        <v>182156271.05000001</v>
      </c>
      <c r="AA22" s="2235" t="s">
        <v>3488</v>
      </c>
      <c r="AB22" s="2376">
        <v>4</v>
      </c>
      <c r="AC22" s="2376" t="s">
        <v>3489</v>
      </c>
      <c r="AD22" s="4376">
        <v>295972</v>
      </c>
      <c r="AE22" s="4376">
        <f>SUM(AD22*0.69)</f>
        <v>204220.68</v>
      </c>
      <c r="AF22" s="4376">
        <v>285580</v>
      </c>
      <c r="AG22" s="4376">
        <f>SUM(AF22*0.69)</f>
        <v>197050.19999999998</v>
      </c>
      <c r="AH22" s="4376">
        <v>135545</v>
      </c>
      <c r="AI22" s="4376">
        <f>SUM(AH22*0.69)</f>
        <v>93526.049999999988</v>
      </c>
      <c r="AJ22" s="4376">
        <v>44254</v>
      </c>
      <c r="AK22" s="4376">
        <f>SUM(AJ22*0.69)</f>
        <v>30535.26</v>
      </c>
      <c r="AL22" s="4376">
        <v>309146</v>
      </c>
      <c r="AM22" s="4376">
        <f>SUM(AL22*0.69)</f>
        <v>213310.74</v>
      </c>
      <c r="AN22" s="4376">
        <v>92607</v>
      </c>
      <c r="AO22" s="4937">
        <f>SUM(AN22*0.69)</f>
        <v>63898.829999999994</v>
      </c>
      <c r="AP22" s="4376">
        <v>2145</v>
      </c>
      <c r="AQ22" s="4937">
        <f>SUM(AP22*0.69)</f>
        <v>1480.05</v>
      </c>
      <c r="AR22" s="4376">
        <v>12718</v>
      </c>
      <c r="AS22" s="4937">
        <f>SUM(AR22*0.69)</f>
        <v>8775.42</v>
      </c>
      <c r="AT22" s="4376">
        <v>26</v>
      </c>
      <c r="AU22" s="4937">
        <f>SUM(AT22*0.69)</f>
        <v>17.939999999999998</v>
      </c>
      <c r="AV22" s="4376">
        <v>37</v>
      </c>
      <c r="AW22" s="4937">
        <f>SUM(AV22*0.69)</f>
        <v>25.529999999999998</v>
      </c>
      <c r="AX22" s="4376" t="s">
        <v>153</v>
      </c>
      <c r="AY22" s="4376"/>
      <c r="AZ22" s="4376" t="s">
        <v>153</v>
      </c>
      <c r="BA22" s="4376"/>
      <c r="BB22" s="4376">
        <v>44350</v>
      </c>
      <c r="BC22" s="4376">
        <f>SUM(BB22*0.37)</f>
        <v>16409.5</v>
      </c>
      <c r="BD22" s="4376">
        <v>21944</v>
      </c>
      <c r="BE22" s="4376">
        <f>SUM(BD22*0.37)</f>
        <v>8119.28</v>
      </c>
      <c r="BF22" s="4376">
        <v>75687</v>
      </c>
      <c r="BG22" s="4376">
        <f>SUM(BF22*0.37)</f>
        <v>28004.19</v>
      </c>
      <c r="BH22" s="4376">
        <v>581552</v>
      </c>
      <c r="BI22" s="4376">
        <f>SUM(BH22*0.37)</f>
        <v>215174.24</v>
      </c>
      <c r="BJ22" s="4934">
        <v>6</v>
      </c>
      <c r="BK22" s="4915">
        <f>SUM(Y22:Y24)</f>
        <v>347384923.11000001</v>
      </c>
      <c r="BL22" s="4915">
        <f>SUM(Z22:Z24)</f>
        <v>240924657.09000003</v>
      </c>
      <c r="BM22" s="4928">
        <f>BL22/T22</f>
        <v>0.69053285842306578</v>
      </c>
      <c r="BN22" s="4358">
        <v>4</v>
      </c>
      <c r="BO22" s="4358" t="s">
        <v>3489</v>
      </c>
      <c r="BP22" s="4931" t="s">
        <v>3463</v>
      </c>
      <c r="BQ22" s="4909">
        <v>44197</v>
      </c>
      <c r="BR22" s="4909">
        <v>44197</v>
      </c>
      <c r="BS22" s="4909">
        <v>44561</v>
      </c>
      <c r="BT22" s="4909">
        <v>44561</v>
      </c>
      <c r="BU22" s="4376" t="s">
        <v>3464</v>
      </c>
    </row>
    <row r="23" spans="1:73" ht="75" customHeight="1" x14ac:dyDescent="0.25">
      <c r="A23" s="2401"/>
      <c r="B23" s="960"/>
      <c r="C23" s="2234"/>
      <c r="D23" s="960"/>
      <c r="E23" s="2402"/>
      <c r="F23" s="2402"/>
      <c r="G23" s="4901"/>
      <c r="H23" s="4903"/>
      <c r="I23" s="4901"/>
      <c r="J23" s="4946"/>
      <c r="K23" s="4318"/>
      <c r="L23" s="2530"/>
      <c r="M23" s="4318"/>
      <c r="N23" s="3025"/>
      <c r="O23" s="4318"/>
      <c r="P23" s="4318"/>
      <c r="Q23" s="4318"/>
      <c r="R23" s="2530"/>
      <c r="S23" s="4941"/>
      <c r="T23" s="4923"/>
      <c r="U23" s="2530"/>
      <c r="V23" s="2813" t="s">
        <v>3490</v>
      </c>
      <c r="W23" s="4924" t="s">
        <v>3491</v>
      </c>
      <c r="X23" s="2432">
        <v>13967928.09</v>
      </c>
      <c r="Y23" s="2432">
        <v>13967928.09</v>
      </c>
      <c r="Z23" s="2432">
        <v>13967928.09</v>
      </c>
      <c r="AA23" s="2227" t="s">
        <v>3492</v>
      </c>
      <c r="AB23" s="2227">
        <v>4</v>
      </c>
      <c r="AC23" s="2227" t="s">
        <v>3489</v>
      </c>
      <c r="AD23" s="4318"/>
      <c r="AE23" s="4318"/>
      <c r="AF23" s="4318"/>
      <c r="AG23" s="4318"/>
      <c r="AH23" s="4318"/>
      <c r="AI23" s="4318"/>
      <c r="AJ23" s="4318"/>
      <c r="AK23" s="4318"/>
      <c r="AL23" s="4318"/>
      <c r="AM23" s="4318"/>
      <c r="AN23" s="4318"/>
      <c r="AO23" s="4938"/>
      <c r="AP23" s="4318"/>
      <c r="AQ23" s="4938"/>
      <c r="AR23" s="4318"/>
      <c r="AS23" s="4938"/>
      <c r="AT23" s="4318"/>
      <c r="AU23" s="4938"/>
      <c r="AV23" s="4318"/>
      <c r="AW23" s="4938"/>
      <c r="AX23" s="4318"/>
      <c r="AY23" s="4318"/>
      <c r="AZ23" s="4318"/>
      <c r="BA23" s="4318"/>
      <c r="BB23" s="4318"/>
      <c r="BC23" s="4318"/>
      <c r="BD23" s="4318"/>
      <c r="BE23" s="4318"/>
      <c r="BF23" s="4318"/>
      <c r="BG23" s="4318"/>
      <c r="BH23" s="4318"/>
      <c r="BI23" s="4318"/>
      <c r="BJ23" s="4935"/>
      <c r="BK23" s="4916"/>
      <c r="BL23" s="4916"/>
      <c r="BM23" s="4929"/>
      <c r="BN23" s="4318"/>
      <c r="BO23" s="4318"/>
      <c r="BP23" s="4932"/>
      <c r="BQ23" s="4910"/>
      <c r="BR23" s="4910"/>
      <c r="BS23" s="4910"/>
      <c r="BT23" s="4910"/>
      <c r="BU23" s="4318"/>
    </row>
    <row r="24" spans="1:73" ht="75" customHeight="1" x14ac:dyDescent="0.25">
      <c r="A24" s="2401"/>
      <c r="B24" s="960"/>
      <c r="C24" s="2433"/>
      <c r="D24" s="2376"/>
      <c r="E24" s="2402"/>
      <c r="F24" s="2402"/>
      <c r="G24" s="4335"/>
      <c r="H24" s="4904"/>
      <c r="I24" s="4335"/>
      <c r="J24" s="4947"/>
      <c r="K24" s="4359"/>
      <c r="L24" s="4897"/>
      <c r="M24" s="4359"/>
      <c r="N24" s="3026"/>
      <c r="O24" s="4359"/>
      <c r="P24" s="4359"/>
      <c r="Q24" s="4359"/>
      <c r="R24" s="4897"/>
      <c r="S24" s="4942"/>
      <c r="T24" s="4943"/>
      <c r="U24" s="4897"/>
      <c r="V24" s="2813"/>
      <c r="W24" s="4925"/>
      <c r="X24" s="2432">
        <v>45870639.109999999</v>
      </c>
      <c r="Y24" s="2432">
        <v>44800457.950000003</v>
      </c>
      <c r="Z24" s="2432">
        <v>44800457.950000003</v>
      </c>
      <c r="AA24" s="2227" t="s">
        <v>3493</v>
      </c>
      <c r="AB24" s="2227">
        <v>4</v>
      </c>
      <c r="AC24" s="2227" t="s">
        <v>3489</v>
      </c>
      <c r="AD24" s="4359"/>
      <c r="AE24" s="4359"/>
      <c r="AF24" s="4359"/>
      <c r="AG24" s="4359"/>
      <c r="AH24" s="4359"/>
      <c r="AI24" s="4359"/>
      <c r="AJ24" s="4359"/>
      <c r="AK24" s="4359"/>
      <c r="AL24" s="4359"/>
      <c r="AM24" s="4359"/>
      <c r="AN24" s="4359"/>
      <c r="AO24" s="4939"/>
      <c r="AP24" s="4359"/>
      <c r="AQ24" s="4939"/>
      <c r="AR24" s="4359"/>
      <c r="AS24" s="4939"/>
      <c r="AT24" s="4359"/>
      <c r="AU24" s="4939"/>
      <c r="AV24" s="4359"/>
      <c r="AW24" s="4939"/>
      <c r="AX24" s="4359"/>
      <c r="AY24" s="4359"/>
      <c r="AZ24" s="4359"/>
      <c r="BA24" s="4359"/>
      <c r="BB24" s="4359"/>
      <c r="BC24" s="4359"/>
      <c r="BD24" s="4359"/>
      <c r="BE24" s="4359"/>
      <c r="BF24" s="4359"/>
      <c r="BG24" s="4359"/>
      <c r="BH24" s="4359"/>
      <c r="BI24" s="4359"/>
      <c r="BJ24" s="4936"/>
      <c r="BK24" s="4917"/>
      <c r="BL24" s="4917"/>
      <c r="BM24" s="4930"/>
      <c r="BN24" s="4470"/>
      <c r="BO24" s="4470"/>
      <c r="BP24" s="4933"/>
      <c r="BQ24" s="4911"/>
      <c r="BR24" s="4911"/>
      <c r="BS24" s="4911"/>
      <c r="BT24" s="4911"/>
      <c r="BU24" s="4359"/>
    </row>
    <row r="25" spans="1:73" s="2437" customFormat="1" ht="27" customHeight="1" x14ac:dyDescent="0.25">
      <c r="A25" s="2234"/>
      <c r="B25" s="960"/>
      <c r="C25" s="628">
        <v>40</v>
      </c>
      <c r="D25" s="2434" t="s">
        <v>637</v>
      </c>
      <c r="E25" s="2435"/>
      <c r="F25" s="2435"/>
      <c r="G25" s="2435"/>
      <c r="H25" s="2435"/>
      <c r="I25" s="2223"/>
      <c r="J25" s="2223"/>
      <c r="K25" s="967"/>
      <c r="L25" s="967"/>
      <c r="M25" s="967"/>
      <c r="N25" s="967"/>
      <c r="O25" s="967"/>
      <c r="P25" s="967"/>
      <c r="Q25" s="967"/>
      <c r="R25" s="967"/>
      <c r="S25" s="967"/>
      <c r="T25" s="2383"/>
      <c r="U25" s="967"/>
      <c r="V25" s="2386"/>
      <c r="W25" s="967"/>
      <c r="X25" s="2436"/>
      <c r="Y25" s="2436"/>
      <c r="Z25" s="2436"/>
      <c r="AA25" s="2386"/>
      <c r="AB25" s="2386"/>
      <c r="AC25" s="2386"/>
      <c r="AD25" s="967"/>
      <c r="AE25" s="967"/>
      <c r="AF25" s="967"/>
      <c r="AG25" s="967"/>
      <c r="AH25" s="967"/>
      <c r="AI25" s="967"/>
      <c r="AJ25" s="967"/>
      <c r="AK25" s="967"/>
      <c r="AL25" s="967"/>
      <c r="AM25" s="967"/>
      <c r="AN25" s="967"/>
      <c r="AO25" s="967"/>
      <c r="AP25" s="967"/>
      <c r="AQ25" s="967"/>
      <c r="AR25" s="967"/>
      <c r="AS25" s="967"/>
      <c r="AT25" s="967"/>
      <c r="AU25" s="967"/>
      <c r="AV25" s="967"/>
      <c r="AW25" s="967"/>
      <c r="AX25" s="967"/>
      <c r="AY25" s="967"/>
      <c r="AZ25" s="967"/>
      <c r="BA25" s="967"/>
      <c r="BB25" s="967"/>
      <c r="BC25" s="967"/>
      <c r="BD25" s="967"/>
      <c r="BE25" s="967"/>
      <c r="BF25" s="967"/>
      <c r="BG25" s="967"/>
      <c r="BH25" s="967"/>
      <c r="BI25" s="967"/>
      <c r="BJ25" s="967"/>
      <c r="BK25" s="2385"/>
      <c r="BL25" s="2385"/>
      <c r="BM25" s="967"/>
      <c r="BN25" s="2386"/>
      <c r="BO25" s="2386"/>
      <c r="BP25" s="967"/>
      <c r="BQ25" s="967"/>
      <c r="BR25" s="967"/>
      <c r="BS25" s="967"/>
      <c r="BT25" s="967"/>
      <c r="BU25" s="2387"/>
    </row>
    <row r="26" spans="1:73" s="2437" customFormat="1" ht="27" customHeight="1" x14ac:dyDescent="0.25">
      <c r="A26" s="2236" t="s">
        <v>153</v>
      </c>
      <c r="B26" s="48" t="s">
        <v>153</v>
      </c>
      <c r="C26" s="2226"/>
      <c r="D26" s="102"/>
      <c r="E26" s="101">
        <v>4001</v>
      </c>
      <c r="F26" s="4926" t="s">
        <v>638</v>
      </c>
      <c r="G26" s="4927"/>
      <c r="H26" s="4927"/>
      <c r="I26" s="4927"/>
      <c r="J26" s="4927"/>
      <c r="K26" s="4927"/>
      <c r="L26" s="4927"/>
      <c r="M26" s="4927"/>
      <c r="N26" s="4927"/>
      <c r="O26" s="4927"/>
      <c r="P26" s="2438"/>
      <c r="Q26" s="2317" t="s">
        <v>153</v>
      </c>
      <c r="R26" s="2399" t="s">
        <v>153</v>
      </c>
      <c r="S26" s="2317" t="s">
        <v>153</v>
      </c>
      <c r="T26" s="2392" t="s">
        <v>153</v>
      </c>
      <c r="U26" s="2317" t="s">
        <v>153</v>
      </c>
      <c r="V26" s="2317" t="s">
        <v>153</v>
      </c>
      <c r="W26" s="2439" t="s">
        <v>3494</v>
      </c>
      <c r="X26" s="2440"/>
      <c r="Y26" s="2440"/>
      <c r="Z26" s="2440"/>
      <c r="AA26" s="2317"/>
      <c r="AB26" s="2317" t="s">
        <v>153</v>
      </c>
      <c r="AC26" s="2317" t="s">
        <v>153</v>
      </c>
      <c r="AD26" s="2395" t="s">
        <v>153</v>
      </c>
      <c r="AE26" s="2395"/>
      <c r="AF26" s="2395" t="s">
        <v>153</v>
      </c>
      <c r="AG26" s="2395"/>
      <c r="AH26" s="2395" t="s">
        <v>153</v>
      </c>
      <c r="AI26" s="2395"/>
      <c r="AJ26" s="2395" t="s">
        <v>153</v>
      </c>
      <c r="AK26" s="2395"/>
      <c r="AL26" s="2395" t="s">
        <v>153</v>
      </c>
      <c r="AM26" s="2395"/>
      <c r="AN26" s="2395" t="s">
        <v>153</v>
      </c>
      <c r="AO26" s="2395"/>
      <c r="AP26" s="2395" t="s">
        <v>153</v>
      </c>
      <c r="AQ26" s="2395"/>
      <c r="AR26" s="2395" t="s">
        <v>153</v>
      </c>
      <c r="AS26" s="2395"/>
      <c r="AT26" s="2395" t="s">
        <v>153</v>
      </c>
      <c r="AU26" s="2395"/>
      <c r="AV26" s="2395" t="s">
        <v>153</v>
      </c>
      <c r="AW26" s="2395"/>
      <c r="AX26" s="2395" t="s">
        <v>153</v>
      </c>
      <c r="AY26" s="2395"/>
      <c r="AZ26" s="2395" t="s">
        <v>153</v>
      </c>
      <c r="BA26" s="2395"/>
      <c r="BB26" s="2396" t="s">
        <v>153</v>
      </c>
      <c r="BC26" s="2396"/>
      <c r="BD26" s="2396" t="s">
        <v>153</v>
      </c>
      <c r="BE26" s="2396"/>
      <c r="BF26" s="2396" t="s">
        <v>153</v>
      </c>
      <c r="BG26" s="2396"/>
      <c r="BH26" s="2396" t="s">
        <v>153</v>
      </c>
      <c r="BI26" s="2396"/>
      <c r="BJ26" s="2396"/>
      <c r="BK26" s="2397"/>
      <c r="BL26" s="2397"/>
      <c r="BM26" s="2396"/>
      <c r="BN26" s="2398"/>
      <c r="BO26" s="2398"/>
      <c r="BP26" s="2396"/>
      <c r="BQ26" s="2399" t="s">
        <v>153</v>
      </c>
      <c r="BR26" s="2399"/>
      <c r="BS26" s="2399" t="s">
        <v>153</v>
      </c>
      <c r="BT26" s="2399"/>
      <c r="BU26" s="2400" t="s">
        <v>153</v>
      </c>
    </row>
    <row r="27" spans="1:73" ht="157.5" customHeight="1" x14ac:dyDescent="0.25">
      <c r="A27" s="2401" t="s">
        <v>153</v>
      </c>
      <c r="B27" s="960" t="s">
        <v>153</v>
      </c>
      <c r="C27" s="2234"/>
      <c r="D27" s="960"/>
      <c r="E27" s="2402" t="s">
        <v>153</v>
      </c>
      <c r="F27" s="2402" t="s">
        <v>153</v>
      </c>
      <c r="G27" s="2229">
        <v>4001001</v>
      </c>
      <c r="H27" s="2441" t="s">
        <v>3495</v>
      </c>
      <c r="I27" s="2229">
        <v>4001001</v>
      </c>
      <c r="J27" s="2441" t="s">
        <v>3495</v>
      </c>
      <c r="K27" s="2232">
        <v>400100100</v>
      </c>
      <c r="L27" s="2442" t="s">
        <v>3496</v>
      </c>
      <c r="M27" s="2232">
        <v>400100100</v>
      </c>
      <c r="N27" s="2442" t="s">
        <v>3496</v>
      </c>
      <c r="O27" s="2232">
        <v>3</v>
      </c>
      <c r="P27" s="2232">
        <v>0</v>
      </c>
      <c r="Q27" s="4376" t="s">
        <v>3497</v>
      </c>
      <c r="R27" s="4896" t="s">
        <v>3498</v>
      </c>
      <c r="S27" s="2443">
        <f>X27/T27</f>
        <v>0</v>
      </c>
      <c r="T27" s="4922">
        <f>SUM(X27:X52)</f>
        <v>1268916662.03</v>
      </c>
      <c r="U27" s="2442" t="s">
        <v>3499</v>
      </c>
      <c r="V27" s="4376" t="s">
        <v>3500</v>
      </c>
      <c r="W27" s="2205" t="s">
        <v>3496</v>
      </c>
      <c r="X27" s="2444">
        <v>0</v>
      </c>
      <c r="Y27" s="2444">
        <v>0</v>
      </c>
      <c r="Z27" s="2444">
        <v>0</v>
      </c>
      <c r="AA27" s="2207" t="s">
        <v>3501</v>
      </c>
      <c r="AB27" s="2228">
        <v>4</v>
      </c>
      <c r="AC27" s="2228" t="s">
        <v>3489</v>
      </c>
      <c r="AD27" s="4906">
        <v>295972</v>
      </c>
      <c r="AE27" s="4906">
        <f>SUM(AD27*0.79)</f>
        <v>233817.88</v>
      </c>
      <c r="AF27" s="4906">
        <v>285580</v>
      </c>
      <c r="AG27" s="4906">
        <f>SUM(AF27*0.79)</f>
        <v>225608.2</v>
      </c>
      <c r="AH27" s="4906">
        <v>135545</v>
      </c>
      <c r="AI27" s="4906">
        <f>SUM(AH27*0.79)</f>
        <v>107080.55</v>
      </c>
      <c r="AJ27" s="4906">
        <v>44254</v>
      </c>
      <c r="AK27" s="4906">
        <f>SUM(AJ27*0.79)</f>
        <v>34960.660000000003</v>
      </c>
      <c r="AL27" s="4906">
        <v>309146</v>
      </c>
      <c r="AM27" s="4906">
        <f>SUM(AL27*0.79)</f>
        <v>244225.34</v>
      </c>
      <c r="AN27" s="4906">
        <v>92607</v>
      </c>
      <c r="AO27" s="4906">
        <f>SUM(AN27*0.79)</f>
        <v>73159.53</v>
      </c>
      <c r="AP27" s="4906">
        <v>2145</v>
      </c>
      <c r="AQ27" s="4906">
        <f>SUM(AP27*0.79)</f>
        <v>1694.5500000000002</v>
      </c>
      <c r="AR27" s="4906">
        <v>12718</v>
      </c>
      <c r="AS27" s="4906">
        <f>SUM(AR27*0.79)</f>
        <v>10047.220000000001</v>
      </c>
      <c r="AT27" s="4906">
        <v>26</v>
      </c>
      <c r="AU27" s="4906">
        <f>SUM(AT27*0.79)</f>
        <v>20.54</v>
      </c>
      <c r="AV27" s="4906">
        <v>37</v>
      </c>
      <c r="AW27" s="4906">
        <f>SUM(AV27*0.79)</f>
        <v>29.23</v>
      </c>
      <c r="AX27" s="4906" t="s">
        <v>153</v>
      </c>
      <c r="AY27" s="4906"/>
      <c r="AZ27" s="4906" t="s">
        <v>153</v>
      </c>
      <c r="BA27" s="4906"/>
      <c r="BB27" s="4906">
        <v>44350</v>
      </c>
      <c r="BC27" s="4906">
        <f>SUM(BB27*0.79)</f>
        <v>35036.5</v>
      </c>
      <c r="BD27" s="4906">
        <v>21944</v>
      </c>
      <c r="BE27" s="4906">
        <f>SUM(BD27*0.79)</f>
        <v>17335.760000000002</v>
      </c>
      <c r="BF27" s="4906">
        <v>75687</v>
      </c>
      <c r="BG27" s="4906">
        <f>SUM(BF27*0.79)</f>
        <v>59792.73</v>
      </c>
      <c r="BH27" s="4906">
        <v>581552</v>
      </c>
      <c r="BI27" s="4906">
        <f>SUM(BH27*0.79)</f>
        <v>459426.08</v>
      </c>
      <c r="BJ27" s="4912">
        <v>41</v>
      </c>
      <c r="BK27" s="4915">
        <f>SUM(Y27:Y52)</f>
        <v>1062054409.304014</v>
      </c>
      <c r="BL27" s="4915">
        <f>SUM(Z27:Z52)</f>
        <v>1001604412.392524</v>
      </c>
      <c r="BM27" s="4918">
        <f>BL27/T27</f>
        <v>0.7893382145287362</v>
      </c>
      <c r="BN27" s="4921">
        <v>3</v>
      </c>
      <c r="BO27" s="4921" t="s">
        <v>3502</v>
      </c>
      <c r="BP27" s="4906" t="s">
        <v>3463</v>
      </c>
      <c r="BQ27" s="4909">
        <v>44197</v>
      </c>
      <c r="BR27" s="4909">
        <v>44197</v>
      </c>
      <c r="BS27" s="4909">
        <v>44561</v>
      </c>
      <c r="BT27" s="4909">
        <v>44561</v>
      </c>
      <c r="BU27" s="4376" t="s">
        <v>3464</v>
      </c>
    </row>
    <row r="28" spans="1:73" ht="53.25" customHeight="1" x14ac:dyDescent="0.25">
      <c r="A28" s="2401" t="s">
        <v>153</v>
      </c>
      <c r="B28" s="960" t="s">
        <v>153</v>
      </c>
      <c r="C28" s="2234"/>
      <c r="D28" s="960"/>
      <c r="E28" s="2402" t="s">
        <v>153</v>
      </c>
      <c r="F28" s="2402" t="s">
        <v>153</v>
      </c>
      <c r="G28" s="4332">
        <v>4001017</v>
      </c>
      <c r="H28" s="4902" t="s">
        <v>3503</v>
      </c>
      <c r="I28" s="4332">
        <v>4001017</v>
      </c>
      <c r="J28" s="4902" t="s">
        <v>3503</v>
      </c>
      <c r="K28" s="4376">
        <v>400101700</v>
      </c>
      <c r="L28" s="4896" t="s">
        <v>3504</v>
      </c>
      <c r="M28" s="4376">
        <v>400101700</v>
      </c>
      <c r="N28" s="4896" t="s">
        <v>3504</v>
      </c>
      <c r="O28" s="4376">
        <v>25</v>
      </c>
      <c r="P28" s="4376">
        <v>0</v>
      </c>
      <c r="Q28" s="4318"/>
      <c r="R28" s="2530"/>
      <c r="S28" s="4898">
        <f>SUM(X28:X33)/T27</f>
        <v>0.16827054645843392</v>
      </c>
      <c r="T28" s="4923"/>
      <c r="U28" s="4896" t="s">
        <v>3499</v>
      </c>
      <c r="V28" s="4318"/>
      <c r="W28" s="2205" t="s">
        <v>3504</v>
      </c>
      <c r="X28" s="1276">
        <v>105002114.67</v>
      </c>
      <c r="Y28" s="1276">
        <v>104342851.31252399</v>
      </c>
      <c r="Z28" s="1276">
        <v>104342851.31252399</v>
      </c>
      <c r="AA28" s="2204" t="s">
        <v>3505</v>
      </c>
      <c r="AB28" s="2445">
        <v>3</v>
      </c>
      <c r="AC28" s="2445" t="s">
        <v>458</v>
      </c>
      <c r="AD28" s="4907"/>
      <c r="AE28" s="4907"/>
      <c r="AF28" s="4907"/>
      <c r="AG28" s="4907"/>
      <c r="AH28" s="4907"/>
      <c r="AI28" s="4907"/>
      <c r="AJ28" s="4907"/>
      <c r="AK28" s="4907"/>
      <c r="AL28" s="4907"/>
      <c r="AM28" s="4907"/>
      <c r="AN28" s="4907"/>
      <c r="AO28" s="4907"/>
      <c r="AP28" s="4907"/>
      <c r="AQ28" s="4907"/>
      <c r="AR28" s="4907"/>
      <c r="AS28" s="4907"/>
      <c r="AT28" s="4907"/>
      <c r="AU28" s="4907"/>
      <c r="AV28" s="4907"/>
      <c r="AW28" s="4907"/>
      <c r="AX28" s="4907"/>
      <c r="AY28" s="4907"/>
      <c r="AZ28" s="4907"/>
      <c r="BA28" s="4907"/>
      <c r="BB28" s="4907"/>
      <c r="BC28" s="4907"/>
      <c r="BD28" s="4907"/>
      <c r="BE28" s="4907"/>
      <c r="BF28" s="4907"/>
      <c r="BG28" s="4907"/>
      <c r="BH28" s="4907"/>
      <c r="BI28" s="4907"/>
      <c r="BJ28" s="4913"/>
      <c r="BK28" s="4916"/>
      <c r="BL28" s="4916"/>
      <c r="BM28" s="4919"/>
      <c r="BN28" s="4921"/>
      <c r="BO28" s="4921"/>
      <c r="BP28" s="4907"/>
      <c r="BQ28" s="4910"/>
      <c r="BR28" s="4910"/>
      <c r="BS28" s="4910"/>
      <c r="BT28" s="4910"/>
      <c r="BU28" s="4318"/>
    </row>
    <row r="29" spans="1:73" ht="53.25" customHeight="1" x14ac:dyDescent="0.25">
      <c r="A29" s="2401"/>
      <c r="B29" s="960"/>
      <c r="C29" s="2234"/>
      <c r="D29" s="960"/>
      <c r="E29" s="2402"/>
      <c r="F29" s="2402"/>
      <c r="G29" s="4901"/>
      <c r="H29" s="4903"/>
      <c r="I29" s="4901"/>
      <c r="J29" s="4903"/>
      <c r="K29" s="4318"/>
      <c r="L29" s="2530"/>
      <c r="M29" s="4318"/>
      <c r="N29" s="2530"/>
      <c r="O29" s="4318"/>
      <c r="P29" s="4318"/>
      <c r="Q29" s="4318"/>
      <c r="R29" s="2530"/>
      <c r="S29" s="4899"/>
      <c r="T29" s="4923"/>
      <c r="U29" s="2530"/>
      <c r="V29" s="4318"/>
      <c r="W29" s="2205" t="s">
        <v>3504</v>
      </c>
      <c r="X29" s="1276">
        <v>55534506.780000001</v>
      </c>
      <c r="Y29" s="1276">
        <v>55333330.241489992</v>
      </c>
      <c r="Z29" s="1276">
        <v>0</v>
      </c>
      <c r="AA29" s="2208" t="s">
        <v>3506</v>
      </c>
      <c r="AB29" s="2376">
        <v>3</v>
      </c>
      <c r="AC29" s="2376" t="s">
        <v>458</v>
      </c>
      <c r="AD29" s="4907"/>
      <c r="AE29" s="4907"/>
      <c r="AF29" s="4907"/>
      <c r="AG29" s="4907"/>
      <c r="AH29" s="4907"/>
      <c r="AI29" s="4907"/>
      <c r="AJ29" s="4907"/>
      <c r="AK29" s="4907"/>
      <c r="AL29" s="4907"/>
      <c r="AM29" s="4907"/>
      <c r="AN29" s="4907"/>
      <c r="AO29" s="4907"/>
      <c r="AP29" s="4907"/>
      <c r="AQ29" s="4907"/>
      <c r="AR29" s="4907"/>
      <c r="AS29" s="4907"/>
      <c r="AT29" s="4907"/>
      <c r="AU29" s="4907"/>
      <c r="AV29" s="4907"/>
      <c r="AW29" s="4907"/>
      <c r="AX29" s="4907"/>
      <c r="AY29" s="4907"/>
      <c r="AZ29" s="4907"/>
      <c r="BA29" s="4907"/>
      <c r="BB29" s="4907"/>
      <c r="BC29" s="4907"/>
      <c r="BD29" s="4907"/>
      <c r="BE29" s="4907"/>
      <c r="BF29" s="4907"/>
      <c r="BG29" s="4907"/>
      <c r="BH29" s="4907"/>
      <c r="BI29" s="4907"/>
      <c r="BJ29" s="4913"/>
      <c r="BK29" s="4916"/>
      <c r="BL29" s="4916"/>
      <c r="BM29" s="4919"/>
      <c r="BN29" s="4921"/>
      <c r="BO29" s="4921"/>
      <c r="BP29" s="4907"/>
      <c r="BQ29" s="4910"/>
      <c r="BR29" s="4910"/>
      <c r="BS29" s="4910"/>
      <c r="BT29" s="4910"/>
      <c r="BU29" s="4318"/>
    </row>
    <row r="30" spans="1:73" ht="53.25" customHeight="1" x14ac:dyDescent="0.25">
      <c r="A30" s="2401"/>
      <c r="B30" s="960"/>
      <c r="C30" s="2234"/>
      <c r="D30" s="960"/>
      <c r="E30" s="2402"/>
      <c r="F30" s="2402"/>
      <c r="G30" s="4901"/>
      <c r="H30" s="4903"/>
      <c r="I30" s="4901"/>
      <c r="J30" s="4903"/>
      <c r="K30" s="4318"/>
      <c r="L30" s="2530"/>
      <c r="M30" s="4318"/>
      <c r="N30" s="2530"/>
      <c r="O30" s="4318"/>
      <c r="P30" s="4318"/>
      <c r="Q30" s="4318"/>
      <c r="R30" s="2530"/>
      <c r="S30" s="4899"/>
      <c r="T30" s="4923"/>
      <c r="U30" s="2530"/>
      <c r="V30" s="4318"/>
      <c r="W30" s="2205" t="s">
        <v>3491</v>
      </c>
      <c r="X30" s="1276">
        <v>17974166.670000002</v>
      </c>
      <c r="Y30" s="1276">
        <v>17974166.670000002</v>
      </c>
      <c r="Z30" s="1276">
        <v>12857500</v>
      </c>
      <c r="AA30" s="2208" t="s">
        <v>3507</v>
      </c>
      <c r="AB30" s="2376">
        <v>3</v>
      </c>
      <c r="AC30" s="2376" t="s">
        <v>458</v>
      </c>
      <c r="AD30" s="4907"/>
      <c r="AE30" s="4907"/>
      <c r="AF30" s="4907"/>
      <c r="AG30" s="4907"/>
      <c r="AH30" s="4907"/>
      <c r="AI30" s="4907"/>
      <c r="AJ30" s="4907"/>
      <c r="AK30" s="4907"/>
      <c r="AL30" s="4907"/>
      <c r="AM30" s="4907"/>
      <c r="AN30" s="4907"/>
      <c r="AO30" s="4907"/>
      <c r="AP30" s="4907"/>
      <c r="AQ30" s="4907"/>
      <c r="AR30" s="4907"/>
      <c r="AS30" s="4907"/>
      <c r="AT30" s="4907"/>
      <c r="AU30" s="4907"/>
      <c r="AV30" s="4907"/>
      <c r="AW30" s="4907"/>
      <c r="AX30" s="4907"/>
      <c r="AY30" s="4907"/>
      <c r="AZ30" s="4907"/>
      <c r="BA30" s="4907"/>
      <c r="BB30" s="4907"/>
      <c r="BC30" s="4907"/>
      <c r="BD30" s="4907"/>
      <c r="BE30" s="4907"/>
      <c r="BF30" s="4907"/>
      <c r="BG30" s="4907"/>
      <c r="BH30" s="4907"/>
      <c r="BI30" s="4907"/>
      <c r="BJ30" s="4913"/>
      <c r="BK30" s="4916"/>
      <c r="BL30" s="4916"/>
      <c r="BM30" s="4919"/>
      <c r="BN30" s="4921"/>
      <c r="BO30" s="4921"/>
      <c r="BP30" s="4907"/>
      <c r="BQ30" s="4910"/>
      <c r="BR30" s="4910"/>
      <c r="BS30" s="4910"/>
      <c r="BT30" s="4910"/>
      <c r="BU30" s="4318"/>
    </row>
    <row r="31" spans="1:73" ht="53.25" customHeight="1" x14ac:dyDescent="0.25">
      <c r="A31" s="2401"/>
      <c r="B31" s="960"/>
      <c r="C31" s="2234"/>
      <c r="D31" s="960"/>
      <c r="E31" s="2402"/>
      <c r="F31" s="2402"/>
      <c r="G31" s="4901"/>
      <c r="H31" s="4903"/>
      <c r="I31" s="4901"/>
      <c r="J31" s="4903"/>
      <c r="K31" s="4318"/>
      <c r="L31" s="2530"/>
      <c r="M31" s="4318"/>
      <c r="N31" s="2530"/>
      <c r="O31" s="4318"/>
      <c r="P31" s="4318"/>
      <c r="Q31" s="4318"/>
      <c r="R31" s="2530"/>
      <c r="S31" s="4899"/>
      <c r="T31" s="4923"/>
      <c r="U31" s="2530"/>
      <c r="V31" s="4318"/>
      <c r="W31" s="2205" t="s">
        <v>3504</v>
      </c>
      <c r="X31" s="1276">
        <v>12918750</v>
      </c>
      <c r="Y31" s="1276">
        <v>12918750</v>
      </c>
      <c r="Z31" s="1276">
        <v>12918750</v>
      </c>
      <c r="AA31" s="2208" t="s">
        <v>3505</v>
      </c>
      <c r="AB31" s="2376">
        <v>4</v>
      </c>
      <c r="AC31" s="2376" t="s">
        <v>3489</v>
      </c>
      <c r="AD31" s="4907"/>
      <c r="AE31" s="4907"/>
      <c r="AF31" s="4907"/>
      <c r="AG31" s="4907"/>
      <c r="AH31" s="4907"/>
      <c r="AI31" s="4907"/>
      <c r="AJ31" s="4907"/>
      <c r="AK31" s="4907"/>
      <c r="AL31" s="4907"/>
      <c r="AM31" s="4907"/>
      <c r="AN31" s="4907"/>
      <c r="AO31" s="4907"/>
      <c r="AP31" s="4907"/>
      <c r="AQ31" s="4907"/>
      <c r="AR31" s="4907"/>
      <c r="AS31" s="4907"/>
      <c r="AT31" s="4907"/>
      <c r="AU31" s="4907"/>
      <c r="AV31" s="4907"/>
      <c r="AW31" s="4907"/>
      <c r="AX31" s="4907"/>
      <c r="AY31" s="4907"/>
      <c r="AZ31" s="4907"/>
      <c r="BA31" s="4907"/>
      <c r="BB31" s="4907"/>
      <c r="BC31" s="4907"/>
      <c r="BD31" s="4907"/>
      <c r="BE31" s="4907"/>
      <c r="BF31" s="4907"/>
      <c r="BG31" s="4907"/>
      <c r="BH31" s="4907"/>
      <c r="BI31" s="4907"/>
      <c r="BJ31" s="4913"/>
      <c r="BK31" s="4916"/>
      <c r="BL31" s="4916"/>
      <c r="BM31" s="4919"/>
      <c r="BN31" s="4921"/>
      <c r="BO31" s="4921"/>
      <c r="BP31" s="4907"/>
      <c r="BQ31" s="4910"/>
      <c r="BR31" s="4910"/>
      <c r="BS31" s="4910"/>
      <c r="BT31" s="4910"/>
      <c r="BU31" s="4318"/>
    </row>
    <row r="32" spans="1:73" ht="53.25" customHeight="1" x14ac:dyDescent="0.25">
      <c r="A32" s="2401"/>
      <c r="B32" s="960"/>
      <c r="C32" s="2234"/>
      <c r="D32" s="960"/>
      <c r="E32" s="2402"/>
      <c r="F32" s="2402"/>
      <c r="G32" s="4901"/>
      <c r="H32" s="4903"/>
      <c r="I32" s="4901"/>
      <c r="J32" s="4903"/>
      <c r="K32" s="4318"/>
      <c r="L32" s="2530"/>
      <c r="M32" s="4318"/>
      <c r="N32" s="2530"/>
      <c r="O32" s="4318"/>
      <c r="P32" s="4318"/>
      <c r="Q32" s="4318"/>
      <c r="R32" s="2530"/>
      <c r="S32" s="4899"/>
      <c r="T32" s="4923"/>
      <c r="U32" s="2530"/>
      <c r="V32" s="4318"/>
      <c r="W32" s="2205" t="s">
        <v>3504</v>
      </c>
      <c r="X32" s="1276">
        <v>12908012.01</v>
      </c>
      <c r="Y32" s="1276">
        <v>11236345.34</v>
      </c>
      <c r="Z32" s="1276">
        <v>11236345.34</v>
      </c>
      <c r="AA32" s="2208" t="s">
        <v>3506</v>
      </c>
      <c r="AB32" s="2376">
        <v>4</v>
      </c>
      <c r="AC32" s="2376" t="s">
        <v>3489</v>
      </c>
      <c r="AD32" s="4907"/>
      <c r="AE32" s="4907"/>
      <c r="AF32" s="4907"/>
      <c r="AG32" s="4907"/>
      <c r="AH32" s="4907"/>
      <c r="AI32" s="4907"/>
      <c r="AJ32" s="4907"/>
      <c r="AK32" s="4907"/>
      <c r="AL32" s="4907"/>
      <c r="AM32" s="4907"/>
      <c r="AN32" s="4907"/>
      <c r="AO32" s="4907"/>
      <c r="AP32" s="4907"/>
      <c r="AQ32" s="4907"/>
      <c r="AR32" s="4907"/>
      <c r="AS32" s="4907"/>
      <c r="AT32" s="4907"/>
      <c r="AU32" s="4907"/>
      <c r="AV32" s="4907"/>
      <c r="AW32" s="4907"/>
      <c r="AX32" s="4907"/>
      <c r="AY32" s="4907"/>
      <c r="AZ32" s="4907"/>
      <c r="BA32" s="4907"/>
      <c r="BB32" s="4907"/>
      <c r="BC32" s="4907"/>
      <c r="BD32" s="4907"/>
      <c r="BE32" s="4907"/>
      <c r="BF32" s="4907"/>
      <c r="BG32" s="4907"/>
      <c r="BH32" s="4907"/>
      <c r="BI32" s="4907"/>
      <c r="BJ32" s="4913"/>
      <c r="BK32" s="4916"/>
      <c r="BL32" s="4916"/>
      <c r="BM32" s="4919"/>
      <c r="BN32" s="4921"/>
      <c r="BO32" s="4921"/>
      <c r="BP32" s="4907"/>
      <c r="BQ32" s="4910"/>
      <c r="BR32" s="4910"/>
      <c r="BS32" s="4910"/>
      <c r="BT32" s="4910"/>
      <c r="BU32" s="4318"/>
    </row>
    <row r="33" spans="1:73" ht="53.25" customHeight="1" x14ac:dyDescent="0.25">
      <c r="A33" s="2401"/>
      <c r="B33" s="960"/>
      <c r="C33" s="2234"/>
      <c r="D33" s="960"/>
      <c r="E33" s="2402"/>
      <c r="F33" s="2402"/>
      <c r="G33" s="4335"/>
      <c r="H33" s="4904"/>
      <c r="I33" s="4335"/>
      <c r="J33" s="4904"/>
      <c r="K33" s="4359"/>
      <c r="L33" s="4897"/>
      <c r="M33" s="4359"/>
      <c r="N33" s="4897"/>
      <c r="O33" s="4359"/>
      <c r="P33" s="4359"/>
      <c r="Q33" s="4318"/>
      <c r="R33" s="2530"/>
      <c r="S33" s="4905"/>
      <c r="T33" s="4923"/>
      <c r="U33" s="4897"/>
      <c r="V33" s="4318"/>
      <c r="W33" s="2205" t="s">
        <v>3491</v>
      </c>
      <c r="X33" s="1276">
        <v>9183750</v>
      </c>
      <c r="Y33" s="1276">
        <v>9183750</v>
      </c>
      <c r="Z33" s="1276">
        <v>9183750</v>
      </c>
      <c r="AA33" s="2208" t="s">
        <v>3507</v>
      </c>
      <c r="AB33" s="2376">
        <v>4</v>
      </c>
      <c r="AC33" s="2376" t="s">
        <v>3489</v>
      </c>
      <c r="AD33" s="4907"/>
      <c r="AE33" s="4907"/>
      <c r="AF33" s="4907"/>
      <c r="AG33" s="4907"/>
      <c r="AH33" s="4907"/>
      <c r="AI33" s="4907"/>
      <c r="AJ33" s="4907"/>
      <c r="AK33" s="4907"/>
      <c r="AL33" s="4907"/>
      <c r="AM33" s="4907"/>
      <c r="AN33" s="4907"/>
      <c r="AO33" s="4907"/>
      <c r="AP33" s="4907"/>
      <c r="AQ33" s="4907"/>
      <c r="AR33" s="4907"/>
      <c r="AS33" s="4907"/>
      <c r="AT33" s="4907"/>
      <c r="AU33" s="4907"/>
      <c r="AV33" s="4907"/>
      <c r="AW33" s="4907"/>
      <c r="AX33" s="4907"/>
      <c r="AY33" s="4907"/>
      <c r="AZ33" s="4907"/>
      <c r="BA33" s="4907"/>
      <c r="BB33" s="4907"/>
      <c r="BC33" s="4907"/>
      <c r="BD33" s="4907"/>
      <c r="BE33" s="4907"/>
      <c r="BF33" s="4907"/>
      <c r="BG33" s="4907"/>
      <c r="BH33" s="4907"/>
      <c r="BI33" s="4907"/>
      <c r="BJ33" s="4913"/>
      <c r="BK33" s="4916"/>
      <c r="BL33" s="4916"/>
      <c r="BM33" s="4919"/>
      <c r="BN33" s="4921"/>
      <c r="BO33" s="4921"/>
      <c r="BP33" s="4907"/>
      <c r="BQ33" s="4910"/>
      <c r="BR33" s="4910"/>
      <c r="BS33" s="4910"/>
      <c r="BT33" s="4910"/>
      <c r="BU33" s="4318"/>
    </row>
    <row r="34" spans="1:73" ht="53.25" customHeight="1" x14ac:dyDescent="0.25">
      <c r="A34" s="2401" t="s">
        <v>153</v>
      </c>
      <c r="B34" s="960" t="s">
        <v>153</v>
      </c>
      <c r="C34" s="2234"/>
      <c r="D34" s="960"/>
      <c r="E34" s="2402" t="s">
        <v>153</v>
      </c>
      <c r="F34" s="2402" t="s">
        <v>153</v>
      </c>
      <c r="G34" s="4332">
        <v>4001018</v>
      </c>
      <c r="H34" s="4902" t="s">
        <v>3508</v>
      </c>
      <c r="I34" s="4332">
        <v>4001018</v>
      </c>
      <c r="J34" s="4902" t="s">
        <v>3508</v>
      </c>
      <c r="K34" s="4376">
        <v>400101800</v>
      </c>
      <c r="L34" s="4896" t="s">
        <v>3509</v>
      </c>
      <c r="M34" s="4376">
        <v>400101800</v>
      </c>
      <c r="N34" s="4896" t="s">
        <v>3509</v>
      </c>
      <c r="O34" s="4376">
        <v>75</v>
      </c>
      <c r="P34" s="4376">
        <v>0</v>
      </c>
      <c r="Q34" s="4318"/>
      <c r="R34" s="2530"/>
      <c r="S34" s="4898">
        <f>SUM(X34:X37)/T27</f>
        <v>2.9270540786012534E-2</v>
      </c>
      <c r="T34" s="4923"/>
      <c r="U34" s="4896" t="s">
        <v>3499</v>
      </c>
      <c r="V34" s="4318"/>
      <c r="W34" s="2205" t="s">
        <v>3509</v>
      </c>
      <c r="X34" s="1276">
        <v>33039391.41</v>
      </c>
      <c r="Y34" s="1276">
        <v>0</v>
      </c>
      <c r="Z34" s="1276">
        <v>0</v>
      </c>
      <c r="AA34" s="2208" t="s">
        <v>3510</v>
      </c>
      <c r="AB34" s="2376">
        <v>3</v>
      </c>
      <c r="AC34" s="2376" t="s">
        <v>458</v>
      </c>
      <c r="AD34" s="4907"/>
      <c r="AE34" s="4907"/>
      <c r="AF34" s="4907"/>
      <c r="AG34" s="4907"/>
      <c r="AH34" s="4907"/>
      <c r="AI34" s="4907"/>
      <c r="AJ34" s="4907"/>
      <c r="AK34" s="4907"/>
      <c r="AL34" s="4907"/>
      <c r="AM34" s="4907"/>
      <c r="AN34" s="4907"/>
      <c r="AO34" s="4907"/>
      <c r="AP34" s="4907"/>
      <c r="AQ34" s="4907"/>
      <c r="AR34" s="4907"/>
      <c r="AS34" s="4907"/>
      <c r="AT34" s="4907"/>
      <c r="AU34" s="4907"/>
      <c r="AV34" s="4907"/>
      <c r="AW34" s="4907"/>
      <c r="AX34" s="4907"/>
      <c r="AY34" s="4907"/>
      <c r="AZ34" s="4907"/>
      <c r="BA34" s="4907"/>
      <c r="BB34" s="4907"/>
      <c r="BC34" s="4907"/>
      <c r="BD34" s="4907"/>
      <c r="BE34" s="4907"/>
      <c r="BF34" s="4907"/>
      <c r="BG34" s="4907"/>
      <c r="BH34" s="4907"/>
      <c r="BI34" s="4907"/>
      <c r="BJ34" s="4913"/>
      <c r="BK34" s="4916"/>
      <c r="BL34" s="4916"/>
      <c r="BM34" s="4919"/>
      <c r="BN34" s="4921"/>
      <c r="BO34" s="4921"/>
      <c r="BP34" s="4907"/>
      <c r="BQ34" s="4910"/>
      <c r="BR34" s="4910"/>
      <c r="BS34" s="4910"/>
      <c r="BT34" s="4910"/>
      <c r="BU34" s="4318"/>
    </row>
    <row r="35" spans="1:73" ht="53.25" customHeight="1" x14ac:dyDescent="0.25">
      <c r="A35" s="2401"/>
      <c r="B35" s="960"/>
      <c r="C35" s="2234"/>
      <c r="D35" s="960"/>
      <c r="E35" s="2402"/>
      <c r="F35" s="2402"/>
      <c r="G35" s="4901"/>
      <c r="H35" s="4903"/>
      <c r="I35" s="4901"/>
      <c r="J35" s="4903"/>
      <c r="K35" s="4318"/>
      <c r="L35" s="2530"/>
      <c r="M35" s="4318"/>
      <c r="N35" s="2530"/>
      <c r="O35" s="4318"/>
      <c r="P35" s="4318"/>
      <c r="Q35" s="4318"/>
      <c r="R35" s="2530"/>
      <c r="S35" s="4899"/>
      <c r="T35" s="4923"/>
      <c r="U35" s="2530"/>
      <c r="V35" s="4318"/>
      <c r="W35" s="2205" t="s">
        <v>3491</v>
      </c>
      <c r="X35" s="1276">
        <v>0</v>
      </c>
      <c r="Y35" s="1276">
        <v>0</v>
      </c>
      <c r="Z35" s="1276">
        <v>0</v>
      </c>
      <c r="AA35" s="2208" t="s">
        <v>3511</v>
      </c>
      <c r="AB35" s="2376">
        <v>3</v>
      </c>
      <c r="AC35" s="2376" t="s">
        <v>458</v>
      </c>
      <c r="AD35" s="4907"/>
      <c r="AE35" s="4907"/>
      <c r="AF35" s="4907"/>
      <c r="AG35" s="4907"/>
      <c r="AH35" s="4907"/>
      <c r="AI35" s="4907"/>
      <c r="AJ35" s="4907"/>
      <c r="AK35" s="4907"/>
      <c r="AL35" s="4907"/>
      <c r="AM35" s="4907"/>
      <c r="AN35" s="4907"/>
      <c r="AO35" s="4907"/>
      <c r="AP35" s="4907"/>
      <c r="AQ35" s="4907"/>
      <c r="AR35" s="4907"/>
      <c r="AS35" s="4907"/>
      <c r="AT35" s="4907"/>
      <c r="AU35" s="4907"/>
      <c r="AV35" s="4907"/>
      <c r="AW35" s="4907"/>
      <c r="AX35" s="4907"/>
      <c r="AY35" s="4907"/>
      <c r="AZ35" s="4907"/>
      <c r="BA35" s="4907"/>
      <c r="BB35" s="4907"/>
      <c r="BC35" s="4907"/>
      <c r="BD35" s="4907"/>
      <c r="BE35" s="4907"/>
      <c r="BF35" s="4907"/>
      <c r="BG35" s="4907"/>
      <c r="BH35" s="4907"/>
      <c r="BI35" s="4907"/>
      <c r="BJ35" s="4913"/>
      <c r="BK35" s="4916"/>
      <c r="BL35" s="4916"/>
      <c r="BM35" s="4919"/>
      <c r="BN35" s="4921"/>
      <c r="BO35" s="4921"/>
      <c r="BP35" s="4907"/>
      <c r="BQ35" s="4910"/>
      <c r="BR35" s="4910"/>
      <c r="BS35" s="4910"/>
      <c r="BT35" s="4910"/>
      <c r="BU35" s="4318"/>
    </row>
    <row r="36" spans="1:73" ht="53.25" customHeight="1" x14ac:dyDescent="0.25">
      <c r="A36" s="2401"/>
      <c r="B36" s="960"/>
      <c r="C36" s="2234"/>
      <c r="D36" s="960"/>
      <c r="E36" s="2402"/>
      <c r="F36" s="2402"/>
      <c r="G36" s="4901"/>
      <c r="H36" s="4903"/>
      <c r="I36" s="4901"/>
      <c r="J36" s="4903"/>
      <c r="K36" s="4318"/>
      <c r="L36" s="2530"/>
      <c r="M36" s="4318"/>
      <c r="N36" s="2530"/>
      <c r="O36" s="4318"/>
      <c r="P36" s="4318"/>
      <c r="Q36" s="4318"/>
      <c r="R36" s="2530"/>
      <c r="S36" s="4899"/>
      <c r="T36" s="4923"/>
      <c r="U36" s="2530"/>
      <c r="V36" s="4318"/>
      <c r="W36" s="2205" t="s">
        <v>3509</v>
      </c>
      <c r="X36" s="1276">
        <v>2280000</v>
      </c>
      <c r="Y36" s="1276">
        <v>0</v>
      </c>
      <c r="Z36" s="1276">
        <v>0</v>
      </c>
      <c r="AA36" s="2208" t="s">
        <v>3510</v>
      </c>
      <c r="AB36" s="2376">
        <v>4</v>
      </c>
      <c r="AC36" s="2376" t="s">
        <v>3489</v>
      </c>
      <c r="AD36" s="4907"/>
      <c r="AE36" s="4907"/>
      <c r="AF36" s="4907"/>
      <c r="AG36" s="4907"/>
      <c r="AH36" s="4907"/>
      <c r="AI36" s="4907"/>
      <c r="AJ36" s="4907"/>
      <c r="AK36" s="4907"/>
      <c r="AL36" s="4907"/>
      <c r="AM36" s="4907"/>
      <c r="AN36" s="4907"/>
      <c r="AO36" s="4907"/>
      <c r="AP36" s="4907"/>
      <c r="AQ36" s="4907"/>
      <c r="AR36" s="4907"/>
      <c r="AS36" s="4907"/>
      <c r="AT36" s="4907"/>
      <c r="AU36" s="4907"/>
      <c r="AV36" s="4907"/>
      <c r="AW36" s="4907"/>
      <c r="AX36" s="4907"/>
      <c r="AY36" s="4907"/>
      <c r="AZ36" s="4907"/>
      <c r="BA36" s="4907"/>
      <c r="BB36" s="4907"/>
      <c r="BC36" s="4907"/>
      <c r="BD36" s="4907"/>
      <c r="BE36" s="4907"/>
      <c r="BF36" s="4907"/>
      <c r="BG36" s="4907"/>
      <c r="BH36" s="4907"/>
      <c r="BI36" s="4907"/>
      <c r="BJ36" s="4913"/>
      <c r="BK36" s="4916"/>
      <c r="BL36" s="4916"/>
      <c r="BM36" s="4919"/>
      <c r="BN36" s="4921"/>
      <c r="BO36" s="4921"/>
      <c r="BP36" s="4907"/>
      <c r="BQ36" s="4910"/>
      <c r="BR36" s="4910"/>
      <c r="BS36" s="4910"/>
      <c r="BT36" s="4910"/>
      <c r="BU36" s="4318"/>
    </row>
    <row r="37" spans="1:73" ht="53.25" customHeight="1" x14ac:dyDescent="0.25">
      <c r="A37" s="2401"/>
      <c r="B37" s="960"/>
      <c r="C37" s="2234"/>
      <c r="D37" s="960"/>
      <c r="E37" s="2402"/>
      <c r="F37" s="2402"/>
      <c r="G37" s="4335"/>
      <c r="H37" s="4904"/>
      <c r="I37" s="4335"/>
      <c r="J37" s="4904"/>
      <c r="K37" s="4359"/>
      <c r="L37" s="4897"/>
      <c r="M37" s="4359"/>
      <c r="N37" s="4897"/>
      <c r="O37" s="4359"/>
      <c r="P37" s="4359"/>
      <c r="Q37" s="4318"/>
      <c r="R37" s="2530"/>
      <c r="S37" s="4905"/>
      <c r="T37" s="4923"/>
      <c r="U37" s="4897"/>
      <c r="V37" s="4318"/>
      <c r="W37" s="2205" t="s">
        <v>3491</v>
      </c>
      <c r="X37" s="1276">
        <v>1822485.5</v>
      </c>
      <c r="Y37" s="1276">
        <v>0</v>
      </c>
      <c r="Z37" s="1276">
        <v>0</v>
      </c>
      <c r="AA37" s="2208" t="s">
        <v>3511</v>
      </c>
      <c r="AB37" s="2376">
        <v>4</v>
      </c>
      <c r="AC37" s="2376" t="s">
        <v>3489</v>
      </c>
      <c r="AD37" s="4907"/>
      <c r="AE37" s="4907"/>
      <c r="AF37" s="4907"/>
      <c r="AG37" s="4907"/>
      <c r="AH37" s="4907"/>
      <c r="AI37" s="4907"/>
      <c r="AJ37" s="4907"/>
      <c r="AK37" s="4907"/>
      <c r="AL37" s="4907"/>
      <c r="AM37" s="4907"/>
      <c r="AN37" s="4907"/>
      <c r="AO37" s="4907"/>
      <c r="AP37" s="4907"/>
      <c r="AQ37" s="4907"/>
      <c r="AR37" s="4907"/>
      <c r="AS37" s="4907"/>
      <c r="AT37" s="4907"/>
      <c r="AU37" s="4907"/>
      <c r="AV37" s="4907"/>
      <c r="AW37" s="4907"/>
      <c r="AX37" s="4907"/>
      <c r="AY37" s="4907"/>
      <c r="AZ37" s="4907"/>
      <c r="BA37" s="4907"/>
      <c r="BB37" s="4907"/>
      <c r="BC37" s="4907"/>
      <c r="BD37" s="4907"/>
      <c r="BE37" s="4907"/>
      <c r="BF37" s="4907"/>
      <c r="BG37" s="4907"/>
      <c r="BH37" s="4907"/>
      <c r="BI37" s="4907"/>
      <c r="BJ37" s="4913"/>
      <c r="BK37" s="4916"/>
      <c r="BL37" s="4916"/>
      <c r="BM37" s="4919"/>
      <c r="BN37" s="4921"/>
      <c r="BO37" s="4921"/>
      <c r="BP37" s="4907"/>
      <c r="BQ37" s="4910"/>
      <c r="BR37" s="4910"/>
      <c r="BS37" s="4910"/>
      <c r="BT37" s="4910"/>
      <c r="BU37" s="4318"/>
    </row>
    <row r="38" spans="1:73" ht="156" customHeight="1" x14ac:dyDescent="0.25">
      <c r="A38" s="2401" t="s">
        <v>153</v>
      </c>
      <c r="B38" s="960" t="s">
        <v>153</v>
      </c>
      <c r="C38" s="2234"/>
      <c r="D38" s="960"/>
      <c r="E38" s="2402" t="s">
        <v>153</v>
      </c>
      <c r="F38" s="2402" t="s">
        <v>153</v>
      </c>
      <c r="G38" s="2229">
        <v>4001030</v>
      </c>
      <c r="H38" s="2441" t="s">
        <v>3512</v>
      </c>
      <c r="I38" s="2229">
        <v>4001030</v>
      </c>
      <c r="J38" s="2441" t="s">
        <v>3512</v>
      </c>
      <c r="K38" s="2232">
        <v>400103000</v>
      </c>
      <c r="L38" s="2442" t="s">
        <v>711</v>
      </c>
      <c r="M38" s="2232">
        <v>400103000</v>
      </c>
      <c r="N38" s="2442" t="s">
        <v>711</v>
      </c>
      <c r="O38" s="2232">
        <v>3</v>
      </c>
      <c r="P38" s="2232">
        <v>0</v>
      </c>
      <c r="Q38" s="4318"/>
      <c r="R38" s="2530"/>
      <c r="S38" s="2443">
        <f>SUM(X38)/T27</f>
        <v>7.8595268376767634E-3</v>
      </c>
      <c r="T38" s="4923"/>
      <c r="U38" s="2442" t="s">
        <v>3499</v>
      </c>
      <c r="V38" s="4310" t="s">
        <v>3513</v>
      </c>
      <c r="W38" s="2205" t="s">
        <v>711</v>
      </c>
      <c r="X38" s="1276">
        <v>9973084.5600000005</v>
      </c>
      <c r="Y38" s="1276">
        <v>9743845</v>
      </c>
      <c r="Z38" s="1276">
        <v>9743845</v>
      </c>
      <c r="AA38" s="2230" t="s">
        <v>3514</v>
      </c>
      <c r="AB38" s="2231">
        <v>4</v>
      </c>
      <c r="AC38" s="2231" t="s">
        <v>3489</v>
      </c>
      <c r="AD38" s="4907"/>
      <c r="AE38" s="4907"/>
      <c r="AF38" s="4907"/>
      <c r="AG38" s="4907"/>
      <c r="AH38" s="4907"/>
      <c r="AI38" s="4907"/>
      <c r="AJ38" s="4907"/>
      <c r="AK38" s="4907"/>
      <c r="AL38" s="4907"/>
      <c r="AM38" s="4907"/>
      <c r="AN38" s="4907"/>
      <c r="AO38" s="4907"/>
      <c r="AP38" s="4907"/>
      <c r="AQ38" s="4907"/>
      <c r="AR38" s="4907"/>
      <c r="AS38" s="4907"/>
      <c r="AT38" s="4907"/>
      <c r="AU38" s="4907"/>
      <c r="AV38" s="4907"/>
      <c r="AW38" s="4907"/>
      <c r="AX38" s="4907"/>
      <c r="AY38" s="4907"/>
      <c r="AZ38" s="4907"/>
      <c r="BA38" s="4907"/>
      <c r="BB38" s="4907"/>
      <c r="BC38" s="4907"/>
      <c r="BD38" s="4907"/>
      <c r="BE38" s="4907"/>
      <c r="BF38" s="4907"/>
      <c r="BG38" s="4907"/>
      <c r="BH38" s="4907"/>
      <c r="BI38" s="4907"/>
      <c r="BJ38" s="4913"/>
      <c r="BK38" s="4916"/>
      <c r="BL38" s="4916"/>
      <c r="BM38" s="4919"/>
      <c r="BN38" s="4921"/>
      <c r="BO38" s="4921"/>
      <c r="BP38" s="4907"/>
      <c r="BQ38" s="4910"/>
      <c r="BR38" s="4910"/>
      <c r="BS38" s="4910"/>
      <c r="BT38" s="4910"/>
      <c r="BU38" s="4318"/>
    </row>
    <row r="39" spans="1:73" ht="66.75" customHeight="1" x14ac:dyDescent="0.25">
      <c r="A39" s="2401" t="s">
        <v>153</v>
      </c>
      <c r="B39" s="960" t="s">
        <v>153</v>
      </c>
      <c r="C39" s="2234"/>
      <c r="D39" s="960"/>
      <c r="E39" s="2402" t="s">
        <v>153</v>
      </c>
      <c r="F39" s="2402" t="s">
        <v>153</v>
      </c>
      <c r="G39" s="4332">
        <v>4001031</v>
      </c>
      <c r="H39" s="4902" t="s">
        <v>3515</v>
      </c>
      <c r="I39" s="4332">
        <v>4001031</v>
      </c>
      <c r="J39" s="4902" t="s">
        <v>3515</v>
      </c>
      <c r="K39" s="4376">
        <v>400103103</v>
      </c>
      <c r="L39" s="4896" t="s">
        <v>3516</v>
      </c>
      <c r="M39" s="4376">
        <v>400103103</v>
      </c>
      <c r="N39" s="4896" t="s">
        <v>3516</v>
      </c>
      <c r="O39" s="4376">
        <v>8</v>
      </c>
      <c r="P39" s="4376">
        <v>0</v>
      </c>
      <c r="Q39" s="4318"/>
      <c r="R39" s="2530"/>
      <c r="S39" s="4898">
        <f>SUM(X39:X44)/T27</f>
        <v>0.66193312888355949</v>
      </c>
      <c r="T39" s="4923"/>
      <c r="U39" s="4896" t="s">
        <v>3499</v>
      </c>
      <c r="V39" s="4310"/>
      <c r="W39" s="2205" t="s">
        <v>3517</v>
      </c>
      <c r="X39" s="1276">
        <v>32163591.950000003</v>
      </c>
      <c r="Y39" s="270">
        <v>0</v>
      </c>
      <c r="Z39" s="270">
        <v>0</v>
      </c>
      <c r="AA39" s="2204" t="s">
        <v>3518</v>
      </c>
      <c r="AB39" s="2445">
        <v>4</v>
      </c>
      <c r="AC39" s="2445" t="s">
        <v>3489</v>
      </c>
      <c r="AD39" s="4907"/>
      <c r="AE39" s="4907"/>
      <c r="AF39" s="4907"/>
      <c r="AG39" s="4907"/>
      <c r="AH39" s="4907"/>
      <c r="AI39" s="4907"/>
      <c r="AJ39" s="4907"/>
      <c r="AK39" s="4907"/>
      <c r="AL39" s="4907"/>
      <c r="AM39" s="4907"/>
      <c r="AN39" s="4907"/>
      <c r="AO39" s="4907"/>
      <c r="AP39" s="4907"/>
      <c r="AQ39" s="4907"/>
      <c r="AR39" s="4907"/>
      <c r="AS39" s="4907"/>
      <c r="AT39" s="4907"/>
      <c r="AU39" s="4907"/>
      <c r="AV39" s="4907"/>
      <c r="AW39" s="4907"/>
      <c r="AX39" s="4907"/>
      <c r="AY39" s="4907"/>
      <c r="AZ39" s="4907"/>
      <c r="BA39" s="4907"/>
      <c r="BB39" s="4907"/>
      <c r="BC39" s="4907"/>
      <c r="BD39" s="4907"/>
      <c r="BE39" s="4907"/>
      <c r="BF39" s="4907"/>
      <c r="BG39" s="4907"/>
      <c r="BH39" s="4907"/>
      <c r="BI39" s="4907"/>
      <c r="BJ39" s="4913"/>
      <c r="BK39" s="4916"/>
      <c r="BL39" s="4916"/>
      <c r="BM39" s="4919"/>
      <c r="BN39" s="4921">
        <v>4</v>
      </c>
      <c r="BO39" s="4921" t="s">
        <v>3519</v>
      </c>
      <c r="BP39" s="4907"/>
      <c r="BQ39" s="4910"/>
      <c r="BR39" s="4910"/>
      <c r="BS39" s="4910"/>
      <c r="BT39" s="4910"/>
      <c r="BU39" s="4318"/>
    </row>
    <row r="40" spans="1:73" ht="66.75" customHeight="1" x14ac:dyDescent="0.25">
      <c r="A40" s="2401"/>
      <c r="B40" s="960"/>
      <c r="C40" s="2234"/>
      <c r="D40" s="960"/>
      <c r="E40" s="2402"/>
      <c r="F40" s="2402"/>
      <c r="G40" s="4901"/>
      <c r="H40" s="4903"/>
      <c r="I40" s="4901"/>
      <c r="J40" s="4903"/>
      <c r="K40" s="4318"/>
      <c r="L40" s="2530"/>
      <c r="M40" s="4318"/>
      <c r="N40" s="2530"/>
      <c r="O40" s="4318"/>
      <c r="P40" s="4318"/>
      <c r="Q40" s="4318"/>
      <c r="R40" s="2530"/>
      <c r="S40" s="4899"/>
      <c r="T40" s="4923"/>
      <c r="U40" s="2530"/>
      <c r="V40" s="4310"/>
      <c r="W40" s="2205" t="s">
        <v>3517</v>
      </c>
      <c r="X40" s="1276">
        <v>589003635.93000007</v>
      </c>
      <c r="Y40" s="270">
        <v>577405561.60000002</v>
      </c>
      <c r="Z40" s="270">
        <v>577405561.60000002</v>
      </c>
      <c r="AA40" s="2204" t="s">
        <v>3518</v>
      </c>
      <c r="AB40" s="2445"/>
      <c r="AC40" s="2376"/>
      <c r="AD40" s="4907"/>
      <c r="AE40" s="4907"/>
      <c r="AF40" s="4907"/>
      <c r="AG40" s="4907"/>
      <c r="AH40" s="4907"/>
      <c r="AI40" s="4907"/>
      <c r="AJ40" s="4907"/>
      <c r="AK40" s="4907"/>
      <c r="AL40" s="4907"/>
      <c r="AM40" s="4907"/>
      <c r="AN40" s="4907"/>
      <c r="AO40" s="4907"/>
      <c r="AP40" s="4907"/>
      <c r="AQ40" s="4907"/>
      <c r="AR40" s="4907"/>
      <c r="AS40" s="4907"/>
      <c r="AT40" s="4907"/>
      <c r="AU40" s="4907"/>
      <c r="AV40" s="4907"/>
      <c r="AW40" s="4907"/>
      <c r="AX40" s="4907"/>
      <c r="AY40" s="4907"/>
      <c r="AZ40" s="4907"/>
      <c r="BA40" s="4907"/>
      <c r="BB40" s="4907"/>
      <c r="BC40" s="4907"/>
      <c r="BD40" s="4907"/>
      <c r="BE40" s="4907"/>
      <c r="BF40" s="4907"/>
      <c r="BG40" s="4907"/>
      <c r="BH40" s="4907"/>
      <c r="BI40" s="4907"/>
      <c r="BJ40" s="4913"/>
      <c r="BK40" s="4916"/>
      <c r="BL40" s="4916"/>
      <c r="BM40" s="4919"/>
      <c r="BN40" s="4921"/>
      <c r="BO40" s="4921"/>
      <c r="BP40" s="4907"/>
      <c r="BQ40" s="4910"/>
      <c r="BR40" s="4910"/>
      <c r="BS40" s="4910"/>
      <c r="BT40" s="4910"/>
      <c r="BU40" s="4318"/>
    </row>
    <row r="41" spans="1:73" ht="50.25" customHeight="1" x14ac:dyDescent="0.25">
      <c r="A41" s="2401"/>
      <c r="B41" s="960"/>
      <c r="C41" s="2234"/>
      <c r="D41" s="960"/>
      <c r="E41" s="2402"/>
      <c r="F41" s="2402"/>
      <c r="G41" s="4901"/>
      <c r="H41" s="4903"/>
      <c r="I41" s="4901"/>
      <c r="J41" s="4903"/>
      <c r="K41" s="4318"/>
      <c r="L41" s="2530"/>
      <c r="M41" s="4318"/>
      <c r="N41" s="2530"/>
      <c r="O41" s="4318"/>
      <c r="P41" s="4318"/>
      <c r="Q41" s="4318"/>
      <c r="R41" s="2530"/>
      <c r="S41" s="4899"/>
      <c r="T41" s="4923"/>
      <c r="U41" s="2530"/>
      <c r="V41" s="4310"/>
      <c r="W41" s="2205" t="s">
        <v>3491</v>
      </c>
      <c r="X41" s="1276">
        <v>13598416.33</v>
      </c>
      <c r="Y41" s="1276">
        <v>13598416.33</v>
      </c>
      <c r="Z41" s="1276">
        <v>13598416.33</v>
      </c>
      <c r="AA41" s="2208" t="s">
        <v>3520</v>
      </c>
      <c r="AB41" s="2445">
        <v>3</v>
      </c>
      <c r="AC41" s="2376" t="s">
        <v>458</v>
      </c>
      <c r="AD41" s="4907"/>
      <c r="AE41" s="4907"/>
      <c r="AF41" s="4907"/>
      <c r="AG41" s="4907"/>
      <c r="AH41" s="4907"/>
      <c r="AI41" s="4907"/>
      <c r="AJ41" s="4907"/>
      <c r="AK41" s="4907"/>
      <c r="AL41" s="4907"/>
      <c r="AM41" s="4907"/>
      <c r="AN41" s="4907"/>
      <c r="AO41" s="4907"/>
      <c r="AP41" s="4907"/>
      <c r="AQ41" s="4907"/>
      <c r="AR41" s="4907"/>
      <c r="AS41" s="4907"/>
      <c r="AT41" s="4907"/>
      <c r="AU41" s="4907"/>
      <c r="AV41" s="4907"/>
      <c r="AW41" s="4907"/>
      <c r="AX41" s="4907"/>
      <c r="AY41" s="4907"/>
      <c r="AZ41" s="4907"/>
      <c r="BA41" s="4907"/>
      <c r="BB41" s="4907"/>
      <c r="BC41" s="4907"/>
      <c r="BD41" s="4907"/>
      <c r="BE41" s="4907"/>
      <c r="BF41" s="4907"/>
      <c r="BG41" s="4907"/>
      <c r="BH41" s="4907"/>
      <c r="BI41" s="4907"/>
      <c r="BJ41" s="4913"/>
      <c r="BK41" s="4916"/>
      <c r="BL41" s="4916"/>
      <c r="BM41" s="4919"/>
      <c r="BN41" s="4921"/>
      <c r="BO41" s="4921"/>
      <c r="BP41" s="4907"/>
      <c r="BQ41" s="4910"/>
      <c r="BR41" s="4910"/>
      <c r="BS41" s="4910"/>
      <c r="BT41" s="4910"/>
      <c r="BU41" s="4318"/>
    </row>
    <row r="42" spans="1:73" ht="50.25" customHeight="1" x14ac:dyDescent="0.25">
      <c r="A42" s="2401"/>
      <c r="B42" s="960"/>
      <c r="C42" s="2234"/>
      <c r="D42" s="960"/>
      <c r="E42" s="2402"/>
      <c r="F42" s="2402"/>
      <c r="G42" s="4901"/>
      <c r="H42" s="4903"/>
      <c r="I42" s="4901"/>
      <c r="J42" s="4903"/>
      <c r="K42" s="4318"/>
      <c r="L42" s="2530"/>
      <c r="M42" s="4318"/>
      <c r="N42" s="2530"/>
      <c r="O42" s="4318"/>
      <c r="P42" s="4318"/>
      <c r="Q42" s="4318"/>
      <c r="R42" s="2530"/>
      <c r="S42" s="4899"/>
      <c r="T42" s="4923"/>
      <c r="U42" s="2530"/>
      <c r="V42" s="4310"/>
      <c r="W42" s="2205" t="s">
        <v>3491</v>
      </c>
      <c r="X42" s="1276">
        <v>22301737.370000001</v>
      </c>
      <c r="Y42" s="1276">
        <v>22301737.370000001</v>
      </c>
      <c r="Z42" s="1276">
        <v>22301737.370000001</v>
      </c>
      <c r="AA42" s="2208" t="s">
        <v>3520</v>
      </c>
      <c r="AB42" s="2445">
        <v>4</v>
      </c>
      <c r="AC42" s="2445" t="s">
        <v>3489</v>
      </c>
      <c r="AD42" s="4907"/>
      <c r="AE42" s="4907"/>
      <c r="AF42" s="4907"/>
      <c r="AG42" s="4907"/>
      <c r="AH42" s="4907"/>
      <c r="AI42" s="4907"/>
      <c r="AJ42" s="4907"/>
      <c r="AK42" s="4907"/>
      <c r="AL42" s="4907"/>
      <c r="AM42" s="4907"/>
      <c r="AN42" s="4907"/>
      <c r="AO42" s="4907"/>
      <c r="AP42" s="4907"/>
      <c r="AQ42" s="4907"/>
      <c r="AR42" s="4907"/>
      <c r="AS42" s="4907"/>
      <c r="AT42" s="4907"/>
      <c r="AU42" s="4907"/>
      <c r="AV42" s="4907"/>
      <c r="AW42" s="4907"/>
      <c r="AX42" s="4907"/>
      <c r="AY42" s="4907"/>
      <c r="AZ42" s="4907"/>
      <c r="BA42" s="4907"/>
      <c r="BB42" s="4907"/>
      <c r="BC42" s="4907"/>
      <c r="BD42" s="4907"/>
      <c r="BE42" s="4907"/>
      <c r="BF42" s="4907"/>
      <c r="BG42" s="4907"/>
      <c r="BH42" s="4907"/>
      <c r="BI42" s="4907"/>
      <c r="BJ42" s="4913"/>
      <c r="BK42" s="4916"/>
      <c r="BL42" s="4916"/>
      <c r="BM42" s="4919"/>
      <c r="BN42" s="4921"/>
      <c r="BO42" s="4921"/>
      <c r="BP42" s="4907"/>
      <c r="BQ42" s="4910"/>
      <c r="BR42" s="4910"/>
      <c r="BS42" s="4910"/>
      <c r="BT42" s="4910"/>
      <c r="BU42" s="4318"/>
    </row>
    <row r="43" spans="1:73" ht="50.25" customHeight="1" x14ac:dyDescent="0.25">
      <c r="A43" s="2401"/>
      <c r="B43" s="960"/>
      <c r="C43" s="2234"/>
      <c r="D43" s="960"/>
      <c r="E43" s="2402"/>
      <c r="F43" s="2402"/>
      <c r="G43" s="4901"/>
      <c r="H43" s="4903"/>
      <c r="I43" s="4901"/>
      <c r="J43" s="4903"/>
      <c r="K43" s="4318"/>
      <c r="L43" s="2530"/>
      <c r="M43" s="4318"/>
      <c r="N43" s="2530"/>
      <c r="O43" s="4318"/>
      <c r="P43" s="4318"/>
      <c r="Q43" s="4318"/>
      <c r="R43" s="2530"/>
      <c r="S43" s="4899"/>
      <c r="T43" s="4923"/>
      <c r="U43" s="2530"/>
      <c r="V43" s="4310"/>
      <c r="W43" s="2205" t="s">
        <v>3491</v>
      </c>
      <c r="X43" s="1276">
        <v>85761780.129999995</v>
      </c>
      <c r="Y43" s="1276">
        <v>83070432.710000008</v>
      </c>
      <c r="Z43" s="1276">
        <v>83070432.710000008</v>
      </c>
      <c r="AA43" s="2208" t="s">
        <v>3521</v>
      </c>
      <c r="AB43" s="2445">
        <v>3</v>
      </c>
      <c r="AC43" s="2376" t="s">
        <v>458</v>
      </c>
      <c r="AD43" s="4907"/>
      <c r="AE43" s="4907"/>
      <c r="AF43" s="4907"/>
      <c r="AG43" s="4907"/>
      <c r="AH43" s="4907"/>
      <c r="AI43" s="4907"/>
      <c r="AJ43" s="4907"/>
      <c r="AK43" s="4907"/>
      <c r="AL43" s="4907"/>
      <c r="AM43" s="4907"/>
      <c r="AN43" s="4907"/>
      <c r="AO43" s="4907"/>
      <c r="AP43" s="4907"/>
      <c r="AQ43" s="4907"/>
      <c r="AR43" s="4907"/>
      <c r="AS43" s="4907"/>
      <c r="AT43" s="4907"/>
      <c r="AU43" s="4907"/>
      <c r="AV43" s="4907"/>
      <c r="AW43" s="4907"/>
      <c r="AX43" s="4907"/>
      <c r="AY43" s="4907"/>
      <c r="AZ43" s="4907"/>
      <c r="BA43" s="4907"/>
      <c r="BB43" s="4907"/>
      <c r="BC43" s="4907"/>
      <c r="BD43" s="4907"/>
      <c r="BE43" s="4907"/>
      <c r="BF43" s="4907"/>
      <c r="BG43" s="4907"/>
      <c r="BH43" s="4907"/>
      <c r="BI43" s="4907"/>
      <c r="BJ43" s="4913"/>
      <c r="BK43" s="4916"/>
      <c r="BL43" s="4916"/>
      <c r="BM43" s="4919"/>
      <c r="BN43" s="4921"/>
      <c r="BO43" s="4921"/>
      <c r="BP43" s="4907"/>
      <c r="BQ43" s="4910"/>
      <c r="BR43" s="4910"/>
      <c r="BS43" s="4910"/>
      <c r="BT43" s="4910"/>
      <c r="BU43" s="4318"/>
    </row>
    <row r="44" spans="1:73" ht="50.25" customHeight="1" x14ac:dyDescent="0.25">
      <c r="A44" s="2401"/>
      <c r="B44" s="960"/>
      <c r="C44" s="2234"/>
      <c r="D44" s="960"/>
      <c r="E44" s="2402"/>
      <c r="F44" s="2402"/>
      <c r="G44" s="4335"/>
      <c r="H44" s="4904"/>
      <c r="I44" s="4335"/>
      <c r="J44" s="4904"/>
      <c r="K44" s="4359"/>
      <c r="L44" s="4897"/>
      <c r="M44" s="4359"/>
      <c r="N44" s="4897"/>
      <c r="O44" s="4359"/>
      <c r="P44" s="4359"/>
      <c r="Q44" s="4318"/>
      <c r="R44" s="2530"/>
      <c r="S44" s="4905"/>
      <c r="T44" s="4923"/>
      <c r="U44" s="4897"/>
      <c r="V44" s="4310"/>
      <c r="W44" s="2205" t="s">
        <v>3491</v>
      </c>
      <c r="X44" s="1276">
        <v>97108814.680000007</v>
      </c>
      <c r="Y44" s="1276">
        <v>97108814.680000007</v>
      </c>
      <c r="Z44" s="1276">
        <v>97108814.680000007</v>
      </c>
      <c r="AA44" s="2208" t="s">
        <v>3521</v>
      </c>
      <c r="AB44" s="2376">
        <v>4</v>
      </c>
      <c r="AC44" s="2376" t="s">
        <v>3489</v>
      </c>
      <c r="AD44" s="4907"/>
      <c r="AE44" s="4907"/>
      <c r="AF44" s="4907"/>
      <c r="AG44" s="4907"/>
      <c r="AH44" s="4907"/>
      <c r="AI44" s="4907"/>
      <c r="AJ44" s="4907"/>
      <c r="AK44" s="4907"/>
      <c r="AL44" s="4907"/>
      <c r="AM44" s="4907"/>
      <c r="AN44" s="4907"/>
      <c r="AO44" s="4907"/>
      <c r="AP44" s="4907"/>
      <c r="AQ44" s="4907"/>
      <c r="AR44" s="4907"/>
      <c r="AS44" s="4907"/>
      <c r="AT44" s="4907"/>
      <c r="AU44" s="4907"/>
      <c r="AV44" s="4907"/>
      <c r="AW44" s="4907"/>
      <c r="AX44" s="4907"/>
      <c r="AY44" s="4907"/>
      <c r="AZ44" s="4907"/>
      <c r="BA44" s="4907"/>
      <c r="BB44" s="4907"/>
      <c r="BC44" s="4907"/>
      <c r="BD44" s="4907"/>
      <c r="BE44" s="4907"/>
      <c r="BF44" s="4907"/>
      <c r="BG44" s="4907"/>
      <c r="BH44" s="4907"/>
      <c r="BI44" s="4907"/>
      <c r="BJ44" s="4913"/>
      <c r="BK44" s="4916"/>
      <c r="BL44" s="4916"/>
      <c r="BM44" s="4919"/>
      <c r="BN44" s="4921"/>
      <c r="BO44" s="4921"/>
      <c r="BP44" s="4907"/>
      <c r="BQ44" s="4910"/>
      <c r="BR44" s="4910"/>
      <c r="BS44" s="4910"/>
      <c r="BT44" s="4910"/>
      <c r="BU44" s="4318"/>
    </row>
    <row r="45" spans="1:73" ht="50.25" customHeight="1" x14ac:dyDescent="0.25">
      <c r="A45" s="2401" t="s">
        <v>153</v>
      </c>
      <c r="B45" s="960" t="s">
        <v>153</v>
      </c>
      <c r="C45" s="2234"/>
      <c r="D45" s="960"/>
      <c r="E45" s="2402" t="s">
        <v>153</v>
      </c>
      <c r="F45" s="2402" t="s">
        <v>153</v>
      </c>
      <c r="G45" s="4332">
        <v>4001014</v>
      </c>
      <c r="H45" s="4902" t="s">
        <v>3522</v>
      </c>
      <c r="I45" s="4332">
        <v>4001014</v>
      </c>
      <c r="J45" s="4902" t="s">
        <v>3522</v>
      </c>
      <c r="K45" s="4376">
        <v>400101400</v>
      </c>
      <c r="L45" s="4896" t="s">
        <v>3522</v>
      </c>
      <c r="M45" s="4376">
        <v>400101400</v>
      </c>
      <c r="N45" s="4896" t="s">
        <v>3522</v>
      </c>
      <c r="O45" s="4376">
        <v>35</v>
      </c>
      <c r="P45" s="4376">
        <v>0</v>
      </c>
      <c r="Q45" s="4318"/>
      <c r="R45" s="2530"/>
      <c r="S45" s="4898">
        <f>SUM(X45:X48)/T27</f>
        <v>0</v>
      </c>
      <c r="T45" s="4923"/>
      <c r="U45" s="4896" t="s">
        <v>3499</v>
      </c>
      <c r="V45" s="4310"/>
      <c r="W45" s="2205" t="s">
        <v>3522</v>
      </c>
      <c r="X45" s="1276">
        <v>0</v>
      </c>
      <c r="Y45" s="1276">
        <v>0</v>
      </c>
      <c r="Z45" s="1276">
        <v>0</v>
      </c>
      <c r="AA45" s="2208" t="s">
        <v>3523</v>
      </c>
      <c r="AB45" s="2376">
        <v>3</v>
      </c>
      <c r="AC45" s="2376" t="s">
        <v>458</v>
      </c>
      <c r="AD45" s="4907"/>
      <c r="AE45" s="4907"/>
      <c r="AF45" s="4907"/>
      <c r="AG45" s="4907"/>
      <c r="AH45" s="4907"/>
      <c r="AI45" s="4907"/>
      <c r="AJ45" s="4907"/>
      <c r="AK45" s="4907"/>
      <c r="AL45" s="4907"/>
      <c r="AM45" s="4907"/>
      <c r="AN45" s="4907"/>
      <c r="AO45" s="4907"/>
      <c r="AP45" s="4907"/>
      <c r="AQ45" s="4907"/>
      <c r="AR45" s="4907"/>
      <c r="AS45" s="4907"/>
      <c r="AT45" s="4907"/>
      <c r="AU45" s="4907"/>
      <c r="AV45" s="4907"/>
      <c r="AW45" s="4907"/>
      <c r="AX45" s="4907"/>
      <c r="AY45" s="4907"/>
      <c r="AZ45" s="4907"/>
      <c r="BA45" s="4907"/>
      <c r="BB45" s="4907"/>
      <c r="BC45" s="4907"/>
      <c r="BD45" s="4907"/>
      <c r="BE45" s="4907"/>
      <c r="BF45" s="4907"/>
      <c r="BG45" s="4907"/>
      <c r="BH45" s="4907"/>
      <c r="BI45" s="4907"/>
      <c r="BJ45" s="4913"/>
      <c r="BK45" s="4916"/>
      <c r="BL45" s="4916"/>
      <c r="BM45" s="4919"/>
      <c r="BN45" s="4921"/>
      <c r="BO45" s="4921"/>
      <c r="BP45" s="4907"/>
      <c r="BQ45" s="4910"/>
      <c r="BR45" s="4910"/>
      <c r="BS45" s="4910"/>
      <c r="BT45" s="4910"/>
      <c r="BU45" s="4318"/>
    </row>
    <row r="46" spans="1:73" ht="50.25" customHeight="1" x14ac:dyDescent="0.25">
      <c r="A46" s="2401"/>
      <c r="B46" s="960"/>
      <c r="C46" s="2234"/>
      <c r="D46" s="960"/>
      <c r="E46" s="2402"/>
      <c r="F46" s="2402"/>
      <c r="G46" s="4901"/>
      <c r="H46" s="4903"/>
      <c r="I46" s="4901"/>
      <c r="J46" s="4903"/>
      <c r="K46" s="4318"/>
      <c r="L46" s="2530"/>
      <c r="M46" s="4318"/>
      <c r="N46" s="2530"/>
      <c r="O46" s="4318"/>
      <c r="P46" s="4318"/>
      <c r="Q46" s="4318"/>
      <c r="R46" s="2530"/>
      <c r="S46" s="4899"/>
      <c r="T46" s="4923"/>
      <c r="U46" s="2530"/>
      <c r="V46" s="4310"/>
      <c r="W46" s="2205" t="s">
        <v>3491</v>
      </c>
      <c r="X46" s="1276">
        <v>0</v>
      </c>
      <c r="Y46" s="1276">
        <v>0</v>
      </c>
      <c r="Z46" s="1276">
        <v>0</v>
      </c>
      <c r="AA46" s="2208" t="s">
        <v>3524</v>
      </c>
      <c r="AB46" s="2376">
        <v>3</v>
      </c>
      <c r="AC46" s="2376" t="s">
        <v>458</v>
      </c>
      <c r="AD46" s="4907"/>
      <c r="AE46" s="4907"/>
      <c r="AF46" s="4907"/>
      <c r="AG46" s="4907"/>
      <c r="AH46" s="4907"/>
      <c r="AI46" s="4907"/>
      <c r="AJ46" s="4907"/>
      <c r="AK46" s="4907"/>
      <c r="AL46" s="4907"/>
      <c r="AM46" s="4907"/>
      <c r="AN46" s="4907"/>
      <c r="AO46" s="4907"/>
      <c r="AP46" s="4907"/>
      <c r="AQ46" s="4907"/>
      <c r="AR46" s="4907"/>
      <c r="AS46" s="4907"/>
      <c r="AT46" s="4907"/>
      <c r="AU46" s="4907"/>
      <c r="AV46" s="4907"/>
      <c r="AW46" s="4907"/>
      <c r="AX46" s="4907"/>
      <c r="AY46" s="4907"/>
      <c r="AZ46" s="4907"/>
      <c r="BA46" s="4907"/>
      <c r="BB46" s="4907"/>
      <c r="BC46" s="4907"/>
      <c r="BD46" s="4907"/>
      <c r="BE46" s="4907"/>
      <c r="BF46" s="4907"/>
      <c r="BG46" s="4907"/>
      <c r="BH46" s="4907"/>
      <c r="BI46" s="4907"/>
      <c r="BJ46" s="4913"/>
      <c r="BK46" s="4916"/>
      <c r="BL46" s="4916"/>
      <c r="BM46" s="4919"/>
      <c r="BN46" s="4921"/>
      <c r="BO46" s="4921"/>
      <c r="BP46" s="4907"/>
      <c r="BQ46" s="4910"/>
      <c r="BR46" s="4910"/>
      <c r="BS46" s="4910"/>
      <c r="BT46" s="4910"/>
      <c r="BU46" s="4318"/>
    </row>
    <row r="47" spans="1:73" ht="50.25" customHeight="1" x14ac:dyDescent="0.25">
      <c r="A47" s="2401"/>
      <c r="B47" s="960"/>
      <c r="C47" s="2234"/>
      <c r="D47" s="960"/>
      <c r="E47" s="2402"/>
      <c r="F47" s="2402"/>
      <c r="G47" s="4901"/>
      <c r="H47" s="4903"/>
      <c r="I47" s="4901"/>
      <c r="J47" s="4903"/>
      <c r="K47" s="4318"/>
      <c r="L47" s="2530"/>
      <c r="M47" s="4318"/>
      <c r="N47" s="2530"/>
      <c r="O47" s="4318"/>
      <c r="P47" s="4318"/>
      <c r="Q47" s="4318"/>
      <c r="R47" s="2530"/>
      <c r="S47" s="4899"/>
      <c r="T47" s="4923"/>
      <c r="U47" s="2530"/>
      <c r="V47" s="4310"/>
      <c r="W47" s="2205" t="s">
        <v>3522</v>
      </c>
      <c r="X47" s="1276">
        <v>0</v>
      </c>
      <c r="Y47" s="1276">
        <v>0</v>
      </c>
      <c r="Z47" s="1276">
        <v>0</v>
      </c>
      <c r="AA47" s="2208" t="s">
        <v>3523</v>
      </c>
      <c r="AB47" s="2376">
        <v>4</v>
      </c>
      <c r="AC47" s="2376" t="s">
        <v>3489</v>
      </c>
      <c r="AD47" s="4907"/>
      <c r="AE47" s="4907"/>
      <c r="AF47" s="4907"/>
      <c r="AG47" s="4907"/>
      <c r="AH47" s="4907"/>
      <c r="AI47" s="4907"/>
      <c r="AJ47" s="4907"/>
      <c r="AK47" s="4907"/>
      <c r="AL47" s="4907"/>
      <c r="AM47" s="4907"/>
      <c r="AN47" s="4907"/>
      <c r="AO47" s="4907"/>
      <c r="AP47" s="4907"/>
      <c r="AQ47" s="4907"/>
      <c r="AR47" s="4907"/>
      <c r="AS47" s="4907"/>
      <c r="AT47" s="4907"/>
      <c r="AU47" s="4907"/>
      <c r="AV47" s="4907"/>
      <c r="AW47" s="4907"/>
      <c r="AX47" s="4907"/>
      <c r="AY47" s="4907"/>
      <c r="AZ47" s="4907"/>
      <c r="BA47" s="4907"/>
      <c r="BB47" s="4907"/>
      <c r="BC47" s="4907"/>
      <c r="BD47" s="4907"/>
      <c r="BE47" s="4907"/>
      <c r="BF47" s="4907"/>
      <c r="BG47" s="4907"/>
      <c r="BH47" s="4907"/>
      <c r="BI47" s="4907"/>
      <c r="BJ47" s="4913"/>
      <c r="BK47" s="4916"/>
      <c r="BL47" s="4916"/>
      <c r="BM47" s="4919"/>
      <c r="BN47" s="4921"/>
      <c r="BO47" s="4921"/>
      <c r="BP47" s="4907"/>
      <c r="BQ47" s="4910"/>
      <c r="BR47" s="4910"/>
      <c r="BS47" s="4910"/>
      <c r="BT47" s="4910"/>
      <c r="BU47" s="4318"/>
    </row>
    <row r="48" spans="1:73" ht="50.25" customHeight="1" x14ac:dyDescent="0.25">
      <c r="A48" s="2401"/>
      <c r="B48" s="960"/>
      <c r="C48" s="2234"/>
      <c r="D48" s="960"/>
      <c r="E48" s="2402"/>
      <c r="F48" s="2402"/>
      <c r="G48" s="4335"/>
      <c r="H48" s="4904"/>
      <c r="I48" s="4335"/>
      <c r="J48" s="4904"/>
      <c r="K48" s="4359"/>
      <c r="L48" s="4897"/>
      <c r="M48" s="4359"/>
      <c r="N48" s="4897"/>
      <c r="O48" s="4359"/>
      <c r="P48" s="4359"/>
      <c r="Q48" s="4318"/>
      <c r="R48" s="2530"/>
      <c r="S48" s="4905"/>
      <c r="T48" s="4923"/>
      <c r="U48" s="4897"/>
      <c r="V48" s="4310"/>
      <c r="W48" s="2205" t="s">
        <v>3491</v>
      </c>
      <c r="X48" s="1276">
        <v>0</v>
      </c>
      <c r="Y48" s="1276">
        <v>0</v>
      </c>
      <c r="Z48" s="1276">
        <v>0</v>
      </c>
      <c r="AA48" s="2208" t="s">
        <v>3524</v>
      </c>
      <c r="AB48" s="2376">
        <v>4</v>
      </c>
      <c r="AC48" s="2376" t="s">
        <v>3489</v>
      </c>
      <c r="AD48" s="4907"/>
      <c r="AE48" s="4907"/>
      <c r="AF48" s="4907"/>
      <c r="AG48" s="4907"/>
      <c r="AH48" s="4907"/>
      <c r="AI48" s="4907"/>
      <c r="AJ48" s="4907"/>
      <c r="AK48" s="4907"/>
      <c r="AL48" s="4907"/>
      <c r="AM48" s="4907"/>
      <c r="AN48" s="4907"/>
      <c r="AO48" s="4907"/>
      <c r="AP48" s="4907"/>
      <c r="AQ48" s="4907"/>
      <c r="AR48" s="4907"/>
      <c r="AS48" s="4907"/>
      <c r="AT48" s="4907"/>
      <c r="AU48" s="4907"/>
      <c r="AV48" s="4907"/>
      <c r="AW48" s="4907"/>
      <c r="AX48" s="4907"/>
      <c r="AY48" s="4907"/>
      <c r="AZ48" s="4907"/>
      <c r="BA48" s="4907"/>
      <c r="BB48" s="4907"/>
      <c r="BC48" s="4907"/>
      <c r="BD48" s="4907"/>
      <c r="BE48" s="4907"/>
      <c r="BF48" s="4907"/>
      <c r="BG48" s="4907"/>
      <c r="BH48" s="4907"/>
      <c r="BI48" s="4907"/>
      <c r="BJ48" s="4913"/>
      <c r="BK48" s="4916"/>
      <c r="BL48" s="4916"/>
      <c r="BM48" s="4919"/>
      <c r="BN48" s="4921"/>
      <c r="BO48" s="4921"/>
      <c r="BP48" s="4907"/>
      <c r="BQ48" s="4910"/>
      <c r="BR48" s="4910"/>
      <c r="BS48" s="4910"/>
      <c r="BT48" s="4910"/>
      <c r="BU48" s="4318"/>
    </row>
    <row r="49" spans="1:73" ht="50.25" customHeight="1" x14ac:dyDescent="0.25">
      <c r="A49" s="2401" t="s">
        <v>153</v>
      </c>
      <c r="B49" s="960" t="s">
        <v>153</v>
      </c>
      <c r="C49" s="2234"/>
      <c r="D49" s="960"/>
      <c r="E49" s="2402" t="s">
        <v>153</v>
      </c>
      <c r="F49" s="2402" t="s">
        <v>153</v>
      </c>
      <c r="G49" s="4332">
        <v>4001015</v>
      </c>
      <c r="H49" s="4902" t="s">
        <v>641</v>
      </c>
      <c r="I49" s="4332">
        <v>4001015</v>
      </c>
      <c r="J49" s="4902" t="s">
        <v>641</v>
      </c>
      <c r="K49" s="4376">
        <v>400101500</v>
      </c>
      <c r="L49" s="4896" t="s">
        <v>641</v>
      </c>
      <c r="M49" s="4376">
        <v>400101500</v>
      </c>
      <c r="N49" s="4896" t="s">
        <v>641</v>
      </c>
      <c r="O49" s="4376">
        <v>50</v>
      </c>
      <c r="P49" s="4376">
        <v>14</v>
      </c>
      <c r="Q49" s="4318"/>
      <c r="R49" s="2530"/>
      <c r="S49" s="4898">
        <f>SUM(X49:X52)/T27</f>
        <v>0.13266625703431736</v>
      </c>
      <c r="T49" s="4923"/>
      <c r="U49" s="4896" t="s">
        <v>3499</v>
      </c>
      <c r="V49" s="4310"/>
      <c r="W49" s="2205" t="s">
        <v>641</v>
      </c>
      <c r="X49" s="1276">
        <v>168342424.03999999</v>
      </c>
      <c r="Y49" s="1276">
        <v>47836408.049999997</v>
      </c>
      <c r="Z49" s="1276">
        <v>47836408.049999997</v>
      </c>
      <c r="AA49" s="2208" t="s">
        <v>3525</v>
      </c>
      <c r="AB49" s="2376">
        <v>3</v>
      </c>
      <c r="AC49" s="2376" t="s">
        <v>458</v>
      </c>
      <c r="AD49" s="4907"/>
      <c r="AE49" s="4907"/>
      <c r="AF49" s="4907"/>
      <c r="AG49" s="4907"/>
      <c r="AH49" s="4907"/>
      <c r="AI49" s="4907"/>
      <c r="AJ49" s="4907"/>
      <c r="AK49" s="4907"/>
      <c r="AL49" s="4907"/>
      <c r="AM49" s="4907"/>
      <c r="AN49" s="4907"/>
      <c r="AO49" s="4907"/>
      <c r="AP49" s="4907"/>
      <c r="AQ49" s="4907"/>
      <c r="AR49" s="4907"/>
      <c r="AS49" s="4907"/>
      <c r="AT49" s="4907"/>
      <c r="AU49" s="4907"/>
      <c r="AV49" s="4907"/>
      <c r="AW49" s="4907"/>
      <c r="AX49" s="4907"/>
      <c r="AY49" s="4907"/>
      <c r="AZ49" s="4907"/>
      <c r="BA49" s="4907"/>
      <c r="BB49" s="4907"/>
      <c r="BC49" s="4907"/>
      <c r="BD49" s="4907"/>
      <c r="BE49" s="4907"/>
      <c r="BF49" s="4907"/>
      <c r="BG49" s="4907"/>
      <c r="BH49" s="4907"/>
      <c r="BI49" s="4907"/>
      <c r="BJ49" s="4913"/>
      <c r="BK49" s="4916"/>
      <c r="BL49" s="4916"/>
      <c r="BM49" s="4919"/>
      <c r="BN49" s="4921"/>
      <c r="BO49" s="4921"/>
      <c r="BP49" s="4907"/>
      <c r="BQ49" s="4910"/>
      <c r="BR49" s="4910"/>
      <c r="BS49" s="4910"/>
      <c r="BT49" s="4910"/>
      <c r="BU49" s="4318"/>
    </row>
    <row r="50" spans="1:73" ht="50.25" customHeight="1" x14ac:dyDescent="0.25">
      <c r="A50" s="2401"/>
      <c r="B50" s="960"/>
      <c r="C50" s="2234"/>
      <c r="D50" s="960"/>
      <c r="E50" s="2402"/>
      <c r="F50" s="2402"/>
      <c r="G50" s="4901"/>
      <c r="H50" s="4903"/>
      <c r="I50" s="4901"/>
      <c r="J50" s="4903"/>
      <c r="K50" s="4318"/>
      <c r="L50" s="2530"/>
      <c r="M50" s="4318"/>
      <c r="N50" s="2530"/>
      <c r="O50" s="4318"/>
      <c r="P50" s="4318"/>
      <c r="Q50" s="4318"/>
      <c r="R50" s="2530"/>
      <c r="S50" s="4899"/>
      <c r="T50" s="4923"/>
      <c r="U50" s="2530"/>
      <c r="V50" s="4310"/>
      <c r="W50" s="2205" t="s">
        <v>3491</v>
      </c>
      <c r="X50" s="1276">
        <v>0</v>
      </c>
      <c r="Y50" s="1276">
        <v>0</v>
      </c>
      <c r="Z50" s="1276">
        <v>0</v>
      </c>
      <c r="AA50" s="2208" t="s">
        <v>3526</v>
      </c>
      <c r="AB50" s="2376">
        <v>3</v>
      </c>
      <c r="AC50" s="2376" t="s">
        <v>458</v>
      </c>
      <c r="AD50" s="4907"/>
      <c r="AE50" s="4907"/>
      <c r="AF50" s="4907"/>
      <c r="AG50" s="4907"/>
      <c r="AH50" s="4907"/>
      <c r="AI50" s="4907"/>
      <c r="AJ50" s="4907"/>
      <c r="AK50" s="4907"/>
      <c r="AL50" s="4907"/>
      <c r="AM50" s="4907"/>
      <c r="AN50" s="4907"/>
      <c r="AO50" s="4907"/>
      <c r="AP50" s="4907"/>
      <c r="AQ50" s="4907"/>
      <c r="AR50" s="4907"/>
      <c r="AS50" s="4907"/>
      <c r="AT50" s="4907"/>
      <c r="AU50" s="4907"/>
      <c r="AV50" s="4907"/>
      <c r="AW50" s="4907"/>
      <c r="AX50" s="4907"/>
      <c r="AY50" s="4907"/>
      <c r="AZ50" s="4907"/>
      <c r="BA50" s="4907"/>
      <c r="BB50" s="4907"/>
      <c r="BC50" s="4907"/>
      <c r="BD50" s="4907"/>
      <c r="BE50" s="4907"/>
      <c r="BF50" s="4907"/>
      <c r="BG50" s="4907"/>
      <c r="BH50" s="4907"/>
      <c r="BI50" s="4907"/>
      <c r="BJ50" s="4913"/>
      <c r="BK50" s="4916"/>
      <c r="BL50" s="4916"/>
      <c r="BM50" s="4919"/>
      <c r="BN50" s="4921"/>
      <c r="BO50" s="4921"/>
      <c r="BP50" s="4907"/>
      <c r="BQ50" s="4910"/>
      <c r="BR50" s="4910"/>
      <c r="BS50" s="4910"/>
      <c r="BT50" s="4910"/>
      <c r="BU50" s="4318"/>
    </row>
    <row r="51" spans="1:73" ht="50.25" customHeight="1" x14ac:dyDescent="0.25">
      <c r="A51" s="2401"/>
      <c r="B51" s="960"/>
      <c r="C51" s="2234"/>
      <c r="D51" s="960"/>
      <c r="E51" s="2402"/>
      <c r="F51" s="2402"/>
      <c r="G51" s="4901"/>
      <c r="H51" s="4903"/>
      <c r="I51" s="4901"/>
      <c r="J51" s="4903"/>
      <c r="K51" s="4318"/>
      <c r="L51" s="2530"/>
      <c r="M51" s="4318"/>
      <c r="N51" s="2530"/>
      <c r="O51" s="4318"/>
      <c r="P51" s="4318"/>
      <c r="Q51" s="4318"/>
      <c r="R51" s="2530"/>
      <c r="S51" s="4899"/>
      <c r="T51" s="4923"/>
      <c r="U51" s="2530"/>
      <c r="V51" s="4310"/>
      <c r="W51" s="2205" t="s">
        <v>641</v>
      </c>
      <c r="X51" s="1276">
        <v>0</v>
      </c>
      <c r="Y51" s="1276">
        <v>0</v>
      </c>
      <c r="Z51" s="1276">
        <v>0</v>
      </c>
      <c r="AA51" s="2208" t="s">
        <v>3525</v>
      </c>
      <c r="AB51" s="2376">
        <v>4</v>
      </c>
      <c r="AC51" s="2376" t="s">
        <v>3489</v>
      </c>
      <c r="AD51" s="4907"/>
      <c r="AE51" s="4907"/>
      <c r="AF51" s="4907"/>
      <c r="AG51" s="4907"/>
      <c r="AH51" s="4907"/>
      <c r="AI51" s="4907"/>
      <c r="AJ51" s="4907"/>
      <c r="AK51" s="4907"/>
      <c r="AL51" s="4907"/>
      <c r="AM51" s="4907"/>
      <c r="AN51" s="4907"/>
      <c r="AO51" s="4907"/>
      <c r="AP51" s="4907"/>
      <c r="AQ51" s="4907"/>
      <c r="AR51" s="4907"/>
      <c r="AS51" s="4907"/>
      <c r="AT51" s="4907"/>
      <c r="AU51" s="4907"/>
      <c r="AV51" s="4907"/>
      <c r="AW51" s="4907"/>
      <c r="AX51" s="4907"/>
      <c r="AY51" s="4907"/>
      <c r="AZ51" s="4907"/>
      <c r="BA51" s="4907"/>
      <c r="BB51" s="4907"/>
      <c r="BC51" s="4907"/>
      <c r="BD51" s="4907"/>
      <c r="BE51" s="4907"/>
      <c r="BF51" s="4907"/>
      <c r="BG51" s="4907"/>
      <c r="BH51" s="4907"/>
      <c r="BI51" s="4907"/>
      <c r="BJ51" s="4913"/>
      <c r="BK51" s="4916"/>
      <c r="BL51" s="4916"/>
      <c r="BM51" s="4919"/>
      <c r="BN51" s="4921"/>
      <c r="BO51" s="4921"/>
      <c r="BP51" s="4907"/>
      <c r="BQ51" s="4910"/>
      <c r="BR51" s="4910"/>
      <c r="BS51" s="4910"/>
      <c r="BT51" s="4910"/>
      <c r="BU51" s="4318"/>
    </row>
    <row r="52" spans="1:73" ht="50.25" customHeight="1" x14ac:dyDescent="0.25">
      <c r="A52" s="2405"/>
      <c r="B52" s="2376"/>
      <c r="C52" s="2433"/>
      <c r="D52" s="2376"/>
      <c r="E52" s="2233"/>
      <c r="F52" s="2233"/>
      <c r="G52" s="4335"/>
      <c r="H52" s="4904"/>
      <c r="I52" s="4335"/>
      <c r="J52" s="4904"/>
      <c r="K52" s="4359"/>
      <c r="L52" s="4897"/>
      <c r="M52" s="4359"/>
      <c r="N52" s="4897"/>
      <c r="O52" s="4359"/>
      <c r="P52" s="4359"/>
      <c r="Q52" s="4359"/>
      <c r="R52" s="4897"/>
      <c r="S52" s="4900"/>
      <c r="T52" s="4923"/>
      <c r="U52" s="4897"/>
      <c r="V52" s="4310"/>
      <c r="W52" s="2205" t="s">
        <v>3491</v>
      </c>
      <c r="X52" s="1276">
        <v>0</v>
      </c>
      <c r="Y52" s="1276">
        <v>0</v>
      </c>
      <c r="Z52" s="1276">
        <v>0</v>
      </c>
      <c r="AA52" s="2208" t="s">
        <v>3526</v>
      </c>
      <c r="AB52" s="2376">
        <v>4</v>
      </c>
      <c r="AC52" s="2376" t="s">
        <v>3489</v>
      </c>
      <c r="AD52" s="4908"/>
      <c r="AE52" s="4908"/>
      <c r="AF52" s="4908"/>
      <c r="AG52" s="4908"/>
      <c r="AH52" s="4908"/>
      <c r="AI52" s="4908"/>
      <c r="AJ52" s="4908"/>
      <c r="AK52" s="4908"/>
      <c r="AL52" s="4908"/>
      <c r="AM52" s="4908"/>
      <c r="AN52" s="4908"/>
      <c r="AO52" s="4908"/>
      <c r="AP52" s="4908"/>
      <c r="AQ52" s="4908"/>
      <c r="AR52" s="4908"/>
      <c r="AS52" s="4908"/>
      <c r="AT52" s="4908"/>
      <c r="AU52" s="4908"/>
      <c r="AV52" s="4908"/>
      <c r="AW52" s="4908"/>
      <c r="AX52" s="4908"/>
      <c r="AY52" s="4908"/>
      <c r="AZ52" s="4908"/>
      <c r="BA52" s="4908"/>
      <c r="BB52" s="4908"/>
      <c r="BC52" s="4908"/>
      <c r="BD52" s="4908"/>
      <c r="BE52" s="4908"/>
      <c r="BF52" s="4908"/>
      <c r="BG52" s="4908"/>
      <c r="BH52" s="4908"/>
      <c r="BI52" s="4908"/>
      <c r="BJ52" s="4914"/>
      <c r="BK52" s="4917"/>
      <c r="BL52" s="4916"/>
      <c r="BM52" s="4920"/>
      <c r="BN52" s="4921"/>
      <c r="BO52" s="4921"/>
      <c r="BP52" s="4908"/>
      <c r="BQ52" s="4911"/>
      <c r="BR52" s="4911"/>
      <c r="BS52" s="4911"/>
      <c r="BT52" s="4911"/>
      <c r="BU52" s="4359"/>
    </row>
    <row r="53" spans="1:73" ht="29.25" customHeight="1" x14ac:dyDescent="0.25">
      <c r="A53" s="2446" t="s">
        <v>153</v>
      </c>
      <c r="B53" s="2446" t="s">
        <v>153</v>
      </c>
      <c r="C53" s="2446"/>
      <c r="D53" s="2446"/>
      <c r="E53" s="2446" t="s">
        <v>153</v>
      </c>
      <c r="F53" s="2446" t="s">
        <v>153</v>
      </c>
      <c r="G53" s="2446" t="s">
        <v>153</v>
      </c>
      <c r="H53" s="2446" t="s">
        <v>153</v>
      </c>
      <c r="I53" s="2446"/>
      <c r="J53" s="2446"/>
      <c r="K53" s="2446" t="s">
        <v>153</v>
      </c>
      <c r="L53" s="2446" t="s">
        <v>153</v>
      </c>
      <c r="M53" s="2446"/>
      <c r="N53" s="2446"/>
      <c r="O53" s="2446" t="s">
        <v>153</v>
      </c>
      <c r="P53" s="2446"/>
      <c r="Q53" s="2446" t="s">
        <v>153</v>
      </c>
      <c r="R53" s="2446" t="s">
        <v>153</v>
      </c>
      <c r="S53" s="2446" t="s">
        <v>153</v>
      </c>
      <c r="T53" s="2447">
        <f>SUM(T13:T52)</f>
        <v>2637286334.9400001</v>
      </c>
      <c r="U53" s="2446" t="s">
        <v>153</v>
      </c>
      <c r="V53" s="2446" t="s">
        <v>153</v>
      </c>
      <c r="W53" s="2448" t="s">
        <v>153</v>
      </c>
      <c r="X53" s="2449">
        <f>SUM(X13:X52)</f>
        <v>2637286334.9400001</v>
      </c>
      <c r="Y53" s="2449">
        <f t="shared" ref="Y53:Z53" si="0">SUM(Y13:Y52)</f>
        <v>2383790557.2240133</v>
      </c>
      <c r="Z53" s="2449">
        <f t="shared" si="0"/>
        <v>2216880294.2925234</v>
      </c>
      <c r="AA53" s="2446" t="s">
        <v>153</v>
      </c>
      <c r="AB53" s="2446" t="s">
        <v>153</v>
      </c>
      <c r="AC53" s="2446" t="s">
        <v>153</v>
      </c>
      <c r="AD53" s="2450" t="s">
        <v>153</v>
      </c>
      <c r="AE53" s="2450"/>
      <c r="AF53" s="2450" t="s">
        <v>153</v>
      </c>
      <c r="AG53" s="2450"/>
      <c r="AH53" s="2450" t="s">
        <v>153</v>
      </c>
      <c r="AI53" s="2450"/>
      <c r="AJ53" s="2450" t="s">
        <v>153</v>
      </c>
      <c r="AK53" s="2450"/>
      <c r="AL53" s="2450" t="s">
        <v>153</v>
      </c>
      <c r="AM53" s="2450"/>
      <c r="AN53" s="2450" t="s">
        <v>153</v>
      </c>
      <c r="AO53" s="2450"/>
      <c r="AP53" s="2450" t="s">
        <v>153</v>
      </c>
      <c r="AQ53" s="2450"/>
      <c r="AR53" s="2450" t="s">
        <v>153</v>
      </c>
      <c r="AS53" s="2450"/>
      <c r="AT53" s="2450" t="s">
        <v>153</v>
      </c>
      <c r="AU53" s="2450"/>
      <c r="AV53" s="2450" t="s">
        <v>153</v>
      </c>
      <c r="AW53" s="2450"/>
      <c r="AX53" s="2450" t="s">
        <v>153</v>
      </c>
      <c r="AY53" s="2450"/>
      <c r="AZ53" s="2450" t="s">
        <v>153</v>
      </c>
      <c r="BA53" s="2450"/>
      <c r="BB53" s="2450" t="s">
        <v>153</v>
      </c>
      <c r="BC53" s="2450"/>
      <c r="BD53" s="2450" t="s">
        <v>153</v>
      </c>
      <c r="BE53" s="2450"/>
      <c r="BF53" s="2450" t="s">
        <v>153</v>
      </c>
      <c r="BG53" s="2450"/>
      <c r="BH53" s="2450" t="s">
        <v>153</v>
      </c>
      <c r="BI53" s="2450"/>
      <c r="BJ53" s="2450"/>
      <c r="BK53" s="2451">
        <f>SUM(BK10:BK52)</f>
        <v>2383790557.2240133</v>
      </c>
      <c r="BL53" s="2452">
        <f>SUM(BL10:BL52)</f>
        <v>2216880294.2925234</v>
      </c>
      <c r="BM53" s="2450"/>
      <c r="BN53" s="2450"/>
      <c r="BO53" s="2450"/>
      <c r="BP53" s="2450"/>
      <c r="BQ53" s="2453" t="s">
        <v>153</v>
      </c>
      <c r="BR53" s="2453"/>
      <c r="BS53" s="2453" t="s">
        <v>153</v>
      </c>
      <c r="BT53" s="2453"/>
      <c r="BU53" s="2454" t="s">
        <v>153</v>
      </c>
    </row>
    <row r="55" spans="1:73" x14ac:dyDescent="0.25">
      <c r="X55" s="2455"/>
    </row>
    <row r="56" spans="1:73" x14ac:dyDescent="0.25">
      <c r="Z56" s="2457"/>
    </row>
    <row r="57" spans="1:73" x14ac:dyDescent="0.25">
      <c r="X57" s="2458"/>
    </row>
  </sheetData>
  <mergeCells count="357">
    <mergeCell ref="A1:BS4"/>
    <mergeCell ref="A5:P6"/>
    <mergeCell ref="A7:B7"/>
    <mergeCell ref="C7:D7"/>
    <mergeCell ref="E7:F7"/>
    <mergeCell ref="G7:J7"/>
    <mergeCell ref="K7:N7"/>
    <mergeCell ref="O7:Z7"/>
    <mergeCell ref="AA7:AC7"/>
    <mergeCell ref="AD7:AG7"/>
    <mergeCell ref="BS7:BT8"/>
    <mergeCell ref="U8:U9"/>
    <mergeCell ref="I8:I9"/>
    <mergeCell ref="J8:J9"/>
    <mergeCell ref="K8:K9"/>
    <mergeCell ref="L8:L9"/>
    <mergeCell ref="M8:M9"/>
    <mergeCell ref="N8:N9"/>
    <mergeCell ref="BK8:BK9"/>
    <mergeCell ref="BL8:BL9"/>
    <mergeCell ref="BM8:BM9"/>
    <mergeCell ref="BN8:BO8"/>
    <mergeCell ref="BP8:BP9"/>
    <mergeCell ref="BU7:BU9"/>
    <mergeCell ref="A8:A9"/>
    <mergeCell ref="B8:B9"/>
    <mergeCell ref="C8:C9"/>
    <mergeCell ref="D8:D9"/>
    <mergeCell ref="E8:E9"/>
    <mergeCell ref="F8:F9"/>
    <mergeCell ref="G8:G9"/>
    <mergeCell ref="H8:H9"/>
    <mergeCell ref="AH7:AO7"/>
    <mergeCell ref="AP7:BA7"/>
    <mergeCell ref="BB7:BG7"/>
    <mergeCell ref="BH7:BI8"/>
    <mergeCell ref="BJ7:BP7"/>
    <mergeCell ref="BQ7:BR8"/>
    <mergeCell ref="AP8:AQ8"/>
    <mergeCell ref="AR8:AS8"/>
    <mergeCell ref="AT8:AU8"/>
    <mergeCell ref="AV8:AW8"/>
    <mergeCell ref="O8:P8"/>
    <mergeCell ref="Q8:Q9"/>
    <mergeCell ref="R8:R9"/>
    <mergeCell ref="S8:S9"/>
    <mergeCell ref="T8:T9"/>
    <mergeCell ref="B10:F10"/>
    <mergeCell ref="AX8:AY8"/>
    <mergeCell ref="AZ8:BA8"/>
    <mergeCell ref="BB8:BC8"/>
    <mergeCell ref="BD8:BE8"/>
    <mergeCell ref="BF8:BG8"/>
    <mergeCell ref="BJ8:BJ9"/>
    <mergeCell ref="AD8:AE8"/>
    <mergeCell ref="AF8:AG8"/>
    <mergeCell ref="AH8:AI8"/>
    <mergeCell ref="AJ8:AK8"/>
    <mergeCell ref="AL8:AM8"/>
    <mergeCell ref="AN8:AO8"/>
    <mergeCell ref="V8:V9"/>
    <mergeCell ref="W8:W9"/>
    <mergeCell ref="X8:Z8"/>
    <mergeCell ref="AA8:AA9"/>
    <mergeCell ref="AB8:AB9"/>
    <mergeCell ref="AC8:AC9"/>
    <mergeCell ref="O13:O14"/>
    <mergeCell ref="P13:P14"/>
    <mergeCell ref="Q13:Q14"/>
    <mergeCell ref="R13:R14"/>
    <mergeCell ref="S13:S14"/>
    <mergeCell ref="T13:T14"/>
    <mergeCell ref="D11:H11"/>
    <mergeCell ref="F12:T12"/>
    <mergeCell ref="G13:G14"/>
    <mergeCell ref="H13:H14"/>
    <mergeCell ref="I13:I14"/>
    <mergeCell ref="J13:J14"/>
    <mergeCell ref="K13:K14"/>
    <mergeCell ref="L13:L14"/>
    <mergeCell ref="M13:M14"/>
    <mergeCell ref="N13:N14"/>
    <mergeCell ref="AI13:AI14"/>
    <mergeCell ref="AJ13:AJ14"/>
    <mergeCell ref="AK13:AK14"/>
    <mergeCell ref="AL13:AL14"/>
    <mergeCell ref="AM13:AM14"/>
    <mergeCell ref="AN13:AN14"/>
    <mergeCell ref="U13:U14"/>
    <mergeCell ref="AD13:AD14"/>
    <mergeCell ref="AE13:AE14"/>
    <mergeCell ref="AF13:AF14"/>
    <mergeCell ref="AG13:AG14"/>
    <mergeCell ref="AH13:AH14"/>
    <mergeCell ref="AU13:AU14"/>
    <mergeCell ref="AV13:AV14"/>
    <mergeCell ref="AW13:AW14"/>
    <mergeCell ref="AX13:AX14"/>
    <mergeCell ref="AY13:AY14"/>
    <mergeCell ref="AZ13:AZ14"/>
    <mergeCell ref="AO13:AO14"/>
    <mergeCell ref="AP13:AP14"/>
    <mergeCell ref="AQ13:AQ14"/>
    <mergeCell ref="AR13:AR14"/>
    <mergeCell ref="AS13:AS14"/>
    <mergeCell ref="AT13:AT14"/>
    <mergeCell ref="BI13:BI14"/>
    <mergeCell ref="BJ13:BJ14"/>
    <mergeCell ref="BK13:BK14"/>
    <mergeCell ref="BL13:BL14"/>
    <mergeCell ref="BA13:BA14"/>
    <mergeCell ref="BB13:BB14"/>
    <mergeCell ref="BC13:BC14"/>
    <mergeCell ref="BD13:BD14"/>
    <mergeCell ref="BE13:BE14"/>
    <mergeCell ref="BF13:BF14"/>
    <mergeCell ref="O17:O18"/>
    <mergeCell ref="P17:P18"/>
    <mergeCell ref="Q17:Q18"/>
    <mergeCell ref="R17:R18"/>
    <mergeCell ref="S17:S18"/>
    <mergeCell ref="T17:T18"/>
    <mergeCell ref="BU13:BU14"/>
    <mergeCell ref="D15:H15"/>
    <mergeCell ref="G17:G18"/>
    <mergeCell ref="H17:H18"/>
    <mergeCell ref="I17:I18"/>
    <mergeCell ref="J17:J18"/>
    <mergeCell ref="K17:K18"/>
    <mergeCell ref="L17:L18"/>
    <mergeCell ref="M17:M18"/>
    <mergeCell ref="N17:N18"/>
    <mergeCell ref="BM13:BM14"/>
    <mergeCell ref="BP13:BP14"/>
    <mergeCell ref="BQ13:BQ14"/>
    <mergeCell ref="BR13:BR14"/>
    <mergeCell ref="BS13:BS14"/>
    <mergeCell ref="BT13:BT14"/>
    <mergeCell ref="BG13:BG14"/>
    <mergeCell ref="BH13:BH14"/>
    <mergeCell ref="AI17:AI18"/>
    <mergeCell ref="AJ17:AJ18"/>
    <mergeCell ref="AK17:AK18"/>
    <mergeCell ref="AL17:AL18"/>
    <mergeCell ref="AM17:AM18"/>
    <mergeCell ref="AN17:AN18"/>
    <mergeCell ref="U17:U18"/>
    <mergeCell ref="AD17:AD18"/>
    <mergeCell ref="AE17:AE18"/>
    <mergeCell ref="AF17:AF18"/>
    <mergeCell ref="AG17:AG18"/>
    <mergeCell ref="AH17:AH18"/>
    <mergeCell ref="AU17:AU18"/>
    <mergeCell ref="AV17:AV18"/>
    <mergeCell ref="AW17:AW18"/>
    <mergeCell ref="AX17:AX18"/>
    <mergeCell ref="AY17:AY18"/>
    <mergeCell ref="AZ17:AZ18"/>
    <mergeCell ref="AO17:AO18"/>
    <mergeCell ref="AP17:AP18"/>
    <mergeCell ref="AQ17:AQ18"/>
    <mergeCell ref="AR17:AR18"/>
    <mergeCell ref="AS17:AS18"/>
    <mergeCell ref="AT17:AT18"/>
    <mergeCell ref="BI17:BI18"/>
    <mergeCell ref="BJ17:BJ18"/>
    <mergeCell ref="BK17:BK18"/>
    <mergeCell ref="BL17:BL18"/>
    <mergeCell ref="BA17:BA18"/>
    <mergeCell ref="BB17:BB18"/>
    <mergeCell ref="BC17:BC18"/>
    <mergeCell ref="BD17:BD18"/>
    <mergeCell ref="BE17:BE18"/>
    <mergeCell ref="BF17:BF18"/>
    <mergeCell ref="O22:O24"/>
    <mergeCell ref="P22:P24"/>
    <mergeCell ref="Q22:Q24"/>
    <mergeCell ref="R22:R24"/>
    <mergeCell ref="S22:S24"/>
    <mergeCell ref="T22:T24"/>
    <mergeCell ref="BU17:BU18"/>
    <mergeCell ref="B19:F19"/>
    <mergeCell ref="G22:G24"/>
    <mergeCell ref="H22:H24"/>
    <mergeCell ref="I22:I24"/>
    <mergeCell ref="J22:J24"/>
    <mergeCell ref="K22:K24"/>
    <mergeCell ref="L22:L24"/>
    <mergeCell ref="M22:M24"/>
    <mergeCell ref="N22:N24"/>
    <mergeCell ref="BM17:BM18"/>
    <mergeCell ref="BP17:BP18"/>
    <mergeCell ref="BQ17:BQ18"/>
    <mergeCell ref="BR17:BR18"/>
    <mergeCell ref="BS17:BS18"/>
    <mergeCell ref="BT17:BT18"/>
    <mergeCell ref="BG17:BG18"/>
    <mergeCell ref="BH17:BH18"/>
    <mergeCell ref="AI22:AI24"/>
    <mergeCell ref="AJ22:AJ24"/>
    <mergeCell ref="AK22:AK24"/>
    <mergeCell ref="AL22:AL24"/>
    <mergeCell ref="AM22:AM24"/>
    <mergeCell ref="AN22:AN24"/>
    <mergeCell ref="U22:U24"/>
    <mergeCell ref="AD22:AD24"/>
    <mergeCell ref="AE22:AE24"/>
    <mergeCell ref="AF22:AF24"/>
    <mergeCell ref="AG22:AG24"/>
    <mergeCell ref="AH22:AH24"/>
    <mergeCell ref="AU22:AU24"/>
    <mergeCell ref="AV22:AV24"/>
    <mergeCell ref="AW22:AW24"/>
    <mergeCell ref="AX22:AX24"/>
    <mergeCell ref="AY22:AY24"/>
    <mergeCell ref="AZ22:AZ24"/>
    <mergeCell ref="AO22:AO24"/>
    <mergeCell ref="AP22:AP24"/>
    <mergeCell ref="AQ22:AQ24"/>
    <mergeCell ref="AR22:AR24"/>
    <mergeCell ref="AS22:AS24"/>
    <mergeCell ref="AT22:AT24"/>
    <mergeCell ref="BS22:BS24"/>
    <mergeCell ref="BT22:BT24"/>
    <mergeCell ref="BU22:BU24"/>
    <mergeCell ref="V23:V24"/>
    <mergeCell ref="W23:W24"/>
    <mergeCell ref="F26:O26"/>
    <mergeCell ref="BM22:BM24"/>
    <mergeCell ref="BN22:BN24"/>
    <mergeCell ref="BO22:BO24"/>
    <mergeCell ref="BP22:BP24"/>
    <mergeCell ref="BQ22:BQ24"/>
    <mergeCell ref="BR22:BR24"/>
    <mergeCell ref="BG22:BG24"/>
    <mergeCell ref="BH22:BH24"/>
    <mergeCell ref="BI22:BI24"/>
    <mergeCell ref="BJ22:BJ24"/>
    <mergeCell ref="BK22:BK24"/>
    <mergeCell ref="BL22:BL24"/>
    <mergeCell ref="BA22:BA24"/>
    <mergeCell ref="BB22:BB24"/>
    <mergeCell ref="BC22:BC24"/>
    <mergeCell ref="BD22:BD24"/>
    <mergeCell ref="BE22:BE24"/>
    <mergeCell ref="BF22:BF24"/>
    <mergeCell ref="AF27:AF52"/>
    <mergeCell ref="AG27:AG52"/>
    <mergeCell ref="AH27:AH52"/>
    <mergeCell ref="AI27:AI52"/>
    <mergeCell ref="AJ27:AJ52"/>
    <mergeCell ref="AK27:AK52"/>
    <mergeCell ref="Q27:Q52"/>
    <mergeCell ref="R27:R52"/>
    <mergeCell ref="T27:T52"/>
    <mergeCell ref="V27:V37"/>
    <mergeCell ref="AD27:AD52"/>
    <mergeCell ref="AE27:AE52"/>
    <mergeCell ref="V38:V52"/>
    <mergeCell ref="AR27:AR52"/>
    <mergeCell ref="AS27:AS52"/>
    <mergeCell ref="AT27:AT52"/>
    <mergeCell ref="AU27:AU52"/>
    <mergeCell ref="AV27:AV52"/>
    <mergeCell ref="AW27:AW52"/>
    <mergeCell ref="AL27:AL52"/>
    <mergeCell ref="AM27:AM52"/>
    <mergeCell ref="AN27:AN52"/>
    <mergeCell ref="AO27:AO52"/>
    <mergeCell ref="AP27:AP52"/>
    <mergeCell ref="AQ27:AQ52"/>
    <mergeCell ref="BD27:BD52"/>
    <mergeCell ref="BE27:BE52"/>
    <mergeCell ref="BF27:BF52"/>
    <mergeCell ref="BG27:BG52"/>
    <mergeCell ref="BH27:BH52"/>
    <mergeCell ref="BI27:BI52"/>
    <mergeCell ref="AX27:AX52"/>
    <mergeCell ref="AY27:AY52"/>
    <mergeCell ref="AZ27:AZ52"/>
    <mergeCell ref="BA27:BA52"/>
    <mergeCell ref="BB27:BB52"/>
    <mergeCell ref="BC27:BC52"/>
    <mergeCell ref="BP27:BP52"/>
    <mergeCell ref="BQ27:BQ52"/>
    <mergeCell ref="BR27:BR52"/>
    <mergeCell ref="BS27:BS52"/>
    <mergeCell ref="BT27:BT52"/>
    <mergeCell ref="BU27:BU52"/>
    <mergeCell ref="BJ27:BJ52"/>
    <mergeCell ref="BK27:BK52"/>
    <mergeCell ref="BL27:BL52"/>
    <mergeCell ref="BM27:BM52"/>
    <mergeCell ref="BN27:BN38"/>
    <mergeCell ref="BO27:BO38"/>
    <mergeCell ref="BN39:BN52"/>
    <mergeCell ref="BO39:BO52"/>
    <mergeCell ref="M28:M33"/>
    <mergeCell ref="N28:N33"/>
    <mergeCell ref="O28:O33"/>
    <mergeCell ref="P28:P33"/>
    <mergeCell ref="S28:S33"/>
    <mergeCell ref="U28:U33"/>
    <mergeCell ref="G28:G33"/>
    <mergeCell ref="H28:H33"/>
    <mergeCell ref="I28:I33"/>
    <mergeCell ref="J28:J33"/>
    <mergeCell ref="K28:K33"/>
    <mergeCell ref="L28:L33"/>
    <mergeCell ref="M34:M37"/>
    <mergeCell ref="N34:N37"/>
    <mergeCell ref="O34:O37"/>
    <mergeCell ref="P34:P37"/>
    <mergeCell ref="S34:S37"/>
    <mergeCell ref="U34:U37"/>
    <mergeCell ref="G34:G37"/>
    <mergeCell ref="H34:H37"/>
    <mergeCell ref="I34:I37"/>
    <mergeCell ref="J34:J37"/>
    <mergeCell ref="K34:K37"/>
    <mergeCell ref="L34:L37"/>
    <mergeCell ref="M39:M44"/>
    <mergeCell ref="N39:N44"/>
    <mergeCell ref="O39:O44"/>
    <mergeCell ref="P39:P44"/>
    <mergeCell ref="S39:S44"/>
    <mergeCell ref="U39:U44"/>
    <mergeCell ref="G39:G44"/>
    <mergeCell ref="H39:H44"/>
    <mergeCell ref="I39:I44"/>
    <mergeCell ref="J39:J44"/>
    <mergeCell ref="K39:K44"/>
    <mergeCell ref="L39:L44"/>
    <mergeCell ref="M45:M48"/>
    <mergeCell ref="N45:N48"/>
    <mergeCell ref="O45:O48"/>
    <mergeCell ref="P45:P48"/>
    <mergeCell ref="S45:S48"/>
    <mergeCell ref="U45:U48"/>
    <mergeCell ref="G45:G48"/>
    <mergeCell ref="H45:H48"/>
    <mergeCell ref="I45:I48"/>
    <mergeCell ref="J45:J48"/>
    <mergeCell ref="K45:K48"/>
    <mergeCell ref="L45:L48"/>
    <mergeCell ref="M49:M52"/>
    <mergeCell ref="N49:N52"/>
    <mergeCell ref="O49:O52"/>
    <mergeCell ref="P49:P52"/>
    <mergeCell ref="S49:S52"/>
    <mergeCell ref="U49:U52"/>
    <mergeCell ref="G49:G52"/>
    <mergeCell ref="H49:H52"/>
    <mergeCell ref="I49:I52"/>
    <mergeCell ref="J49:J52"/>
    <mergeCell ref="K49:K52"/>
    <mergeCell ref="L49:L5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CN19"/>
  <sheetViews>
    <sheetView showGridLines="0" topLeftCell="BF1" zoomScale="70" zoomScaleNormal="70" workbookViewId="0">
      <selection activeCell="BM13" sqref="BM13:BM16"/>
    </sheetView>
  </sheetViews>
  <sheetFormatPr baseColWidth="10" defaultColWidth="9.140625" defaultRowHeight="14.25" x14ac:dyDescent="0.25"/>
  <cols>
    <col min="1" max="1" width="13.28515625" style="1267" customWidth="1"/>
    <col min="2" max="4" width="15.140625" style="1267" customWidth="1"/>
    <col min="5" max="5" width="12" style="1267" customWidth="1"/>
    <col min="6" max="6" width="11.85546875" style="1267" customWidth="1"/>
    <col min="7" max="7" width="15.5703125" style="1267" customWidth="1"/>
    <col min="8" max="8" width="37" style="1267" customWidth="1"/>
    <col min="9" max="9" width="20.140625" style="1267" customWidth="1"/>
    <col min="10" max="10" width="37" style="1267" customWidth="1"/>
    <col min="11" max="11" width="14.85546875" style="1267" customWidth="1"/>
    <col min="12" max="14" width="26" style="1267" customWidth="1"/>
    <col min="15" max="15" width="18.7109375" style="1267" customWidth="1"/>
    <col min="16" max="16" width="15.7109375" style="1267" customWidth="1"/>
    <col min="17" max="17" width="24.5703125" style="1267" customWidth="1"/>
    <col min="18" max="18" width="28.140625" style="1267" customWidth="1"/>
    <col min="19" max="19" width="16.5703125" style="1267" customWidth="1"/>
    <col min="20" max="20" width="23.7109375" style="1267" customWidth="1"/>
    <col min="21" max="21" width="22.140625" style="1267" customWidth="1"/>
    <col min="22" max="22" width="26.140625" style="1267" customWidth="1"/>
    <col min="23" max="23" width="22.85546875" style="1267" customWidth="1"/>
    <col min="24" max="27" width="21.28515625" style="1267" customWidth="1"/>
    <col min="28" max="28" width="12.28515625" style="1267" customWidth="1"/>
    <col min="29" max="29" width="21.140625" style="1267" customWidth="1"/>
    <col min="30" max="30" width="9.140625" style="1267" bestFit="1" customWidth="1"/>
    <col min="31" max="31" width="9.140625" style="1267" customWidth="1"/>
    <col min="32" max="32" width="9.140625" style="1267" bestFit="1" customWidth="1"/>
    <col min="33" max="33" width="9.140625" style="1267" customWidth="1"/>
    <col min="34" max="35" width="10.7109375" style="1267" customWidth="1"/>
    <col min="36" max="36" width="9.140625" style="1267" bestFit="1" customWidth="1"/>
    <col min="37" max="37" width="9.140625" style="1267" customWidth="1"/>
    <col min="38" max="38" width="9.140625" style="1267" bestFit="1" customWidth="1"/>
    <col min="39" max="39" width="9.140625" style="1267" customWidth="1"/>
    <col min="40" max="40" width="9.140625" style="1267" bestFit="1" customWidth="1"/>
    <col min="41" max="41" width="9.140625" style="1267" customWidth="1"/>
    <col min="42" max="42" width="9.140625" style="1267" bestFit="1" customWidth="1"/>
    <col min="43" max="43" width="9.140625" style="1267" customWidth="1"/>
    <col min="44" max="44" width="9.140625" style="1267" bestFit="1" customWidth="1"/>
    <col min="45" max="45" width="9.140625" style="1267" customWidth="1"/>
    <col min="46" max="46" width="9.140625" style="1267" bestFit="1" customWidth="1"/>
    <col min="47" max="47" width="9.140625" style="1267" customWidth="1"/>
    <col min="48" max="48" width="9.140625" style="1267" bestFit="1" customWidth="1"/>
    <col min="49" max="49" width="9.140625" style="1267" customWidth="1"/>
    <col min="50" max="50" width="9.140625" style="1267" bestFit="1" customWidth="1"/>
    <col min="51" max="51" width="9.140625" style="1267" customWidth="1"/>
    <col min="52" max="52" width="9.140625" style="1267" bestFit="1" customWidth="1"/>
    <col min="53" max="53" width="9.140625" style="1267" customWidth="1"/>
    <col min="54" max="54" width="9.140625" style="1267" bestFit="1" customWidth="1"/>
    <col min="55" max="55" width="9.140625" style="1267" customWidth="1"/>
    <col min="56" max="56" width="9.140625" style="1267" bestFit="1" customWidth="1"/>
    <col min="57" max="57" width="9.140625" style="1267" customWidth="1"/>
    <col min="58" max="58" width="9.140625" style="1267" bestFit="1" customWidth="1"/>
    <col min="59" max="61" width="8.7109375" style="1267" customWidth="1"/>
    <col min="62" max="62" width="14.7109375" style="1267" customWidth="1"/>
    <col min="63" max="63" width="20.140625" style="1267" customWidth="1"/>
    <col min="64" max="64" width="21.85546875" style="1267" customWidth="1"/>
    <col min="65" max="65" width="14.5703125" style="1267" customWidth="1"/>
    <col min="66" max="67" width="12.7109375" style="1267" customWidth="1"/>
    <col min="68" max="68" width="19.7109375" style="1267" customWidth="1"/>
    <col min="69" max="70" width="20.5703125" style="1267" customWidth="1"/>
    <col min="71" max="72" width="18.140625" style="1267" customWidth="1"/>
    <col min="73" max="73" width="32.28515625" style="1267" customWidth="1"/>
    <col min="74" max="16384" width="9.140625" style="1267"/>
  </cols>
  <sheetData>
    <row r="1" spans="1:92" s="1" customFormat="1" ht="18.75" customHeight="1" x14ac:dyDescent="0.25">
      <c r="A1" s="2632" t="s">
        <v>1786</v>
      </c>
      <c r="B1" s="2632"/>
      <c r="C1" s="2632"/>
      <c r="D1" s="2632"/>
      <c r="E1" s="2632"/>
      <c r="F1" s="2632"/>
      <c r="G1" s="2632"/>
      <c r="H1" s="2632"/>
      <c r="I1" s="2632"/>
      <c r="J1" s="2632"/>
      <c r="K1" s="2632"/>
      <c r="L1" s="2632"/>
      <c r="M1" s="2632"/>
      <c r="N1" s="2632"/>
      <c r="O1" s="2632"/>
      <c r="P1" s="2632"/>
      <c r="Q1" s="2632"/>
      <c r="R1" s="2632"/>
      <c r="S1" s="2632"/>
      <c r="T1" s="2632"/>
      <c r="U1" s="2632"/>
      <c r="V1" s="2632"/>
      <c r="W1" s="2632"/>
      <c r="X1" s="2632"/>
      <c r="Y1" s="2632"/>
      <c r="Z1" s="2632"/>
      <c r="AA1" s="2632"/>
      <c r="AB1" s="2632"/>
      <c r="AC1" s="2632"/>
      <c r="AD1" s="2632"/>
      <c r="AE1" s="2632"/>
      <c r="AF1" s="2632"/>
      <c r="AG1" s="2632"/>
      <c r="AH1" s="2632"/>
      <c r="AI1" s="2632"/>
      <c r="AJ1" s="2632"/>
      <c r="AK1" s="2632"/>
      <c r="AL1" s="2632"/>
      <c r="AM1" s="2632"/>
      <c r="AN1" s="2632"/>
      <c r="AO1" s="2632"/>
      <c r="AP1" s="2632"/>
      <c r="AQ1" s="2632"/>
      <c r="AR1" s="2632"/>
      <c r="AS1" s="2632"/>
      <c r="AT1" s="2632"/>
      <c r="AU1" s="2632"/>
      <c r="AV1" s="2632"/>
      <c r="AW1" s="2632"/>
      <c r="AX1" s="2632"/>
      <c r="AY1" s="2632"/>
      <c r="AZ1" s="2632"/>
      <c r="BA1" s="2632"/>
      <c r="BB1" s="2632"/>
      <c r="BC1" s="2632"/>
      <c r="BD1" s="2632"/>
      <c r="BE1" s="2632"/>
      <c r="BF1" s="2632"/>
      <c r="BG1" s="2632"/>
      <c r="BH1" s="2632"/>
      <c r="BI1" s="2632"/>
      <c r="BJ1" s="2632"/>
      <c r="BK1" s="2632"/>
      <c r="BL1" s="2632"/>
      <c r="BM1" s="2632"/>
      <c r="BN1" s="2632"/>
      <c r="BO1" s="2632"/>
      <c r="BP1" s="2632"/>
      <c r="BQ1" s="2632"/>
      <c r="BR1" s="2632"/>
      <c r="BS1" s="3087"/>
      <c r="BT1" s="675" t="s">
        <v>138</v>
      </c>
      <c r="BU1" s="675" t="s">
        <v>137</v>
      </c>
      <c r="BV1" s="4"/>
      <c r="BW1" s="4"/>
      <c r="BX1" s="4"/>
      <c r="BY1" s="4"/>
      <c r="BZ1" s="4"/>
      <c r="CA1" s="4"/>
      <c r="CB1" s="4"/>
      <c r="CC1" s="4"/>
      <c r="CD1" s="4"/>
      <c r="CE1" s="4"/>
      <c r="CF1" s="4"/>
      <c r="CG1" s="4"/>
      <c r="CH1" s="4"/>
      <c r="CI1" s="4"/>
      <c r="CJ1" s="4"/>
      <c r="CK1" s="4"/>
      <c r="CL1" s="4"/>
      <c r="CM1" s="4"/>
      <c r="CN1" s="4"/>
    </row>
    <row r="2" spans="1:92" s="1" customFormat="1" ht="15" customHeight="1" x14ac:dyDescent="0.2">
      <c r="A2" s="2632"/>
      <c r="B2" s="2632"/>
      <c r="C2" s="2632"/>
      <c r="D2" s="2632"/>
      <c r="E2" s="2632"/>
      <c r="F2" s="2632"/>
      <c r="G2" s="2632"/>
      <c r="H2" s="2632"/>
      <c r="I2" s="2632"/>
      <c r="J2" s="2632"/>
      <c r="K2" s="2632"/>
      <c r="L2" s="2632"/>
      <c r="M2" s="2632"/>
      <c r="N2" s="2632"/>
      <c r="O2" s="2632"/>
      <c r="P2" s="2632"/>
      <c r="Q2" s="2632"/>
      <c r="R2" s="2632"/>
      <c r="S2" s="2632"/>
      <c r="T2" s="2632"/>
      <c r="U2" s="2632"/>
      <c r="V2" s="2632"/>
      <c r="W2" s="2632"/>
      <c r="X2" s="2632"/>
      <c r="Y2" s="2632"/>
      <c r="Z2" s="2632"/>
      <c r="AA2" s="2632"/>
      <c r="AB2" s="2632"/>
      <c r="AC2" s="2632"/>
      <c r="AD2" s="2632"/>
      <c r="AE2" s="2632"/>
      <c r="AF2" s="2632"/>
      <c r="AG2" s="2632"/>
      <c r="AH2" s="2632"/>
      <c r="AI2" s="2632"/>
      <c r="AJ2" s="2632"/>
      <c r="AK2" s="2632"/>
      <c r="AL2" s="2632"/>
      <c r="AM2" s="2632"/>
      <c r="AN2" s="2632"/>
      <c r="AO2" s="2632"/>
      <c r="AP2" s="2632"/>
      <c r="AQ2" s="2632"/>
      <c r="AR2" s="2632"/>
      <c r="AS2" s="2632"/>
      <c r="AT2" s="2632"/>
      <c r="AU2" s="2632"/>
      <c r="AV2" s="2632"/>
      <c r="AW2" s="2632"/>
      <c r="AX2" s="2632"/>
      <c r="AY2" s="2632"/>
      <c r="AZ2" s="2632"/>
      <c r="BA2" s="2632"/>
      <c r="BB2" s="2632"/>
      <c r="BC2" s="2632"/>
      <c r="BD2" s="2632"/>
      <c r="BE2" s="2632"/>
      <c r="BF2" s="2632"/>
      <c r="BG2" s="2632"/>
      <c r="BH2" s="2632"/>
      <c r="BI2" s="2632"/>
      <c r="BJ2" s="2632"/>
      <c r="BK2" s="2632"/>
      <c r="BL2" s="2632"/>
      <c r="BM2" s="2632"/>
      <c r="BN2" s="2632"/>
      <c r="BO2" s="2632"/>
      <c r="BP2" s="2632"/>
      <c r="BQ2" s="2632"/>
      <c r="BR2" s="2632"/>
      <c r="BS2" s="3087"/>
      <c r="BT2" s="675" t="s">
        <v>136</v>
      </c>
      <c r="BU2" s="1246">
        <v>8</v>
      </c>
      <c r="BV2" s="4"/>
      <c r="BW2" s="4"/>
      <c r="BX2" s="4"/>
      <c r="BY2" s="4"/>
      <c r="BZ2" s="4"/>
      <c r="CA2" s="4"/>
      <c r="CB2" s="4"/>
      <c r="CC2" s="4"/>
      <c r="CD2" s="4"/>
      <c r="CE2" s="4"/>
      <c r="CF2" s="4"/>
      <c r="CG2" s="4"/>
      <c r="CH2" s="4"/>
      <c r="CI2" s="4"/>
      <c r="CJ2" s="4"/>
      <c r="CK2" s="4"/>
      <c r="CL2" s="4"/>
      <c r="CM2" s="4"/>
      <c r="CN2" s="4"/>
    </row>
    <row r="3" spans="1:92" s="1" customFormat="1" ht="17.25" customHeight="1" x14ac:dyDescent="0.2">
      <c r="A3" s="2632"/>
      <c r="B3" s="2632"/>
      <c r="C3" s="2632"/>
      <c r="D3" s="2632"/>
      <c r="E3" s="2632"/>
      <c r="F3" s="2632"/>
      <c r="G3" s="2632"/>
      <c r="H3" s="2632"/>
      <c r="I3" s="2632"/>
      <c r="J3" s="2632"/>
      <c r="K3" s="2632"/>
      <c r="L3" s="2632"/>
      <c r="M3" s="2632"/>
      <c r="N3" s="2632"/>
      <c r="O3" s="2632"/>
      <c r="P3" s="2632"/>
      <c r="Q3" s="2632"/>
      <c r="R3" s="2632"/>
      <c r="S3" s="2632"/>
      <c r="T3" s="2632"/>
      <c r="U3" s="2632"/>
      <c r="V3" s="2632"/>
      <c r="W3" s="2632"/>
      <c r="X3" s="2632"/>
      <c r="Y3" s="2632"/>
      <c r="Z3" s="2632"/>
      <c r="AA3" s="2632"/>
      <c r="AB3" s="2632"/>
      <c r="AC3" s="2632"/>
      <c r="AD3" s="2632"/>
      <c r="AE3" s="2632"/>
      <c r="AF3" s="2632"/>
      <c r="AG3" s="2632"/>
      <c r="AH3" s="2632"/>
      <c r="AI3" s="2632"/>
      <c r="AJ3" s="2632"/>
      <c r="AK3" s="2632"/>
      <c r="AL3" s="2632"/>
      <c r="AM3" s="2632"/>
      <c r="AN3" s="2632"/>
      <c r="AO3" s="2632"/>
      <c r="AP3" s="2632"/>
      <c r="AQ3" s="2632"/>
      <c r="AR3" s="2632"/>
      <c r="AS3" s="2632"/>
      <c r="AT3" s="2632"/>
      <c r="AU3" s="2632"/>
      <c r="AV3" s="2632"/>
      <c r="AW3" s="2632"/>
      <c r="AX3" s="2632"/>
      <c r="AY3" s="2632"/>
      <c r="AZ3" s="2632"/>
      <c r="BA3" s="2632"/>
      <c r="BB3" s="2632"/>
      <c r="BC3" s="2632"/>
      <c r="BD3" s="2632"/>
      <c r="BE3" s="2632"/>
      <c r="BF3" s="2632"/>
      <c r="BG3" s="2632"/>
      <c r="BH3" s="2632"/>
      <c r="BI3" s="2632"/>
      <c r="BJ3" s="2632"/>
      <c r="BK3" s="2632"/>
      <c r="BL3" s="2632"/>
      <c r="BM3" s="2632"/>
      <c r="BN3" s="2632"/>
      <c r="BO3" s="2632"/>
      <c r="BP3" s="2632"/>
      <c r="BQ3" s="2632"/>
      <c r="BR3" s="2632"/>
      <c r="BS3" s="3087"/>
      <c r="BT3" s="675" t="s">
        <v>134</v>
      </c>
      <c r="BU3" s="1247">
        <v>44266</v>
      </c>
      <c r="BV3" s="4"/>
      <c r="BW3" s="4"/>
      <c r="BX3" s="4"/>
      <c r="BY3" s="4"/>
      <c r="BZ3" s="4"/>
      <c r="CA3" s="4"/>
      <c r="CB3" s="4"/>
      <c r="CC3" s="4"/>
      <c r="CD3" s="4"/>
      <c r="CE3" s="4"/>
      <c r="CF3" s="4"/>
      <c r="CG3" s="4"/>
      <c r="CH3" s="4"/>
      <c r="CI3" s="4"/>
      <c r="CJ3" s="4"/>
      <c r="CK3" s="4"/>
      <c r="CL3" s="4"/>
      <c r="CM3" s="4"/>
      <c r="CN3" s="4"/>
    </row>
    <row r="4" spans="1:92" s="1" customFormat="1" ht="19.5" customHeight="1" x14ac:dyDescent="0.25">
      <c r="A4" s="4062"/>
      <c r="B4" s="4062"/>
      <c r="C4" s="4062"/>
      <c r="D4" s="4062"/>
      <c r="E4" s="4062"/>
      <c r="F4" s="4062"/>
      <c r="G4" s="4062"/>
      <c r="H4" s="4062"/>
      <c r="I4" s="4062"/>
      <c r="J4" s="4062"/>
      <c r="K4" s="4062"/>
      <c r="L4" s="4062"/>
      <c r="M4" s="4062"/>
      <c r="N4" s="4062"/>
      <c r="O4" s="4062"/>
      <c r="P4" s="4062"/>
      <c r="Q4" s="4062"/>
      <c r="R4" s="4062"/>
      <c r="S4" s="4062"/>
      <c r="T4" s="4062"/>
      <c r="U4" s="4062"/>
      <c r="V4" s="4062"/>
      <c r="W4" s="4062"/>
      <c r="X4" s="4062"/>
      <c r="Y4" s="4062"/>
      <c r="Z4" s="4062"/>
      <c r="AA4" s="4062"/>
      <c r="AB4" s="4062"/>
      <c r="AC4" s="4062"/>
      <c r="AD4" s="4062"/>
      <c r="AE4" s="4062"/>
      <c r="AF4" s="4062"/>
      <c r="AG4" s="4062"/>
      <c r="AH4" s="4062"/>
      <c r="AI4" s="4062"/>
      <c r="AJ4" s="4062"/>
      <c r="AK4" s="4062"/>
      <c r="AL4" s="4062"/>
      <c r="AM4" s="4062"/>
      <c r="AN4" s="4062"/>
      <c r="AO4" s="4062"/>
      <c r="AP4" s="4062"/>
      <c r="AQ4" s="4062"/>
      <c r="AR4" s="4062"/>
      <c r="AS4" s="4062"/>
      <c r="AT4" s="4062"/>
      <c r="AU4" s="4062"/>
      <c r="AV4" s="4062"/>
      <c r="AW4" s="4062"/>
      <c r="AX4" s="4062"/>
      <c r="AY4" s="4062"/>
      <c r="AZ4" s="4062"/>
      <c r="BA4" s="4062"/>
      <c r="BB4" s="4062"/>
      <c r="BC4" s="4062"/>
      <c r="BD4" s="4062"/>
      <c r="BE4" s="4062"/>
      <c r="BF4" s="4062"/>
      <c r="BG4" s="4062"/>
      <c r="BH4" s="4062"/>
      <c r="BI4" s="4062"/>
      <c r="BJ4" s="4062"/>
      <c r="BK4" s="4062"/>
      <c r="BL4" s="4062"/>
      <c r="BM4" s="4062"/>
      <c r="BN4" s="4062"/>
      <c r="BO4" s="4062"/>
      <c r="BP4" s="4062"/>
      <c r="BQ4" s="4062"/>
      <c r="BR4" s="4062"/>
      <c r="BS4" s="3088"/>
      <c r="BT4" s="675" t="s">
        <v>133</v>
      </c>
      <c r="BU4" s="913" t="s">
        <v>132</v>
      </c>
      <c r="BV4" s="4"/>
      <c r="BW4" s="4"/>
      <c r="BX4" s="4"/>
      <c r="BY4" s="4"/>
      <c r="BZ4" s="4"/>
      <c r="CA4" s="4"/>
      <c r="CB4" s="4"/>
      <c r="CC4" s="4"/>
      <c r="CD4" s="4"/>
      <c r="CE4" s="4"/>
      <c r="CF4" s="4"/>
      <c r="CG4" s="4"/>
      <c r="CH4" s="4"/>
      <c r="CI4" s="4"/>
      <c r="CJ4" s="4"/>
      <c r="CK4" s="4"/>
      <c r="CL4" s="4"/>
      <c r="CM4" s="4"/>
      <c r="CN4" s="4"/>
    </row>
    <row r="5" spans="1:92" s="1" customFormat="1" ht="20.25" customHeight="1" x14ac:dyDescent="0.25">
      <c r="A5" s="2633" t="s">
        <v>131</v>
      </c>
      <c r="B5" s="2606"/>
      <c r="C5" s="2606"/>
      <c r="D5" s="2606"/>
      <c r="E5" s="2606"/>
      <c r="F5" s="2606"/>
      <c r="G5" s="2606"/>
      <c r="H5" s="2606"/>
      <c r="I5" s="2606"/>
      <c r="J5" s="2606"/>
      <c r="K5" s="2606"/>
      <c r="L5" s="2606"/>
      <c r="M5" s="2606"/>
      <c r="N5" s="2606"/>
      <c r="O5" s="2634"/>
      <c r="P5" s="673"/>
      <c r="Q5" s="4702"/>
      <c r="R5" s="4702"/>
      <c r="S5" s="4702"/>
      <c r="T5" s="4702"/>
      <c r="U5" s="4702"/>
      <c r="V5" s="4702"/>
      <c r="W5" s="4702"/>
      <c r="X5" s="4702"/>
      <c r="Y5" s="4702"/>
      <c r="Z5" s="4702"/>
      <c r="AA5" s="4702"/>
      <c r="AB5" s="4702"/>
      <c r="AC5" s="4702"/>
      <c r="AD5" s="4702"/>
      <c r="AE5" s="4702"/>
      <c r="AF5" s="4702"/>
      <c r="AG5" s="4702"/>
      <c r="AH5" s="4702"/>
      <c r="AI5" s="4702"/>
      <c r="AJ5" s="4702"/>
      <c r="AK5" s="4702"/>
      <c r="AL5" s="4702"/>
      <c r="AM5" s="4702"/>
      <c r="AN5" s="4702"/>
      <c r="AO5" s="4702"/>
      <c r="AP5" s="4702"/>
      <c r="AQ5" s="4702"/>
      <c r="AR5" s="4702"/>
      <c r="AS5" s="4702"/>
      <c r="AT5" s="4702"/>
      <c r="AU5" s="4702"/>
      <c r="AV5" s="4702"/>
      <c r="AW5" s="4702"/>
      <c r="AX5" s="4702"/>
      <c r="AY5" s="4702"/>
      <c r="AZ5" s="4702"/>
      <c r="BA5" s="4702"/>
      <c r="BB5" s="4702"/>
      <c r="BC5" s="4702"/>
      <c r="BD5" s="4702"/>
      <c r="BE5" s="4702"/>
      <c r="BF5" s="4702"/>
      <c r="BG5" s="4702"/>
      <c r="BH5" s="4702"/>
      <c r="BI5" s="4702"/>
      <c r="BJ5" s="4702"/>
      <c r="BK5" s="4702"/>
      <c r="BL5" s="4702"/>
      <c r="BM5" s="4702"/>
      <c r="BN5" s="4702"/>
      <c r="BO5" s="4702"/>
      <c r="BP5" s="4702"/>
      <c r="BQ5" s="4702"/>
      <c r="BR5" s="4702"/>
      <c r="BS5" s="4702"/>
      <c r="BT5" s="4702"/>
      <c r="BU5" s="2636"/>
      <c r="BV5" s="4"/>
      <c r="BW5" s="4"/>
      <c r="BX5" s="4"/>
      <c r="BY5" s="4"/>
      <c r="BZ5" s="4"/>
      <c r="CA5" s="4"/>
      <c r="CB5" s="4"/>
      <c r="CC5" s="4"/>
      <c r="CD5" s="4"/>
      <c r="CE5" s="4"/>
      <c r="CF5" s="4"/>
      <c r="CG5" s="4"/>
      <c r="CH5" s="4"/>
      <c r="CI5" s="4"/>
      <c r="CJ5" s="4"/>
      <c r="CK5" s="4"/>
      <c r="CL5" s="4"/>
      <c r="CM5" s="4"/>
      <c r="CN5" s="4"/>
    </row>
    <row r="6" spans="1:92" s="1" customFormat="1" ht="16.5" customHeight="1" x14ac:dyDescent="0.25">
      <c r="A6" s="2635"/>
      <c r="B6" s="2604"/>
      <c r="C6" s="2604"/>
      <c r="D6" s="2604"/>
      <c r="E6" s="2604"/>
      <c r="F6" s="2604"/>
      <c r="G6" s="2604"/>
      <c r="H6" s="2604"/>
      <c r="I6" s="2604"/>
      <c r="J6" s="2604"/>
      <c r="K6" s="2604"/>
      <c r="L6" s="2604"/>
      <c r="M6" s="2604"/>
      <c r="N6" s="2604"/>
      <c r="O6" s="2605"/>
      <c r="P6" s="674"/>
      <c r="Q6" s="674"/>
      <c r="R6" s="674"/>
      <c r="S6" s="674"/>
      <c r="T6" s="674"/>
      <c r="U6" s="674"/>
      <c r="V6" s="674"/>
      <c r="W6" s="674"/>
      <c r="X6" s="674"/>
      <c r="Y6" s="674"/>
      <c r="Z6" s="674"/>
      <c r="AA6" s="674"/>
      <c r="AB6" s="674"/>
      <c r="AC6" s="674"/>
      <c r="AD6" s="674"/>
      <c r="AE6" s="674"/>
      <c r="AF6" s="674"/>
      <c r="AG6" s="674"/>
      <c r="AH6" s="2609" t="s">
        <v>130</v>
      </c>
      <c r="AI6" s="2607"/>
      <c r="AJ6" s="2607"/>
      <c r="AK6" s="2607"/>
      <c r="AL6" s="2607"/>
      <c r="AM6" s="2607"/>
      <c r="AN6" s="2607"/>
      <c r="AO6" s="2607"/>
      <c r="AP6" s="2607"/>
      <c r="AQ6" s="2607"/>
      <c r="AR6" s="2607"/>
      <c r="AS6" s="2607"/>
      <c r="AT6" s="2607"/>
      <c r="AU6" s="2607"/>
      <c r="AV6" s="2607"/>
      <c r="AW6" s="2607"/>
      <c r="AX6" s="2607"/>
      <c r="AY6" s="2607"/>
      <c r="AZ6" s="2607"/>
      <c r="BA6" s="2607"/>
      <c r="BB6" s="2607"/>
      <c r="BC6" s="2607"/>
      <c r="BD6" s="2607"/>
      <c r="BE6" s="2607"/>
      <c r="BF6" s="2607"/>
      <c r="BG6" s="2607"/>
      <c r="BH6" s="2607"/>
      <c r="BI6" s="2607"/>
      <c r="BJ6" s="2607"/>
      <c r="BK6" s="2607"/>
      <c r="BL6" s="2607"/>
      <c r="BM6" s="2607"/>
      <c r="BN6" s="2607"/>
      <c r="BO6" s="2607"/>
      <c r="BP6" s="2607"/>
      <c r="BQ6" s="2603"/>
      <c r="BR6" s="674"/>
      <c r="BS6" s="674"/>
      <c r="BT6" s="674"/>
      <c r="BU6" s="674"/>
      <c r="BV6" s="4"/>
      <c r="BW6" s="4"/>
      <c r="BX6" s="4"/>
      <c r="BY6" s="4"/>
      <c r="BZ6" s="4"/>
      <c r="CA6" s="4"/>
      <c r="CB6" s="4"/>
      <c r="CC6" s="4"/>
      <c r="CD6" s="4"/>
      <c r="CE6" s="4"/>
      <c r="CF6" s="4"/>
      <c r="CG6" s="4"/>
      <c r="CH6" s="4"/>
      <c r="CI6" s="4"/>
      <c r="CJ6" s="4"/>
      <c r="CK6" s="4"/>
      <c r="CL6" s="4"/>
      <c r="CM6" s="4"/>
      <c r="CN6" s="4"/>
    </row>
    <row r="7" spans="1:92" s="1" customFormat="1" ht="30.75" customHeight="1" x14ac:dyDescent="0.25">
      <c r="A7" s="2610" t="s">
        <v>129</v>
      </c>
      <c r="B7" s="2610"/>
      <c r="C7" s="2610" t="s">
        <v>128</v>
      </c>
      <c r="D7" s="2610"/>
      <c r="E7" s="2610" t="s">
        <v>127</v>
      </c>
      <c r="F7" s="2610"/>
      <c r="G7" s="2610" t="s">
        <v>126</v>
      </c>
      <c r="H7" s="2610"/>
      <c r="I7" s="2610"/>
      <c r="J7" s="2610"/>
      <c r="K7" s="2610" t="s">
        <v>125</v>
      </c>
      <c r="L7" s="2610"/>
      <c r="M7" s="2610"/>
      <c r="N7" s="2610"/>
      <c r="O7" s="4966" t="s">
        <v>124</v>
      </c>
      <c r="P7" s="4966"/>
      <c r="Q7" s="4966"/>
      <c r="R7" s="4966"/>
      <c r="S7" s="4966"/>
      <c r="T7" s="4966"/>
      <c r="U7" s="4966"/>
      <c r="V7" s="4966"/>
      <c r="W7" s="4966"/>
      <c r="X7" s="4966"/>
      <c r="Y7" s="1248"/>
      <c r="Z7" s="1248"/>
      <c r="AA7" s="2610" t="s">
        <v>123</v>
      </c>
      <c r="AB7" s="2610"/>
      <c r="AC7" s="2610"/>
      <c r="AD7" s="2892" t="s">
        <v>122</v>
      </c>
      <c r="AE7" s="2892"/>
      <c r="AF7" s="2892"/>
      <c r="AG7" s="704"/>
      <c r="AH7" s="2614" t="s">
        <v>121</v>
      </c>
      <c r="AI7" s="2615"/>
      <c r="AJ7" s="2615"/>
      <c r="AK7" s="2615"/>
      <c r="AL7" s="2615"/>
      <c r="AM7" s="2616"/>
      <c r="AN7" s="2660" t="s">
        <v>120</v>
      </c>
      <c r="AO7" s="2661"/>
      <c r="AP7" s="2661"/>
      <c r="AQ7" s="2661"/>
      <c r="AR7" s="2661"/>
      <c r="AS7" s="2661"/>
      <c r="AT7" s="2661"/>
      <c r="AU7" s="2661"/>
      <c r="AV7" s="2661"/>
      <c r="AW7" s="2661"/>
      <c r="AX7" s="2661"/>
      <c r="AY7" s="2661"/>
      <c r="AZ7" s="2661"/>
      <c r="BA7" s="2662"/>
      <c r="BB7" s="2663" t="s">
        <v>119</v>
      </c>
      <c r="BC7" s="2664"/>
      <c r="BD7" s="2664"/>
      <c r="BE7" s="2664"/>
      <c r="BF7" s="2664"/>
      <c r="BG7" s="2665"/>
      <c r="BH7" s="2644" t="s">
        <v>118</v>
      </c>
      <c r="BI7" s="2645"/>
      <c r="BJ7" s="3599" t="s">
        <v>117</v>
      </c>
      <c r="BK7" s="3600"/>
      <c r="BL7" s="3600"/>
      <c r="BM7" s="3600"/>
      <c r="BN7" s="3600"/>
      <c r="BO7" s="3600"/>
      <c r="BP7" s="3601"/>
      <c r="BQ7" s="4281" t="s">
        <v>1178</v>
      </c>
      <c r="BR7" s="4274"/>
      <c r="BS7" s="4273" t="s">
        <v>263</v>
      </c>
      <c r="BT7" s="4274"/>
      <c r="BU7" s="2629" t="s">
        <v>114</v>
      </c>
      <c r="BV7" s="4"/>
      <c r="BW7" s="4"/>
      <c r="BX7" s="4"/>
      <c r="BY7" s="4"/>
      <c r="BZ7" s="4"/>
      <c r="CA7" s="4"/>
      <c r="CB7" s="4"/>
      <c r="CC7" s="4"/>
      <c r="CD7" s="4"/>
      <c r="CE7" s="4"/>
      <c r="CF7" s="4"/>
      <c r="CG7" s="4"/>
      <c r="CH7" s="4"/>
      <c r="CI7" s="4"/>
      <c r="CJ7" s="4"/>
      <c r="CK7" s="4"/>
      <c r="CL7" s="4"/>
      <c r="CM7" s="4"/>
      <c r="CN7" s="4"/>
    </row>
    <row r="8" spans="1:92" s="1" customFormat="1" ht="105.75" customHeight="1" x14ac:dyDescent="0.25">
      <c r="A8" s="2593" t="s">
        <v>71</v>
      </c>
      <c r="B8" s="3591" t="s">
        <v>70</v>
      </c>
      <c r="C8" s="2593" t="s">
        <v>71</v>
      </c>
      <c r="D8" s="3591" t="s">
        <v>70</v>
      </c>
      <c r="E8" s="3591" t="s">
        <v>71</v>
      </c>
      <c r="F8" s="3591" t="s">
        <v>70</v>
      </c>
      <c r="G8" s="3591" t="s">
        <v>110</v>
      </c>
      <c r="H8" s="3591" t="s">
        <v>113</v>
      </c>
      <c r="I8" s="3591" t="s">
        <v>112</v>
      </c>
      <c r="J8" s="3591" t="s">
        <v>142</v>
      </c>
      <c r="K8" s="3591" t="s">
        <v>110</v>
      </c>
      <c r="L8" s="3591" t="s">
        <v>109</v>
      </c>
      <c r="M8" s="3591" t="s">
        <v>108</v>
      </c>
      <c r="N8" s="3591" t="s">
        <v>107</v>
      </c>
      <c r="O8" s="3591" t="s">
        <v>739</v>
      </c>
      <c r="P8" s="3591"/>
      <c r="Q8" s="3591" t="s">
        <v>105</v>
      </c>
      <c r="R8" s="3591" t="s">
        <v>104</v>
      </c>
      <c r="S8" s="3596" t="s">
        <v>103</v>
      </c>
      <c r="T8" s="3590" t="s">
        <v>102</v>
      </c>
      <c r="U8" s="3591" t="s">
        <v>101</v>
      </c>
      <c r="V8" s="3591" t="s">
        <v>100</v>
      </c>
      <c r="W8" s="3591" t="s">
        <v>99</v>
      </c>
      <c r="X8" s="3590" t="s">
        <v>1787</v>
      </c>
      <c r="Y8" s="3590"/>
      <c r="Z8" s="3590"/>
      <c r="AA8" s="3591" t="s">
        <v>266</v>
      </c>
      <c r="AB8" s="2593" t="s">
        <v>96</v>
      </c>
      <c r="AC8" s="3591" t="s">
        <v>70</v>
      </c>
      <c r="AD8" s="2620" t="s">
        <v>95</v>
      </c>
      <c r="AE8" s="2621"/>
      <c r="AF8" s="2597" t="s">
        <v>94</v>
      </c>
      <c r="AG8" s="2598"/>
      <c r="AH8" s="2620" t="s">
        <v>93</v>
      </c>
      <c r="AI8" s="2621"/>
      <c r="AJ8" s="2620" t="s">
        <v>92</v>
      </c>
      <c r="AK8" s="2621"/>
      <c r="AL8" s="2620" t="s">
        <v>91</v>
      </c>
      <c r="AM8" s="2621"/>
      <c r="AN8" s="2620" t="s">
        <v>90</v>
      </c>
      <c r="AO8" s="2621"/>
      <c r="AP8" s="2620" t="s">
        <v>89</v>
      </c>
      <c r="AQ8" s="2621"/>
      <c r="AR8" s="2620" t="s">
        <v>88</v>
      </c>
      <c r="AS8" s="2621"/>
      <c r="AT8" s="2620" t="s">
        <v>87</v>
      </c>
      <c r="AU8" s="2621"/>
      <c r="AV8" s="2620" t="s">
        <v>86</v>
      </c>
      <c r="AW8" s="2621"/>
      <c r="AX8" s="2620" t="s">
        <v>85</v>
      </c>
      <c r="AY8" s="2621"/>
      <c r="AZ8" s="2620" t="s">
        <v>267</v>
      </c>
      <c r="BA8" s="2621"/>
      <c r="BB8" s="2620" t="s">
        <v>83</v>
      </c>
      <c r="BC8" s="2621"/>
      <c r="BD8" s="2620" t="s">
        <v>82</v>
      </c>
      <c r="BE8" s="2621"/>
      <c r="BF8" s="3602" t="s">
        <v>81</v>
      </c>
      <c r="BG8" s="3603"/>
      <c r="BH8" s="2646"/>
      <c r="BI8" s="2647"/>
      <c r="BJ8" s="2588" t="s">
        <v>80</v>
      </c>
      <c r="BK8" s="2673" t="s">
        <v>268</v>
      </c>
      <c r="BL8" s="2588" t="s">
        <v>269</v>
      </c>
      <c r="BM8" s="2675" t="s">
        <v>77</v>
      </c>
      <c r="BN8" s="2586" t="s">
        <v>76</v>
      </c>
      <c r="BO8" s="2587"/>
      <c r="BP8" s="2588" t="s">
        <v>75</v>
      </c>
      <c r="BQ8" s="4282"/>
      <c r="BR8" s="4276"/>
      <c r="BS8" s="4275"/>
      <c r="BT8" s="4276"/>
      <c r="BU8" s="2631"/>
      <c r="BV8" s="4"/>
      <c r="BW8" s="4"/>
      <c r="BX8" s="4"/>
      <c r="BY8" s="4"/>
      <c r="BZ8" s="4"/>
      <c r="CA8" s="4"/>
      <c r="CB8" s="4"/>
      <c r="CC8" s="4"/>
      <c r="CD8" s="4"/>
      <c r="CE8" s="4"/>
      <c r="CF8" s="4"/>
      <c r="CG8" s="4"/>
      <c r="CH8" s="4"/>
      <c r="CI8" s="4"/>
      <c r="CJ8" s="4"/>
      <c r="CK8" s="4"/>
      <c r="CL8" s="4"/>
      <c r="CM8" s="4"/>
      <c r="CN8" s="4"/>
    </row>
    <row r="9" spans="1:92" s="1" customFormat="1" ht="23.25" customHeight="1" x14ac:dyDescent="0.25">
      <c r="A9" s="2593"/>
      <c r="B9" s="3591"/>
      <c r="C9" s="2593"/>
      <c r="D9" s="3591"/>
      <c r="E9" s="3591"/>
      <c r="F9" s="3591"/>
      <c r="G9" s="3591"/>
      <c r="H9" s="3591"/>
      <c r="I9" s="3591"/>
      <c r="J9" s="3591"/>
      <c r="K9" s="3591"/>
      <c r="L9" s="3591"/>
      <c r="M9" s="3591"/>
      <c r="N9" s="3591"/>
      <c r="O9" s="319" t="s">
        <v>270</v>
      </c>
      <c r="P9" s="320" t="s">
        <v>271</v>
      </c>
      <c r="Q9" s="3591"/>
      <c r="R9" s="3591"/>
      <c r="S9" s="3596"/>
      <c r="T9" s="3590"/>
      <c r="U9" s="3591"/>
      <c r="V9" s="3591"/>
      <c r="W9" s="3591"/>
      <c r="X9" s="319" t="s">
        <v>74</v>
      </c>
      <c r="Y9" s="320" t="s">
        <v>73</v>
      </c>
      <c r="Z9" s="320" t="s">
        <v>72</v>
      </c>
      <c r="AA9" s="3591"/>
      <c r="AB9" s="2593"/>
      <c r="AC9" s="3591"/>
      <c r="AD9" s="751" t="s">
        <v>69</v>
      </c>
      <c r="AE9" s="751" t="s">
        <v>68</v>
      </c>
      <c r="AF9" s="751" t="s">
        <v>69</v>
      </c>
      <c r="AG9" s="751" t="s">
        <v>68</v>
      </c>
      <c r="AH9" s="751" t="s">
        <v>69</v>
      </c>
      <c r="AI9" s="751" t="s">
        <v>68</v>
      </c>
      <c r="AJ9" s="751" t="s">
        <v>69</v>
      </c>
      <c r="AK9" s="751" t="s">
        <v>68</v>
      </c>
      <c r="AL9" s="751" t="s">
        <v>69</v>
      </c>
      <c r="AM9" s="751" t="s">
        <v>68</v>
      </c>
      <c r="AN9" s="751" t="s">
        <v>69</v>
      </c>
      <c r="AO9" s="751" t="s">
        <v>68</v>
      </c>
      <c r="AP9" s="751" t="s">
        <v>69</v>
      </c>
      <c r="AQ9" s="751" t="s">
        <v>68</v>
      </c>
      <c r="AR9" s="751" t="s">
        <v>69</v>
      </c>
      <c r="AS9" s="751" t="s">
        <v>68</v>
      </c>
      <c r="AT9" s="751" t="s">
        <v>69</v>
      </c>
      <c r="AU9" s="751" t="s">
        <v>68</v>
      </c>
      <c r="AV9" s="751" t="s">
        <v>69</v>
      </c>
      <c r="AW9" s="751" t="s">
        <v>68</v>
      </c>
      <c r="AX9" s="751" t="s">
        <v>69</v>
      </c>
      <c r="AY9" s="751" t="s">
        <v>68</v>
      </c>
      <c r="AZ9" s="751" t="s">
        <v>69</v>
      </c>
      <c r="BA9" s="751" t="s">
        <v>68</v>
      </c>
      <c r="BB9" s="751" t="s">
        <v>69</v>
      </c>
      <c r="BC9" s="751" t="s">
        <v>68</v>
      </c>
      <c r="BD9" s="751" t="s">
        <v>69</v>
      </c>
      <c r="BE9" s="751" t="s">
        <v>68</v>
      </c>
      <c r="BF9" s="751" t="s">
        <v>69</v>
      </c>
      <c r="BG9" s="751" t="s">
        <v>68</v>
      </c>
      <c r="BH9" s="751" t="s">
        <v>69</v>
      </c>
      <c r="BI9" s="751" t="s">
        <v>68</v>
      </c>
      <c r="BJ9" s="2589"/>
      <c r="BK9" s="2674"/>
      <c r="BL9" s="2589"/>
      <c r="BM9" s="2676"/>
      <c r="BN9" s="130" t="s">
        <v>71</v>
      </c>
      <c r="BO9" s="677" t="s">
        <v>70</v>
      </c>
      <c r="BP9" s="2589"/>
      <c r="BQ9" s="321" t="s">
        <v>69</v>
      </c>
      <c r="BR9" s="322" t="s">
        <v>68</v>
      </c>
      <c r="BS9" s="322" t="s">
        <v>69</v>
      </c>
      <c r="BT9" s="322" t="s">
        <v>68</v>
      </c>
      <c r="BU9" s="703"/>
      <c r="BV9" s="4"/>
      <c r="BW9" s="4"/>
      <c r="BX9" s="4"/>
      <c r="BY9" s="4"/>
      <c r="BZ9" s="4"/>
      <c r="CA9" s="4"/>
      <c r="CB9" s="4"/>
      <c r="CC9" s="4"/>
      <c r="CD9" s="4"/>
      <c r="CE9" s="4"/>
      <c r="CF9" s="4"/>
      <c r="CG9" s="4"/>
      <c r="CH9" s="4"/>
      <c r="CI9" s="4"/>
      <c r="CJ9" s="4"/>
      <c r="CK9" s="4"/>
      <c r="CL9" s="4"/>
      <c r="CM9" s="4"/>
      <c r="CN9" s="4"/>
    </row>
    <row r="10" spans="1:92" s="1" customFormat="1" ht="21" customHeight="1" x14ac:dyDescent="0.25">
      <c r="A10" s="1249">
        <v>3</v>
      </c>
      <c r="B10" s="4967" t="s">
        <v>524</v>
      </c>
      <c r="C10" s="4968"/>
      <c r="D10" s="4968"/>
      <c r="E10" s="4968"/>
      <c r="F10" s="4968"/>
      <c r="G10" s="1250" t="s">
        <v>153</v>
      </c>
      <c r="H10" s="1250" t="s">
        <v>153</v>
      </c>
      <c r="I10" s="1250"/>
      <c r="J10" s="1250"/>
      <c r="K10" s="778"/>
      <c r="L10" s="778"/>
      <c r="M10" s="778"/>
      <c r="N10" s="778"/>
      <c r="O10" s="778"/>
      <c r="P10" s="778"/>
      <c r="Q10" s="778"/>
      <c r="R10" s="778"/>
      <c r="S10" s="1251"/>
      <c r="T10" s="1252"/>
      <c r="U10" s="781"/>
      <c r="V10" s="778"/>
      <c r="W10" s="778"/>
      <c r="X10" s="778"/>
      <c r="Y10" s="778"/>
      <c r="Z10" s="778"/>
      <c r="AA10" s="778"/>
      <c r="AB10" s="778"/>
      <c r="AC10" s="778"/>
      <c r="AD10" s="781"/>
      <c r="AE10" s="781"/>
      <c r="AF10" s="1253"/>
      <c r="AG10" s="1253"/>
      <c r="AH10" s="778"/>
      <c r="AI10" s="778"/>
      <c r="AJ10" s="778"/>
      <c r="AK10" s="778"/>
      <c r="AL10" s="778"/>
      <c r="AM10" s="778"/>
      <c r="AN10" s="778"/>
      <c r="AO10" s="778"/>
      <c r="AP10" s="778"/>
      <c r="AQ10" s="778"/>
      <c r="AR10" s="778"/>
      <c r="AS10" s="778"/>
      <c r="AT10" s="778"/>
      <c r="AU10" s="778"/>
      <c r="AV10" s="778"/>
      <c r="AW10" s="778"/>
      <c r="AX10" s="778"/>
      <c r="AY10" s="778"/>
      <c r="AZ10" s="778"/>
      <c r="BA10" s="778"/>
      <c r="BB10" s="778"/>
      <c r="BC10" s="778"/>
      <c r="BD10" s="778"/>
      <c r="BE10" s="778"/>
      <c r="BF10" s="778"/>
      <c r="BG10" s="778"/>
      <c r="BH10" s="778"/>
      <c r="BI10" s="778"/>
      <c r="BJ10" s="778"/>
      <c r="BK10" s="778"/>
      <c r="BL10" s="778"/>
      <c r="BM10" s="778"/>
      <c r="BN10" s="778"/>
      <c r="BO10" s="778"/>
      <c r="BP10" s="778"/>
      <c r="BQ10" s="778"/>
      <c r="BR10" s="778"/>
      <c r="BS10" s="778"/>
      <c r="BT10" s="778"/>
      <c r="BU10" s="253"/>
      <c r="BV10" s="4"/>
      <c r="BW10" s="4"/>
      <c r="BX10" s="4"/>
      <c r="BY10" s="4"/>
      <c r="BZ10" s="4"/>
      <c r="CA10" s="4"/>
      <c r="CB10" s="4"/>
      <c r="CC10" s="4"/>
      <c r="CD10" s="4"/>
      <c r="CE10" s="4"/>
      <c r="CF10" s="4"/>
      <c r="CG10" s="4"/>
      <c r="CH10" s="4"/>
      <c r="CI10" s="4"/>
      <c r="CJ10" s="4"/>
      <c r="CK10" s="4"/>
      <c r="CL10" s="4"/>
    </row>
    <row r="11" spans="1:92" s="1" customFormat="1" ht="21" customHeight="1" x14ac:dyDescent="0.25">
      <c r="A11" s="1254"/>
      <c r="B11" s="1255"/>
      <c r="C11" s="1256">
        <v>24</v>
      </c>
      <c r="D11" s="1257" t="s">
        <v>525</v>
      </c>
      <c r="E11" s="1258"/>
      <c r="F11" s="1259"/>
      <c r="G11" s="1259"/>
      <c r="H11" s="1259"/>
      <c r="I11" s="1259"/>
      <c r="J11" s="1259"/>
      <c r="K11" s="108"/>
      <c r="L11" s="108"/>
      <c r="M11" s="108"/>
      <c r="N11" s="108"/>
      <c r="O11" s="108"/>
      <c r="P11" s="108"/>
      <c r="Q11" s="108"/>
      <c r="R11" s="108"/>
      <c r="S11" s="114"/>
      <c r="T11" s="113"/>
      <c r="U11" s="110"/>
      <c r="V11" s="108"/>
      <c r="W11" s="108"/>
      <c r="X11" s="108"/>
      <c r="Y11" s="108"/>
      <c r="Z11" s="108"/>
      <c r="AA11" s="108"/>
      <c r="AB11" s="108"/>
      <c r="AC11" s="108"/>
      <c r="AD11" s="110"/>
      <c r="AE11" s="110"/>
      <c r="AF11" s="109"/>
      <c r="AG11" s="109"/>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257"/>
    </row>
    <row r="12" spans="1:92" ht="21.75" customHeight="1" x14ac:dyDescent="0.25">
      <c r="A12" s="4969" t="s">
        <v>153</v>
      </c>
      <c r="B12" s="4970"/>
      <c r="C12" s="1260"/>
      <c r="D12" s="1261"/>
      <c r="E12" s="1262">
        <v>2409</v>
      </c>
      <c r="F12" s="2879" t="s">
        <v>1788</v>
      </c>
      <c r="G12" s="3223"/>
      <c r="H12" s="3223"/>
      <c r="I12" s="3223"/>
      <c r="J12" s="3223"/>
      <c r="K12" s="3223"/>
      <c r="L12" s="1263" t="s">
        <v>153</v>
      </c>
      <c r="M12" s="1263"/>
      <c r="N12" s="1263"/>
      <c r="O12" s="1263" t="s">
        <v>153</v>
      </c>
      <c r="P12" s="1264"/>
      <c r="Q12" s="1263" t="s">
        <v>153</v>
      </c>
      <c r="R12" s="1263" t="s">
        <v>153</v>
      </c>
      <c r="S12" s="1263" t="s">
        <v>153</v>
      </c>
      <c r="T12" s="1263" t="s">
        <v>153</v>
      </c>
      <c r="U12" s="1263" t="s">
        <v>153</v>
      </c>
      <c r="V12" s="1263" t="s">
        <v>153</v>
      </c>
      <c r="W12" s="1263" t="s">
        <v>153</v>
      </c>
      <c r="X12" s="1263" t="s">
        <v>153</v>
      </c>
      <c r="Y12" s="1264"/>
      <c r="Z12" s="1264"/>
      <c r="AA12" s="1263" t="s">
        <v>153</v>
      </c>
      <c r="AB12" s="1264" t="s">
        <v>153</v>
      </c>
      <c r="AC12" s="1263" t="s">
        <v>153</v>
      </c>
      <c r="AD12" s="1263" t="s">
        <v>153</v>
      </c>
      <c r="AE12" s="1263"/>
      <c r="AF12" s="1263" t="s">
        <v>153</v>
      </c>
      <c r="AG12" s="1263"/>
      <c r="AH12" s="1263" t="s">
        <v>153</v>
      </c>
      <c r="AI12" s="1263"/>
      <c r="AJ12" s="1263" t="s">
        <v>153</v>
      </c>
      <c r="AK12" s="1263"/>
      <c r="AL12" s="1263" t="s">
        <v>153</v>
      </c>
      <c r="AM12" s="1263"/>
      <c r="AN12" s="1263" t="s">
        <v>153</v>
      </c>
      <c r="AO12" s="1263"/>
      <c r="AP12" s="1263" t="s">
        <v>153</v>
      </c>
      <c r="AQ12" s="1263"/>
      <c r="AR12" s="1263" t="s">
        <v>153</v>
      </c>
      <c r="AS12" s="1263"/>
      <c r="AT12" s="1263" t="s">
        <v>153</v>
      </c>
      <c r="AU12" s="1263"/>
      <c r="AV12" s="1263" t="s">
        <v>153</v>
      </c>
      <c r="AW12" s="1263"/>
      <c r="AX12" s="1263" t="s">
        <v>153</v>
      </c>
      <c r="AY12" s="1263"/>
      <c r="AZ12" s="1263" t="s">
        <v>153</v>
      </c>
      <c r="BA12" s="1263"/>
      <c r="BB12" s="1263" t="s">
        <v>153</v>
      </c>
      <c r="BC12" s="1263"/>
      <c r="BD12" s="1263" t="s">
        <v>153</v>
      </c>
      <c r="BE12" s="1263"/>
      <c r="BF12" s="1263" t="s">
        <v>153</v>
      </c>
      <c r="BG12" s="1263"/>
      <c r="BH12" s="1263" t="s">
        <v>153</v>
      </c>
      <c r="BI12" s="1263"/>
      <c r="BJ12" s="1263"/>
      <c r="BK12" s="1263"/>
      <c r="BL12" s="1263"/>
      <c r="BM12" s="1263"/>
      <c r="BN12" s="1263"/>
      <c r="BO12" s="1263"/>
      <c r="BP12" s="1263"/>
      <c r="BQ12" s="1263" t="s">
        <v>153</v>
      </c>
      <c r="BR12" s="1263"/>
      <c r="BS12" s="1263" t="s">
        <v>153</v>
      </c>
      <c r="BT12" s="1263"/>
      <c r="BU12" s="1265" t="s">
        <v>153</v>
      </c>
      <c r="BV12" s="1266" t="s">
        <v>153</v>
      </c>
      <c r="BW12" s="1266" t="s">
        <v>153</v>
      </c>
      <c r="BX12" s="1266" t="s">
        <v>153</v>
      </c>
      <c r="BY12" s="1266" t="s">
        <v>153</v>
      </c>
      <c r="BZ12" s="1266" t="s">
        <v>153</v>
      </c>
      <c r="CA12" s="1266" t="s">
        <v>153</v>
      </c>
      <c r="CB12" s="1266" t="s">
        <v>153</v>
      </c>
      <c r="CC12" s="1266" t="s">
        <v>153</v>
      </c>
      <c r="CD12" s="1266" t="s">
        <v>153</v>
      </c>
      <c r="CE12" s="1266" t="s">
        <v>153</v>
      </c>
      <c r="CF12" s="1266" t="s">
        <v>153</v>
      </c>
      <c r="CG12" s="1266" t="s">
        <v>153</v>
      </c>
      <c r="CH12" s="1266" t="s">
        <v>153</v>
      </c>
      <c r="CI12" s="1266" t="s">
        <v>153</v>
      </c>
      <c r="CJ12" s="1266" t="s">
        <v>153</v>
      </c>
      <c r="CK12" s="1266" t="s">
        <v>153</v>
      </c>
      <c r="CL12" s="1266" t="s">
        <v>153</v>
      </c>
      <c r="CM12" s="1266" t="s">
        <v>153</v>
      </c>
    </row>
    <row r="13" spans="1:92" ht="86.25" customHeight="1" x14ac:dyDescent="0.25">
      <c r="A13" s="4969"/>
      <c r="B13" s="4970"/>
      <c r="C13" s="1268"/>
      <c r="D13" s="1269"/>
      <c r="E13" s="4549" t="s">
        <v>153</v>
      </c>
      <c r="F13" s="4973" t="s">
        <v>153</v>
      </c>
      <c r="G13" s="1207" t="s">
        <v>20</v>
      </c>
      <c r="H13" s="1270" t="s">
        <v>1789</v>
      </c>
      <c r="I13" s="1207">
        <v>2409009</v>
      </c>
      <c r="J13" s="1270" t="s">
        <v>1790</v>
      </c>
      <c r="K13" s="1207" t="s">
        <v>20</v>
      </c>
      <c r="L13" s="1270" t="s">
        <v>1791</v>
      </c>
      <c r="M13" s="1207">
        <v>240900900</v>
      </c>
      <c r="N13" s="1270" t="s">
        <v>1792</v>
      </c>
      <c r="O13" s="1271">
        <v>1</v>
      </c>
      <c r="P13" s="1272">
        <f>'[6]F-PLA-47EjecucionMetasProyectos'!N17</f>
        <v>0.8</v>
      </c>
      <c r="Q13" s="4028" t="s">
        <v>1793</v>
      </c>
      <c r="R13" s="3403" t="s">
        <v>1794</v>
      </c>
      <c r="S13" s="1273">
        <f>X13/T13</f>
        <v>0.25852463478813176</v>
      </c>
      <c r="T13" s="4975">
        <f>SUM(X13:X16)</f>
        <v>110210000</v>
      </c>
      <c r="U13" s="4978" t="s">
        <v>1795</v>
      </c>
      <c r="V13" s="2771" t="s">
        <v>1796</v>
      </c>
      <c r="W13" s="1274" t="s">
        <v>1797</v>
      </c>
      <c r="X13" s="1275">
        <f>'[6]F-PLA-47EjecucionMetasProyectos'!S17</f>
        <v>28492000</v>
      </c>
      <c r="Y13" s="1276">
        <f>'[6]F-PLA-47EjecucionMetasProyectos'!V17</f>
        <v>27798000</v>
      </c>
      <c r="Z13" s="1276">
        <f>'[6]F-PLA-47EjecucionMetasProyectos'!W17</f>
        <v>27798000</v>
      </c>
      <c r="AA13" s="1277" t="s">
        <v>1798</v>
      </c>
      <c r="AB13" s="682">
        <v>23</v>
      </c>
      <c r="AC13" s="1271" t="s">
        <v>1799</v>
      </c>
      <c r="AD13" s="4980">
        <v>57163</v>
      </c>
      <c r="AE13" s="4980">
        <f>AD13*AE17</f>
        <v>57163</v>
      </c>
      <c r="AF13" s="4980">
        <v>57815</v>
      </c>
      <c r="AG13" s="4980">
        <f>AF13*AE17</f>
        <v>57815</v>
      </c>
      <c r="AH13" s="4980">
        <v>27805</v>
      </c>
      <c r="AI13" s="4980">
        <f>AH13*AE17</f>
        <v>27805</v>
      </c>
      <c r="AJ13" s="4980">
        <v>8790</v>
      </c>
      <c r="AK13" s="4980">
        <f>AJ13*AE17</f>
        <v>8790</v>
      </c>
      <c r="AL13" s="4980">
        <v>60583</v>
      </c>
      <c r="AM13" s="4980">
        <f>AL13*AE17</f>
        <v>60583</v>
      </c>
      <c r="AN13" s="4980">
        <v>17800</v>
      </c>
      <c r="AO13" s="4980">
        <f>AN13*AE17</f>
        <v>17800</v>
      </c>
      <c r="AP13" s="4980">
        <v>283</v>
      </c>
      <c r="AQ13" s="4980">
        <f>AP13*AE17</f>
        <v>283</v>
      </c>
      <c r="AR13" s="4980">
        <v>1495</v>
      </c>
      <c r="AS13" s="4980">
        <f>AR13*AE17</f>
        <v>1495</v>
      </c>
      <c r="AT13" s="4980">
        <v>8</v>
      </c>
      <c r="AU13" s="4980">
        <f>AT13*AE17</f>
        <v>8</v>
      </c>
      <c r="AV13" s="4980">
        <v>0</v>
      </c>
      <c r="AW13" s="4980">
        <v>0</v>
      </c>
      <c r="AX13" s="4980">
        <v>0</v>
      </c>
      <c r="AY13" s="4980">
        <v>0</v>
      </c>
      <c r="AZ13" s="4980">
        <v>0</v>
      </c>
      <c r="BA13" s="4980">
        <v>0</v>
      </c>
      <c r="BB13" s="4980">
        <v>44350</v>
      </c>
      <c r="BC13" s="4980">
        <f>BB13*AE17</f>
        <v>44350</v>
      </c>
      <c r="BD13" s="4980">
        <v>6251</v>
      </c>
      <c r="BE13" s="4980">
        <f>BD13*AE17</f>
        <v>6251</v>
      </c>
      <c r="BF13" s="4980">
        <v>75687</v>
      </c>
      <c r="BG13" s="4980">
        <f>BF13*AE17</f>
        <v>75687</v>
      </c>
      <c r="BH13" s="4980">
        <f>SUM(AH13:BF16)</f>
        <v>410417</v>
      </c>
      <c r="BI13" s="4980">
        <f>BH13*AE17</f>
        <v>410417</v>
      </c>
      <c r="BJ13" s="2875">
        <v>16</v>
      </c>
      <c r="BK13" s="4982">
        <f>SUM(Y13:Y16)</f>
        <v>107716000</v>
      </c>
      <c r="BL13" s="4982">
        <f>SUM(Z13:Z16)</f>
        <v>107716000</v>
      </c>
      <c r="BM13" s="4985">
        <f>BL13/BK13</f>
        <v>1</v>
      </c>
      <c r="BN13" s="2875">
        <v>23</v>
      </c>
      <c r="BO13" s="2875" t="s">
        <v>1799</v>
      </c>
      <c r="BP13" s="2875" t="s">
        <v>1800</v>
      </c>
      <c r="BQ13" s="4983">
        <v>44198</v>
      </c>
      <c r="BR13" s="4983">
        <v>44198</v>
      </c>
      <c r="BS13" s="4983">
        <v>44561</v>
      </c>
      <c r="BT13" s="4983">
        <v>44561</v>
      </c>
      <c r="BU13" s="2875" t="s">
        <v>1801</v>
      </c>
      <c r="BV13" s="1278" t="s">
        <v>153</v>
      </c>
      <c r="BW13" s="1278" t="s">
        <v>153</v>
      </c>
      <c r="BX13" s="1278" t="s">
        <v>153</v>
      </c>
      <c r="BY13" s="1278" t="s">
        <v>153</v>
      </c>
      <c r="BZ13" s="1278" t="s">
        <v>153</v>
      </c>
      <c r="CA13" s="1278" t="s">
        <v>153</v>
      </c>
      <c r="CB13" s="1278" t="s">
        <v>153</v>
      </c>
      <c r="CC13" s="1278" t="s">
        <v>153</v>
      </c>
      <c r="CD13" s="1278" t="s">
        <v>153</v>
      </c>
      <c r="CE13" s="1278" t="s">
        <v>153</v>
      </c>
      <c r="CF13" s="1278" t="s">
        <v>153</v>
      </c>
      <c r="CG13" s="1278" t="s">
        <v>153</v>
      </c>
      <c r="CH13" s="1278" t="s">
        <v>153</v>
      </c>
      <c r="CI13" s="1278" t="s">
        <v>153</v>
      </c>
      <c r="CJ13" s="1278" t="s">
        <v>153</v>
      </c>
      <c r="CK13" s="1278" t="s">
        <v>153</v>
      </c>
      <c r="CL13" s="1278" t="s">
        <v>153</v>
      </c>
      <c r="CM13" s="1278" t="s">
        <v>153</v>
      </c>
    </row>
    <row r="14" spans="1:92" ht="92.25" customHeight="1" x14ac:dyDescent="0.25">
      <c r="A14" s="4969"/>
      <c r="B14" s="4970"/>
      <c r="C14" s="1268"/>
      <c r="D14" s="1269"/>
      <c r="E14" s="4541"/>
      <c r="F14" s="4528"/>
      <c r="G14" s="1207" t="s">
        <v>20</v>
      </c>
      <c r="H14" s="1270" t="s">
        <v>1802</v>
      </c>
      <c r="I14" s="1207">
        <v>2409022</v>
      </c>
      <c r="J14" s="1270" t="s">
        <v>1803</v>
      </c>
      <c r="K14" s="1207" t="s">
        <v>20</v>
      </c>
      <c r="L14" s="1270" t="s">
        <v>1804</v>
      </c>
      <c r="M14" s="1207">
        <v>240902202</v>
      </c>
      <c r="N14" s="1270" t="s">
        <v>1805</v>
      </c>
      <c r="O14" s="1271">
        <v>1</v>
      </c>
      <c r="P14" s="1272">
        <f>'[6]F-PLA-47EjecucionMetasProyectos'!N18</f>
        <v>0.9</v>
      </c>
      <c r="Q14" s="4028"/>
      <c r="R14" s="3403"/>
      <c r="S14" s="1273">
        <f>X14/T13</f>
        <v>0.12614100353869884</v>
      </c>
      <c r="T14" s="4976"/>
      <c r="U14" s="4978"/>
      <c r="V14" s="2771"/>
      <c r="W14" s="689" t="s">
        <v>1806</v>
      </c>
      <c r="X14" s="1275">
        <f>'[6]F-PLA-47EjecucionMetasProyectos'!S18</f>
        <v>13902000</v>
      </c>
      <c r="Y14" s="1276">
        <f>'[6]F-PLA-47EjecucionMetasProyectos'!V18</f>
        <v>13902000</v>
      </c>
      <c r="Z14" s="1276">
        <f>'[6]F-PLA-47EjecucionMetasProyectos'!W18</f>
        <v>13902000</v>
      </c>
      <c r="AA14" s="1277" t="s">
        <v>1807</v>
      </c>
      <c r="AB14" s="682">
        <v>23</v>
      </c>
      <c r="AC14" s="1271" t="s">
        <v>1799</v>
      </c>
      <c r="AD14" s="4980"/>
      <c r="AE14" s="4980"/>
      <c r="AF14" s="4980"/>
      <c r="AG14" s="4980"/>
      <c r="AH14" s="4980"/>
      <c r="AI14" s="4980"/>
      <c r="AJ14" s="4980"/>
      <c r="AK14" s="4980"/>
      <c r="AL14" s="4980"/>
      <c r="AM14" s="4980"/>
      <c r="AN14" s="4980"/>
      <c r="AO14" s="4980"/>
      <c r="AP14" s="4980"/>
      <c r="AQ14" s="4980"/>
      <c r="AR14" s="4980"/>
      <c r="AS14" s="4980"/>
      <c r="AT14" s="4980"/>
      <c r="AU14" s="4980"/>
      <c r="AV14" s="4980"/>
      <c r="AW14" s="4980"/>
      <c r="AX14" s="4980"/>
      <c r="AY14" s="4980"/>
      <c r="AZ14" s="4980"/>
      <c r="BA14" s="4980"/>
      <c r="BB14" s="4980"/>
      <c r="BC14" s="4980"/>
      <c r="BD14" s="4980"/>
      <c r="BE14" s="4980"/>
      <c r="BF14" s="4980"/>
      <c r="BG14" s="4980"/>
      <c r="BH14" s="4980"/>
      <c r="BI14" s="4980"/>
      <c r="BJ14" s="2875"/>
      <c r="BK14" s="2875"/>
      <c r="BL14" s="2875"/>
      <c r="BM14" s="4451"/>
      <c r="BN14" s="2875"/>
      <c r="BO14" s="2875"/>
      <c r="BP14" s="2875"/>
      <c r="BQ14" s="2875"/>
      <c r="BR14" s="2875"/>
      <c r="BS14" s="2875"/>
      <c r="BT14" s="2875"/>
      <c r="BU14" s="2875"/>
      <c r="BV14" s="1278" t="s">
        <v>153</v>
      </c>
      <c r="BW14" s="1278" t="s">
        <v>153</v>
      </c>
      <c r="BX14" s="1278" t="s">
        <v>153</v>
      </c>
      <c r="BY14" s="1278" t="s">
        <v>153</v>
      </c>
      <c r="BZ14" s="1278" t="s">
        <v>153</v>
      </c>
      <c r="CA14" s="1278" t="s">
        <v>153</v>
      </c>
      <c r="CB14" s="1278" t="s">
        <v>153</v>
      </c>
      <c r="CC14" s="1278" t="s">
        <v>153</v>
      </c>
      <c r="CD14" s="1278" t="s">
        <v>153</v>
      </c>
      <c r="CE14" s="1278" t="s">
        <v>153</v>
      </c>
      <c r="CF14" s="1278" t="s">
        <v>153</v>
      </c>
      <c r="CG14" s="1278" t="s">
        <v>153</v>
      </c>
      <c r="CH14" s="1278" t="s">
        <v>153</v>
      </c>
      <c r="CI14" s="1278" t="s">
        <v>153</v>
      </c>
      <c r="CJ14" s="1278" t="s">
        <v>153</v>
      </c>
      <c r="CK14" s="1278" t="s">
        <v>153</v>
      </c>
      <c r="CL14" s="1278" t="s">
        <v>153</v>
      </c>
      <c r="CM14" s="1278" t="s">
        <v>153</v>
      </c>
    </row>
    <row r="15" spans="1:92" ht="113.25" customHeight="1" x14ac:dyDescent="0.25">
      <c r="A15" s="4969"/>
      <c r="B15" s="4970"/>
      <c r="C15" s="1268"/>
      <c r="D15" s="1269"/>
      <c r="E15" s="4541"/>
      <c r="F15" s="4528"/>
      <c r="G15" s="1207" t="s">
        <v>20</v>
      </c>
      <c r="H15" s="1270" t="s">
        <v>1808</v>
      </c>
      <c r="I15" s="1207">
        <v>2409014</v>
      </c>
      <c r="J15" s="1270" t="s">
        <v>941</v>
      </c>
      <c r="K15" s="1207" t="s">
        <v>20</v>
      </c>
      <c r="L15" s="1270" t="s">
        <v>1809</v>
      </c>
      <c r="M15" s="1207">
        <v>240901400</v>
      </c>
      <c r="N15" s="1270" t="s">
        <v>1589</v>
      </c>
      <c r="O15" s="1271">
        <v>1</v>
      </c>
      <c r="P15" s="1272">
        <f>'[6]F-PLA-47EjecucionMetasProyectos'!N19</f>
        <v>0.9</v>
      </c>
      <c r="Q15" s="4028"/>
      <c r="R15" s="3403"/>
      <c r="S15" s="1273">
        <f>X15/T13</f>
        <v>0.29104436983939752</v>
      </c>
      <c r="T15" s="4976"/>
      <c r="U15" s="4978"/>
      <c r="V15" s="2771"/>
      <c r="W15" s="689" t="s">
        <v>1810</v>
      </c>
      <c r="X15" s="1275">
        <f>'[6]F-PLA-47EjecucionMetasProyectos'!S19</f>
        <v>32076000</v>
      </c>
      <c r="Y15" s="1276">
        <f>'[6]F-PLA-47EjecucionMetasProyectos'!V19</f>
        <v>30495000</v>
      </c>
      <c r="Z15" s="1276">
        <f>'[6]F-PLA-47EjecucionMetasProyectos'!W19</f>
        <v>30495000</v>
      </c>
      <c r="AA15" s="1277" t="s">
        <v>1811</v>
      </c>
      <c r="AB15" s="682">
        <v>23</v>
      </c>
      <c r="AC15" s="1271" t="s">
        <v>1799</v>
      </c>
      <c r="AD15" s="4980"/>
      <c r="AE15" s="4980"/>
      <c r="AF15" s="4980"/>
      <c r="AG15" s="4980"/>
      <c r="AH15" s="4980"/>
      <c r="AI15" s="4980"/>
      <c r="AJ15" s="4980"/>
      <c r="AK15" s="4980"/>
      <c r="AL15" s="4980"/>
      <c r="AM15" s="4980"/>
      <c r="AN15" s="4980"/>
      <c r="AO15" s="4980"/>
      <c r="AP15" s="4980"/>
      <c r="AQ15" s="4980"/>
      <c r="AR15" s="4980"/>
      <c r="AS15" s="4980"/>
      <c r="AT15" s="4980"/>
      <c r="AU15" s="4980"/>
      <c r="AV15" s="4980"/>
      <c r="AW15" s="4980"/>
      <c r="AX15" s="4980"/>
      <c r="AY15" s="4980"/>
      <c r="AZ15" s="4980"/>
      <c r="BA15" s="4980"/>
      <c r="BB15" s="4980"/>
      <c r="BC15" s="4980"/>
      <c r="BD15" s="4980"/>
      <c r="BE15" s="4980"/>
      <c r="BF15" s="4980"/>
      <c r="BG15" s="4980"/>
      <c r="BH15" s="4980"/>
      <c r="BI15" s="4980"/>
      <c r="BJ15" s="2875"/>
      <c r="BK15" s="2875"/>
      <c r="BL15" s="2875"/>
      <c r="BM15" s="4451"/>
      <c r="BN15" s="2875"/>
      <c r="BO15" s="2875"/>
      <c r="BP15" s="2875"/>
      <c r="BQ15" s="2875"/>
      <c r="BR15" s="2875"/>
      <c r="BS15" s="2875"/>
      <c r="BT15" s="2875"/>
      <c r="BU15" s="2875"/>
      <c r="BV15" s="1278" t="s">
        <v>153</v>
      </c>
      <c r="BW15" s="1278" t="s">
        <v>153</v>
      </c>
      <c r="BX15" s="1278" t="s">
        <v>153</v>
      </c>
      <c r="BY15" s="1278" t="s">
        <v>153</v>
      </c>
      <c r="BZ15" s="1278" t="s">
        <v>153</v>
      </c>
      <c r="CA15" s="1278" t="s">
        <v>153</v>
      </c>
      <c r="CB15" s="1278" t="s">
        <v>153</v>
      </c>
      <c r="CC15" s="1278" t="s">
        <v>153</v>
      </c>
      <c r="CD15" s="1278" t="s">
        <v>153</v>
      </c>
      <c r="CE15" s="1278" t="s">
        <v>153</v>
      </c>
      <c r="CF15" s="1278" t="s">
        <v>153</v>
      </c>
      <c r="CG15" s="1278" t="s">
        <v>153</v>
      </c>
      <c r="CH15" s="1278" t="s">
        <v>153</v>
      </c>
      <c r="CI15" s="1278" t="s">
        <v>153</v>
      </c>
      <c r="CJ15" s="1278" t="s">
        <v>153</v>
      </c>
      <c r="CK15" s="1278" t="s">
        <v>153</v>
      </c>
      <c r="CL15" s="1278" t="s">
        <v>153</v>
      </c>
      <c r="CM15" s="1278" t="s">
        <v>153</v>
      </c>
    </row>
    <row r="16" spans="1:92" ht="109.5" customHeight="1" x14ac:dyDescent="0.25">
      <c r="A16" s="4969"/>
      <c r="B16" s="4970"/>
      <c r="C16" s="1268"/>
      <c r="D16" s="1269"/>
      <c r="E16" s="4542"/>
      <c r="F16" s="4974"/>
      <c r="G16" s="1207" t="s">
        <v>20</v>
      </c>
      <c r="H16" s="1270" t="s">
        <v>1812</v>
      </c>
      <c r="I16" s="1207">
        <v>2409039</v>
      </c>
      <c r="J16" s="1270" t="s">
        <v>1813</v>
      </c>
      <c r="K16" s="1207" t="s">
        <v>20</v>
      </c>
      <c r="L16" s="1270" t="s">
        <v>1814</v>
      </c>
      <c r="M16" s="1207">
        <v>240903905</v>
      </c>
      <c r="N16" s="1270" t="s">
        <v>1815</v>
      </c>
      <c r="O16" s="1271">
        <v>1</v>
      </c>
      <c r="P16" s="1272">
        <f>'[6]F-PLA-47EjecucionMetasProyectos'!N20</f>
        <v>0.9</v>
      </c>
      <c r="Q16" s="4747"/>
      <c r="R16" s="3417"/>
      <c r="S16" s="1273">
        <f>X16/T13</f>
        <v>0.32428999183377188</v>
      </c>
      <c r="T16" s="4977"/>
      <c r="U16" s="4979"/>
      <c r="V16" s="3357"/>
      <c r="W16" s="689" t="s">
        <v>1816</v>
      </c>
      <c r="X16" s="1275">
        <f>'[6]F-PLA-47EjecucionMetasProyectos'!S20</f>
        <v>35740000</v>
      </c>
      <c r="Y16" s="1276">
        <f>'[6]F-PLA-47EjecucionMetasProyectos'!V20</f>
        <v>35521000</v>
      </c>
      <c r="Z16" s="1276">
        <f>'[6]F-PLA-47EjecucionMetasProyectos'!W20</f>
        <v>35521000</v>
      </c>
      <c r="AA16" s="1277" t="s">
        <v>1817</v>
      </c>
      <c r="AB16" s="682">
        <v>23</v>
      </c>
      <c r="AC16" s="1271" t="s">
        <v>1799</v>
      </c>
      <c r="AD16" s="4981"/>
      <c r="AE16" s="4981"/>
      <c r="AF16" s="4981"/>
      <c r="AG16" s="4981"/>
      <c r="AH16" s="4981"/>
      <c r="AI16" s="4981"/>
      <c r="AJ16" s="4981"/>
      <c r="AK16" s="4981"/>
      <c r="AL16" s="4981"/>
      <c r="AM16" s="4981"/>
      <c r="AN16" s="4981"/>
      <c r="AO16" s="4981"/>
      <c r="AP16" s="4981"/>
      <c r="AQ16" s="4981"/>
      <c r="AR16" s="4981"/>
      <c r="AS16" s="4981"/>
      <c r="AT16" s="4981"/>
      <c r="AU16" s="4981"/>
      <c r="AV16" s="4981"/>
      <c r="AW16" s="4981"/>
      <c r="AX16" s="4981"/>
      <c r="AY16" s="4981"/>
      <c r="AZ16" s="4981"/>
      <c r="BA16" s="4981"/>
      <c r="BB16" s="4981"/>
      <c r="BC16" s="4981"/>
      <c r="BD16" s="4981"/>
      <c r="BE16" s="4981"/>
      <c r="BF16" s="4981"/>
      <c r="BG16" s="4981"/>
      <c r="BH16" s="4981"/>
      <c r="BI16" s="4981"/>
      <c r="BJ16" s="2837"/>
      <c r="BK16" s="2837"/>
      <c r="BL16" s="2837"/>
      <c r="BM16" s="4986"/>
      <c r="BN16" s="2837"/>
      <c r="BO16" s="2837"/>
      <c r="BP16" s="2837"/>
      <c r="BQ16" s="4984"/>
      <c r="BR16" s="4984"/>
      <c r="BS16" s="4984"/>
      <c r="BT16" s="4984"/>
      <c r="BU16" s="4984"/>
      <c r="BV16" s="1278" t="s">
        <v>153</v>
      </c>
      <c r="BW16" s="1278" t="s">
        <v>153</v>
      </c>
      <c r="BX16" s="1278" t="s">
        <v>153</v>
      </c>
      <c r="BY16" s="1278" t="s">
        <v>153</v>
      </c>
      <c r="BZ16" s="1278" t="s">
        <v>153</v>
      </c>
      <c r="CA16" s="1278" t="s">
        <v>153</v>
      </c>
      <c r="CB16" s="1278" t="s">
        <v>153</v>
      </c>
      <c r="CC16" s="1278" t="s">
        <v>153</v>
      </c>
      <c r="CD16" s="1278" t="s">
        <v>153</v>
      </c>
      <c r="CE16" s="1278" t="s">
        <v>153</v>
      </c>
      <c r="CF16" s="1278" t="s">
        <v>153</v>
      </c>
      <c r="CG16" s="1278" t="s">
        <v>153</v>
      </c>
      <c r="CH16" s="1278" t="s">
        <v>153</v>
      </c>
      <c r="CI16" s="1278" t="s">
        <v>153</v>
      </c>
      <c r="CJ16" s="1278" t="s">
        <v>153</v>
      </c>
      <c r="CK16" s="1278" t="s">
        <v>153</v>
      </c>
      <c r="CL16" s="1278" t="s">
        <v>153</v>
      </c>
      <c r="CM16" s="1278" t="s">
        <v>153</v>
      </c>
    </row>
    <row r="17" spans="1:91" s="1" customFormat="1" ht="25.5" customHeight="1" x14ac:dyDescent="0.25">
      <c r="A17" s="4971"/>
      <c r="B17" s="4972"/>
      <c r="C17" s="1280"/>
      <c r="D17" s="1281"/>
      <c r="E17" s="1282" t="s">
        <v>153</v>
      </c>
      <c r="F17" s="1282" t="s">
        <v>153</v>
      </c>
      <c r="G17" s="1282" t="s">
        <v>153</v>
      </c>
      <c r="H17" s="1282" t="s">
        <v>153</v>
      </c>
      <c r="I17" s="1282"/>
      <c r="J17" s="1282"/>
      <c r="K17" s="1282" t="s">
        <v>153</v>
      </c>
      <c r="L17" s="1282" t="s">
        <v>153</v>
      </c>
      <c r="M17" s="1282"/>
      <c r="N17" s="1282"/>
      <c r="O17" s="1282" t="s">
        <v>153</v>
      </c>
      <c r="P17" s="1282"/>
      <c r="Q17" s="1282" t="s">
        <v>153</v>
      </c>
      <c r="R17" s="1282" t="s">
        <v>153</v>
      </c>
      <c r="S17" s="1282" t="s">
        <v>153</v>
      </c>
      <c r="T17" s="1283">
        <f>SUM(T13:T16)</f>
        <v>110210000</v>
      </c>
      <c r="U17" s="1282" t="s">
        <v>153</v>
      </c>
      <c r="V17" s="1282" t="s">
        <v>153</v>
      </c>
      <c r="W17" s="1282" t="s">
        <v>153</v>
      </c>
      <c r="X17" s="1284">
        <f>SUM(X13:X16)</f>
        <v>110210000</v>
      </c>
      <c r="Y17" s="1284">
        <f t="shared" ref="Y17:Z17" si="0">SUM(Y13:Y16)</f>
        <v>107716000</v>
      </c>
      <c r="Z17" s="1284">
        <f t="shared" si="0"/>
        <v>107716000</v>
      </c>
      <c r="AA17" s="1282" t="s">
        <v>153</v>
      </c>
      <c r="AB17" s="1282" t="s">
        <v>153</v>
      </c>
      <c r="AC17" s="1282" t="s">
        <v>153</v>
      </c>
      <c r="AD17" s="1282" t="s">
        <v>153</v>
      </c>
      <c r="AE17" s="1285">
        <f>BM17</f>
        <v>1</v>
      </c>
      <c r="AF17" s="1282" t="s">
        <v>153</v>
      </c>
      <c r="AG17" s="1282"/>
      <c r="AH17" s="1282" t="s">
        <v>153</v>
      </c>
      <c r="AI17" s="1282"/>
      <c r="AJ17" s="1282" t="s">
        <v>153</v>
      </c>
      <c r="AK17" s="1282"/>
      <c r="AL17" s="1282" t="s">
        <v>153</v>
      </c>
      <c r="AM17" s="1282"/>
      <c r="AN17" s="1282" t="s">
        <v>153</v>
      </c>
      <c r="AO17" s="1282"/>
      <c r="AP17" s="1282" t="s">
        <v>153</v>
      </c>
      <c r="AQ17" s="1282"/>
      <c r="AR17" s="1282" t="s">
        <v>153</v>
      </c>
      <c r="AS17" s="1282"/>
      <c r="AT17" s="1282" t="s">
        <v>153</v>
      </c>
      <c r="AU17" s="1282"/>
      <c r="AV17" s="1282" t="s">
        <v>153</v>
      </c>
      <c r="AW17" s="1282"/>
      <c r="AX17" s="1282" t="s">
        <v>153</v>
      </c>
      <c r="AY17" s="1282"/>
      <c r="AZ17" s="1282" t="s">
        <v>153</v>
      </c>
      <c r="BA17" s="1282"/>
      <c r="BB17" s="1282" t="s">
        <v>153</v>
      </c>
      <c r="BC17" s="1282"/>
      <c r="BD17" s="1282" t="s">
        <v>153</v>
      </c>
      <c r="BE17" s="1282"/>
      <c r="BF17" s="1282" t="s">
        <v>153</v>
      </c>
      <c r="BG17" s="1282"/>
      <c r="BH17" s="1282" t="s">
        <v>153</v>
      </c>
      <c r="BI17" s="1282"/>
      <c r="BJ17" s="1282"/>
      <c r="BK17" s="1286">
        <f>SUM(BK13:BK16)</f>
        <v>107716000</v>
      </c>
      <c r="BL17" s="1286">
        <f>SUM(BL13:BL16)</f>
        <v>107716000</v>
      </c>
      <c r="BM17" s="1287">
        <f>BL17/BK17</f>
        <v>1</v>
      </c>
      <c r="BN17" s="1282"/>
      <c r="BO17" s="1282"/>
      <c r="BP17" s="1282"/>
      <c r="BQ17" s="1282" t="s">
        <v>153</v>
      </c>
      <c r="BR17" s="1282"/>
      <c r="BS17" s="1282" t="s">
        <v>153</v>
      </c>
      <c r="BT17" s="1282"/>
      <c r="BU17" s="1288" t="s">
        <v>153</v>
      </c>
      <c r="BV17" s="1278" t="s">
        <v>153</v>
      </c>
      <c r="BW17" s="1278" t="s">
        <v>153</v>
      </c>
      <c r="BX17" s="1278" t="s">
        <v>153</v>
      </c>
      <c r="BY17" s="1278" t="s">
        <v>153</v>
      </c>
      <c r="BZ17" s="1278" t="s">
        <v>153</v>
      </c>
      <c r="CA17" s="1278" t="s">
        <v>153</v>
      </c>
      <c r="CB17" s="1278" t="s">
        <v>153</v>
      </c>
      <c r="CC17" s="1278" t="s">
        <v>153</v>
      </c>
      <c r="CD17" s="1278" t="s">
        <v>153</v>
      </c>
      <c r="CE17" s="1278" t="s">
        <v>153</v>
      </c>
      <c r="CF17" s="1278" t="s">
        <v>153</v>
      </c>
      <c r="CG17" s="1278" t="s">
        <v>153</v>
      </c>
      <c r="CH17" s="1278" t="s">
        <v>153</v>
      </c>
      <c r="CI17" s="1278" t="s">
        <v>153</v>
      </c>
      <c r="CJ17" s="1278" t="s">
        <v>153</v>
      </c>
      <c r="CK17" s="1278" t="s">
        <v>153</v>
      </c>
      <c r="CL17" s="1278" t="s">
        <v>153</v>
      </c>
      <c r="CM17" s="1278" t="s">
        <v>153</v>
      </c>
    </row>
    <row r="19" spans="1:91" x14ac:dyDescent="0.25">
      <c r="X19" s="1289"/>
    </row>
  </sheetData>
  <mergeCells count="121">
    <mergeCell ref="BS13:BS16"/>
    <mergeCell ref="BT13:BT16"/>
    <mergeCell ref="BU13:BU16"/>
    <mergeCell ref="BM13:BM16"/>
    <mergeCell ref="BN13:BN16"/>
    <mergeCell ref="BO13:BO16"/>
    <mergeCell ref="BP13:BP16"/>
    <mergeCell ref="BQ13:BQ16"/>
    <mergeCell ref="BR13:BR16"/>
    <mergeCell ref="BG13:BG16"/>
    <mergeCell ref="BH13:BH16"/>
    <mergeCell ref="BI13:BI16"/>
    <mergeCell ref="BJ13:BJ16"/>
    <mergeCell ref="BK13:BK16"/>
    <mergeCell ref="BL13:BL16"/>
    <mergeCell ref="BA13:BA16"/>
    <mergeCell ref="BB13:BB16"/>
    <mergeCell ref="BC13:BC16"/>
    <mergeCell ref="BD13:BD16"/>
    <mergeCell ref="BE13:BE16"/>
    <mergeCell ref="BF13:BF16"/>
    <mergeCell ref="AU13:AU16"/>
    <mergeCell ref="AV13:AV16"/>
    <mergeCell ref="AW13:AW16"/>
    <mergeCell ref="AX13:AX16"/>
    <mergeCell ref="AY13:AY16"/>
    <mergeCell ref="AZ13:AZ16"/>
    <mergeCell ref="AO13:AO16"/>
    <mergeCell ref="AP13:AP16"/>
    <mergeCell ref="AQ13:AQ16"/>
    <mergeCell ref="AR13:AR16"/>
    <mergeCell ref="AS13:AS16"/>
    <mergeCell ref="AT13:AT16"/>
    <mergeCell ref="AI13:AI16"/>
    <mergeCell ref="AJ13:AJ16"/>
    <mergeCell ref="AK13:AK16"/>
    <mergeCell ref="AL13:AL16"/>
    <mergeCell ref="AM13:AM16"/>
    <mergeCell ref="AN13:AN16"/>
    <mergeCell ref="V13:V16"/>
    <mergeCell ref="AD13:AD16"/>
    <mergeCell ref="AE13:AE16"/>
    <mergeCell ref="AF13:AF16"/>
    <mergeCell ref="AG13:AG16"/>
    <mergeCell ref="AH13:AH16"/>
    <mergeCell ref="BP8:BP9"/>
    <mergeCell ref="B10:F10"/>
    <mergeCell ref="A12:B17"/>
    <mergeCell ref="F12:K12"/>
    <mergeCell ref="E13:E16"/>
    <mergeCell ref="F13:F16"/>
    <mergeCell ref="Q13:Q16"/>
    <mergeCell ref="R13:R16"/>
    <mergeCell ref="T13:T16"/>
    <mergeCell ref="U13:U16"/>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B7:BG7"/>
    <mergeCell ref="BH7:BI8"/>
    <mergeCell ref="AB8:AB9"/>
    <mergeCell ref="AC8:AC9"/>
    <mergeCell ref="AD8:AE8"/>
    <mergeCell ref="AF8:AG8"/>
    <mergeCell ref="M8:M9"/>
    <mergeCell ref="N8:N9"/>
    <mergeCell ref="O8:P8"/>
    <mergeCell ref="Q8:Q9"/>
    <mergeCell ref="R8:R9"/>
    <mergeCell ref="S8:S9"/>
    <mergeCell ref="AR8:AS8"/>
    <mergeCell ref="A1:BS4"/>
    <mergeCell ref="A5:O6"/>
    <mergeCell ref="Q5:BU5"/>
    <mergeCell ref="AH6:BQ6"/>
    <mergeCell ref="A7:B7"/>
    <mergeCell ref="C7:D7"/>
    <mergeCell ref="E7:F7"/>
    <mergeCell ref="G7:J7"/>
    <mergeCell ref="K7:N7"/>
    <mergeCell ref="O7:X7"/>
    <mergeCell ref="BJ7:BP7"/>
    <mergeCell ref="BQ7:BR8"/>
    <mergeCell ref="BS7:BT8"/>
    <mergeCell ref="BU7:BU8"/>
    <mergeCell ref="A8:A9"/>
    <mergeCell ref="B8:B9"/>
    <mergeCell ref="C8:C9"/>
    <mergeCell ref="D8:D9"/>
    <mergeCell ref="E8:E9"/>
    <mergeCell ref="F8:F9"/>
    <mergeCell ref="AA7:AC7"/>
    <mergeCell ref="AD7:AF7"/>
    <mergeCell ref="AH7:AM7"/>
    <mergeCell ref="AN7:BA7"/>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2060"/>
  </sheetPr>
  <dimension ref="A1:CO111"/>
  <sheetViews>
    <sheetView showGridLines="0" topLeftCell="AA1" zoomScale="70" zoomScaleNormal="70" workbookViewId="0">
      <selection sqref="A1:BT4"/>
    </sheetView>
  </sheetViews>
  <sheetFormatPr baseColWidth="10" defaultColWidth="11.42578125" defaultRowHeight="15" x14ac:dyDescent="0.2"/>
  <cols>
    <col min="1" max="1" width="15.7109375" style="1233" customWidth="1"/>
    <col min="2" max="2" width="17.7109375" style="1127" customWidth="1"/>
    <col min="3" max="3" width="13.42578125" style="1127" customWidth="1"/>
    <col min="4" max="4" width="21.42578125" style="1127" customWidth="1"/>
    <col min="5" max="5" width="17" style="1127" customWidth="1"/>
    <col min="6" max="6" width="18.85546875" style="1127" customWidth="1"/>
    <col min="7" max="7" width="15.85546875" style="1127" customWidth="1"/>
    <col min="8" max="8" width="31.5703125" style="1127" customWidth="1"/>
    <col min="9" max="9" width="22.7109375" style="1127" customWidth="1"/>
    <col min="10" max="10" width="31.5703125" style="1127" customWidth="1"/>
    <col min="11" max="11" width="18.7109375" style="1127" customWidth="1"/>
    <col min="12" max="12" width="25" style="7" customWidth="1"/>
    <col min="13" max="13" width="24.7109375" style="1127" customWidth="1"/>
    <col min="14" max="14" width="25" style="7" customWidth="1"/>
    <col min="15" max="15" width="21.85546875" style="1126" customWidth="1"/>
    <col min="16" max="16" width="20.85546875" style="1138" customWidth="1"/>
    <col min="17" max="17" width="26.85546875" style="1126" customWidth="1"/>
    <col min="18" max="18" width="23" style="1138" customWidth="1"/>
    <col min="19" max="19" width="20.28515625" style="874" customWidth="1"/>
    <col min="20" max="20" width="25" style="432" customWidth="1"/>
    <col min="21" max="21" width="34" style="1234" customWidth="1"/>
    <col min="22" max="22" width="38.85546875" style="4" customWidth="1"/>
    <col min="23" max="23" width="72.140625" style="7" customWidth="1"/>
    <col min="24" max="27" width="30" style="1241" customWidth="1"/>
    <col min="28" max="28" width="55.5703125" style="1238" customWidth="1"/>
    <col min="29" max="29" width="16.140625" style="6" customWidth="1"/>
    <col min="30" max="30" width="23.5703125" style="5" customWidth="1"/>
    <col min="31" max="32" width="13.7109375" style="4" customWidth="1"/>
    <col min="33" max="62" width="13.7109375" style="1127" customWidth="1"/>
    <col min="63" max="63" width="20.85546875" style="1127" customWidth="1"/>
    <col min="64" max="64" width="27" style="1127" customWidth="1"/>
    <col min="65" max="65" width="26.85546875" style="1127" customWidth="1"/>
    <col min="66" max="68" width="17" style="1127" customWidth="1"/>
    <col min="69" max="69" width="21.7109375" style="1127" customWidth="1"/>
    <col min="70" max="71" width="17.140625" style="1127" customWidth="1"/>
    <col min="72" max="73" width="19.5703125" style="1239" customWidth="1"/>
    <col min="74" max="74" width="30.5703125" style="1240" bestFit="1" customWidth="1"/>
    <col min="75" max="75" width="9.140625" style="1127" customWidth="1"/>
    <col min="76" max="16384" width="11.42578125" style="1127"/>
  </cols>
  <sheetData>
    <row r="1" spans="1:93" ht="18" customHeight="1" x14ac:dyDescent="0.2">
      <c r="A1" s="2632" t="s">
        <v>1619</v>
      </c>
      <c r="B1" s="2607"/>
      <c r="C1" s="2607"/>
      <c r="D1" s="2607"/>
      <c r="E1" s="2607"/>
      <c r="F1" s="2607"/>
      <c r="G1" s="2607"/>
      <c r="H1" s="2607"/>
      <c r="I1" s="2607"/>
      <c r="J1" s="2607"/>
      <c r="K1" s="2607"/>
      <c r="L1" s="2607"/>
      <c r="M1" s="2607"/>
      <c r="N1" s="2607"/>
      <c r="O1" s="2607"/>
      <c r="P1" s="2607"/>
      <c r="Q1" s="2607"/>
      <c r="R1" s="2607"/>
      <c r="S1" s="2607"/>
      <c r="T1" s="2607"/>
      <c r="U1" s="2607"/>
      <c r="V1" s="2607"/>
      <c r="W1" s="2607"/>
      <c r="X1" s="2607"/>
      <c r="Y1" s="2607"/>
      <c r="Z1" s="2607"/>
      <c r="AA1" s="2607"/>
      <c r="AB1" s="2607"/>
      <c r="AC1" s="2607"/>
      <c r="AD1" s="2607"/>
      <c r="AE1" s="2607"/>
      <c r="AF1" s="2607"/>
      <c r="AG1" s="2607"/>
      <c r="AH1" s="2607"/>
      <c r="AI1" s="2607"/>
      <c r="AJ1" s="2607"/>
      <c r="AK1" s="2607"/>
      <c r="AL1" s="2607"/>
      <c r="AM1" s="2607"/>
      <c r="AN1" s="2607"/>
      <c r="AO1" s="2607"/>
      <c r="AP1" s="2607"/>
      <c r="AQ1" s="2607"/>
      <c r="AR1" s="2607"/>
      <c r="AS1" s="2607"/>
      <c r="AT1" s="2607"/>
      <c r="AU1" s="2607"/>
      <c r="AV1" s="2607"/>
      <c r="AW1" s="2607"/>
      <c r="AX1" s="2607"/>
      <c r="AY1" s="2607"/>
      <c r="AZ1" s="2607"/>
      <c r="BA1" s="2607"/>
      <c r="BB1" s="2607"/>
      <c r="BC1" s="2607"/>
      <c r="BD1" s="2607"/>
      <c r="BE1" s="2607"/>
      <c r="BF1" s="2607"/>
      <c r="BG1" s="2607"/>
      <c r="BH1" s="2607"/>
      <c r="BI1" s="2607"/>
      <c r="BJ1" s="2607"/>
      <c r="BK1" s="2607"/>
      <c r="BL1" s="2607"/>
      <c r="BM1" s="2607"/>
      <c r="BN1" s="2607"/>
      <c r="BO1" s="2607"/>
      <c r="BP1" s="2607"/>
      <c r="BQ1" s="2607"/>
      <c r="BR1" s="2607"/>
      <c r="BS1" s="2607"/>
      <c r="BT1" s="2603"/>
      <c r="BU1" s="1125" t="s">
        <v>138</v>
      </c>
      <c r="BV1" s="1125" t="s">
        <v>137</v>
      </c>
      <c r="BW1" s="1126"/>
      <c r="BX1" s="1126"/>
      <c r="BY1" s="1126"/>
      <c r="BZ1" s="1126"/>
      <c r="CA1" s="1126"/>
      <c r="CB1" s="1126"/>
      <c r="CC1" s="1126"/>
      <c r="CD1" s="1126"/>
      <c r="CE1" s="1126"/>
      <c r="CF1" s="1126"/>
      <c r="CG1" s="1126"/>
      <c r="CH1" s="1126"/>
      <c r="CI1" s="1126"/>
      <c r="CJ1" s="1126"/>
      <c r="CK1" s="1126"/>
      <c r="CL1" s="1126"/>
      <c r="CM1" s="1126"/>
      <c r="CN1" s="1126"/>
      <c r="CO1" s="1126"/>
    </row>
    <row r="2" spans="1:93" ht="18" customHeight="1" x14ac:dyDescent="0.2">
      <c r="A2" s="2607"/>
      <c r="B2" s="2607"/>
      <c r="C2" s="2607"/>
      <c r="D2" s="2607"/>
      <c r="E2" s="2607"/>
      <c r="F2" s="2607"/>
      <c r="G2" s="2607"/>
      <c r="H2" s="2607"/>
      <c r="I2" s="2607"/>
      <c r="J2" s="2607"/>
      <c r="K2" s="2607"/>
      <c r="L2" s="2607"/>
      <c r="M2" s="2607"/>
      <c r="N2" s="2607"/>
      <c r="O2" s="2607"/>
      <c r="P2" s="2607"/>
      <c r="Q2" s="2607"/>
      <c r="R2" s="2607"/>
      <c r="S2" s="2607"/>
      <c r="T2" s="2607"/>
      <c r="U2" s="2607"/>
      <c r="V2" s="2607"/>
      <c r="W2" s="2607"/>
      <c r="X2" s="2607"/>
      <c r="Y2" s="2607"/>
      <c r="Z2" s="2607"/>
      <c r="AA2" s="2607"/>
      <c r="AB2" s="2607"/>
      <c r="AC2" s="2607"/>
      <c r="AD2" s="2607"/>
      <c r="AE2" s="2607"/>
      <c r="AF2" s="2607"/>
      <c r="AG2" s="2607"/>
      <c r="AH2" s="2607"/>
      <c r="AI2" s="2607"/>
      <c r="AJ2" s="2607"/>
      <c r="AK2" s="2607"/>
      <c r="AL2" s="2607"/>
      <c r="AM2" s="2607"/>
      <c r="AN2" s="2607"/>
      <c r="AO2" s="2607"/>
      <c r="AP2" s="2607"/>
      <c r="AQ2" s="2607"/>
      <c r="AR2" s="2607"/>
      <c r="AS2" s="2607"/>
      <c r="AT2" s="2607"/>
      <c r="AU2" s="2607"/>
      <c r="AV2" s="2607"/>
      <c r="AW2" s="2607"/>
      <c r="AX2" s="2607"/>
      <c r="AY2" s="2607"/>
      <c r="AZ2" s="2607"/>
      <c r="BA2" s="2607"/>
      <c r="BB2" s="2607"/>
      <c r="BC2" s="2607"/>
      <c r="BD2" s="2607"/>
      <c r="BE2" s="2607"/>
      <c r="BF2" s="2607"/>
      <c r="BG2" s="2607"/>
      <c r="BH2" s="2607"/>
      <c r="BI2" s="2607"/>
      <c r="BJ2" s="2607"/>
      <c r="BK2" s="2607"/>
      <c r="BL2" s="2607"/>
      <c r="BM2" s="2607"/>
      <c r="BN2" s="2607"/>
      <c r="BO2" s="2607"/>
      <c r="BP2" s="2607"/>
      <c r="BQ2" s="2607"/>
      <c r="BR2" s="2607"/>
      <c r="BS2" s="2607"/>
      <c r="BT2" s="2603"/>
      <c r="BU2" s="1128" t="s">
        <v>136</v>
      </c>
      <c r="BV2" s="1129">
        <v>8</v>
      </c>
      <c r="BW2" s="1126"/>
      <c r="BX2" s="1126"/>
      <c r="BY2" s="1126"/>
      <c r="BZ2" s="1126"/>
      <c r="CA2" s="1126"/>
      <c r="CB2" s="1126"/>
      <c r="CC2" s="1126"/>
      <c r="CD2" s="1126"/>
      <c r="CE2" s="1126"/>
      <c r="CF2" s="1126"/>
      <c r="CG2" s="1126"/>
      <c r="CH2" s="1126"/>
      <c r="CI2" s="1126"/>
      <c r="CJ2" s="1126"/>
      <c r="CK2" s="1126"/>
      <c r="CL2" s="1126"/>
      <c r="CM2" s="1126"/>
      <c r="CN2" s="1126"/>
      <c r="CO2" s="1126"/>
    </row>
    <row r="3" spans="1:93" ht="18" customHeight="1" x14ac:dyDescent="0.2">
      <c r="A3" s="2607"/>
      <c r="B3" s="2607"/>
      <c r="C3" s="2607"/>
      <c r="D3" s="2607"/>
      <c r="E3" s="2607"/>
      <c r="F3" s="2607"/>
      <c r="G3" s="2607"/>
      <c r="H3" s="2607"/>
      <c r="I3" s="2607"/>
      <c r="J3" s="2607"/>
      <c r="K3" s="2607"/>
      <c r="L3" s="2607"/>
      <c r="M3" s="2607"/>
      <c r="N3" s="2607"/>
      <c r="O3" s="2607"/>
      <c r="P3" s="2607"/>
      <c r="Q3" s="2607"/>
      <c r="R3" s="2607"/>
      <c r="S3" s="2607"/>
      <c r="T3" s="2607"/>
      <c r="U3" s="2607"/>
      <c r="V3" s="2607"/>
      <c r="W3" s="2607"/>
      <c r="X3" s="2607"/>
      <c r="Y3" s="2607"/>
      <c r="Z3" s="2607"/>
      <c r="AA3" s="2607"/>
      <c r="AB3" s="2607"/>
      <c r="AC3" s="2607"/>
      <c r="AD3" s="2607"/>
      <c r="AE3" s="2607"/>
      <c r="AF3" s="2607"/>
      <c r="AG3" s="2607"/>
      <c r="AH3" s="2607"/>
      <c r="AI3" s="2607"/>
      <c r="AJ3" s="2607"/>
      <c r="AK3" s="2607"/>
      <c r="AL3" s="2607"/>
      <c r="AM3" s="2607"/>
      <c r="AN3" s="2607"/>
      <c r="AO3" s="2607"/>
      <c r="AP3" s="2607"/>
      <c r="AQ3" s="2607"/>
      <c r="AR3" s="2607"/>
      <c r="AS3" s="2607"/>
      <c r="AT3" s="2607"/>
      <c r="AU3" s="2607"/>
      <c r="AV3" s="2607"/>
      <c r="AW3" s="2607"/>
      <c r="AX3" s="2607"/>
      <c r="AY3" s="2607"/>
      <c r="AZ3" s="2607"/>
      <c r="BA3" s="2607"/>
      <c r="BB3" s="2607"/>
      <c r="BC3" s="2607"/>
      <c r="BD3" s="2607"/>
      <c r="BE3" s="2607"/>
      <c r="BF3" s="2607"/>
      <c r="BG3" s="2607"/>
      <c r="BH3" s="2607"/>
      <c r="BI3" s="2607"/>
      <c r="BJ3" s="2607"/>
      <c r="BK3" s="2607"/>
      <c r="BL3" s="2607"/>
      <c r="BM3" s="2607"/>
      <c r="BN3" s="2607"/>
      <c r="BO3" s="2607"/>
      <c r="BP3" s="2607"/>
      <c r="BQ3" s="2607"/>
      <c r="BR3" s="2607"/>
      <c r="BS3" s="2607"/>
      <c r="BT3" s="2603"/>
      <c r="BU3" s="1125" t="s">
        <v>134</v>
      </c>
      <c r="BV3" s="1130">
        <v>44266</v>
      </c>
      <c r="BW3" s="1126"/>
      <c r="BX3" s="1126"/>
      <c r="BY3" s="1126"/>
      <c r="BZ3" s="1126"/>
      <c r="CA3" s="1126"/>
      <c r="CB3" s="1126"/>
      <c r="CC3" s="1126"/>
      <c r="CD3" s="1126"/>
      <c r="CE3" s="1126"/>
      <c r="CF3" s="1126"/>
      <c r="CG3" s="1126"/>
      <c r="CH3" s="1126"/>
      <c r="CI3" s="1126"/>
      <c r="CJ3" s="1126"/>
      <c r="CK3" s="1126"/>
      <c r="CL3" s="1126"/>
      <c r="CM3" s="1126"/>
      <c r="CN3" s="1126"/>
      <c r="CO3" s="1126"/>
    </row>
    <row r="4" spans="1:93" ht="18" customHeight="1" x14ac:dyDescent="0.2">
      <c r="A4" s="2604"/>
      <c r="B4" s="2604"/>
      <c r="C4" s="2604"/>
      <c r="D4" s="2604"/>
      <c r="E4" s="2604"/>
      <c r="F4" s="2604"/>
      <c r="G4" s="2604"/>
      <c r="H4" s="2604"/>
      <c r="I4" s="2604"/>
      <c r="J4" s="2604"/>
      <c r="K4" s="2604"/>
      <c r="L4" s="2604"/>
      <c r="M4" s="2604"/>
      <c r="N4" s="2604"/>
      <c r="O4" s="2604"/>
      <c r="P4" s="2604"/>
      <c r="Q4" s="2604"/>
      <c r="R4" s="2604"/>
      <c r="S4" s="2604"/>
      <c r="T4" s="2604"/>
      <c r="U4" s="2604"/>
      <c r="V4" s="2604"/>
      <c r="W4" s="2604"/>
      <c r="X4" s="2604"/>
      <c r="Y4" s="2604"/>
      <c r="Z4" s="2604"/>
      <c r="AA4" s="2604"/>
      <c r="AB4" s="2604"/>
      <c r="AC4" s="2604"/>
      <c r="AD4" s="2604"/>
      <c r="AE4" s="2604"/>
      <c r="AF4" s="2604"/>
      <c r="AG4" s="2604"/>
      <c r="AH4" s="2604"/>
      <c r="AI4" s="2604"/>
      <c r="AJ4" s="2604"/>
      <c r="AK4" s="2604"/>
      <c r="AL4" s="2604"/>
      <c r="AM4" s="2604"/>
      <c r="AN4" s="2604"/>
      <c r="AO4" s="2604"/>
      <c r="AP4" s="2604"/>
      <c r="AQ4" s="2604"/>
      <c r="AR4" s="2604"/>
      <c r="AS4" s="2604"/>
      <c r="AT4" s="2604"/>
      <c r="AU4" s="2604"/>
      <c r="AV4" s="2604"/>
      <c r="AW4" s="2604"/>
      <c r="AX4" s="2604"/>
      <c r="AY4" s="2604"/>
      <c r="AZ4" s="2604"/>
      <c r="BA4" s="2604"/>
      <c r="BB4" s="2604"/>
      <c r="BC4" s="2604"/>
      <c r="BD4" s="2604"/>
      <c r="BE4" s="2604"/>
      <c r="BF4" s="2604"/>
      <c r="BG4" s="2604"/>
      <c r="BH4" s="2604"/>
      <c r="BI4" s="2604"/>
      <c r="BJ4" s="2604"/>
      <c r="BK4" s="2604"/>
      <c r="BL4" s="2604"/>
      <c r="BM4" s="2604"/>
      <c r="BN4" s="2604"/>
      <c r="BO4" s="2604"/>
      <c r="BP4" s="2604"/>
      <c r="BQ4" s="2604"/>
      <c r="BR4" s="2604"/>
      <c r="BS4" s="2604"/>
      <c r="BT4" s="2605"/>
      <c r="BU4" s="1125" t="s">
        <v>133</v>
      </c>
      <c r="BV4" s="1131" t="s">
        <v>132</v>
      </c>
      <c r="BW4" s="1126"/>
      <c r="BX4" s="1126"/>
      <c r="BY4" s="1126"/>
      <c r="BZ4" s="1126"/>
      <c r="CA4" s="1126"/>
      <c r="CB4" s="1126"/>
      <c r="CC4" s="1126"/>
      <c r="CD4" s="1126"/>
      <c r="CE4" s="1126"/>
      <c r="CF4" s="1126"/>
      <c r="CG4" s="1126"/>
      <c r="CH4" s="1126"/>
      <c r="CI4" s="1126"/>
      <c r="CJ4" s="1126"/>
      <c r="CK4" s="1126"/>
      <c r="CL4" s="1126"/>
      <c r="CM4" s="1126"/>
      <c r="CN4" s="1126"/>
      <c r="CO4" s="1126"/>
    </row>
    <row r="5" spans="1:93" ht="12.75" customHeight="1" x14ac:dyDescent="0.2">
      <c r="A5" s="2633" t="s">
        <v>1620</v>
      </c>
      <c r="B5" s="2606"/>
      <c r="C5" s="2606"/>
      <c r="D5" s="2606"/>
      <c r="E5" s="2606"/>
      <c r="F5" s="2606"/>
      <c r="G5" s="2606"/>
      <c r="H5" s="2606"/>
      <c r="I5" s="2606"/>
      <c r="J5" s="2606"/>
      <c r="K5" s="2606"/>
      <c r="L5" s="2606"/>
      <c r="M5" s="2606"/>
      <c r="N5" s="2606"/>
      <c r="O5" s="2606"/>
      <c r="P5" s="2634"/>
      <c r="Q5" s="2636"/>
      <c r="R5" s="2608"/>
      <c r="S5" s="2608"/>
      <c r="T5" s="2608"/>
      <c r="U5" s="2608"/>
      <c r="V5" s="2608"/>
      <c r="W5" s="2608"/>
      <c r="X5" s="2608"/>
      <c r="Y5" s="2608"/>
      <c r="Z5" s="2608"/>
      <c r="AA5" s="2608"/>
      <c r="AB5" s="2608"/>
      <c r="AC5" s="2608"/>
      <c r="AD5" s="2608"/>
      <c r="AE5" s="2608"/>
      <c r="AF5" s="2608"/>
      <c r="AG5" s="2608"/>
      <c r="AH5" s="2608"/>
      <c r="AI5" s="2608"/>
      <c r="AJ5" s="2608"/>
      <c r="AK5" s="2608"/>
      <c r="AL5" s="2608"/>
      <c r="AM5" s="2608"/>
      <c r="AN5" s="2608"/>
      <c r="AO5" s="2608"/>
      <c r="AP5" s="2608"/>
      <c r="AQ5" s="2608"/>
      <c r="AR5" s="2608"/>
      <c r="AS5" s="2608"/>
      <c r="AT5" s="2608"/>
      <c r="AU5" s="2608"/>
      <c r="AV5" s="2608"/>
      <c r="AW5" s="2608"/>
      <c r="AX5" s="2608"/>
      <c r="AY5" s="2608"/>
      <c r="AZ5" s="2608"/>
      <c r="BA5" s="2608"/>
      <c r="BB5" s="2608"/>
      <c r="BC5" s="2608"/>
      <c r="BD5" s="2608"/>
      <c r="BE5" s="2608"/>
      <c r="BF5" s="2608"/>
      <c r="BG5" s="2608"/>
      <c r="BH5" s="2608"/>
      <c r="BI5" s="2608"/>
      <c r="BJ5" s="2608"/>
      <c r="BK5" s="2608"/>
      <c r="BL5" s="2608"/>
      <c r="BM5" s="2608"/>
      <c r="BN5" s="2608"/>
      <c r="BO5" s="2608"/>
      <c r="BP5" s="2608"/>
      <c r="BQ5" s="2608"/>
      <c r="BR5" s="2608"/>
      <c r="BS5" s="2608"/>
      <c r="BT5" s="2608"/>
      <c r="BU5" s="2608"/>
      <c r="BV5" s="2608"/>
      <c r="BW5" s="1126"/>
      <c r="BX5" s="1126"/>
      <c r="BY5" s="1126"/>
      <c r="BZ5" s="1126"/>
      <c r="CA5" s="1126"/>
      <c r="CB5" s="1126"/>
      <c r="CC5" s="1126"/>
      <c r="CD5" s="1126"/>
      <c r="CE5" s="1126"/>
      <c r="CF5" s="1126"/>
      <c r="CG5" s="1126"/>
      <c r="CH5" s="1126"/>
      <c r="CI5" s="1126"/>
      <c r="CJ5" s="1126"/>
      <c r="CK5" s="1126"/>
      <c r="CL5" s="1126"/>
      <c r="CM5" s="1126"/>
      <c r="CN5" s="1126"/>
      <c r="CO5" s="1126"/>
    </row>
    <row r="6" spans="1:93" ht="16.5" customHeight="1" x14ac:dyDescent="0.2">
      <c r="A6" s="2635"/>
      <c r="B6" s="2604"/>
      <c r="C6" s="2604"/>
      <c r="D6" s="2604"/>
      <c r="E6" s="2604"/>
      <c r="F6" s="2604"/>
      <c r="G6" s="2604"/>
      <c r="H6" s="2604"/>
      <c r="I6" s="2604"/>
      <c r="J6" s="2604"/>
      <c r="K6" s="2604"/>
      <c r="L6" s="2604"/>
      <c r="M6" s="2604"/>
      <c r="N6" s="2604"/>
      <c r="O6" s="2604"/>
      <c r="P6" s="2605"/>
      <c r="Q6" s="1132"/>
      <c r="R6" s="1132"/>
      <c r="S6" s="1132"/>
      <c r="T6" s="1133"/>
      <c r="U6" s="770"/>
      <c r="V6" s="671"/>
      <c r="W6" s="1132"/>
      <c r="X6" s="1134"/>
      <c r="Y6" s="1134"/>
      <c r="Z6" s="1134"/>
      <c r="AA6" s="1134"/>
      <c r="AB6" s="1135"/>
      <c r="AC6" s="1132"/>
      <c r="AD6" s="1132"/>
      <c r="AE6" s="2635" t="s">
        <v>130</v>
      </c>
      <c r="AF6" s="2604"/>
      <c r="AG6" s="2604"/>
      <c r="AH6" s="2604"/>
      <c r="AI6" s="2604"/>
      <c r="AJ6" s="2604"/>
      <c r="AK6" s="2604"/>
      <c r="AL6" s="2604"/>
      <c r="AM6" s="2604"/>
      <c r="AN6" s="2604"/>
      <c r="AO6" s="2604"/>
      <c r="AP6" s="2604"/>
      <c r="AQ6" s="2604"/>
      <c r="AR6" s="2604"/>
      <c r="AS6" s="2604"/>
      <c r="AT6" s="2604"/>
      <c r="AU6" s="2604"/>
      <c r="AV6" s="2604"/>
      <c r="AW6" s="2604"/>
      <c r="AX6" s="2604"/>
      <c r="AY6" s="2604"/>
      <c r="AZ6" s="2604"/>
      <c r="BA6" s="2604"/>
      <c r="BB6" s="2604"/>
      <c r="BC6" s="2604"/>
      <c r="BD6" s="2604"/>
      <c r="BE6" s="2604"/>
      <c r="BF6" s="2604"/>
      <c r="BG6" s="2605"/>
      <c r="BH6" s="671"/>
      <c r="BI6" s="671"/>
      <c r="BJ6" s="671"/>
      <c r="BK6" s="671"/>
      <c r="BL6" s="671"/>
      <c r="BM6" s="671"/>
      <c r="BN6" s="671"/>
      <c r="BO6" s="671"/>
      <c r="BP6" s="671"/>
      <c r="BQ6" s="671"/>
      <c r="BR6" s="1132"/>
      <c r="BS6" s="1132"/>
      <c r="BT6" s="1132"/>
      <c r="BU6" s="1132"/>
      <c r="BV6" s="1136"/>
      <c r="BW6" s="1126"/>
      <c r="BX6" s="1126"/>
      <c r="BY6" s="1126"/>
      <c r="BZ6" s="1126"/>
      <c r="CA6" s="1126"/>
      <c r="CB6" s="1126"/>
      <c r="CC6" s="1126"/>
      <c r="CD6" s="1126"/>
      <c r="CE6" s="1126"/>
      <c r="CF6" s="1126"/>
      <c r="CG6" s="1126"/>
      <c r="CH6" s="1126"/>
      <c r="CI6" s="1126"/>
      <c r="CJ6" s="1126"/>
      <c r="CK6" s="1126"/>
      <c r="CL6" s="1126"/>
      <c r="CM6" s="1126"/>
      <c r="CN6" s="1126"/>
      <c r="CO6" s="1126"/>
    </row>
    <row r="7" spans="1:93" ht="19.5" customHeight="1" x14ac:dyDescent="0.2">
      <c r="A7" s="2637" t="s">
        <v>129</v>
      </c>
      <c r="B7" s="2638"/>
      <c r="C7" s="2639" t="s">
        <v>128</v>
      </c>
      <c r="D7" s="2638"/>
      <c r="E7" s="2637" t="s">
        <v>127</v>
      </c>
      <c r="F7" s="2638"/>
      <c r="G7" s="2639" t="s">
        <v>126</v>
      </c>
      <c r="H7" s="2637"/>
      <c r="I7" s="2637"/>
      <c r="J7" s="2637"/>
      <c r="K7" s="2639" t="s">
        <v>125</v>
      </c>
      <c r="L7" s="2637"/>
      <c r="M7" s="2637"/>
      <c r="N7" s="2638"/>
      <c r="O7" s="2640" t="s">
        <v>739</v>
      </c>
      <c r="P7" s="2641"/>
      <c r="Q7" s="2657" t="s">
        <v>124</v>
      </c>
      <c r="R7" s="2658"/>
      <c r="S7" s="2658"/>
      <c r="T7" s="2658"/>
      <c r="U7" s="2658"/>
      <c r="V7" s="2658"/>
      <c r="W7" s="2659"/>
      <c r="X7" s="1137"/>
      <c r="Y7" s="1137"/>
      <c r="Z7" s="1137"/>
      <c r="AA7" s="1137"/>
      <c r="AB7" s="2657" t="s">
        <v>123</v>
      </c>
      <c r="AC7" s="2658"/>
      <c r="AD7" s="2659"/>
      <c r="AE7" s="2611" t="s">
        <v>122</v>
      </c>
      <c r="AF7" s="2612"/>
      <c r="AG7" s="2612"/>
      <c r="AH7" s="2613"/>
      <c r="AI7" s="2614" t="s">
        <v>121</v>
      </c>
      <c r="AJ7" s="2615"/>
      <c r="AK7" s="2615"/>
      <c r="AL7" s="2615"/>
      <c r="AM7" s="2615"/>
      <c r="AN7" s="2615"/>
      <c r="AO7" s="2615"/>
      <c r="AP7" s="2616"/>
      <c r="AQ7" s="2660" t="s">
        <v>120</v>
      </c>
      <c r="AR7" s="2661"/>
      <c r="AS7" s="2661"/>
      <c r="AT7" s="2661"/>
      <c r="AU7" s="2661"/>
      <c r="AV7" s="2661"/>
      <c r="AW7" s="2661"/>
      <c r="AX7" s="2661"/>
      <c r="AY7" s="2661"/>
      <c r="AZ7" s="2661"/>
      <c r="BA7" s="2661"/>
      <c r="BB7" s="2662"/>
      <c r="BC7" s="2663" t="s">
        <v>119</v>
      </c>
      <c r="BD7" s="2664"/>
      <c r="BE7" s="2664"/>
      <c r="BF7" s="2664"/>
      <c r="BG7" s="2664"/>
      <c r="BH7" s="2665"/>
      <c r="BI7" s="2644" t="s">
        <v>118</v>
      </c>
      <c r="BJ7" s="2645"/>
      <c r="BK7" s="2648" t="s">
        <v>117</v>
      </c>
      <c r="BL7" s="2649"/>
      <c r="BM7" s="2649"/>
      <c r="BN7" s="2649"/>
      <c r="BO7" s="2649"/>
      <c r="BP7" s="2649"/>
      <c r="BQ7" s="2650"/>
      <c r="BR7" s="2625" t="s">
        <v>116</v>
      </c>
      <c r="BS7" s="2626"/>
      <c r="BT7" s="2625" t="s">
        <v>115</v>
      </c>
      <c r="BU7" s="2626"/>
      <c r="BV7" s="2629" t="s">
        <v>114</v>
      </c>
      <c r="BW7" s="1126"/>
      <c r="BX7" s="1126"/>
      <c r="BY7" s="1126"/>
      <c r="BZ7" s="1126"/>
      <c r="CA7" s="1126"/>
      <c r="CB7" s="1126"/>
      <c r="CC7" s="1126"/>
      <c r="CD7" s="1126"/>
      <c r="CE7" s="1126"/>
      <c r="CF7" s="1126"/>
      <c r="CG7" s="1126"/>
      <c r="CH7" s="1126"/>
      <c r="CI7" s="1126"/>
      <c r="CJ7" s="1126"/>
      <c r="CK7" s="1126"/>
      <c r="CL7" s="1126"/>
      <c r="CM7" s="1126"/>
      <c r="CN7" s="1126"/>
      <c r="CO7" s="1126"/>
    </row>
    <row r="8" spans="1:93" s="1139" customFormat="1" ht="120.75" customHeight="1" x14ac:dyDescent="0.2">
      <c r="A8" s="2653" t="s">
        <v>71</v>
      </c>
      <c r="B8" s="2655" t="s">
        <v>70</v>
      </c>
      <c r="C8" s="2653" t="s">
        <v>71</v>
      </c>
      <c r="D8" s="2655" t="s">
        <v>70</v>
      </c>
      <c r="E8" s="2655" t="s">
        <v>71</v>
      </c>
      <c r="F8" s="2655" t="s">
        <v>70</v>
      </c>
      <c r="G8" s="2655" t="s">
        <v>110</v>
      </c>
      <c r="H8" s="2655" t="s">
        <v>113</v>
      </c>
      <c r="I8" s="2655" t="s">
        <v>112</v>
      </c>
      <c r="J8" s="2655" t="s">
        <v>142</v>
      </c>
      <c r="K8" s="2655" t="s">
        <v>110</v>
      </c>
      <c r="L8" s="2655" t="s">
        <v>109</v>
      </c>
      <c r="M8" s="2655" t="s">
        <v>108</v>
      </c>
      <c r="N8" s="2655" t="s">
        <v>107</v>
      </c>
      <c r="O8" s="2642"/>
      <c r="P8" s="2643"/>
      <c r="Q8" s="2655" t="s">
        <v>105</v>
      </c>
      <c r="R8" s="2655" t="s">
        <v>104</v>
      </c>
      <c r="S8" s="2666" t="s">
        <v>103</v>
      </c>
      <c r="T8" s="2668" t="s">
        <v>1621</v>
      </c>
      <c r="U8" s="2655" t="s">
        <v>101</v>
      </c>
      <c r="V8" s="2655" t="s">
        <v>100</v>
      </c>
      <c r="W8" s="2655" t="s">
        <v>99</v>
      </c>
      <c r="X8" s="2670" t="s">
        <v>1622</v>
      </c>
      <c r="Y8" s="2671"/>
      <c r="Z8" s="2671"/>
      <c r="AA8" s="2672"/>
      <c r="AB8" s="2655" t="s">
        <v>97</v>
      </c>
      <c r="AC8" s="2595" t="s">
        <v>96</v>
      </c>
      <c r="AD8" s="2655" t="s">
        <v>70</v>
      </c>
      <c r="AE8" s="2620" t="s">
        <v>95</v>
      </c>
      <c r="AF8" s="2621"/>
      <c r="AG8" s="2597" t="s">
        <v>94</v>
      </c>
      <c r="AH8" s="2598"/>
      <c r="AI8" s="2620" t="s">
        <v>93</v>
      </c>
      <c r="AJ8" s="2621"/>
      <c r="AK8" s="2620" t="s">
        <v>92</v>
      </c>
      <c r="AL8" s="2621"/>
      <c r="AM8" s="2620" t="s">
        <v>741</v>
      </c>
      <c r="AN8" s="2621"/>
      <c r="AO8" s="2620" t="s">
        <v>90</v>
      </c>
      <c r="AP8" s="2621"/>
      <c r="AQ8" s="2620" t="s">
        <v>89</v>
      </c>
      <c r="AR8" s="2621"/>
      <c r="AS8" s="2620" t="s">
        <v>88</v>
      </c>
      <c r="AT8" s="2621"/>
      <c r="AU8" s="2620" t="s">
        <v>87</v>
      </c>
      <c r="AV8" s="2621"/>
      <c r="AW8" s="2620" t="s">
        <v>742</v>
      </c>
      <c r="AX8" s="2621"/>
      <c r="AY8" s="2620" t="s">
        <v>85</v>
      </c>
      <c r="AZ8" s="2621"/>
      <c r="BA8" s="2620" t="s">
        <v>84</v>
      </c>
      <c r="BB8" s="2621"/>
      <c r="BC8" s="2620" t="s">
        <v>83</v>
      </c>
      <c r="BD8" s="2621"/>
      <c r="BE8" s="2620" t="s">
        <v>82</v>
      </c>
      <c r="BF8" s="2621"/>
      <c r="BG8" s="2620" t="s">
        <v>81</v>
      </c>
      <c r="BH8" s="2621"/>
      <c r="BI8" s="2646"/>
      <c r="BJ8" s="2647"/>
      <c r="BK8" s="2588" t="s">
        <v>80</v>
      </c>
      <c r="BL8" s="2673" t="s">
        <v>268</v>
      </c>
      <c r="BM8" s="2588" t="s">
        <v>269</v>
      </c>
      <c r="BN8" s="2675" t="s">
        <v>77</v>
      </c>
      <c r="BO8" s="2586" t="s">
        <v>76</v>
      </c>
      <c r="BP8" s="2587"/>
      <c r="BQ8" s="2588" t="s">
        <v>75</v>
      </c>
      <c r="BR8" s="2651"/>
      <c r="BS8" s="2652"/>
      <c r="BT8" s="2651"/>
      <c r="BU8" s="2652"/>
      <c r="BV8" s="2630"/>
      <c r="BW8" s="1138"/>
      <c r="BX8" s="1138"/>
      <c r="BY8" s="1138"/>
      <c r="BZ8" s="1138"/>
      <c r="CA8" s="1138"/>
      <c r="CB8" s="1138"/>
      <c r="CC8" s="1138"/>
      <c r="CD8" s="1138"/>
      <c r="CE8" s="1138"/>
      <c r="CF8" s="1138"/>
      <c r="CG8" s="1138"/>
      <c r="CH8" s="1138"/>
      <c r="CI8" s="1138"/>
      <c r="CJ8" s="1138"/>
      <c r="CK8" s="1138"/>
      <c r="CL8" s="1138"/>
      <c r="CM8" s="1138"/>
      <c r="CN8" s="1138"/>
      <c r="CO8" s="1138"/>
    </row>
    <row r="9" spans="1:93" s="1139" customFormat="1" ht="55.5" customHeight="1" x14ac:dyDescent="0.2">
      <c r="A9" s="2654"/>
      <c r="B9" s="2656"/>
      <c r="C9" s="2654"/>
      <c r="D9" s="2656"/>
      <c r="E9" s="2656"/>
      <c r="F9" s="2656"/>
      <c r="G9" s="2656"/>
      <c r="H9" s="2656"/>
      <c r="I9" s="2656"/>
      <c r="J9" s="2656"/>
      <c r="K9" s="2656"/>
      <c r="L9" s="2656"/>
      <c r="M9" s="2656"/>
      <c r="N9" s="2656"/>
      <c r="O9" s="1140" t="s">
        <v>270</v>
      </c>
      <c r="P9" s="1140" t="s">
        <v>271</v>
      </c>
      <c r="Q9" s="2656"/>
      <c r="R9" s="2656"/>
      <c r="S9" s="2667"/>
      <c r="T9" s="2669"/>
      <c r="U9" s="2656"/>
      <c r="V9" s="2656"/>
      <c r="W9" s="2656"/>
      <c r="X9" s="1141" t="s">
        <v>272</v>
      </c>
      <c r="Y9" s="1142" t="s">
        <v>1623</v>
      </c>
      <c r="Z9" s="1142" t="s">
        <v>1624</v>
      </c>
      <c r="AA9" s="1142" t="s">
        <v>1625</v>
      </c>
      <c r="AB9" s="2656"/>
      <c r="AC9" s="2596"/>
      <c r="AD9" s="2656"/>
      <c r="AE9" s="1143" t="s">
        <v>69</v>
      </c>
      <c r="AF9" s="1143" t="s">
        <v>68</v>
      </c>
      <c r="AG9" s="1143" t="s">
        <v>69</v>
      </c>
      <c r="AH9" s="1143" t="s">
        <v>68</v>
      </c>
      <c r="AI9" s="1143" t="s">
        <v>69</v>
      </c>
      <c r="AJ9" s="1143" t="s">
        <v>68</v>
      </c>
      <c r="AK9" s="1143" t="s">
        <v>69</v>
      </c>
      <c r="AL9" s="1143" t="s">
        <v>68</v>
      </c>
      <c r="AM9" s="1143" t="s">
        <v>69</v>
      </c>
      <c r="AN9" s="1143" t="s">
        <v>68</v>
      </c>
      <c r="AO9" s="1143" t="s">
        <v>69</v>
      </c>
      <c r="AP9" s="1143" t="s">
        <v>68</v>
      </c>
      <c r="AQ9" s="1143" t="s">
        <v>69</v>
      </c>
      <c r="AR9" s="1143" t="s">
        <v>68</v>
      </c>
      <c r="AS9" s="1143" t="s">
        <v>69</v>
      </c>
      <c r="AT9" s="1143" t="s">
        <v>68</v>
      </c>
      <c r="AU9" s="1143" t="s">
        <v>69</v>
      </c>
      <c r="AV9" s="1143" t="s">
        <v>68</v>
      </c>
      <c r="AW9" s="1143" t="s">
        <v>69</v>
      </c>
      <c r="AX9" s="1143" t="s">
        <v>68</v>
      </c>
      <c r="AY9" s="1143" t="s">
        <v>69</v>
      </c>
      <c r="AZ9" s="1143" t="s">
        <v>68</v>
      </c>
      <c r="BA9" s="1143" t="s">
        <v>69</v>
      </c>
      <c r="BB9" s="1143" t="s">
        <v>68</v>
      </c>
      <c r="BC9" s="1143" t="s">
        <v>69</v>
      </c>
      <c r="BD9" s="1143" t="s">
        <v>68</v>
      </c>
      <c r="BE9" s="1143" t="s">
        <v>69</v>
      </c>
      <c r="BF9" s="1143" t="s">
        <v>68</v>
      </c>
      <c r="BG9" s="1143" t="s">
        <v>69</v>
      </c>
      <c r="BH9" s="1143" t="s">
        <v>68</v>
      </c>
      <c r="BI9" s="1143" t="s">
        <v>69</v>
      </c>
      <c r="BJ9" s="1143" t="s">
        <v>68</v>
      </c>
      <c r="BK9" s="2589"/>
      <c r="BL9" s="2674"/>
      <c r="BM9" s="2589"/>
      <c r="BN9" s="2676"/>
      <c r="BO9" s="130" t="s">
        <v>71</v>
      </c>
      <c r="BP9" s="677" t="s">
        <v>70</v>
      </c>
      <c r="BQ9" s="2589"/>
      <c r="BR9" s="1143" t="s">
        <v>69</v>
      </c>
      <c r="BS9" s="1143" t="s">
        <v>68</v>
      </c>
      <c r="BT9" s="1143" t="s">
        <v>69</v>
      </c>
      <c r="BU9" s="1143" t="s">
        <v>68</v>
      </c>
      <c r="BV9" s="676"/>
      <c r="BW9" s="1138"/>
      <c r="BX9" s="1138"/>
      <c r="BY9" s="1138"/>
      <c r="BZ9" s="1138"/>
      <c r="CA9" s="1138"/>
      <c r="CB9" s="1138"/>
      <c r="CC9" s="1138"/>
      <c r="CD9" s="1138"/>
      <c r="CE9" s="1138"/>
      <c r="CF9" s="1138"/>
      <c r="CG9" s="1138"/>
      <c r="CH9" s="1138"/>
      <c r="CI9" s="1138"/>
      <c r="CJ9" s="1138"/>
      <c r="CK9" s="1138"/>
      <c r="CL9" s="1138"/>
      <c r="CM9" s="1138"/>
      <c r="CN9" s="1138"/>
      <c r="CO9" s="1138"/>
    </row>
    <row r="10" spans="1:93" ht="21" customHeight="1" x14ac:dyDescent="0.2">
      <c r="A10" s="1144">
        <v>4</v>
      </c>
      <c r="B10" s="1145" t="s">
        <v>67</v>
      </c>
      <c r="C10" s="1146"/>
      <c r="D10" s="1146"/>
      <c r="E10" s="1147"/>
      <c r="F10" s="1148"/>
      <c r="G10" s="1148"/>
      <c r="H10" s="1148"/>
      <c r="I10" s="1148"/>
      <c r="J10" s="1148"/>
      <c r="K10" s="1148"/>
      <c r="L10" s="1149"/>
      <c r="M10" s="1148"/>
      <c r="N10" s="1149"/>
      <c r="O10" s="1148"/>
      <c r="P10" s="1150"/>
      <c r="Q10" s="1148"/>
      <c r="R10" s="1148"/>
      <c r="S10" s="1148"/>
      <c r="T10" s="1148"/>
      <c r="U10" s="1148"/>
      <c r="V10" s="1148"/>
      <c r="W10" s="1148"/>
      <c r="X10" s="1148"/>
      <c r="Y10" s="1148"/>
      <c r="Z10" s="1148"/>
      <c r="AA10" s="1148"/>
      <c r="AB10" s="1148"/>
      <c r="AC10" s="1148"/>
      <c r="AD10" s="1151"/>
      <c r="AE10" s="1150"/>
      <c r="AF10" s="1152"/>
      <c r="AG10" s="1153"/>
      <c r="AH10" s="1153"/>
      <c r="AI10" s="1148"/>
      <c r="AJ10" s="1148"/>
      <c r="AK10" s="1148"/>
      <c r="AL10" s="1148"/>
      <c r="AM10" s="1148"/>
      <c r="AN10" s="1148"/>
      <c r="AO10" s="1148"/>
      <c r="AP10" s="1148"/>
      <c r="AQ10" s="1148"/>
      <c r="AR10" s="1148"/>
      <c r="AS10" s="1148"/>
      <c r="AT10" s="1148"/>
      <c r="AU10" s="1148"/>
      <c r="AV10" s="1148"/>
      <c r="AW10" s="1148"/>
      <c r="AX10" s="1148"/>
      <c r="AY10" s="1148"/>
      <c r="AZ10" s="1148"/>
      <c r="BA10" s="1148"/>
      <c r="BB10" s="1148"/>
      <c r="BC10" s="1148"/>
      <c r="BD10" s="1148"/>
      <c r="BE10" s="1148"/>
      <c r="BF10" s="1148"/>
      <c r="BG10" s="1148"/>
      <c r="BH10" s="1148"/>
      <c r="BI10" s="1148"/>
      <c r="BJ10" s="1148"/>
      <c r="BK10" s="1148"/>
      <c r="BL10" s="1148"/>
      <c r="BM10" s="1148"/>
      <c r="BN10" s="1148"/>
      <c r="BO10" s="1148"/>
      <c r="BP10" s="1148"/>
      <c r="BQ10" s="1148"/>
      <c r="BR10" s="1148"/>
      <c r="BS10" s="1148"/>
      <c r="BT10" s="1154"/>
      <c r="BU10" s="1154"/>
      <c r="BV10" s="1154"/>
      <c r="BW10" s="1126"/>
      <c r="BX10" s="1126"/>
      <c r="BY10" s="1126"/>
      <c r="BZ10" s="1126"/>
      <c r="CA10" s="1126"/>
      <c r="CB10" s="1126"/>
      <c r="CC10" s="1126"/>
      <c r="CD10" s="1126"/>
      <c r="CE10" s="1126"/>
      <c r="CF10" s="1126"/>
      <c r="CG10" s="1126"/>
      <c r="CH10" s="1126"/>
      <c r="CI10" s="1126"/>
      <c r="CJ10" s="1126"/>
      <c r="CK10" s="1126"/>
      <c r="CL10" s="1126"/>
      <c r="CM10" s="1126"/>
    </row>
    <row r="11" spans="1:93" ht="21" customHeight="1" x14ac:dyDescent="0.2">
      <c r="A11" s="1155"/>
      <c r="B11" s="1156"/>
      <c r="C11" s="1157">
        <v>45</v>
      </c>
      <c r="D11" s="1158" t="s">
        <v>1626</v>
      </c>
      <c r="E11" s="1159"/>
      <c r="F11" s="1159"/>
      <c r="G11" s="1159"/>
      <c r="H11" s="1159"/>
      <c r="I11" s="1159"/>
      <c r="J11" s="1159"/>
      <c r="K11" s="1159"/>
      <c r="L11" s="1159"/>
      <c r="M11" s="1159"/>
      <c r="N11" s="1159"/>
      <c r="O11" s="1159"/>
      <c r="P11" s="1160"/>
      <c r="Q11" s="1159"/>
      <c r="R11" s="1159"/>
      <c r="S11" s="1159"/>
      <c r="T11" s="1159"/>
      <c r="U11" s="1159"/>
      <c r="V11" s="1159"/>
      <c r="W11" s="1159"/>
      <c r="X11" s="1159"/>
      <c r="Y11" s="1159"/>
      <c r="Z11" s="1159"/>
      <c r="AA11" s="1159"/>
      <c r="AB11" s="1159"/>
      <c r="AC11" s="1159"/>
      <c r="AD11" s="1159"/>
      <c r="AE11" s="1159"/>
      <c r="AF11" s="1159"/>
      <c r="AG11" s="1159"/>
      <c r="AH11" s="1159"/>
      <c r="AI11" s="1159"/>
      <c r="AJ11" s="1159"/>
      <c r="AK11" s="1159"/>
      <c r="AL11" s="1159"/>
      <c r="AM11" s="1159"/>
      <c r="AN11" s="1159"/>
      <c r="AO11" s="1159"/>
      <c r="AP11" s="1159"/>
      <c r="AQ11" s="1159"/>
      <c r="AR11" s="1159"/>
      <c r="AS11" s="1159"/>
      <c r="AT11" s="1159"/>
      <c r="AU11" s="1159"/>
      <c r="AV11" s="1159"/>
      <c r="AW11" s="1159"/>
      <c r="AX11" s="1159"/>
      <c r="AY11" s="1159"/>
      <c r="AZ11" s="1159"/>
      <c r="BA11" s="1159"/>
      <c r="BB11" s="1159"/>
      <c r="BC11" s="1159"/>
      <c r="BD11" s="1159"/>
      <c r="BE11" s="1159"/>
      <c r="BF11" s="1159"/>
      <c r="BG11" s="1159"/>
      <c r="BH11" s="1159"/>
      <c r="BI11" s="1159"/>
      <c r="BJ11" s="1159"/>
      <c r="BK11" s="1159"/>
      <c r="BL11" s="1159"/>
      <c r="BM11" s="1159"/>
      <c r="BN11" s="1159"/>
      <c r="BO11" s="1159"/>
      <c r="BP11" s="1159"/>
      <c r="BQ11" s="1159"/>
      <c r="BR11" s="1159"/>
      <c r="BS11" s="1159"/>
      <c r="BT11" s="1159"/>
      <c r="BU11" s="1159"/>
      <c r="BV11" s="1159"/>
      <c r="BW11" s="1126"/>
      <c r="BX11" s="1126"/>
      <c r="BY11" s="1126"/>
      <c r="BZ11" s="1126"/>
      <c r="CA11" s="1126"/>
      <c r="CB11" s="1126"/>
      <c r="CC11" s="1126"/>
      <c r="CD11" s="1126"/>
      <c r="CE11" s="1126"/>
      <c r="CF11" s="1126"/>
      <c r="CG11" s="1126"/>
      <c r="CH11" s="1126"/>
      <c r="CI11" s="1126"/>
      <c r="CJ11" s="1126"/>
      <c r="CK11" s="1126"/>
      <c r="CL11" s="1126"/>
      <c r="CM11" s="1126"/>
    </row>
    <row r="12" spans="1:93" ht="21.75" customHeight="1" x14ac:dyDescent="0.2">
      <c r="A12" s="1161"/>
      <c r="B12" s="1162"/>
      <c r="C12" s="1163"/>
      <c r="D12" s="1164"/>
      <c r="E12" s="1165">
        <v>4502</v>
      </c>
      <c r="F12" s="1166" t="s">
        <v>22</v>
      </c>
      <c r="G12" s="514"/>
      <c r="H12" s="514"/>
      <c r="I12" s="514"/>
      <c r="J12" s="514"/>
      <c r="K12" s="1167"/>
      <c r="L12" s="1168"/>
      <c r="M12" s="1167"/>
      <c r="N12" s="1168"/>
      <c r="O12" s="1168"/>
      <c r="P12" s="1169"/>
      <c r="Q12" s="1169"/>
      <c r="R12" s="191"/>
      <c r="S12" s="192"/>
      <c r="T12" s="1170"/>
      <c r="U12" s="191"/>
      <c r="V12" s="190"/>
      <c r="W12" s="1167"/>
      <c r="X12" s="1171"/>
      <c r="Y12" s="1171"/>
      <c r="Z12" s="1171"/>
      <c r="AA12" s="1171"/>
      <c r="AB12" s="1171" t="s">
        <v>1410</v>
      </c>
      <c r="AC12" s="1171"/>
      <c r="AD12" s="190"/>
      <c r="AE12" s="1172"/>
      <c r="AF12" s="1172"/>
      <c r="AG12" s="1168"/>
      <c r="AH12" s="1168"/>
      <c r="AI12" s="1168"/>
      <c r="AJ12" s="1168"/>
      <c r="AK12" s="1168"/>
      <c r="AL12" s="1168"/>
      <c r="AM12" s="1168"/>
      <c r="AN12" s="1168"/>
      <c r="AO12" s="1168"/>
      <c r="AP12" s="1168"/>
      <c r="AQ12" s="1168"/>
      <c r="AR12" s="1168"/>
      <c r="AS12" s="1168"/>
      <c r="AT12" s="1168"/>
      <c r="AU12" s="1168"/>
      <c r="AV12" s="1168"/>
      <c r="AW12" s="1168"/>
      <c r="AX12" s="1168"/>
      <c r="AY12" s="1168"/>
      <c r="AZ12" s="1168"/>
      <c r="BA12" s="1168"/>
      <c r="BB12" s="1168"/>
      <c r="BC12" s="1168"/>
      <c r="BD12" s="1168"/>
      <c r="BE12" s="1168"/>
      <c r="BF12" s="1168"/>
      <c r="BG12" s="1168"/>
      <c r="BH12" s="1168"/>
      <c r="BI12" s="1168"/>
      <c r="BJ12" s="1168"/>
      <c r="BK12" s="1168"/>
      <c r="BL12" s="1168"/>
      <c r="BM12" s="1168"/>
      <c r="BN12" s="1168"/>
      <c r="BO12" s="1168"/>
      <c r="BP12" s="1168"/>
      <c r="BQ12" s="1168"/>
      <c r="BR12" s="1173"/>
      <c r="BS12" s="1173"/>
      <c r="BT12" s="1173"/>
      <c r="BU12" s="1173"/>
      <c r="BV12" s="1167"/>
      <c r="BX12" s="1126"/>
      <c r="BY12" s="1126"/>
      <c r="BZ12" s="1126"/>
      <c r="CA12" s="1126"/>
      <c r="CB12" s="1126"/>
      <c r="CC12" s="1126"/>
      <c r="CD12" s="1126"/>
      <c r="CE12" s="1126"/>
      <c r="CF12" s="1126"/>
      <c r="CG12" s="1126"/>
      <c r="CH12" s="1126"/>
      <c r="CI12" s="1126"/>
      <c r="CJ12" s="1126"/>
      <c r="CK12" s="1126"/>
      <c r="CL12" s="1126"/>
      <c r="CM12" s="1126"/>
    </row>
    <row r="13" spans="1:93" ht="45.75" customHeight="1" x14ac:dyDescent="0.2">
      <c r="A13" s="1161"/>
      <c r="B13" s="1162"/>
      <c r="C13" s="1161"/>
      <c r="D13" s="1174"/>
      <c r="E13" s="1175"/>
      <c r="F13" s="1175"/>
      <c r="G13" s="2677" t="s">
        <v>20</v>
      </c>
      <c r="H13" s="2678" t="s">
        <v>1627</v>
      </c>
      <c r="I13" s="2677">
        <v>4502001</v>
      </c>
      <c r="J13" s="2678" t="s">
        <v>247</v>
      </c>
      <c r="K13" s="2679" t="s">
        <v>20</v>
      </c>
      <c r="L13" s="2688" t="s">
        <v>1628</v>
      </c>
      <c r="M13" s="2679">
        <v>450200100</v>
      </c>
      <c r="N13" s="2688" t="s">
        <v>249</v>
      </c>
      <c r="O13" s="2546">
        <v>1</v>
      </c>
      <c r="P13" s="2546">
        <v>1</v>
      </c>
      <c r="Q13" s="2689" t="s">
        <v>1629</v>
      </c>
      <c r="R13" s="2680" t="s">
        <v>1630</v>
      </c>
      <c r="S13" s="2505">
        <f>SUM(X13:X33)/T13</f>
        <v>1</v>
      </c>
      <c r="T13" s="2683">
        <f>SUM(X13:X33)</f>
        <v>110600000</v>
      </c>
      <c r="U13" s="2543" t="s">
        <v>1631</v>
      </c>
      <c r="V13" s="2685" t="s">
        <v>1632</v>
      </c>
      <c r="W13" s="2687" t="s">
        <v>1633</v>
      </c>
      <c r="X13" s="1176">
        <v>0</v>
      </c>
      <c r="Y13" s="1176">
        <v>0</v>
      </c>
      <c r="Z13" s="1176">
        <v>0</v>
      </c>
      <c r="AA13" s="1176">
        <v>0</v>
      </c>
      <c r="AB13" s="1177" t="s">
        <v>1634</v>
      </c>
      <c r="AC13" s="978">
        <v>20</v>
      </c>
      <c r="AD13" s="684" t="s">
        <v>1635</v>
      </c>
      <c r="AE13" s="2516">
        <v>295972</v>
      </c>
      <c r="AF13" s="2516">
        <f>AE13</f>
        <v>295972</v>
      </c>
      <c r="AG13" s="2697">
        <v>285580</v>
      </c>
      <c r="AH13" s="2516">
        <f>AG13</f>
        <v>285580</v>
      </c>
      <c r="AI13" s="2698">
        <v>135545</v>
      </c>
      <c r="AJ13" s="2692">
        <f>AI13</f>
        <v>135545</v>
      </c>
      <c r="AK13" s="2691">
        <v>44254</v>
      </c>
      <c r="AL13" s="2692">
        <f>AK13</f>
        <v>44254</v>
      </c>
      <c r="AM13" s="2694">
        <v>309146</v>
      </c>
      <c r="AN13" s="2692">
        <f>AM13</f>
        <v>309146</v>
      </c>
      <c r="AO13" s="2691">
        <v>92607</v>
      </c>
      <c r="AP13" s="2692">
        <f>AO13</f>
        <v>92607</v>
      </c>
      <c r="AQ13" s="2698">
        <v>2145</v>
      </c>
      <c r="AR13" s="2692">
        <f>AQ13</f>
        <v>2145</v>
      </c>
      <c r="AS13" s="2691">
        <v>12718</v>
      </c>
      <c r="AT13" s="2692">
        <f>AS13</f>
        <v>12718</v>
      </c>
      <c r="AU13" s="2700">
        <v>26</v>
      </c>
      <c r="AV13" s="2516">
        <f>AU13</f>
        <v>26</v>
      </c>
      <c r="AW13" s="2699">
        <v>37</v>
      </c>
      <c r="AX13" s="2516">
        <f>AW13</f>
        <v>37</v>
      </c>
      <c r="AY13" s="2700">
        <v>0</v>
      </c>
      <c r="AZ13" s="2516"/>
      <c r="BA13" s="2699">
        <v>0</v>
      </c>
      <c r="BB13" s="2516"/>
      <c r="BC13" s="2698">
        <v>44350</v>
      </c>
      <c r="BD13" s="2692">
        <f>BC13</f>
        <v>44350</v>
      </c>
      <c r="BE13" s="2691">
        <v>21944</v>
      </c>
      <c r="BF13" s="2692">
        <f>BE13</f>
        <v>21944</v>
      </c>
      <c r="BG13" s="2698">
        <v>75687</v>
      </c>
      <c r="BH13" s="2692">
        <f>BG13</f>
        <v>75687</v>
      </c>
      <c r="BI13" s="2710">
        <f>+AE13+AG13</f>
        <v>581552</v>
      </c>
      <c r="BJ13" s="2516">
        <f>BI13</f>
        <v>581552</v>
      </c>
      <c r="BK13" s="2516">
        <v>15</v>
      </c>
      <c r="BL13" s="2711">
        <f>SUM(Y13:Y33)</f>
        <v>87108467</v>
      </c>
      <c r="BM13" s="2711">
        <f>SUM(Z13:Z33)</f>
        <v>87108467</v>
      </c>
      <c r="BN13" s="2516"/>
      <c r="BO13" s="2516"/>
      <c r="BP13" s="2516"/>
      <c r="BQ13" s="2516" t="s">
        <v>1636</v>
      </c>
      <c r="BR13" s="2708">
        <v>44197</v>
      </c>
      <c r="BS13" s="2701">
        <v>44376</v>
      </c>
      <c r="BT13" s="2709">
        <v>44561</v>
      </c>
      <c r="BU13" s="2701">
        <v>44561</v>
      </c>
      <c r="BV13" s="2702" t="s">
        <v>1637</v>
      </c>
    </row>
    <row r="14" spans="1:93" ht="48" customHeight="1" x14ac:dyDescent="0.2">
      <c r="A14" s="1161"/>
      <c r="B14" s="1162"/>
      <c r="C14" s="1161"/>
      <c r="D14" s="1174"/>
      <c r="E14" s="1175"/>
      <c r="F14" s="1175"/>
      <c r="G14" s="2582"/>
      <c r="H14" s="2548"/>
      <c r="I14" s="2582"/>
      <c r="J14" s="2548"/>
      <c r="K14" s="2679"/>
      <c r="L14" s="2688"/>
      <c r="M14" s="2679"/>
      <c r="N14" s="2688"/>
      <c r="O14" s="2546"/>
      <c r="P14" s="2546"/>
      <c r="Q14" s="2689"/>
      <c r="R14" s="2680"/>
      <c r="S14" s="2505"/>
      <c r="T14" s="2683"/>
      <c r="U14" s="2543"/>
      <c r="V14" s="2685"/>
      <c r="W14" s="2687"/>
      <c r="X14" s="1176">
        <v>0</v>
      </c>
      <c r="Y14" s="1176">
        <v>0</v>
      </c>
      <c r="Z14" s="1176">
        <v>0</v>
      </c>
      <c r="AA14" s="1176">
        <v>0</v>
      </c>
      <c r="AB14" s="1177" t="s">
        <v>1638</v>
      </c>
      <c r="AC14" s="978">
        <v>20</v>
      </c>
      <c r="AD14" s="684" t="s">
        <v>1635</v>
      </c>
      <c r="AE14" s="2517"/>
      <c r="AF14" s="2517"/>
      <c r="AG14" s="2697"/>
      <c r="AH14" s="2517"/>
      <c r="AI14" s="2698"/>
      <c r="AJ14" s="2517"/>
      <c r="AK14" s="2691"/>
      <c r="AL14" s="2517"/>
      <c r="AM14" s="2695"/>
      <c r="AN14" s="2517"/>
      <c r="AO14" s="2691"/>
      <c r="AP14" s="2517"/>
      <c r="AQ14" s="2698"/>
      <c r="AR14" s="2517"/>
      <c r="AS14" s="2691"/>
      <c r="AT14" s="2517"/>
      <c r="AU14" s="2700"/>
      <c r="AV14" s="2517"/>
      <c r="AW14" s="2699"/>
      <c r="AX14" s="2517"/>
      <c r="AY14" s="2700"/>
      <c r="AZ14" s="2517"/>
      <c r="BA14" s="2699"/>
      <c r="BB14" s="2517"/>
      <c r="BC14" s="2698"/>
      <c r="BD14" s="2517"/>
      <c r="BE14" s="2691"/>
      <c r="BF14" s="2517"/>
      <c r="BG14" s="2698"/>
      <c r="BH14" s="2517"/>
      <c r="BI14" s="2710"/>
      <c r="BJ14" s="2517"/>
      <c r="BK14" s="2517"/>
      <c r="BL14" s="2517"/>
      <c r="BM14" s="2517"/>
      <c r="BN14" s="2517"/>
      <c r="BO14" s="2517"/>
      <c r="BP14" s="2517"/>
      <c r="BQ14" s="2517"/>
      <c r="BR14" s="2708"/>
      <c r="BS14" s="2517"/>
      <c r="BT14" s="2709"/>
      <c r="BU14" s="2517"/>
      <c r="BV14" s="2702"/>
    </row>
    <row r="15" spans="1:93" ht="45" customHeight="1" x14ac:dyDescent="0.2">
      <c r="A15" s="1161"/>
      <c r="B15" s="1162"/>
      <c r="C15" s="1161"/>
      <c r="D15" s="1174"/>
      <c r="E15" s="1175"/>
      <c r="F15" s="1175"/>
      <c r="G15" s="2582"/>
      <c r="H15" s="2548"/>
      <c r="I15" s="2582"/>
      <c r="J15" s="2548"/>
      <c r="K15" s="2679"/>
      <c r="L15" s="2688"/>
      <c r="M15" s="2679"/>
      <c r="N15" s="2688"/>
      <c r="O15" s="2546"/>
      <c r="P15" s="2546"/>
      <c r="Q15" s="2689"/>
      <c r="R15" s="2680"/>
      <c r="S15" s="2505"/>
      <c r="T15" s="2683"/>
      <c r="U15" s="2543"/>
      <c r="V15" s="2685"/>
      <c r="W15" s="2680" t="s">
        <v>1639</v>
      </c>
      <c r="X15" s="1176">
        <v>10000000</v>
      </c>
      <c r="Y15" s="1176">
        <v>10000000</v>
      </c>
      <c r="Z15" s="1176">
        <f>Y15</f>
        <v>10000000</v>
      </c>
      <c r="AA15" s="1176">
        <f>Z15</f>
        <v>10000000</v>
      </c>
      <c r="AB15" s="1177" t="s">
        <v>1634</v>
      </c>
      <c r="AC15" s="978">
        <v>20</v>
      </c>
      <c r="AD15" s="684" t="s">
        <v>1635</v>
      </c>
      <c r="AE15" s="2517"/>
      <c r="AF15" s="2517"/>
      <c r="AG15" s="2697"/>
      <c r="AH15" s="2517"/>
      <c r="AI15" s="2698"/>
      <c r="AJ15" s="2517"/>
      <c r="AK15" s="2691"/>
      <c r="AL15" s="2517"/>
      <c r="AM15" s="2695"/>
      <c r="AN15" s="2517"/>
      <c r="AO15" s="2691"/>
      <c r="AP15" s="2517"/>
      <c r="AQ15" s="2698"/>
      <c r="AR15" s="2517"/>
      <c r="AS15" s="2691"/>
      <c r="AT15" s="2517"/>
      <c r="AU15" s="2700"/>
      <c r="AV15" s="2517"/>
      <c r="AW15" s="2699"/>
      <c r="AX15" s="2517"/>
      <c r="AY15" s="2700"/>
      <c r="AZ15" s="2517"/>
      <c r="BA15" s="2699"/>
      <c r="BB15" s="2517"/>
      <c r="BC15" s="2698"/>
      <c r="BD15" s="2517"/>
      <c r="BE15" s="2691"/>
      <c r="BF15" s="2517"/>
      <c r="BG15" s="2698"/>
      <c r="BH15" s="2517"/>
      <c r="BI15" s="2710"/>
      <c r="BJ15" s="2517"/>
      <c r="BK15" s="2517"/>
      <c r="BL15" s="2517"/>
      <c r="BM15" s="2517"/>
      <c r="BN15" s="2517"/>
      <c r="BO15" s="2517"/>
      <c r="BP15" s="2517"/>
      <c r="BQ15" s="2517"/>
      <c r="BR15" s="2708"/>
      <c r="BS15" s="2517"/>
      <c r="BT15" s="2709"/>
      <c r="BU15" s="2517"/>
      <c r="BV15" s="2702"/>
    </row>
    <row r="16" spans="1:93" ht="39" customHeight="1" x14ac:dyDescent="0.2">
      <c r="A16" s="1161"/>
      <c r="B16" s="1162"/>
      <c r="C16" s="1161"/>
      <c r="D16" s="1174"/>
      <c r="E16" s="1175"/>
      <c r="F16" s="1175"/>
      <c r="G16" s="2582"/>
      <c r="H16" s="2548"/>
      <c r="I16" s="2582"/>
      <c r="J16" s="2548"/>
      <c r="K16" s="2679"/>
      <c r="L16" s="2688"/>
      <c r="M16" s="2679"/>
      <c r="N16" s="2688"/>
      <c r="O16" s="2546"/>
      <c r="P16" s="2546"/>
      <c r="Q16" s="2689"/>
      <c r="R16" s="2680"/>
      <c r="S16" s="2505"/>
      <c r="T16" s="2683"/>
      <c r="U16" s="2543"/>
      <c r="V16" s="2685"/>
      <c r="W16" s="2680"/>
      <c r="X16" s="1176">
        <v>20000000</v>
      </c>
      <c r="Y16" s="1176">
        <v>10500000</v>
      </c>
      <c r="Z16" s="1176">
        <v>10500000</v>
      </c>
      <c r="AA16" s="1176">
        <v>10500000</v>
      </c>
      <c r="AB16" s="1177" t="s">
        <v>1638</v>
      </c>
      <c r="AC16" s="978">
        <v>20</v>
      </c>
      <c r="AD16" s="684" t="s">
        <v>1635</v>
      </c>
      <c r="AE16" s="2517"/>
      <c r="AF16" s="2517"/>
      <c r="AG16" s="2697"/>
      <c r="AH16" s="2517"/>
      <c r="AI16" s="2698"/>
      <c r="AJ16" s="2517"/>
      <c r="AK16" s="2691"/>
      <c r="AL16" s="2517"/>
      <c r="AM16" s="2695"/>
      <c r="AN16" s="2517"/>
      <c r="AO16" s="2691"/>
      <c r="AP16" s="2517"/>
      <c r="AQ16" s="2698"/>
      <c r="AR16" s="2517"/>
      <c r="AS16" s="2691"/>
      <c r="AT16" s="2517"/>
      <c r="AU16" s="2700"/>
      <c r="AV16" s="2517"/>
      <c r="AW16" s="2699"/>
      <c r="AX16" s="2517"/>
      <c r="AY16" s="2700"/>
      <c r="AZ16" s="2517"/>
      <c r="BA16" s="2699"/>
      <c r="BB16" s="2517"/>
      <c r="BC16" s="2698"/>
      <c r="BD16" s="2517"/>
      <c r="BE16" s="2691"/>
      <c r="BF16" s="2517"/>
      <c r="BG16" s="2698"/>
      <c r="BH16" s="2517"/>
      <c r="BI16" s="2710"/>
      <c r="BJ16" s="2517"/>
      <c r="BK16" s="2517"/>
      <c r="BL16" s="2517"/>
      <c r="BM16" s="2517"/>
      <c r="BN16" s="2517"/>
      <c r="BO16" s="2517"/>
      <c r="BP16" s="2517"/>
      <c r="BQ16" s="2517"/>
      <c r="BR16" s="2708"/>
      <c r="BS16" s="2517"/>
      <c r="BT16" s="2709"/>
      <c r="BU16" s="2517"/>
      <c r="BV16" s="2702"/>
    </row>
    <row r="17" spans="1:74" ht="83.25" customHeight="1" x14ac:dyDescent="0.2">
      <c r="A17" s="1161"/>
      <c r="B17" s="1162"/>
      <c r="C17" s="1161"/>
      <c r="D17" s="1174"/>
      <c r="E17" s="1175"/>
      <c r="F17" s="1175"/>
      <c r="G17" s="2582"/>
      <c r="H17" s="2548"/>
      <c r="I17" s="2582"/>
      <c r="J17" s="2548"/>
      <c r="K17" s="2679"/>
      <c r="L17" s="2688"/>
      <c r="M17" s="2679"/>
      <c r="N17" s="2688"/>
      <c r="O17" s="2546"/>
      <c r="P17" s="2546"/>
      <c r="Q17" s="2689"/>
      <c r="R17" s="2680"/>
      <c r="S17" s="2505"/>
      <c r="T17" s="2683"/>
      <c r="U17" s="2543"/>
      <c r="V17" s="2685"/>
      <c r="W17" s="2680"/>
      <c r="X17" s="1176">
        <v>0</v>
      </c>
      <c r="Y17" s="1176">
        <v>0</v>
      </c>
      <c r="Z17" s="1176">
        <v>0</v>
      </c>
      <c r="AA17" s="1176">
        <v>0</v>
      </c>
      <c r="AB17" s="1177" t="s">
        <v>1640</v>
      </c>
      <c r="AC17" s="978">
        <v>20</v>
      </c>
      <c r="AD17" s="684" t="s">
        <v>1635</v>
      </c>
      <c r="AE17" s="2517"/>
      <c r="AF17" s="2517"/>
      <c r="AG17" s="2697"/>
      <c r="AH17" s="2517"/>
      <c r="AI17" s="2698"/>
      <c r="AJ17" s="2517"/>
      <c r="AK17" s="2691"/>
      <c r="AL17" s="2517"/>
      <c r="AM17" s="2695"/>
      <c r="AN17" s="2517"/>
      <c r="AO17" s="2691"/>
      <c r="AP17" s="2517"/>
      <c r="AQ17" s="2698"/>
      <c r="AR17" s="2517"/>
      <c r="AS17" s="2691"/>
      <c r="AT17" s="2517"/>
      <c r="AU17" s="2700"/>
      <c r="AV17" s="2517"/>
      <c r="AW17" s="2699"/>
      <c r="AX17" s="2517"/>
      <c r="AY17" s="2700"/>
      <c r="AZ17" s="2517"/>
      <c r="BA17" s="2699"/>
      <c r="BB17" s="2517"/>
      <c r="BC17" s="2698"/>
      <c r="BD17" s="2517"/>
      <c r="BE17" s="2691"/>
      <c r="BF17" s="2517"/>
      <c r="BG17" s="2698"/>
      <c r="BH17" s="2517"/>
      <c r="BI17" s="2710"/>
      <c r="BJ17" s="2517"/>
      <c r="BK17" s="2517"/>
      <c r="BL17" s="2517"/>
      <c r="BM17" s="2517"/>
      <c r="BN17" s="2517"/>
      <c r="BO17" s="2517"/>
      <c r="BP17" s="2517"/>
      <c r="BQ17" s="2517"/>
      <c r="BR17" s="2708"/>
      <c r="BS17" s="2517"/>
      <c r="BT17" s="2709"/>
      <c r="BU17" s="2517"/>
      <c r="BV17" s="2702"/>
    </row>
    <row r="18" spans="1:74" ht="69" customHeight="1" x14ac:dyDescent="0.2">
      <c r="A18" s="1161"/>
      <c r="B18" s="1162"/>
      <c r="C18" s="1161"/>
      <c r="D18" s="1174"/>
      <c r="E18" s="1175"/>
      <c r="F18" s="1175"/>
      <c r="G18" s="2582"/>
      <c r="H18" s="2548"/>
      <c r="I18" s="2582"/>
      <c r="J18" s="2548"/>
      <c r="K18" s="2679"/>
      <c r="L18" s="2688"/>
      <c r="M18" s="2679"/>
      <c r="N18" s="2688"/>
      <c r="O18" s="2546"/>
      <c r="P18" s="2546"/>
      <c r="Q18" s="2689"/>
      <c r="R18" s="2680"/>
      <c r="S18" s="2505"/>
      <c r="T18" s="2683"/>
      <c r="U18" s="2543"/>
      <c r="V18" s="2685"/>
      <c r="W18" s="2543" t="s">
        <v>1641</v>
      </c>
      <c r="X18" s="1176">
        <v>0</v>
      </c>
      <c r="Y18" s="1176">
        <v>0</v>
      </c>
      <c r="Z18" s="1176">
        <v>0</v>
      </c>
      <c r="AA18" s="1176">
        <v>0</v>
      </c>
      <c r="AB18" s="1177" t="s">
        <v>1640</v>
      </c>
      <c r="AC18" s="978">
        <v>20</v>
      </c>
      <c r="AD18" s="684" t="s">
        <v>1635</v>
      </c>
      <c r="AE18" s="2517"/>
      <c r="AF18" s="2517"/>
      <c r="AG18" s="2697"/>
      <c r="AH18" s="2517"/>
      <c r="AI18" s="2698"/>
      <c r="AJ18" s="2517"/>
      <c r="AK18" s="2691"/>
      <c r="AL18" s="2517"/>
      <c r="AM18" s="2695"/>
      <c r="AN18" s="2517"/>
      <c r="AO18" s="2691"/>
      <c r="AP18" s="2517"/>
      <c r="AQ18" s="2698"/>
      <c r="AR18" s="2517"/>
      <c r="AS18" s="2691"/>
      <c r="AT18" s="2517"/>
      <c r="AU18" s="2700"/>
      <c r="AV18" s="2517"/>
      <c r="AW18" s="2699"/>
      <c r="AX18" s="2517"/>
      <c r="AY18" s="2700"/>
      <c r="AZ18" s="2517"/>
      <c r="BA18" s="2699"/>
      <c r="BB18" s="2517"/>
      <c r="BC18" s="2698"/>
      <c r="BD18" s="2517"/>
      <c r="BE18" s="2691"/>
      <c r="BF18" s="2517"/>
      <c r="BG18" s="2698"/>
      <c r="BH18" s="2517"/>
      <c r="BI18" s="2710"/>
      <c r="BJ18" s="2517"/>
      <c r="BK18" s="2517"/>
      <c r="BL18" s="2517"/>
      <c r="BM18" s="2517"/>
      <c r="BN18" s="2517"/>
      <c r="BO18" s="2517"/>
      <c r="BP18" s="2517"/>
      <c r="BQ18" s="2517"/>
      <c r="BR18" s="2708"/>
      <c r="BS18" s="2517"/>
      <c r="BT18" s="2709"/>
      <c r="BU18" s="2517"/>
      <c r="BV18" s="2702"/>
    </row>
    <row r="19" spans="1:74" ht="69" customHeight="1" x14ac:dyDescent="0.2">
      <c r="A19" s="1161"/>
      <c r="B19" s="1162"/>
      <c r="C19" s="1161"/>
      <c r="D19" s="1174"/>
      <c r="E19" s="1175"/>
      <c r="F19" s="1175"/>
      <c r="G19" s="2582"/>
      <c r="H19" s="2548"/>
      <c r="I19" s="2582"/>
      <c r="J19" s="2548"/>
      <c r="K19" s="2679"/>
      <c r="L19" s="2688"/>
      <c r="M19" s="2679"/>
      <c r="N19" s="2688"/>
      <c r="O19" s="2546"/>
      <c r="P19" s="2546"/>
      <c r="Q19" s="2689"/>
      <c r="R19" s="2680"/>
      <c r="S19" s="2505"/>
      <c r="T19" s="2683"/>
      <c r="U19" s="2543"/>
      <c r="V19" s="2685"/>
      <c r="W19" s="2543"/>
      <c r="X19" s="1176">
        <v>0</v>
      </c>
      <c r="Y19" s="1176">
        <v>0</v>
      </c>
      <c r="Z19" s="1176">
        <v>0</v>
      </c>
      <c r="AA19" s="1176">
        <v>0</v>
      </c>
      <c r="AB19" s="1177" t="s">
        <v>1638</v>
      </c>
      <c r="AC19" s="978">
        <v>20</v>
      </c>
      <c r="AD19" s="684" t="s">
        <v>1635</v>
      </c>
      <c r="AE19" s="2517"/>
      <c r="AF19" s="2517"/>
      <c r="AG19" s="2697"/>
      <c r="AH19" s="2517"/>
      <c r="AI19" s="2698"/>
      <c r="AJ19" s="2517"/>
      <c r="AK19" s="2691"/>
      <c r="AL19" s="2517"/>
      <c r="AM19" s="2695"/>
      <c r="AN19" s="2517"/>
      <c r="AO19" s="2691"/>
      <c r="AP19" s="2517"/>
      <c r="AQ19" s="2698"/>
      <c r="AR19" s="2517"/>
      <c r="AS19" s="2691"/>
      <c r="AT19" s="2517"/>
      <c r="AU19" s="2700"/>
      <c r="AV19" s="2517"/>
      <c r="AW19" s="2699"/>
      <c r="AX19" s="2517"/>
      <c r="AY19" s="2700"/>
      <c r="AZ19" s="2517"/>
      <c r="BA19" s="2699"/>
      <c r="BB19" s="2517"/>
      <c r="BC19" s="2698"/>
      <c r="BD19" s="2517"/>
      <c r="BE19" s="2691"/>
      <c r="BF19" s="2517"/>
      <c r="BG19" s="2698"/>
      <c r="BH19" s="2517"/>
      <c r="BI19" s="2710"/>
      <c r="BJ19" s="2517"/>
      <c r="BK19" s="2517"/>
      <c r="BL19" s="2517"/>
      <c r="BM19" s="2517"/>
      <c r="BN19" s="2517"/>
      <c r="BO19" s="2517"/>
      <c r="BP19" s="2517"/>
      <c r="BQ19" s="2517"/>
      <c r="BR19" s="2708"/>
      <c r="BS19" s="2517"/>
      <c r="BT19" s="2709"/>
      <c r="BU19" s="2517"/>
      <c r="BV19" s="2702"/>
    </row>
    <row r="20" spans="1:74" ht="54.75" customHeight="1" x14ac:dyDescent="0.2">
      <c r="A20" s="1161"/>
      <c r="B20" s="1162"/>
      <c r="C20" s="1161"/>
      <c r="D20" s="1174"/>
      <c r="E20" s="1175"/>
      <c r="F20" s="1175"/>
      <c r="G20" s="2582"/>
      <c r="H20" s="2548"/>
      <c r="I20" s="2582"/>
      <c r="J20" s="2548"/>
      <c r="K20" s="2679"/>
      <c r="L20" s="2688"/>
      <c r="M20" s="2679"/>
      <c r="N20" s="2688"/>
      <c r="O20" s="2546"/>
      <c r="P20" s="2546"/>
      <c r="Q20" s="2689"/>
      <c r="R20" s="2680"/>
      <c r="S20" s="2505"/>
      <c r="T20" s="2683"/>
      <c r="U20" s="2543"/>
      <c r="V20" s="2685"/>
      <c r="W20" s="2687" t="s">
        <v>1642</v>
      </c>
      <c r="X20" s="1176">
        <v>1500000</v>
      </c>
      <c r="Y20" s="1176">
        <v>0</v>
      </c>
      <c r="Z20" s="1176">
        <v>0</v>
      </c>
      <c r="AA20" s="1176">
        <v>0</v>
      </c>
      <c r="AB20" s="1177" t="s">
        <v>1643</v>
      </c>
      <c r="AC20" s="978">
        <v>20</v>
      </c>
      <c r="AD20" s="684" t="s">
        <v>1635</v>
      </c>
      <c r="AE20" s="2517"/>
      <c r="AF20" s="2517"/>
      <c r="AG20" s="2697"/>
      <c r="AH20" s="2517"/>
      <c r="AI20" s="2698"/>
      <c r="AJ20" s="2517"/>
      <c r="AK20" s="2691"/>
      <c r="AL20" s="2517"/>
      <c r="AM20" s="2695"/>
      <c r="AN20" s="2517"/>
      <c r="AO20" s="2691"/>
      <c r="AP20" s="2517"/>
      <c r="AQ20" s="2698"/>
      <c r="AR20" s="2517"/>
      <c r="AS20" s="2691"/>
      <c r="AT20" s="2517"/>
      <c r="AU20" s="2700"/>
      <c r="AV20" s="2517"/>
      <c r="AW20" s="2699"/>
      <c r="AX20" s="2517"/>
      <c r="AY20" s="2700"/>
      <c r="AZ20" s="2517"/>
      <c r="BA20" s="2699"/>
      <c r="BB20" s="2517"/>
      <c r="BC20" s="2698"/>
      <c r="BD20" s="2517"/>
      <c r="BE20" s="2691"/>
      <c r="BF20" s="2517"/>
      <c r="BG20" s="2698"/>
      <c r="BH20" s="2517"/>
      <c r="BI20" s="2710"/>
      <c r="BJ20" s="2517"/>
      <c r="BK20" s="2517"/>
      <c r="BL20" s="2517"/>
      <c r="BM20" s="2517"/>
      <c r="BN20" s="2517"/>
      <c r="BO20" s="2517"/>
      <c r="BP20" s="2517"/>
      <c r="BQ20" s="2517"/>
      <c r="BR20" s="2708"/>
      <c r="BS20" s="2517"/>
      <c r="BT20" s="2709"/>
      <c r="BU20" s="2517"/>
      <c r="BV20" s="2702"/>
    </row>
    <row r="21" spans="1:74" ht="45.75" customHeight="1" x14ac:dyDescent="0.2">
      <c r="A21" s="1161"/>
      <c r="B21" s="1162"/>
      <c r="C21" s="1161"/>
      <c r="D21" s="1174"/>
      <c r="E21" s="1175"/>
      <c r="F21" s="1175"/>
      <c r="G21" s="2582"/>
      <c r="H21" s="2548"/>
      <c r="I21" s="2582"/>
      <c r="J21" s="2548"/>
      <c r="K21" s="2679"/>
      <c r="L21" s="2688"/>
      <c r="M21" s="2679"/>
      <c r="N21" s="2688"/>
      <c r="O21" s="2546"/>
      <c r="P21" s="2546"/>
      <c r="Q21" s="2689"/>
      <c r="R21" s="2680"/>
      <c r="S21" s="2505"/>
      <c r="T21" s="2683"/>
      <c r="U21" s="2543"/>
      <c r="V21" s="2685"/>
      <c r="W21" s="2687"/>
      <c r="X21" s="1176">
        <f>7500000-7500000</f>
        <v>0</v>
      </c>
      <c r="Y21" s="1176">
        <v>0</v>
      </c>
      <c r="Z21" s="1176">
        <v>0</v>
      </c>
      <c r="AA21" s="1176">
        <v>0</v>
      </c>
      <c r="AB21" s="1177" t="s">
        <v>1644</v>
      </c>
      <c r="AC21" s="978">
        <v>20</v>
      </c>
      <c r="AD21" s="684" t="s">
        <v>1635</v>
      </c>
      <c r="AE21" s="2517"/>
      <c r="AF21" s="2517"/>
      <c r="AG21" s="2697"/>
      <c r="AH21" s="2517"/>
      <c r="AI21" s="2698"/>
      <c r="AJ21" s="2517"/>
      <c r="AK21" s="2691"/>
      <c r="AL21" s="2517"/>
      <c r="AM21" s="2695"/>
      <c r="AN21" s="2517"/>
      <c r="AO21" s="2691"/>
      <c r="AP21" s="2517"/>
      <c r="AQ21" s="2698"/>
      <c r="AR21" s="2517"/>
      <c r="AS21" s="2691"/>
      <c r="AT21" s="2517"/>
      <c r="AU21" s="2700"/>
      <c r="AV21" s="2517"/>
      <c r="AW21" s="2699"/>
      <c r="AX21" s="2517"/>
      <c r="AY21" s="2700"/>
      <c r="AZ21" s="2517"/>
      <c r="BA21" s="2699"/>
      <c r="BB21" s="2517"/>
      <c r="BC21" s="2698"/>
      <c r="BD21" s="2517"/>
      <c r="BE21" s="2691"/>
      <c r="BF21" s="2517"/>
      <c r="BG21" s="2698"/>
      <c r="BH21" s="2517"/>
      <c r="BI21" s="2710"/>
      <c r="BJ21" s="2517"/>
      <c r="BK21" s="2517"/>
      <c r="BL21" s="2517"/>
      <c r="BM21" s="2517"/>
      <c r="BN21" s="2517"/>
      <c r="BO21" s="2517"/>
      <c r="BP21" s="2517"/>
      <c r="BQ21" s="2517"/>
      <c r="BR21" s="2708"/>
      <c r="BS21" s="2517"/>
      <c r="BT21" s="2709"/>
      <c r="BU21" s="2517"/>
      <c r="BV21" s="2702"/>
    </row>
    <row r="22" spans="1:74" ht="45.75" customHeight="1" x14ac:dyDescent="0.2">
      <c r="A22" s="1161"/>
      <c r="B22" s="1162"/>
      <c r="C22" s="1161"/>
      <c r="D22" s="1174"/>
      <c r="E22" s="1175"/>
      <c r="F22" s="1175"/>
      <c r="G22" s="2582"/>
      <c r="H22" s="2548"/>
      <c r="I22" s="2582"/>
      <c r="J22" s="2548"/>
      <c r="K22" s="2679"/>
      <c r="L22" s="2688"/>
      <c r="M22" s="2679"/>
      <c r="N22" s="2688"/>
      <c r="O22" s="2546"/>
      <c r="P22" s="2546"/>
      <c r="Q22" s="2689"/>
      <c r="R22" s="2680"/>
      <c r="S22" s="2505"/>
      <c r="T22" s="2683"/>
      <c r="U22" s="2543"/>
      <c r="V22" s="2685"/>
      <c r="W22" s="2703" t="s">
        <v>1645</v>
      </c>
      <c r="X22" s="1176">
        <v>9000000</v>
      </c>
      <c r="Y22" s="1176">
        <v>4307800</v>
      </c>
      <c r="Z22" s="1176">
        <v>4307800</v>
      </c>
      <c r="AA22" s="1176">
        <v>4307800</v>
      </c>
      <c r="AB22" s="1177" t="s">
        <v>1646</v>
      </c>
      <c r="AC22" s="978">
        <v>20</v>
      </c>
      <c r="AD22" s="684" t="s">
        <v>1635</v>
      </c>
      <c r="AE22" s="2517"/>
      <c r="AF22" s="2517"/>
      <c r="AG22" s="2697"/>
      <c r="AH22" s="2517"/>
      <c r="AI22" s="2698"/>
      <c r="AJ22" s="2517"/>
      <c r="AK22" s="2691"/>
      <c r="AL22" s="2517"/>
      <c r="AM22" s="2695"/>
      <c r="AN22" s="2517"/>
      <c r="AO22" s="2691"/>
      <c r="AP22" s="2517"/>
      <c r="AQ22" s="2698"/>
      <c r="AR22" s="2517"/>
      <c r="AS22" s="2691"/>
      <c r="AT22" s="2517"/>
      <c r="AU22" s="2700"/>
      <c r="AV22" s="2517"/>
      <c r="AW22" s="2699"/>
      <c r="AX22" s="2517"/>
      <c r="AY22" s="2700"/>
      <c r="AZ22" s="2517"/>
      <c r="BA22" s="2699"/>
      <c r="BB22" s="2517"/>
      <c r="BC22" s="2698"/>
      <c r="BD22" s="2517"/>
      <c r="BE22" s="2691"/>
      <c r="BF22" s="2517"/>
      <c r="BG22" s="2698"/>
      <c r="BH22" s="2517"/>
      <c r="BI22" s="2710"/>
      <c r="BJ22" s="2517"/>
      <c r="BK22" s="2517"/>
      <c r="BL22" s="2517"/>
      <c r="BM22" s="2517"/>
      <c r="BN22" s="2517"/>
      <c r="BO22" s="2517"/>
      <c r="BP22" s="2517"/>
      <c r="BQ22" s="2517"/>
      <c r="BR22" s="2708"/>
      <c r="BS22" s="2517"/>
      <c r="BT22" s="2709"/>
      <c r="BU22" s="2517"/>
      <c r="BV22" s="2702"/>
    </row>
    <row r="23" spans="1:74" ht="45.75" customHeight="1" x14ac:dyDescent="0.2">
      <c r="A23" s="1161"/>
      <c r="B23" s="1162"/>
      <c r="C23" s="1161"/>
      <c r="D23" s="1174"/>
      <c r="E23" s="1175"/>
      <c r="F23" s="1175"/>
      <c r="G23" s="2582"/>
      <c r="H23" s="2548"/>
      <c r="I23" s="2582"/>
      <c r="J23" s="2548"/>
      <c r="K23" s="2679"/>
      <c r="L23" s="2688"/>
      <c r="M23" s="2679"/>
      <c r="N23" s="2688"/>
      <c r="O23" s="2546"/>
      <c r="P23" s="2546"/>
      <c r="Q23" s="2689"/>
      <c r="R23" s="2680"/>
      <c r="S23" s="2505"/>
      <c r="T23" s="2683"/>
      <c r="U23" s="2543"/>
      <c r="V23" s="2685"/>
      <c r="W23" s="2704"/>
      <c r="X23" s="1176">
        <v>0</v>
      </c>
      <c r="Y23" s="1176">
        <v>0</v>
      </c>
      <c r="Z23" s="1176">
        <v>0</v>
      </c>
      <c r="AA23" s="1176">
        <v>0</v>
      </c>
      <c r="AB23" s="1177" t="s">
        <v>1638</v>
      </c>
      <c r="AC23" s="978">
        <v>20</v>
      </c>
      <c r="AD23" s="684" t="s">
        <v>1635</v>
      </c>
      <c r="AE23" s="2517"/>
      <c r="AF23" s="2517"/>
      <c r="AG23" s="2697"/>
      <c r="AH23" s="2517"/>
      <c r="AI23" s="2698"/>
      <c r="AJ23" s="2517"/>
      <c r="AK23" s="2691"/>
      <c r="AL23" s="2517"/>
      <c r="AM23" s="2695"/>
      <c r="AN23" s="2517"/>
      <c r="AO23" s="2691"/>
      <c r="AP23" s="2517"/>
      <c r="AQ23" s="2698"/>
      <c r="AR23" s="2517"/>
      <c r="AS23" s="2691"/>
      <c r="AT23" s="2517"/>
      <c r="AU23" s="2700"/>
      <c r="AV23" s="2517"/>
      <c r="AW23" s="2699"/>
      <c r="AX23" s="2517"/>
      <c r="AY23" s="2700"/>
      <c r="AZ23" s="2517"/>
      <c r="BA23" s="2699"/>
      <c r="BB23" s="2517"/>
      <c r="BC23" s="2698"/>
      <c r="BD23" s="2517"/>
      <c r="BE23" s="2691"/>
      <c r="BF23" s="2517"/>
      <c r="BG23" s="2698"/>
      <c r="BH23" s="2517"/>
      <c r="BI23" s="2710"/>
      <c r="BJ23" s="2517"/>
      <c r="BK23" s="2517"/>
      <c r="BL23" s="2517"/>
      <c r="BM23" s="2517"/>
      <c r="BN23" s="2517"/>
      <c r="BO23" s="2517"/>
      <c r="BP23" s="2517"/>
      <c r="BQ23" s="2517"/>
      <c r="BR23" s="2708"/>
      <c r="BS23" s="2517"/>
      <c r="BT23" s="2709"/>
      <c r="BU23" s="2517"/>
      <c r="BV23" s="2702"/>
    </row>
    <row r="24" spans="1:74" ht="45.75" customHeight="1" x14ac:dyDescent="0.2">
      <c r="A24" s="1161"/>
      <c r="B24" s="1162"/>
      <c r="C24" s="1161"/>
      <c r="D24" s="1174"/>
      <c r="E24" s="1175"/>
      <c r="F24" s="1175"/>
      <c r="G24" s="2582"/>
      <c r="H24" s="2548"/>
      <c r="I24" s="2582"/>
      <c r="J24" s="2548"/>
      <c r="K24" s="2679"/>
      <c r="L24" s="2688"/>
      <c r="M24" s="2679"/>
      <c r="N24" s="2688"/>
      <c r="O24" s="2546"/>
      <c r="P24" s="2546"/>
      <c r="Q24" s="2689"/>
      <c r="R24" s="2680"/>
      <c r="S24" s="2505"/>
      <c r="T24" s="2683"/>
      <c r="U24" s="2543"/>
      <c r="V24" s="2685"/>
      <c r="W24" s="1178" t="s">
        <v>1647</v>
      </c>
      <c r="X24" s="1176">
        <v>15000000</v>
      </c>
      <c r="Y24" s="1176">
        <v>15000000</v>
      </c>
      <c r="Z24" s="1176">
        <v>15000000</v>
      </c>
      <c r="AA24" s="1176">
        <v>15000000</v>
      </c>
      <c r="AB24" s="1177" t="s">
        <v>1648</v>
      </c>
      <c r="AC24" s="978">
        <v>20</v>
      </c>
      <c r="AD24" s="684" t="s">
        <v>1635</v>
      </c>
      <c r="AE24" s="2517"/>
      <c r="AF24" s="2517"/>
      <c r="AG24" s="2697"/>
      <c r="AH24" s="2517"/>
      <c r="AI24" s="2698"/>
      <c r="AJ24" s="2517"/>
      <c r="AK24" s="2691"/>
      <c r="AL24" s="2517"/>
      <c r="AM24" s="2695"/>
      <c r="AN24" s="2517"/>
      <c r="AO24" s="2691"/>
      <c r="AP24" s="2517"/>
      <c r="AQ24" s="2698"/>
      <c r="AR24" s="2517"/>
      <c r="AS24" s="2691"/>
      <c r="AT24" s="2517"/>
      <c r="AU24" s="2700"/>
      <c r="AV24" s="2517"/>
      <c r="AW24" s="2699"/>
      <c r="AX24" s="2517"/>
      <c r="AY24" s="2700"/>
      <c r="AZ24" s="2517"/>
      <c r="BA24" s="2699"/>
      <c r="BB24" s="2517"/>
      <c r="BC24" s="2698"/>
      <c r="BD24" s="2517"/>
      <c r="BE24" s="2691"/>
      <c r="BF24" s="2517"/>
      <c r="BG24" s="2698"/>
      <c r="BH24" s="2517"/>
      <c r="BI24" s="2710"/>
      <c r="BJ24" s="2517"/>
      <c r="BK24" s="2517"/>
      <c r="BL24" s="2517"/>
      <c r="BM24" s="2517"/>
      <c r="BN24" s="2517"/>
      <c r="BO24" s="2517"/>
      <c r="BP24" s="2517"/>
      <c r="BQ24" s="2517"/>
      <c r="BR24" s="2708"/>
      <c r="BS24" s="2517"/>
      <c r="BT24" s="2709"/>
      <c r="BU24" s="2517"/>
      <c r="BV24" s="2702"/>
    </row>
    <row r="25" spans="1:74" ht="45.75" customHeight="1" x14ac:dyDescent="0.2">
      <c r="A25" s="1161"/>
      <c r="B25" s="1162"/>
      <c r="C25" s="1161"/>
      <c r="D25" s="1174"/>
      <c r="E25" s="1175"/>
      <c r="F25" s="1175"/>
      <c r="G25" s="2582"/>
      <c r="H25" s="2548"/>
      <c r="I25" s="2582"/>
      <c r="J25" s="2548"/>
      <c r="K25" s="2679"/>
      <c r="L25" s="2688"/>
      <c r="M25" s="2679"/>
      <c r="N25" s="2688"/>
      <c r="O25" s="2546"/>
      <c r="P25" s="2546"/>
      <c r="Q25" s="2689"/>
      <c r="R25" s="2680"/>
      <c r="S25" s="2505"/>
      <c r="T25" s="2683"/>
      <c r="U25" s="2543"/>
      <c r="V25" s="2685"/>
      <c r="W25" s="732" t="s">
        <v>1649</v>
      </c>
      <c r="X25" s="1176">
        <f>11000000+7100000</f>
        <v>18100000</v>
      </c>
      <c r="Y25" s="1176">
        <v>17300667</v>
      </c>
      <c r="Z25" s="1176">
        <v>17300667</v>
      </c>
      <c r="AA25" s="1176">
        <v>17300667</v>
      </c>
      <c r="AB25" s="1177" t="s">
        <v>1650</v>
      </c>
      <c r="AC25" s="978">
        <v>20</v>
      </c>
      <c r="AD25" s="684" t="s">
        <v>1635</v>
      </c>
      <c r="AE25" s="2517"/>
      <c r="AF25" s="2517"/>
      <c r="AG25" s="2697"/>
      <c r="AH25" s="2517"/>
      <c r="AI25" s="2698"/>
      <c r="AJ25" s="2517"/>
      <c r="AK25" s="2691"/>
      <c r="AL25" s="2517"/>
      <c r="AM25" s="2695"/>
      <c r="AN25" s="2517"/>
      <c r="AO25" s="2691"/>
      <c r="AP25" s="2517"/>
      <c r="AQ25" s="2698"/>
      <c r="AR25" s="2517"/>
      <c r="AS25" s="2691"/>
      <c r="AT25" s="2517"/>
      <c r="AU25" s="2700"/>
      <c r="AV25" s="2517"/>
      <c r="AW25" s="2699"/>
      <c r="AX25" s="2517"/>
      <c r="AY25" s="2700"/>
      <c r="AZ25" s="2517"/>
      <c r="BA25" s="2699"/>
      <c r="BB25" s="2517"/>
      <c r="BC25" s="2698"/>
      <c r="BD25" s="2517"/>
      <c r="BE25" s="2691"/>
      <c r="BF25" s="2517"/>
      <c r="BG25" s="2698"/>
      <c r="BH25" s="2517"/>
      <c r="BI25" s="2710"/>
      <c r="BJ25" s="2517"/>
      <c r="BK25" s="2517"/>
      <c r="BL25" s="2517"/>
      <c r="BM25" s="2517"/>
      <c r="BN25" s="2517"/>
      <c r="BO25" s="2517"/>
      <c r="BP25" s="2517"/>
      <c r="BQ25" s="2517"/>
      <c r="BR25" s="2708"/>
      <c r="BS25" s="2517"/>
      <c r="BT25" s="2709"/>
      <c r="BU25" s="2517"/>
      <c r="BV25" s="2702"/>
    </row>
    <row r="26" spans="1:74" ht="45.75" customHeight="1" x14ac:dyDescent="0.2">
      <c r="A26" s="1161"/>
      <c r="B26" s="1162"/>
      <c r="C26" s="1161"/>
      <c r="D26" s="1174"/>
      <c r="E26" s="1175"/>
      <c r="F26" s="1175"/>
      <c r="G26" s="2582"/>
      <c r="H26" s="2548"/>
      <c r="I26" s="2582"/>
      <c r="J26" s="2548"/>
      <c r="K26" s="2679"/>
      <c r="L26" s="2688"/>
      <c r="M26" s="2679"/>
      <c r="N26" s="2688"/>
      <c r="O26" s="2546"/>
      <c r="P26" s="2546"/>
      <c r="Q26" s="2689"/>
      <c r="R26" s="2680"/>
      <c r="S26" s="2505"/>
      <c r="T26" s="2683"/>
      <c r="U26" s="2543"/>
      <c r="V26" s="2685"/>
      <c r="W26" s="732" t="s">
        <v>1651</v>
      </c>
      <c r="X26" s="1176">
        <f>14000000-14000000</f>
        <v>0</v>
      </c>
      <c r="Y26" s="1176">
        <v>0</v>
      </c>
      <c r="Z26" s="1176">
        <v>0</v>
      </c>
      <c r="AA26" s="1176">
        <v>0</v>
      </c>
      <c r="AB26" s="1177" t="s">
        <v>1652</v>
      </c>
      <c r="AC26" s="978">
        <v>20</v>
      </c>
      <c r="AD26" s="684" t="s">
        <v>1635</v>
      </c>
      <c r="AE26" s="2517"/>
      <c r="AF26" s="2517"/>
      <c r="AG26" s="2697"/>
      <c r="AH26" s="2517"/>
      <c r="AI26" s="2698"/>
      <c r="AJ26" s="2517"/>
      <c r="AK26" s="2691"/>
      <c r="AL26" s="2517"/>
      <c r="AM26" s="2695"/>
      <c r="AN26" s="2517"/>
      <c r="AO26" s="2691"/>
      <c r="AP26" s="2517"/>
      <c r="AQ26" s="2698"/>
      <c r="AR26" s="2517"/>
      <c r="AS26" s="2691"/>
      <c r="AT26" s="2517"/>
      <c r="AU26" s="2700"/>
      <c r="AV26" s="2517"/>
      <c r="AW26" s="2699"/>
      <c r="AX26" s="2517"/>
      <c r="AY26" s="2700"/>
      <c r="AZ26" s="2517"/>
      <c r="BA26" s="2699"/>
      <c r="BB26" s="2517"/>
      <c r="BC26" s="2698"/>
      <c r="BD26" s="2517"/>
      <c r="BE26" s="2691"/>
      <c r="BF26" s="2517"/>
      <c r="BG26" s="2698"/>
      <c r="BH26" s="2517"/>
      <c r="BI26" s="2710"/>
      <c r="BJ26" s="2517"/>
      <c r="BK26" s="2517"/>
      <c r="BL26" s="2517"/>
      <c r="BM26" s="2517"/>
      <c r="BN26" s="2517"/>
      <c r="BO26" s="2517"/>
      <c r="BP26" s="2517"/>
      <c r="BQ26" s="2517"/>
      <c r="BR26" s="2708"/>
      <c r="BS26" s="2517"/>
      <c r="BT26" s="2709"/>
      <c r="BU26" s="2517"/>
      <c r="BV26" s="2702"/>
    </row>
    <row r="27" spans="1:74" ht="45.75" customHeight="1" x14ac:dyDescent="0.2">
      <c r="A27" s="1161"/>
      <c r="B27" s="1162"/>
      <c r="C27" s="1161"/>
      <c r="D27" s="1174"/>
      <c r="E27" s="1175"/>
      <c r="F27" s="1175"/>
      <c r="G27" s="2582"/>
      <c r="H27" s="2548"/>
      <c r="I27" s="2582"/>
      <c r="J27" s="2548"/>
      <c r="K27" s="2679"/>
      <c r="L27" s="2688"/>
      <c r="M27" s="2679"/>
      <c r="N27" s="2688"/>
      <c r="O27" s="2546"/>
      <c r="P27" s="2546"/>
      <c r="Q27" s="2689"/>
      <c r="R27" s="2680"/>
      <c r="S27" s="2505"/>
      <c r="T27" s="2683"/>
      <c r="U27" s="2543"/>
      <c r="V27" s="2685"/>
      <c r="W27" s="1178" t="s">
        <v>1653</v>
      </c>
      <c r="X27" s="1176">
        <v>18000000</v>
      </c>
      <c r="Y27" s="1176">
        <v>18000000</v>
      </c>
      <c r="Z27" s="1176">
        <v>18000000</v>
      </c>
      <c r="AA27" s="1176">
        <v>18000000</v>
      </c>
      <c r="AB27" s="1179" t="s">
        <v>1654</v>
      </c>
      <c r="AC27" s="978">
        <v>20</v>
      </c>
      <c r="AD27" s="684" t="s">
        <v>1635</v>
      </c>
      <c r="AE27" s="2517"/>
      <c r="AF27" s="2517"/>
      <c r="AG27" s="2697"/>
      <c r="AH27" s="2517"/>
      <c r="AI27" s="2698"/>
      <c r="AJ27" s="2517"/>
      <c r="AK27" s="2691"/>
      <c r="AL27" s="2517"/>
      <c r="AM27" s="2695"/>
      <c r="AN27" s="2517"/>
      <c r="AO27" s="2691"/>
      <c r="AP27" s="2517"/>
      <c r="AQ27" s="2698"/>
      <c r="AR27" s="2517"/>
      <c r="AS27" s="2691"/>
      <c r="AT27" s="2517"/>
      <c r="AU27" s="2700"/>
      <c r="AV27" s="2517"/>
      <c r="AW27" s="2699"/>
      <c r="AX27" s="2517"/>
      <c r="AY27" s="2700"/>
      <c r="AZ27" s="2517"/>
      <c r="BA27" s="2699"/>
      <c r="BB27" s="2517"/>
      <c r="BC27" s="2698"/>
      <c r="BD27" s="2517"/>
      <c r="BE27" s="2691"/>
      <c r="BF27" s="2517"/>
      <c r="BG27" s="2698"/>
      <c r="BH27" s="2517"/>
      <c r="BI27" s="2710"/>
      <c r="BJ27" s="2517"/>
      <c r="BK27" s="2517"/>
      <c r="BL27" s="2517"/>
      <c r="BM27" s="2517"/>
      <c r="BN27" s="2517"/>
      <c r="BO27" s="2517"/>
      <c r="BP27" s="2517"/>
      <c r="BQ27" s="2517"/>
      <c r="BR27" s="2708"/>
      <c r="BS27" s="2517"/>
      <c r="BT27" s="2709"/>
      <c r="BU27" s="2517"/>
      <c r="BV27" s="2702"/>
    </row>
    <row r="28" spans="1:74" ht="45.75" customHeight="1" x14ac:dyDescent="0.2">
      <c r="A28" s="1161"/>
      <c r="B28" s="1162"/>
      <c r="C28" s="1161"/>
      <c r="D28" s="1174"/>
      <c r="E28" s="1175"/>
      <c r="F28" s="1175"/>
      <c r="G28" s="2582"/>
      <c r="H28" s="2548"/>
      <c r="I28" s="2582"/>
      <c r="J28" s="2548"/>
      <c r="K28" s="2679"/>
      <c r="L28" s="2688"/>
      <c r="M28" s="2679"/>
      <c r="N28" s="2688"/>
      <c r="O28" s="2546"/>
      <c r="P28" s="2546"/>
      <c r="Q28" s="2689"/>
      <c r="R28" s="2680"/>
      <c r="S28" s="2505"/>
      <c r="T28" s="2683"/>
      <c r="U28" s="2543"/>
      <c r="V28" s="2685"/>
      <c r="W28" s="1178" t="s">
        <v>1655</v>
      </c>
      <c r="X28" s="1176">
        <v>4000000</v>
      </c>
      <c r="Y28" s="1176">
        <v>4000000</v>
      </c>
      <c r="Z28" s="1176">
        <v>4000000</v>
      </c>
      <c r="AA28" s="1176">
        <v>4000000</v>
      </c>
      <c r="AB28" s="1179" t="s">
        <v>1654</v>
      </c>
      <c r="AC28" s="978">
        <v>20</v>
      </c>
      <c r="AD28" s="684" t="s">
        <v>1635</v>
      </c>
      <c r="AE28" s="2517"/>
      <c r="AF28" s="2517"/>
      <c r="AG28" s="2697"/>
      <c r="AH28" s="2517"/>
      <c r="AI28" s="2698"/>
      <c r="AJ28" s="2517"/>
      <c r="AK28" s="2691"/>
      <c r="AL28" s="2517"/>
      <c r="AM28" s="2695"/>
      <c r="AN28" s="2517"/>
      <c r="AO28" s="2691"/>
      <c r="AP28" s="2517"/>
      <c r="AQ28" s="2698"/>
      <c r="AR28" s="2517"/>
      <c r="AS28" s="2691"/>
      <c r="AT28" s="2517"/>
      <c r="AU28" s="2700"/>
      <c r="AV28" s="2517"/>
      <c r="AW28" s="2699"/>
      <c r="AX28" s="2517"/>
      <c r="AY28" s="2700"/>
      <c r="AZ28" s="2517"/>
      <c r="BA28" s="2699"/>
      <c r="BB28" s="2517"/>
      <c r="BC28" s="2698"/>
      <c r="BD28" s="2517"/>
      <c r="BE28" s="2691"/>
      <c r="BF28" s="2517"/>
      <c r="BG28" s="2698"/>
      <c r="BH28" s="2517"/>
      <c r="BI28" s="2710"/>
      <c r="BJ28" s="2517"/>
      <c r="BK28" s="2517"/>
      <c r="BL28" s="2517"/>
      <c r="BM28" s="2517"/>
      <c r="BN28" s="2517"/>
      <c r="BO28" s="2517"/>
      <c r="BP28" s="2517"/>
      <c r="BQ28" s="2517"/>
      <c r="BR28" s="2708"/>
      <c r="BS28" s="2517"/>
      <c r="BT28" s="2709"/>
      <c r="BU28" s="2517"/>
      <c r="BV28" s="2702"/>
    </row>
    <row r="29" spans="1:74" ht="36" customHeight="1" x14ac:dyDescent="0.2">
      <c r="A29" s="1161"/>
      <c r="B29" s="1162"/>
      <c r="C29" s="1161"/>
      <c r="D29" s="1174"/>
      <c r="E29" s="1175"/>
      <c r="F29" s="1175"/>
      <c r="G29" s="2582"/>
      <c r="H29" s="2548"/>
      <c r="I29" s="2582"/>
      <c r="J29" s="2548"/>
      <c r="K29" s="2679"/>
      <c r="L29" s="2688"/>
      <c r="M29" s="2679"/>
      <c r="N29" s="2688"/>
      <c r="O29" s="2546"/>
      <c r="P29" s="2546"/>
      <c r="Q29" s="2689"/>
      <c r="R29" s="2680"/>
      <c r="S29" s="2505"/>
      <c r="T29" s="2683"/>
      <c r="U29" s="2543"/>
      <c r="V29" s="2685"/>
      <c r="W29" s="237" t="s">
        <v>1656</v>
      </c>
      <c r="X29" s="1176">
        <v>8000000</v>
      </c>
      <c r="Y29" s="1176">
        <v>8000000</v>
      </c>
      <c r="Z29" s="1176">
        <v>8000000</v>
      </c>
      <c r="AA29" s="1176">
        <v>8000000</v>
      </c>
      <c r="AB29" s="1179" t="s">
        <v>1654</v>
      </c>
      <c r="AC29" s="978">
        <v>20</v>
      </c>
      <c r="AD29" s="684" t="s">
        <v>1635</v>
      </c>
      <c r="AE29" s="2517"/>
      <c r="AF29" s="2517"/>
      <c r="AG29" s="2697"/>
      <c r="AH29" s="2517"/>
      <c r="AI29" s="2698"/>
      <c r="AJ29" s="2517"/>
      <c r="AK29" s="2691"/>
      <c r="AL29" s="2517"/>
      <c r="AM29" s="2695"/>
      <c r="AN29" s="2517"/>
      <c r="AO29" s="2691"/>
      <c r="AP29" s="2517"/>
      <c r="AQ29" s="2698"/>
      <c r="AR29" s="2517"/>
      <c r="AS29" s="2691"/>
      <c r="AT29" s="2517"/>
      <c r="AU29" s="2700"/>
      <c r="AV29" s="2517"/>
      <c r="AW29" s="2699"/>
      <c r="AX29" s="2517"/>
      <c r="AY29" s="2700"/>
      <c r="AZ29" s="2517"/>
      <c r="BA29" s="2699"/>
      <c r="BB29" s="2517"/>
      <c r="BC29" s="2698"/>
      <c r="BD29" s="2517"/>
      <c r="BE29" s="2691"/>
      <c r="BF29" s="2517"/>
      <c r="BG29" s="2698"/>
      <c r="BH29" s="2517"/>
      <c r="BI29" s="2710"/>
      <c r="BJ29" s="2517"/>
      <c r="BK29" s="2517"/>
      <c r="BL29" s="2517"/>
      <c r="BM29" s="2517"/>
      <c r="BN29" s="2517"/>
      <c r="BO29" s="2517"/>
      <c r="BP29" s="2517"/>
      <c r="BQ29" s="2517"/>
      <c r="BR29" s="2708"/>
      <c r="BS29" s="2517"/>
      <c r="BT29" s="2709"/>
      <c r="BU29" s="2517"/>
      <c r="BV29" s="2702"/>
    </row>
    <row r="30" spans="1:74" ht="28.5" customHeight="1" x14ac:dyDescent="0.2">
      <c r="A30" s="1161"/>
      <c r="B30" s="1162"/>
      <c r="C30" s="1161"/>
      <c r="D30" s="1174"/>
      <c r="E30" s="1175"/>
      <c r="F30" s="1175"/>
      <c r="G30" s="2582"/>
      <c r="H30" s="2548"/>
      <c r="I30" s="2582"/>
      <c r="J30" s="2548"/>
      <c r="K30" s="2679"/>
      <c r="L30" s="2688"/>
      <c r="M30" s="2679"/>
      <c r="N30" s="2688"/>
      <c r="O30" s="2546"/>
      <c r="P30" s="2546"/>
      <c r="Q30" s="2690"/>
      <c r="R30" s="2681"/>
      <c r="S30" s="2682"/>
      <c r="T30" s="2684"/>
      <c r="U30" s="2545"/>
      <c r="V30" s="2686"/>
      <c r="W30" s="2705" t="s">
        <v>1657</v>
      </c>
      <c r="X30" s="1176">
        <v>7000000</v>
      </c>
      <c r="Y30" s="1176">
        <v>0</v>
      </c>
      <c r="Z30" s="1176">
        <v>0</v>
      </c>
      <c r="AA30" s="1176">
        <v>0</v>
      </c>
      <c r="AB30" s="1177" t="s">
        <v>1643</v>
      </c>
      <c r="AC30" s="978">
        <v>20</v>
      </c>
      <c r="AD30" s="684" t="s">
        <v>1635</v>
      </c>
      <c r="AE30" s="2517"/>
      <c r="AF30" s="2517"/>
      <c r="AG30" s="2697"/>
      <c r="AH30" s="2517"/>
      <c r="AI30" s="2698"/>
      <c r="AJ30" s="2517"/>
      <c r="AK30" s="2691"/>
      <c r="AL30" s="2517"/>
      <c r="AM30" s="2695"/>
      <c r="AN30" s="2517"/>
      <c r="AO30" s="2691"/>
      <c r="AP30" s="2517"/>
      <c r="AQ30" s="2698"/>
      <c r="AR30" s="2517"/>
      <c r="AS30" s="2691"/>
      <c r="AT30" s="2517"/>
      <c r="AU30" s="2700"/>
      <c r="AV30" s="2517"/>
      <c r="AW30" s="2699"/>
      <c r="AX30" s="2517"/>
      <c r="AY30" s="2700"/>
      <c r="AZ30" s="2517"/>
      <c r="BA30" s="2699"/>
      <c r="BB30" s="2517"/>
      <c r="BC30" s="2698"/>
      <c r="BD30" s="2517"/>
      <c r="BE30" s="2691"/>
      <c r="BF30" s="2517"/>
      <c r="BG30" s="2698"/>
      <c r="BH30" s="2517"/>
      <c r="BI30" s="2710"/>
      <c r="BJ30" s="2517"/>
      <c r="BK30" s="2517"/>
      <c r="BL30" s="2517"/>
      <c r="BM30" s="2517"/>
      <c r="BN30" s="2517"/>
      <c r="BO30" s="2517"/>
      <c r="BP30" s="2517"/>
      <c r="BQ30" s="2517"/>
      <c r="BR30" s="2708"/>
      <c r="BS30" s="2517"/>
      <c r="BT30" s="2709"/>
      <c r="BU30" s="2517"/>
      <c r="BV30" s="2702"/>
    </row>
    <row r="31" spans="1:74" ht="28.5" customHeight="1" x14ac:dyDescent="0.2">
      <c r="A31" s="1161"/>
      <c r="B31" s="1162"/>
      <c r="C31" s="1161"/>
      <c r="D31" s="1174"/>
      <c r="E31" s="1175"/>
      <c r="F31" s="1175"/>
      <c r="G31" s="2582"/>
      <c r="H31" s="2548"/>
      <c r="I31" s="2582"/>
      <c r="J31" s="2548"/>
      <c r="K31" s="2679"/>
      <c r="L31" s="2688"/>
      <c r="M31" s="2679"/>
      <c r="N31" s="2688"/>
      <c r="O31" s="2546"/>
      <c r="P31" s="2546"/>
      <c r="Q31" s="2690"/>
      <c r="R31" s="2681"/>
      <c r="S31" s="2682"/>
      <c r="T31" s="2684"/>
      <c r="U31" s="2545"/>
      <c r="V31" s="2686"/>
      <c r="W31" s="2706"/>
      <c r="X31" s="1176">
        <f>3333529-3333529</f>
        <v>0</v>
      </c>
      <c r="Y31" s="1176">
        <v>0</v>
      </c>
      <c r="Z31" s="1176">
        <v>0</v>
      </c>
      <c r="AA31" s="1176">
        <v>0</v>
      </c>
      <c r="AB31" s="1177" t="s">
        <v>1658</v>
      </c>
      <c r="AC31" s="978">
        <v>88</v>
      </c>
      <c r="AD31" s="684" t="s">
        <v>171</v>
      </c>
      <c r="AE31" s="2517"/>
      <c r="AF31" s="2517"/>
      <c r="AG31" s="2697"/>
      <c r="AH31" s="2517"/>
      <c r="AI31" s="2698"/>
      <c r="AJ31" s="2517"/>
      <c r="AK31" s="2691"/>
      <c r="AL31" s="2517"/>
      <c r="AM31" s="2695"/>
      <c r="AN31" s="2517"/>
      <c r="AO31" s="2691"/>
      <c r="AP31" s="2517"/>
      <c r="AQ31" s="2698"/>
      <c r="AR31" s="2517"/>
      <c r="AS31" s="2691"/>
      <c r="AT31" s="2517"/>
      <c r="AU31" s="2700"/>
      <c r="AV31" s="2517"/>
      <c r="AW31" s="2699"/>
      <c r="AX31" s="2517"/>
      <c r="AY31" s="2700"/>
      <c r="AZ31" s="2517"/>
      <c r="BA31" s="2699"/>
      <c r="BB31" s="2517"/>
      <c r="BC31" s="2698"/>
      <c r="BD31" s="2517"/>
      <c r="BE31" s="2691"/>
      <c r="BF31" s="2517"/>
      <c r="BG31" s="2698"/>
      <c r="BH31" s="2517"/>
      <c r="BI31" s="2710"/>
      <c r="BJ31" s="2517"/>
      <c r="BK31" s="2517"/>
      <c r="BL31" s="2517"/>
      <c r="BM31" s="2517"/>
      <c r="BN31" s="2517"/>
      <c r="BO31" s="2517"/>
      <c r="BP31" s="2517"/>
      <c r="BQ31" s="2517"/>
      <c r="BR31" s="2708"/>
      <c r="BS31" s="2517"/>
      <c r="BT31" s="2709"/>
      <c r="BU31" s="2517"/>
      <c r="BV31" s="2702"/>
    </row>
    <row r="32" spans="1:74" ht="28.5" customHeight="1" x14ac:dyDescent="0.2">
      <c r="A32" s="1161"/>
      <c r="B32" s="1162"/>
      <c r="C32" s="1161"/>
      <c r="D32" s="1174"/>
      <c r="E32" s="1175"/>
      <c r="F32" s="1175"/>
      <c r="G32" s="2582"/>
      <c r="H32" s="2548"/>
      <c r="I32" s="2582"/>
      <c r="J32" s="2548"/>
      <c r="K32" s="2679"/>
      <c r="L32" s="2688"/>
      <c r="M32" s="2679"/>
      <c r="N32" s="2688"/>
      <c r="O32" s="2546"/>
      <c r="P32" s="2546"/>
      <c r="Q32" s="2690"/>
      <c r="R32" s="2681"/>
      <c r="S32" s="2682"/>
      <c r="T32" s="2684"/>
      <c r="U32" s="2545"/>
      <c r="V32" s="2686"/>
      <c r="W32" s="2707"/>
      <c r="X32" s="1176">
        <f>8000000-8000000</f>
        <v>0</v>
      </c>
      <c r="Y32" s="1176">
        <v>0</v>
      </c>
      <c r="Z32" s="1176">
        <v>0</v>
      </c>
      <c r="AA32" s="1176">
        <v>0</v>
      </c>
      <c r="AB32" s="1177" t="s">
        <v>1640</v>
      </c>
      <c r="AC32" s="1180">
        <v>20</v>
      </c>
      <c r="AD32" s="218" t="s">
        <v>1635</v>
      </c>
      <c r="AE32" s="2517"/>
      <c r="AF32" s="2517"/>
      <c r="AG32" s="2697"/>
      <c r="AH32" s="2517"/>
      <c r="AI32" s="2698"/>
      <c r="AJ32" s="2517"/>
      <c r="AK32" s="2691"/>
      <c r="AL32" s="2517"/>
      <c r="AM32" s="2695"/>
      <c r="AN32" s="2517"/>
      <c r="AO32" s="2691"/>
      <c r="AP32" s="2517"/>
      <c r="AQ32" s="2698"/>
      <c r="AR32" s="2517"/>
      <c r="AS32" s="2691"/>
      <c r="AT32" s="2517"/>
      <c r="AU32" s="2700"/>
      <c r="AV32" s="2517"/>
      <c r="AW32" s="2699"/>
      <c r="AX32" s="2517"/>
      <c r="AY32" s="2700"/>
      <c r="AZ32" s="2517"/>
      <c r="BA32" s="2699"/>
      <c r="BB32" s="2517"/>
      <c r="BC32" s="2698"/>
      <c r="BD32" s="2517"/>
      <c r="BE32" s="2691"/>
      <c r="BF32" s="2517"/>
      <c r="BG32" s="2698"/>
      <c r="BH32" s="2517"/>
      <c r="BI32" s="2710"/>
      <c r="BJ32" s="2517"/>
      <c r="BK32" s="2517"/>
      <c r="BL32" s="2517"/>
      <c r="BM32" s="2517"/>
      <c r="BN32" s="2517"/>
      <c r="BO32" s="2517"/>
      <c r="BP32" s="2517"/>
      <c r="BQ32" s="2517"/>
      <c r="BR32" s="2708"/>
      <c r="BS32" s="2517"/>
      <c r="BT32" s="2709"/>
      <c r="BU32" s="2517"/>
      <c r="BV32" s="2702"/>
    </row>
    <row r="33" spans="1:74" ht="43.5" customHeight="1" x14ac:dyDescent="0.2">
      <c r="A33" s="1161"/>
      <c r="B33" s="1162"/>
      <c r="C33" s="1161"/>
      <c r="D33" s="1174"/>
      <c r="E33" s="1175"/>
      <c r="F33" s="1175"/>
      <c r="G33" s="2582"/>
      <c r="H33" s="2548"/>
      <c r="I33" s="2582"/>
      <c r="J33" s="2548"/>
      <c r="K33" s="2679"/>
      <c r="L33" s="2688"/>
      <c r="M33" s="2679"/>
      <c r="N33" s="2688"/>
      <c r="O33" s="2546"/>
      <c r="P33" s="2546"/>
      <c r="Q33" s="2690"/>
      <c r="R33" s="2681"/>
      <c r="S33" s="2682"/>
      <c r="T33" s="2684"/>
      <c r="U33" s="2545"/>
      <c r="V33" s="2686"/>
      <c r="W33" s="706" t="s">
        <v>1659</v>
      </c>
      <c r="X33" s="1176">
        <f>7000000-7000000</f>
        <v>0</v>
      </c>
      <c r="Y33" s="1176">
        <v>0</v>
      </c>
      <c r="Z33" s="1176">
        <v>0</v>
      </c>
      <c r="AA33" s="1176">
        <v>0</v>
      </c>
      <c r="AB33" s="1177" t="s">
        <v>1640</v>
      </c>
      <c r="AC33" s="1180">
        <v>20</v>
      </c>
      <c r="AD33" s="929" t="s">
        <v>1635</v>
      </c>
      <c r="AE33" s="2693"/>
      <c r="AF33" s="2693"/>
      <c r="AG33" s="2697"/>
      <c r="AH33" s="2693"/>
      <c r="AI33" s="2698"/>
      <c r="AJ33" s="2693"/>
      <c r="AK33" s="2691"/>
      <c r="AL33" s="2693"/>
      <c r="AM33" s="2696"/>
      <c r="AN33" s="2693"/>
      <c r="AO33" s="2691"/>
      <c r="AP33" s="2693"/>
      <c r="AQ33" s="2698"/>
      <c r="AR33" s="2693"/>
      <c r="AS33" s="2691"/>
      <c r="AT33" s="2693"/>
      <c r="AU33" s="2700"/>
      <c r="AV33" s="2693"/>
      <c r="AW33" s="2699"/>
      <c r="AX33" s="2693"/>
      <c r="AY33" s="2700"/>
      <c r="AZ33" s="2693"/>
      <c r="BA33" s="2699"/>
      <c r="BB33" s="2693"/>
      <c r="BC33" s="2698"/>
      <c r="BD33" s="2693"/>
      <c r="BE33" s="2691"/>
      <c r="BF33" s="2693"/>
      <c r="BG33" s="2698"/>
      <c r="BH33" s="2693"/>
      <c r="BI33" s="2710"/>
      <c r="BJ33" s="2693"/>
      <c r="BK33" s="2693"/>
      <c r="BL33" s="2693"/>
      <c r="BM33" s="2693"/>
      <c r="BN33" s="2693"/>
      <c r="BO33" s="2693"/>
      <c r="BP33" s="2693"/>
      <c r="BQ33" s="2693"/>
      <c r="BR33" s="2708"/>
      <c r="BS33" s="2693"/>
      <c r="BT33" s="2709"/>
      <c r="BU33" s="2693"/>
      <c r="BV33" s="2702"/>
    </row>
    <row r="34" spans="1:74" ht="66.75" customHeight="1" x14ac:dyDescent="0.2">
      <c r="A34" s="1161"/>
      <c r="B34" s="1162"/>
      <c r="C34" s="1161"/>
      <c r="D34" s="1174"/>
      <c r="E34" s="1175"/>
      <c r="F34" s="1175"/>
      <c r="G34" s="2679" t="s">
        <v>20</v>
      </c>
      <c r="H34" s="2714" t="s">
        <v>1660</v>
      </c>
      <c r="I34" s="2679">
        <v>4502001</v>
      </c>
      <c r="J34" s="2714" t="s">
        <v>247</v>
      </c>
      <c r="K34" s="2679" t="s">
        <v>20</v>
      </c>
      <c r="L34" s="2688" t="s">
        <v>1661</v>
      </c>
      <c r="M34" s="2679" t="s">
        <v>20</v>
      </c>
      <c r="N34" s="2688" t="s">
        <v>1662</v>
      </c>
      <c r="O34" s="2546">
        <v>12</v>
      </c>
      <c r="P34" s="2546">
        <v>12</v>
      </c>
      <c r="Q34" s="2712" t="s">
        <v>1663</v>
      </c>
      <c r="R34" s="2713" t="s">
        <v>1664</v>
      </c>
      <c r="S34" s="2718">
        <f>SUM(X34:X38)/T34</f>
        <v>1</v>
      </c>
      <c r="T34" s="2719">
        <f>SUM(X34:X38)</f>
        <v>14925000</v>
      </c>
      <c r="U34" s="2514" t="s">
        <v>1665</v>
      </c>
      <c r="V34" s="2720" t="s">
        <v>1666</v>
      </c>
      <c r="W34" s="684" t="s">
        <v>1667</v>
      </c>
      <c r="X34" s="1182">
        <v>6000000</v>
      </c>
      <c r="Y34" s="1176">
        <v>6000000</v>
      </c>
      <c r="Z34" s="1176">
        <f>Y34</f>
        <v>6000000</v>
      </c>
      <c r="AA34" s="1176">
        <f>Z34</f>
        <v>6000000</v>
      </c>
      <c r="AB34" s="1183" t="s">
        <v>1668</v>
      </c>
      <c r="AC34" s="978">
        <v>20</v>
      </c>
      <c r="AD34" s="684" t="s">
        <v>1635</v>
      </c>
      <c r="AE34" s="2715">
        <v>295972</v>
      </c>
      <c r="AF34" s="2715">
        <f>AE34</f>
        <v>295972</v>
      </c>
      <c r="AG34" s="2715">
        <v>285580</v>
      </c>
      <c r="AH34" s="2715">
        <f>AG34</f>
        <v>285580</v>
      </c>
      <c r="AI34" s="2715">
        <v>135545</v>
      </c>
      <c r="AJ34" s="2715">
        <f>AI34</f>
        <v>135545</v>
      </c>
      <c r="AK34" s="2715">
        <v>44254</v>
      </c>
      <c r="AL34" s="2715">
        <f>AK34</f>
        <v>44254</v>
      </c>
      <c r="AM34" s="2715">
        <v>309146</v>
      </c>
      <c r="AN34" s="2715">
        <f>AM34</f>
        <v>309146</v>
      </c>
      <c r="AO34" s="2715">
        <v>92607</v>
      </c>
      <c r="AP34" s="2715">
        <f>AO34</f>
        <v>92607</v>
      </c>
      <c r="AQ34" s="2715">
        <v>2145</v>
      </c>
      <c r="AR34" s="2715">
        <f>AQ34</f>
        <v>2145</v>
      </c>
      <c r="AS34" s="2715">
        <v>12718</v>
      </c>
      <c r="AT34" s="2715">
        <f>AS34</f>
        <v>12718</v>
      </c>
      <c r="AU34" s="2715">
        <v>26</v>
      </c>
      <c r="AV34" s="2715">
        <f>AU34</f>
        <v>26</v>
      </c>
      <c r="AW34" s="2715">
        <v>37</v>
      </c>
      <c r="AX34" s="2715">
        <f>AW34</f>
        <v>37</v>
      </c>
      <c r="AY34" s="2715">
        <v>0</v>
      </c>
      <c r="AZ34" s="2715">
        <f>AY34</f>
        <v>0</v>
      </c>
      <c r="BA34" s="2715">
        <v>0</v>
      </c>
      <c r="BB34" s="2715">
        <f>BA34</f>
        <v>0</v>
      </c>
      <c r="BC34" s="2715">
        <v>44350</v>
      </c>
      <c r="BD34" s="2715">
        <f>BC34</f>
        <v>44350</v>
      </c>
      <c r="BE34" s="2715">
        <v>21944</v>
      </c>
      <c r="BF34" s="2715">
        <f>BE34</f>
        <v>21944</v>
      </c>
      <c r="BG34" s="2715">
        <v>75687</v>
      </c>
      <c r="BH34" s="2715">
        <f>BG34</f>
        <v>75687</v>
      </c>
      <c r="BI34" s="2715">
        <f>AE34+AG34</f>
        <v>581552</v>
      </c>
      <c r="BJ34" s="2715">
        <f>BI34</f>
        <v>581552</v>
      </c>
      <c r="BK34" s="2715">
        <v>2</v>
      </c>
      <c r="BL34" s="2722">
        <f>SUBTOTAL(9,Y34:Y38)</f>
        <v>14925000</v>
      </c>
      <c r="BM34" s="2722">
        <f>SUBTOTAL(9,Z34:Z38)</f>
        <v>14925000</v>
      </c>
      <c r="BN34" s="2725">
        <f>BM34/BL34</f>
        <v>1</v>
      </c>
      <c r="BO34" s="2715">
        <v>20</v>
      </c>
      <c r="BP34" s="2715" t="s">
        <v>422</v>
      </c>
      <c r="BQ34" s="2715" t="s">
        <v>1669</v>
      </c>
      <c r="BR34" s="2721">
        <v>44197</v>
      </c>
      <c r="BS34" s="2721">
        <v>44266</v>
      </c>
      <c r="BT34" s="2715" t="s">
        <v>1670</v>
      </c>
      <c r="BU34" s="2721">
        <v>44551</v>
      </c>
      <c r="BV34" s="2715" t="s">
        <v>1637</v>
      </c>
    </row>
    <row r="35" spans="1:74" ht="66.75" customHeight="1" x14ac:dyDescent="0.2">
      <c r="A35" s="1161"/>
      <c r="B35" s="1162"/>
      <c r="C35" s="1161"/>
      <c r="D35" s="1174"/>
      <c r="E35" s="1175"/>
      <c r="F35" s="1175"/>
      <c r="G35" s="2679"/>
      <c r="H35" s="2714"/>
      <c r="I35" s="2679"/>
      <c r="J35" s="2714"/>
      <c r="K35" s="2679"/>
      <c r="L35" s="2688"/>
      <c r="M35" s="2679"/>
      <c r="N35" s="2688"/>
      <c r="O35" s="2546"/>
      <c r="P35" s="2546"/>
      <c r="Q35" s="2712"/>
      <c r="R35" s="2713"/>
      <c r="S35" s="2718"/>
      <c r="T35" s="2719"/>
      <c r="U35" s="2514"/>
      <c r="V35" s="2720"/>
      <c r="W35" s="684" t="s">
        <v>1671</v>
      </c>
      <c r="X35" s="1182">
        <f>3000000-345000</f>
        <v>2655000</v>
      </c>
      <c r="Y35" s="1176">
        <v>2655000</v>
      </c>
      <c r="Z35" s="1176">
        <f>Y35</f>
        <v>2655000</v>
      </c>
      <c r="AA35" s="1176">
        <f>Z35</f>
        <v>2655000</v>
      </c>
      <c r="AB35" s="1183" t="s">
        <v>1668</v>
      </c>
      <c r="AC35" s="978">
        <v>20</v>
      </c>
      <c r="AD35" s="684" t="s">
        <v>1635</v>
      </c>
      <c r="AE35" s="2716"/>
      <c r="AF35" s="2716"/>
      <c r="AG35" s="2716"/>
      <c r="AH35" s="2716"/>
      <c r="AI35" s="2716"/>
      <c r="AJ35" s="2716"/>
      <c r="AK35" s="2716"/>
      <c r="AL35" s="2716"/>
      <c r="AM35" s="2716"/>
      <c r="AN35" s="2716"/>
      <c r="AO35" s="2716"/>
      <c r="AP35" s="2716"/>
      <c r="AQ35" s="2716"/>
      <c r="AR35" s="2716"/>
      <c r="AS35" s="2716"/>
      <c r="AT35" s="2716"/>
      <c r="AU35" s="2716"/>
      <c r="AV35" s="2716"/>
      <c r="AW35" s="2716"/>
      <c r="AX35" s="2716"/>
      <c r="AY35" s="2716"/>
      <c r="AZ35" s="2716"/>
      <c r="BA35" s="2716"/>
      <c r="BB35" s="2716"/>
      <c r="BC35" s="2716"/>
      <c r="BD35" s="2716"/>
      <c r="BE35" s="2716"/>
      <c r="BF35" s="2716"/>
      <c r="BG35" s="2716"/>
      <c r="BH35" s="2716"/>
      <c r="BI35" s="2716"/>
      <c r="BJ35" s="2716"/>
      <c r="BK35" s="2716"/>
      <c r="BL35" s="2723"/>
      <c r="BM35" s="2723"/>
      <c r="BN35" s="2726"/>
      <c r="BO35" s="2716"/>
      <c r="BP35" s="2716"/>
      <c r="BQ35" s="2716"/>
      <c r="BR35" s="2716"/>
      <c r="BS35" s="2716"/>
      <c r="BT35" s="2716"/>
      <c r="BU35" s="2716"/>
      <c r="BV35" s="2716"/>
    </row>
    <row r="36" spans="1:74" ht="87" customHeight="1" x14ac:dyDescent="0.2">
      <c r="A36" s="1161"/>
      <c r="B36" s="1162"/>
      <c r="C36" s="1161"/>
      <c r="D36" s="1174"/>
      <c r="E36" s="1175"/>
      <c r="F36" s="1175"/>
      <c r="G36" s="2679"/>
      <c r="H36" s="2714"/>
      <c r="I36" s="2679"/>
      <c r="J36" s="2714"/>
      <c r="K36" s="2679"/>
      <c r="L36" s="2688"/>
      <c r="M36" s="2679"/>
      <c r="N36" s="2688"/>
      <c r="O36" s="2546"/>
      <c r="P36" s="2546"/>
      <c r="Q36" s="2712"/>
      <c r="R36" s="2713"/>
      <c r="S36" s="2718"/>
      <c r="T36" s="2719"/>
      <c r="U36" s="2514"/>
      <c r="V36" s="2720"/>
      <c r="W36" s="684" t="s">
        <v>1672</v>
      </c>
      <c r="X36" s="1182">
        <f>15000000-10000000</f>
        <v>5000000</v>
      </c>
      <c r="Y36" s="1176">
        <v>5000000</v>
      </c>
      <c r="Z36" s="1176">
        <f>Y36</f>
        <v>5000000</v>
      </c>
      <c r="AA36" s="1176">
        <f t="shared" ref="AA36:AA37" si="0">Z36</f>
        <v>5000000</v>
      </c>
      <c r="AB36" s="1183" t="s">
        <v>1668</v>
      </c>
      <c r="AC36" s="978">
        <v>20</v>
      </c>
      <c r="AD36" s="684" t="s">
        <v>1635</v>
      </c>
      <c r="AE36" s="2716"/>
      <c r="AF36" s="2716"/>
      <c r="AG36" s="2716"/>
      <c r="AH36" s="2716"/>
      <c r="AI36" s="2716"/>
      <c r="AJ36" s="2716"/>
      <c r="AK36" s="2716"/>
      <c r="AL36" s="2716"/>
      <c r="AM36" s="2716"/>
      <c r="AN36" s="2716"/>
      <c r="AO36" s="2716"/>
      <c r="AP36" s="2716"/>
      <c r="AQ36" s="2716"/>
      <c r="AR36" s="2716"/>
      <c r="AS36" s="2716"/>
      <c r="AT36" s="2716"/>
      <c r="AU36" s="2716"/>
      <c r="AV36" s="2716"/>
      <c r="AW36" s="2716"/>
      <c r="AX36" s="2716"/>
      <c r="AY36" s="2716"/>
      <c r="AZ36" s="2716"/>
      <c r="BA36" s="2716"/>
      <c r="BB36" s="2716"/>
      <c r="BC36" s="2716"/>
      <c r="BD36" s="2716"/>
      <c r="BE36" s="2716"/>
      <c r="BF36" s="2716"/>
      <c r="BG36" s="2716"/>
      <c r="BH36" s="2716"/>
      <c r="BI36" s="2716"/>
      <c r="BJ36" s="2716"/>
      <c r="BK36" s="2716"/>
      <c r="BL36" s="2723"/>
      <c r="BM36" s="2723"/>
      <c r="BN36" s="2726"/>
      <c r="BO36" s="2716"/>
      <c r="BP36" s="2716"/>
      <c r="BQ36" s="2716"/>
      <c r="BR36" s="2716"/>
      <c r="BS36" s="2716"/>
      <c r="BT36" s="2716"/>
      <c r="BU36" s="2716"/>
      <c r="BV36" s="2716"/>
    </row>
    <row r="37" spans="1:74" ht="66.75" customHeight="1" x14ac:dyDescent="0.2">
      <c r="A37" s="1161"/>
      <c r="B37" s="1162"/>
      <c r="C37" s="1161"/>
      <c r="D37" s="1174"/>
      <c r="E37" s="1175"/>
      <c r="F37" s="1175"/>
      <c r="G37" s="2679"/>
      <c r="H37" s="2714"/>
      <c r="I37" s="2679"/>
      <c r="J37" s="2714"/>
      <c r="K37" s="2679"/>
      <c r="L37" s="2688"/>
      <c r="M37" s="2679"/>
      <c r="N37" s="2688"/>
      <c r="O37" s="2546"/>
      <c r="P37" s="2546"/>
      <c r="Q37" s="2712"/>
      <c r="R37" s="2713"/>
      <c r="S37" s="2718"/>
      <c r="T37" s="2719"/>
      <c r="U37" s="2514"/>
      <c r="V37" s="2720"/>
      <c r="W37" s="684" t="s">
        <v>1673</v>
      </c>
      <c r="X37" s="1182">
        <f>3000000-1730000</f>
        <v>1270000</v>
      </c>
      <c r="Y37" s="1176">
        <v>1270000</v>
      </c>
      <c r="Z37" s="1176">
        <f>Y37</f>
        <v>1270000</v>
      </c>
      <c r="AA37" s="1176">
        <f t="shared" si="0"/>
        <v>1270000</v>
      </c>
      <c r="AB37" s="1183" t="s">
        <v>1668</v>
      </c>
      <c r="AC37" s="978">
        <v>20</v>
      </c>
      <c r="AD37" s="684" t="s">
        <v>1635</v>
      </c>
      <c r="AE37" s="2716"/>
      <c r="AF37" s="2716"/>
      <c r="AG37" s="2716"/>
      <c r="AH37" s="2716"/>
      <c r="AI37" s="2716"/>
      <c r="AJ37" s="2716"/>
      <c r="AK37" s="2716"/>
      <c r="AL37" s="2716"/>
      <c r="AM37" s="2716"/>
      <c r="AN37" s="2716"/>
      <c r="AO37" s="2716"/>
      <c r="AP37" s="2716"/>
      <c r="AQ37" s="2716"/>
      <c r="AR37" s="2716"/>
      <c r="AS37" s="2716"/>
      <c r="AT37" s="2716"/>
      <c r="AU37" s="2716"/>
      <c r="AV37" s="2716"/>
      <c r="AW37" s="2716"/>
      <c r="AX37" s="2716"/>
      <c r="AY37" s="2716"/>
      <c r="AZ37" s="2716"/>
      <c r="BA37" s="2716"/>
      <c r="BB37" s="2716"/>
      <c r="BC37" s="2716"/>
      <c r="BD37" s="2716"/>
      <c r="BE37" s="2716"/>
      <c r="BF37" s="2716"/>
      <c r="BG37" s="2716"/>
      <c r="BH37" s="2716"/>
      <c r="BI37" s="2716"/>
      <c r="BJ37" s="2716"/>
      <c r="BK37" s="2716"/>
      <c r="BL37" s="2723"/>
      <c r="BM37" s="2723"/>
      <c r="BN37" s="2726"/>
      <c r="BO37" s="2716"/>
      <c r="BP37" s="2716"/>
      <c r="BQ37" s="2716"/>
      <c r="BR37" s="2716"/>
      <c r="BS37" s="2716"/>
      <c r="BT37" s="2716"/>
      <c r="BU37" s="2716"/>
      <c r="BV37" s="2716"/>
    </row>
    <row r="38" spans="1:74" ht="48.75" customHeight="1" x14ac:dyDescent="0.2">
      <c r="A38" s="1161"/>
      <c r="B38" s="1162"/>
      <c r="C38" s="1161"/>
      <c r="D38" s="1174"/>
      <c r="E38" s="1175"/>
      <c r="F38" s="1175"/>
      <c r="G38" s="2679"/>
      <c r="H38" s="2714"/>
      <c r="I38" s="2679"/>
      <c r="J38" s="2714"/>
      <c r="K38" s="2679"/>
      <c r="L38" s="2688"/>
      <c r="M38" s="2679"/>
      <c r="N38" s="2688"/>
      <c r="O38" s="2546"/>
      <c r="P38" s="2546"/>
      <c r="Q38" s="2712"/>
      <c r="R38" s="2713"/>
      <c r="S38" s="2718"/>
      <c r="T38" s="2719"/>
      <c r="U38" s="2514"/>
      <c r="V38" s="2720"/>
      <c r="W38" s="684" t="s">
        <v>1674</v>
      </c>
      <c r="X38" s="1182">
        <f>8000000-8000000</f>
        <v>0</v>
      </c>
      <c r="Y38" s="1176">
        <v>0</v>
      </c>
      <c r="Z38" s="1176">
        <v>0</v>
      </c>
      <c r="AA38" s="1176">
        <v>0</v>
      </c>
      <c r="AB38" s="1183" t="s">
        <v>1675</v>
      </c>
      <c r="AC38" s="978">
        <v>20</v>
      </c>
      <c r="AD38" s="684" t="s">
        <v>1635</v>
      </c>
      <c r="AE38" s="2717"/>
      <c r="AF38" s="2717"/>
      <c r="AG38" s="2717"/>
      <c r="AH38" s="2717"/>
      <c r="AI38" s="2717"/>
      <c r="AJ38" s="2717"/>
      <c r="AK38" s="2717"/>
      <c r="AL38" s="2717"/>
      <c r="AM38" s="2717"/>
      <c r="AN38" s="2717"/>
      <c r="AO38" s="2717"/>
      <c r="AP38" s="2717"/>
      <c r="AQ38" s="2717"/>
      <c r="AR38" s="2717"/>
      <c r="AS38" s="2717"/>
      <c r="AT38" s="2717"/>
      <c r="AU38" s="2717"/>
      <c r="AV38" s="2717"/>
      <c r="AW38" s="2717"/>
      <c r="AX38" s="2717"/>
      <c r="AY38" s="2717"/>
      <c r="AZ38" s="2717"/>
      <c r="BA38" s="2717"/>
      <c r="BB38" s="2717"/>
      <c r="BC38" s="2717"/>
      <c r="BD38" s="2717"/>
      <c r="BE38" s="2717"/>
      <c r="BF38" s="2717"/>
      <c r="BG38" s="2717"/>
      <c r="BH38" s="2717"/>
      <c r="BI38" s="2717"/>
      <c r="BJ38" s="2717"/>
      <c r="BK38" s="2717"/>
      <c r="BL38" s="2724"/>
      <c r="BM38" s="2724"/>
      <c r="BN38" s="2727"/>
      <c r="BO38" s="2717"/>
      <c r="BP38" s="2717"/>
      <c r="BQ38" s="2717"/>
      <c r="BR38" s="2717"/>
      <c r="BS38" s="2717"/>
      <c r="BT38" s="2717"/>
      <c r="BU38" s="2717"/>
      <c r="BV38" s="2717"/>
    </row>
    <row r="39" spans="1:74" ht="22.5" customHeight="1" x14ac:dyDescent="0.2">
      <c r="A39" s="1161"/>
      <c r="B39" s="1162"/>
      <c r="C39" s="1161"/>
      <c r="D39" s="1174"/>
      <c r="E39" s="188">
        <v>4599</v>
      </c>
      <c r="F39" s="1184" t="s">
        <v>143</v>
      </c>
      <c r="G39" s="55"/>
      <c r="H39" s="1185"/>
      <c r="I39" s="55"/>
      <c r="J39" s="1185"/>
      <c r="K39" s="59"/>
      <c r="L39" s="59"/>
      <c r="M39" s="59"/>
      <c r="N39" s="59"/>
      <c r="O39" s="59"/>
      <c r="P39" s="1186"/>
      <c r="Q39" s="1187"/>
      <c r="R39" s="1188"/>
      <c r="S39" s="1189"/>
      <c r="T39" s="1190"/>
      <c r="U39" s="1188"/>
      <c r="V39" s="1191"/>
      <c r="W39" s="59"/>
      <c r="X39" s="1192"/>
      <c r="Y39" s="1192"/>
      <c r="Z39" s="1192"/>
      <c r="AA39" s="1192"/>
      <c r="AB39" s="1192"/>
      <c r="AC39" s="1192"/>
      <c r="AD39" s="59"/>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1193"/>
    </row>
    <row r="40" spans="1:74" ht="105.75" customHeight="1" x14ac:dyDescent="0.2">
      <c r="A40" s="1161"/>
      <c r="B40" s="1162"/>
      <c r="C40" s="1161"/>
      <c r="D40" s="1174"/>
      <c r="E40" s="1194"/>
      <c r="F40" s="1156"/>
      <c r="G40" s="2728" t="s">
        <v>20</v>
      </c>
      <c r="H40" s="2680" t="s">
        <v>1676</v>
      </c>
      <c r="I40" s="2544">
        <v>4599018</v>
      </c>
      <c r="J40" s="2680" t="s">
        <v>1218</v>
      </c>
      <c r="K40" s="2544" t="s">
        <v>20</v>
      </c>
      <c r="L40" s="2680" t="s">
        <v>1677</v>
      </c>
      <c r="M40" s="2544">
        <v>459901800</v>
      </c>
      <c r="N40" s="2680" t="s">
        <v>321</v>
      </c>
      <c r="O40" s="2544">
        <v>5</v>
      </c>
      <c r="P40" s="2544">
        <v>3.41</v>
      </c>
      <c r="Q40" s="2544" t="s">
        <v>1678</v>
      </c>
      <c r="R40" s="2680" t="s">
        <v>1679</v>
      </c>
      <c r="S40" s="2732">
        <f>SUM(X40:X45)/T40</f>
        <v>1</v>
      </c>
      <c r="T40" s="2733">
        <f>SUM(X40:X45)</f>
        <v>220682500</v>
      </c>
      <c r="U40" s="2680" t="s">
        <v>1680</v>
      </c>
      <c r="V40" s="2734" t="s">
        <v>1681</v>
      </c>
      <c r="W40" s="732" t="s">
        <v>1682</v>
      </c>
      <c r="X40" s="1195">
        <v>26400000</v>
      </c>
      <c r="Y40" s="1196">
        <v>26400000</v>
      </c>
      <c r="Z40" s="1196">
        <f>Y40</f>
        <v>26400000</v>
      </c>
      <c r="AA40" s="1196">
        <f>Z40</f>
        <v>26400000</v>
      </c>
      <c r="AB40" s="1197" t="s">
        <v>1683</v>
      </c>
      <c r="AC40" s="978">
        <v>20</v>
      </c>
      <c r="AD40" s="684" t="s">
        <v>1635</v>
      </c>
      <c r="AE40" s="2729">
        <v>295972</v>
      </c>
      <c r="AF40" s="2729">
        <f>AE40</f>
        <v>295972</v>
      </c>
      <c r="AG40" s="2729">
        <v>285580</v>
      </c>
      <c r="AH40" s="2729">
        <v>285580</v>
      </c>
      <c r="AI40" s="2729">
        <v>135545</v>
      </c>
      <c r="AJ40" s="2729">
        <v>135545</v>
      </c>
      <c r="AK40" s="2729">
        <v>44254</v>
      </c>
      <c r="AL40" s="2729">
        <v>44254</v>
      </c>
      <c r="AM40" s="2729">
        <v>309146</v>
      </c>
      <c r="AN40" s="2729">
        <v>309146</v>
      </c>
      <c r="AO40" s="2729">
        <v>92607</v>
      </c>
      <c r="AP40" s="2729">
        <v>92607</v>
      </c>
      <c r="AQ40" s="2729">
        <v>2145</v>
      </c>
      <c r="AR40" s="2729">
        <v>2145</v>
      </c>
      <c r="AS40" s="2729">
        <v>12718</v>
      </c>
      <c r="AT40" s="2729">
        <v>12718</v>
      </c>
      <c r="AU40" s="2729">
        <v>26</v>
      </c>
      <c r="AV40" s="2729">
        <v>26</v>
      </c>
      <c r="AW40" s="2729">
        <v>37</v>
      </c>
      <c r="AX40" s="2729">
        <v>37</v>
      </c>
      <c r="AY40" s="2729">
        <v>0</v>
      </c>
      <c r="AZ40" s="2729">
        <v>0</v>
      </c>
      <c r="BA40" s="2729">
        <v>0</v>
      </c>
      <c r="BB40" s="2729">
        <v>0</v>
      </c>
      <c r="BC40" s="2729">
        <v>44350</v>
      </c>
      <c r="BD40" s="2729">
        <v>44350</v>
      </c>
      <c r="BE40" s="2729">
        <v>21944</v>
      </c>
      <c r="BF40" s="2729">
        <v>21944</v>
      </c>
      <c r="BG40" s="2729">
        <v>75687</v>
      </c>
      <c r="BH40" s="2729">
        <v>75687</v>
      </c>
      <c r="BI40" s="2729">
        <f>SUM(AE40,AG40)</f>
        <v>581552</v>
      </c>
      <c r="BJ40" s="2729">
        <f>SUM(AF40,AH40)</f>
        <v>581552</v>
      </c>
      <c r="BK40" s="2729">
        <v>13</v>
      </c>
      <c r="BL40" s="2739">
        <f>SUBTOTAL(9,Y40:Y45)</f>
        <v>216173985</v>
      </c>
      <c r="BM40" s="2739">
        <f>SUBTOTAL(9,Z40:Z45)</f>
        <v>216173985</v>
      </c>
      <c r="BN40" s="2742">
        <f>BM40/BL40</f>
        <v>1</v>
      </c>
      <c r="BO40" s="2729">
        <v>20</v>
      </c>
      <c r="BP40" s="2729" t="s">
        <v>422</v>
      </c>
      <c r="BQ40" s="2735" t="s">
        <v>1636</v>
      </c>
      <c r="BR40" s="2738">
        <v>44197</v>
      </c>
      <c r="BS40" s="2738">
        <v>44228</v>
      </c>
      <c r="BT40" s="2738">
        <v>44557</v>
      </c>
      <c r="BU40" s="2738">
        <v>44561</v>
      </c>
      <c r="BV40" s="2547" t="s">
        <v>1637</v>
      </c>
    </row>
    <row r="41" spans="1:74" ht="102" customHeight="1" x14ac:dyDescent="0.2">
      <c r="A41" s="1161"/>
      <c r="B41" s="1162"/>
      <c r="C41" s="1161"/>
      <c r="D41" s="1174"/>
      <c r="E41" s="1175"/>
      <c r="F41" s="1198"/>
      <c r="G41" s="2728"/>
      <c r="H41" s="2680"/>
      <c r="I41" s="2544"/>
      <c r="J41" s="2680"/>
      <c r="K41" s="2544"/>
      <c r="L41" s="2680"/>
      <c r="M41" s="2544"/>
      <c r="N41" s="2680"/>
      <c r="O41" s="2544"/>
      <c r="P41" s="2544"/>
      <c r="Q41" s="2544"/>
      <c r="R41" s="2680"/>
      <c r="S41" s="2732"/>
      <c r="T41" s="2733"/>
      <c r="U41" s="2680"/>
      <c r="V41" s="2734"/>
      <c r="W41" s="732" t="s">
        <v>1684</v>
      </c>
      <c r="X41" s="1199">
        <v>23115000</v>
      </c>
      <c r="Y41" s="1196">
        <v>23100000</v>
      </c>
      <c r="Z41" s="1196">
        <f t="shared" ref="Z41:AA45" si="1">Y41</f>
        <v>23100000</v>
      </c>
      <c r="AA41" s="1196">
        <f t="shared" si="1"/>
        <v>23100000</v>
      </c>
      <c r="AB41" s="1197" t="s">
        <v>1683</v>
      </c>
      <c r="AC41" s="978">
        <v>20</v>
      </c>
      <c r="AD41" s="684" t="s">
        <v>1635</v>
      </c>
      <c r="AE41" s="2730"/>
      <c r="AF41" s="2730"/>
      <c r="AG41" s="2730"/>
      <c r="AH41" s="2730"/>
      <c r="AI41" s="2730"/>
      <c r="AJ41" s="2730"/>
      <c r="AK41" s="2730"/>
      <c r="AL41" s="2730"/>
      <c r="AM41" s="2730"/>
      <c r="AN41" s="2730"/>
      <c r="AO41" s="2730"/>
      <c r="AP41" s="2730"/>
      <c r="AQ41" s="2730"/>
      <c r="AR41" s="2730"/>
      <c r="AS41" s="2730"/>
      <c r="AT41" s="2730"/>
      <c r="AU41" s="2730"/>
      <c r="AV41" s="2730"/>
      <c r="AW41" s="2730"/>
      <c r="AX41" s="2730"/>
      <c r="AY41" s="2730"/>
      <c r="AZ41" s="2730"/>
      <c r="BA41" s="2730"/>
      <c r="BB41" s="2730"/>
      <c r="BC41" s="2730"/>
      <c r="BD41" s="2730"/>
      <c r="BE41" s="2730"/>
      <c r="BF41" s="2730"/>
      <c r="BG41" s="2730"/>
      <c r="BH41" s="2730"/>
      <c r="BI41" s="2730"/>
      <c r="BJ41" s="2730"/>
      <c r="BK41" s="2730"/>
      <c r="BL41" s="2740"/>
      <c r="BM41" s="2740"/>
      <c r="BN41" s="2743"/>
      <c r="BO41" s="2730"/>
      <c r="BP41" s="2730"/>
      <c r="BQ41" s="2736"/>
      <c r="BR41" s="2730"/>
      <c r="BS41" s="2736"/>
      <c r="BT41" s="2730"/>
      <c r="BU41" s="2736"/>
      <c r="BV41" s="2716"/>
    </row>
    <row r="42" spans="1:74" ht="90" customHeight="1" x14ac:dyDescent="0.2">
      <c r="A42" s="1161"/>
      <c r="B42" s="1162"/>
      <c r="C42" s="1161"/>
      <c r="D42" s="1174"/>
      <c r="E42" s="1175"/>
      <c r="F42" s="1198"/>
      <c r="G42" s="2728"/>
      <c r="H42" s="2680"/>
      <c r="I42" s="2544"/>
      <c r="J42" s="2680"/>
      <c r="K42" s="2544"/>
      <c r="L42" s="2680"/>
      <c r="M42" s="2544"/>
      <c r="N42" s="2680"/>
      <c r="O42" s="2544"/>
      <c r="P42" s="2544"/>
      <c r="Q42" s="2544"/>
      <c r="R42" s="2680"/>
      <c r="S42" s="2732"/>
      <c r="T42" s="2733"/>
      <c r="U42" s="2680"/>
      <c r="V42" s="2734"/>
      <c r="W42" s="732" t="s">
        <v>1685</v>
      </c>
      <c r="X42" s="1199">
        <v>31576333</v>
      </c>
      <c r="Y42" s="1196">
        <v>31576333</v>
      </c>
      <c r="Z42" s="1196">
        <f t="shared" si="1"/>
        <v>31576333</v>
      </c>
      <c r="AA42" s="1196">
        <f t="shared" si="1"/>
        <v>31576333</v>
      </c>
      <c r="AB42" s="1197" t="s">
        <v>1683</v>
      </c>
      <c r="AC42" s="978">
        <v>20</v>
      </c>
      <c r="AD42" s="684" t="s">
        <v>1635</v>
      </c>
      <c r="AE42" s="2730"/>
      <c r="AF42" s="2730"/>
      <c r="AG42" s="2730"/>
      <c r="AH42" s="2730"/>
      <c r="AI42" s="2730"/>
      <c r="AJ42" s="2730"/>
      <c r="AK42" s="2730"/>
      <c r="AL42" s="2730"/>
      <c r="AM42" s="2730"/>
      <c r="AN42" s="2730"/>
      <c r="AO42" s="2730"/>
      <c r="AP42" s="2730"/>
      <c r="AQ42" s="2730"/>
      <c r="AR42" s="2730"/>
      <c r="AS42" s="2730"/>
      <c r="AT42" s="2730"/>
      <c r="AU42" s="2730"/>
      <c r="AV42" s="2730"/>
      <c r="AW42" s="2730"/>
      <c r="AX42" s="2730"/>
      <c r="AY42" s="2730"/>
      <c r="AZ42" s="2730"/>
      <c r="BA42" s="2730"/>
      <c r="BB42" s="2730"/>
      <c r="BC42" s="2730"/>
      <c r="BD42" s="2730"/>
      <c r="BE42" s="2730"/>
      <c r="BF42" s="2730"/>
      <c r="BG42" s="2730"/>
      <c r="BH42" s="2730"/>
      <c r="BI42" s="2730"/>
      <c r="BJ42" s="2730"/>
      <c r="BK42" s="2730"/>
      <c r="BL42" s="2740"/>
      <c r="BM42" s="2740"/>
      <c r="BN42" s="2743"/>
      <c r="BO42" s="2730"/>
      <c r="BP42" s="2730"/>
      <c r="BQ42" s="2736"/>
      <c r="BR42" s="2730"/>
      <c r="BS42" s="2736"/>
      <c r="BT42" s="2730"/>
      <c r="BU42" s="2736"/>
      <c r="BV42" s="2716"/>
    </row>
    <row r="43" spans="1:74" ht="59.25" customHeight="1" x14ac:dyDescent="0.2">
      <c r="A43" s="1161"/>
      <c r="B43" s="1162"/>
      <c r="C43" s="1161"/>
      <c r="D43" s="1174"/>
      <c r="E43" s="1175"/>
      <c r="F43" s="1198"/>
      <c r="G43" s="2728"/>
      <c r="H43" s="2680"/>
      <c r="I43" s="2544"/>
      <c r="J43" s="2680"/>
      <c r="K43" s="2544"/>
      <c r="L43" s="2680"/>
      <c r="M43" s="2544"/>
      <c r="N43" s="2680"/>
      <c r="O43" s="2544"/>
      <c r="P43" s="2544"/>
      <c r="Q43" s="2544"/>
      <c r="R43" s="2680"/>
      <c r="S43" s="2732"/>
      <c r="T43" s="2733"/>
      <c r="U43" s="2680"/>
      <c r="V43" s="2734"/>
      <c r="W43" s="732" t="s">
        <v>1686</v>
      </c>
      <c r="X43" s="1199">
        <v>28252000</v>
      </c>
      <c r="Y43" s="1196">
        <v>26168300</v>
      </c>
      <c r="Z43" s="1196">
        <f t="shared" si="1"/>
        <v>26168300</v>
      </c>
      <c r="AA43" s="1196">
        <f t="shared" si="1"/>
        <v>26168300</v>
      </c>
      <c r="AB43" s="1197" t="s">
        <v>1683</v>
      </c>
      <c r="AC43" s="978">
        <v>20</v>
      </c>
      <c r="AD43" s="684" t="s">
        <v>1635</v>
      </c>
      <c r="AE43" s="2730"/>
      <c r="AF43" s="2730"/>
      <c r="AG43" s="2730"/>
      <c r="AH43" s="2730"/>
      <c r="AI43" s="2730"/>
      <c r="AJ43" s="2730"/>
      <c r="AK43" s="2730"/>
      <c r="AL43" s="2730"/>
      <c r="AM43" s="2730"/>
      <c r="AN43" s="2730"/>
      <c r="AO43" s="2730"/>
      <c r="AP43" s="2730"/>
      <c r="AQ43" s="2730"/>
      <c r="AR43" s="2730"/>
      <c r="AS43" s="2730"/>
      <c r="AT43" s="2730"/>
      <c r="AU43" s="2730"/>
      <c r="AV43" s="2730"/>
      <c r="AW43" s="2730"/>
      <c r="AX43" s="2730"/>
      <c r="AY43" s="2730"/>
      <c r="AZ43" s="2730"/>
      <c r="BA43" s="2730"/>
      <c r="BB43" s="2730"/>
      <c r="BC43" s="2730"/>
      <c r="BD43" s="2730"/>
      <c r="BE43" s="2730"/>
      <c r="BF43" s="2730"/>
      <c r="BG43" s="2730"/>
      <c r="BH43" s="2730"/>
      <c r="BI43" s="2730"/>
      <c r="BJ43" s="2730"/>
      <c r="BK43" s="2730"/>
      <c r="BL43" s="2740"/>
      <c r="BM43" s="2740"/>
      <c r="BN43" s="2743"/>
      <c r="BO43" s="2730"/>
      <c r="BP43" s="2730"/>
      <c r="BQ43" s="2736"/>
      <c r="BR43" s="2730"/>
      <c r="BS43" s="2736"/>
      <c r="BT43" s="2730"/>
      <c r="BU43" s="2736"/>
      <c r="BV43" s="2716"/>
    </row>
    <row r="44" spans="1:74" ht="93.75" customHeight="1" x14ac:dyDescent="0.2">
      <c r="A44" s="1161"/>
      <c r="B44" s="1162"/>
      <c r="C44" s="1161"/>
      <c r="D44" s="1174"/>
      <c r="E44" s="1175"/>
      <c r="F44" s="1198"/>
      <c r="G44" s="2728"/>
      <c r="H44" s="2680"/>
      <c r="I44" s="2544"/>
      <c r="J44" s="2680"/>
      <c r="K44" s="2544"/>
      <c r="L44" s="2680"/>
      <c r="M44" s="2544"/>
      <c r="N44" s="2680"/>
      <c r="O44" s="2544"/>
      <c r="P44" s="2544"/>
      <c r="Q44" s="2544"/>
      <c r="R44" s="2680"/>
      <c r="S44" s="2732"/>
      <c r="T44" s="2733"/>
      <c r="U44" s="2680"/>
      <c r="V44" s="2734"/>
      <c r="W44" s="732" t="s">
        <v>1687</v>
      </c>
      <c r="X44" s="1199">
        <v>82030500</v>
      </c>
      <c r="Y44" s="1196">
        <v>79994185</v>
      </c>
      <c r="Z44" s="1196">
        <f t="shared" si="1"/>
        <v>79994185</v>
      </c>
      <c r="AA44" s="1196">
        <f t="shared" si="1"/>
        <v>79994185</v>
      </c>
      <c r="AB44" s="1197" t="s">
        <v>1683</v>
      </c>
      <c r="AC44" s="978">
        <v>20</v>
      </c>
      <c r="AD44" s="684" t="s">
        <v>1635</v>
      </c>
      <c r="AE44" s="2730"/>
      <c r="AF44" s="2730"/>
      <c r="AG44" s="2730"/>
      <c r="AH44" s="2730"/>
      <c r="AI44" s="2730"/>
      <c r="AJ44" s="2730"/>
      <c r="AK44" s="2730"/>
      <c r="AL44" s="2730"/>
      <c r="AM44" s="2730"/>
      <c r="AN44" s="2730"/>
      <c r="AO44" s="2730"/>
      <c r="AP44" s="2730"/>
      <c r="AQ44" s="2730"/>
      <c r="AR44" s="2730"/>
      <c r="AS44" s="2730"/>
      <c r="AT44" s="2730"/>
      <c r="AU44" s="2730"/>
      <c r="AV44" s="2730"/>
      <c r="AW44" s="2730"/>
      <c r="AX44" s="2730"/>
      <c r="AY44" s="2730"/>
      <c r="AZ44" s="2730"/>
      <c r="BA44" s="2730"/>
      <c r="BB44" s="2730"/>
      <c r="BC44" s="2730"/>
      <c r="BD44" s="2730"/>
      <c r="BE44" s="2730"/>
      <c r="BF44" s="2730"/>
      <c r="BG44" s="2730"/>
      <c r="BH44" s="2730"/>
      <c r="BI44" s="2730"/>
      <c r="BJ44" s="2730"/>
      <c r="BK44" s="2730"/>
      <c r="BL44" s="2740"/>
      <c r="BM44" s="2740"/>
      <c r="BN44" s="2743"/>
      <c r="BO44" s="2730"/>
      <c r="BP44" s="2730"/>
      <c r="BQ44" s="2736"/>
      <c r="BR44" s="2730"/>
      <c r="BS44" s="2736"/>
      <c r="BT44" s="2730"/>
      <c r="BU44" s="2736"/>
      <c r="BV44" s="2716"/>
    </row>
    <row r="45" spans="1:74" ht="86.25" customHeight="1" x14ac:dyDescent="0.2">
      <c r="A45" s="1161"/>
      <c r="B45" s="1162"/>
      <c r="C45" s="1161"/>
      <c r="D45" s="1174"/>
      <c r="E45" s="1175"/>
      <c r="F45" s="1198"/>
      <c r="G45" s="2728"/>
      <c r="H45" s="2680"/>
      <c r="I45" s="2544"/>
      <c r="J45" s="2680"/>
      <c r="K45" s="2544"/>
      <c r="L45" s="2680"/>
      <c r="M45" s="2544"/>
      <c r="N45" s="2680"/>
      <c r="O45" s="2544"/>
      <c r="P45" s="2544"/>
      <c r="Q45" s="2544"/>
      <c r="R45" s="2680"/>
      <c r="S45" s="2732"/>
      <c r="T45" s="2733"/>
      <c r="U45" s="2680"/>
      <c r="V45" s="2734"/>
      <c r="W45" s="732" t="s">
        <v>1688</v>
      </c>
      <c r="X45" s="1199">
        <v>29308667</v>
      </c>
      <c r="Y45" s="1196">
        <v>28935167</v>
      </c>
      <c r="Z45" s="1196">
        <f t="shared" si="1"/>
        <v>28935167</v>
      </c>
      <c r="AA45" s="1196">
        <f t="shared" si="1"/>
        <v>28935167</v>
      </c>
      <c r="AB45" s="1197" t="s">
        <v>1683</v>
      </c>
      <c r="AC45" s="978">
        <v>20</v>
      </c>
      <c r="AD45" s="684" t="s">
        <v>1635</v>
      </c>
      <c r="AE45" s="2731"/>
      <c r="AF45" s="2731"/>
      <c r="AG45" s="2731"/>
      <c r="AH45" s="2731"/>
      <c r="AI45" s="2731"/>
      <c r="AJ45" s="2731"/>
      <c r="AK45" s="2731"/>
      <c r="AL45" s="2731"/>
      <c r="AM45" s="2731"/>
      <c r="AN45" s="2731"/>
      <c r="AO45" s="2731"/>
      <c r="AP45" s="2731"/>
      <c r="AQ45" s="2731"/>
      <c r="AR45" s="2731"/>
      <c r="AS45" s="2731"/>
      <c r="AT45" s="2731"/>
      <c r="AU45" s="2731"/>
      <c r="AV45" s="2731"/>
      <c r="AW45" s="2731"/>
      <c r="AX45" s="2731"/>
      <c r="AY45" s="2731"/>
      <c r="AZ45" s="2731"/>
      <c r="BA45" s="2731"/>
      <c r="BB45" s="2731"/>
      <c r="BC45" s="2731"/>
      <c r="BD45" s="2731"/>
      <c r="BE45" s="2731"/>
      <c r="BF45" s="2731"/>
      <c r="BG45" s="2731"/>
      <c r="BH45" s="2731"/>
      <c r="BI45" s="2731"/>
      <c r="BJ45" s="2731"/>
      <c r="BK45" s="2731"/>
      <c r="BL45" s="2741"/>
      <c r="BM45" s="2741"/>
      <c r="BN45" s="2744"/>
      <c r="BO45" s="2731"/>
      <c r="BP45" s="2731"/>
      <c r="BQ45" s="2737"/>
      <c r="BR45" s="2731"/>
      <c r="BS45" s="2737"/>
      <c r="BT45" s="2731"/>
      <c r="BU45" s="2737"/>
      <c r="BV45" s="2717"/>
    </row>
    <row r="46" spans="1:74" ht="138.75" customHeight="1" x14ac:dyDescent="0.2">
      <c r="A46" s="1200"/>
      <c r="C46" s="1201"/>
      <c r="D46" s="1202"/>
      <c r="F46" s="1202"/>
      <c r="G46" s="2544" t="s">
        <v>20</v>
      </c>
      <c r="H46" s="2680" t="s">
        <v>1689</v>
      </c>
      <c r="I46" s="2544">
        <v>4599025</v>
      </c>
      <c r="J46" s="2680" t="s">
        <v>1690</v>
      </c>
      <c r="K46" s="2544" t="s">
        <v>20</v>
      </c>
      <c r="L46" s="2680" t="s">
        <v>1691</v>
      </c>
      <c r="M46" s="2544">
        <v>459902500</v>
      </c>
      <c r="N46" s="2680" t="s">
        <v>1692</v>
      </c>
      <c r="O46" s="2544">
        <v>1</v>
      </c>
      <c r="P46" s="2544">
        <v>1</v>
      </c>
      <c r="Q46" s="2544" t="s">
        <v>1693</v>
      </c>
      <c r="R46" s="2680" t="s">
        <v>1694</v>
      </c>
      <c r="S46" s="2747">
        <f>SUM(X46:X48)/T46</f>
        <v>1</v>
      </c>
      <c r="T46" s="2749">
        <f>SUM(X46:X48)</f>
        <v>50776000</v>
      </c>
      <c r="U46" s="2680" t="s">
        <v>1695</v>
      </c>
      <c r="V46" s="2734" t="s">
        <v>1696</v>
      </c>
      <c r="W46" s="732" t="s">
        <v>1697</v>
      </c>
      <c r="X46" s="1203">
        <v>20195000</v>
      </c>
      <c r="Y46" s="1204">
        <v>20195000</v>
      </c>
      <c r="Z46" s="1176">
        <v>20195000</v>
      </c>
      <c r="AA46" s="1176">
        <v>20195000</v>
      </c>
      <c r="AB46" s="1197" t="s">
        <v>1698</v>
      </c>
      <c r="AC46" s="978">
        <v>20</v>
      </c>
      <c r="AD46" s="684" t="s">
        <v>1635</v>
      </c>
      <c r="AE46" s="2751">
        <v>295972</v>
      </c>
      <c r="AF46" s="2751">
        <v>295972</v>
      </c>
      <c r="AG46" s="2746">
        <v>285580</v>
      </c>
      <c r="AH46" s="2746">
        <v>285580</v>
      </c>
      <c r="AI46" s="2746">
        <v>135545</v>
      </c>
      <c r="AJ46" s="2746">
        <v>135545</v>
      </c>
      <c r="AK46" s="2746">
        <v>44254</v>
      </c>
      <c r="AL46" s="2746">
        <v>44254</v>
      </c>
      <c r="AM46" s="2746">
        <v>309146</v>
      </c>
      <c r="AN46" s="2746">
        <v>309146</v>
      </c>
      <c r="AO46" s="2746">
        <v>92607</v>
      </c>
      <c r="AP46" s="2746">
        <v>92607</v>
      </c>
      <c r="AQ46" s="2746">
        <v>2145</v>
      </c>
      <c r="AR46" s="2746">
        <v>2145</v>
      </c>
      <c r="AS46" s="2746">
        <v>12718</v>
      </c>
      <c r="AT46" s="2746">
        <v>12718</v>
      </c>
      <c r="AU46" s="2746">
        <v>26</v>
      </c>
      <c r="AV46" s="2746">
        <v>26</v>
      </c>
      <c r="AW46" s="2746">
        <v>37</v>
      </c>
      <c r="AX46" s="2746">
        <v>37</v>
      </c>
      <c r="AY46" s="2746">
        <v>0</v>
      </c>
      <c r="AZ46" s="2746">
        <v>0</v>
      </c>
      <c r="BA46" s="2746">
        <v>0</v>
      </c>
      <c r="BB46" s="2746">
        <v>0</v>
      </c>
      <c r="BC46" s="2746">
        <v>44350</v>
      </c>
      <c r="BD46" s="2746">
        <v>44350</v>
      </c>
      <c r="BE46" s="2746">
        <v>21944</v>
      </c>
      <c r="BF46" s="2746">
        <v>21944</v>
      </c>
      <c r="BG46" s="2746">
        <v>75687</v>
      </c>
      <c r="BH46" s="2746">
        <v>75687</v>
      </c>
      <c r="BI46" s="2746">
        <v>581552</v>
      </c>
      <c r="BJ46" s="2746">
        <v>581552</v>
      </c>
      <c r="BK46" s="2751">
        <v>6</v>
      </c>
      <c r="BL46" s="2757">
        <f>SUBTOTAL(9,Y46:Y48)</f>
        <v>50776000</v>
      </c>
      <c r="BM46" s="2757">
        <f>SUBTOTAL(9,Z46:Z48)</f>
        <v>50776000</v>
      </c>
      <c r="BN46" s="2760">
        <f>BM46/BL46</f>
        <v>1</v>
      </c>
      <c r="BO46" s="2751">
        <v>20</v>
      </c>
      <c r="BP46" s="2751" t="s">
        <v>422</v>
      </c>
      <c r="BQ46" s="2752" t="s">
        <v>1636</v>
      </c>
      <c r="BR46" s="2753">
        <v>44197</v>
      </c>
      <c r="BS46" s="2754">
        <v>44243</v>
      </c>
      <c r="BT46" s="2753">
        <v>44561</v>
      </c>
      <c r="BU46" s="2754">
        <v>44551</v>
      </c>
      <c r="BV46" s="2752" t="s">
        <v>1637</v>
      </c>
    </row>
    <row r="47" spans="1:74" ht="64.5" customHeight="1" x14ac:dyDescent="0.2">
      <c r="A47" s="1200"/>
      <c r="C47" s="1201"/>
      <c r="D47" s="1202"/>
      <c r="F47" s="1202"/>
      <c r="G47" s="2544"/>
      <c r="H47" s="2680"/>
      <c r="I47" s="2544"/>
      <c r="J47" s="2680"/>
      <c r="K47" s="2544"/>
      <c r="L47" s="2680"/>
      <c r="M47" s="2544"/>
      <c r="N47" s="2680"/>
      <c r="O47" s="2544"/>
      <c r="P47" s="2544"/>
      <c r="Q47" s="2544"/>
      <c r="R47" s="2680"/>
      <c r="S47" s="2748"/>
      <c r="T47" s="2750"/>
      <c r="U47" s="2680"/>
      <c r="V47" s="2734"/>
      <c r="W47" s="709" t="s">
        <v>1699</v>
      </c>
      <c r="X47" s="1195">
        <f>30000000-3965000-800000+800000-1608667</f>
        <v>24426333</v>
      </c>
      <c r="Y47" s="829">
        <v>24426333</v>
      </c>
      <c r="Z47" s="1176">
        <v>24426333</v>
      </c>
      <c r="AA47" s="1176">
        <v>24426333</v>
      </c>
      <c r="AB47" s="1197" t="s">
        <v>1698</v>
      </c>
      <c r="AC47" s="978">
        <v>20</v>
      </c>
      <c r="AD47" s="684" t="s">
        <v>1635</v>
      </c>
      <c r="AE47" s="2500"/>
      <c r="AF47" s="2500"/>
      <c r="AG47" s="2746"/>
      <c r="AH47" s="2746"/>
      <c r="AI47" s="2746"/>
      <c r="AJ47" s="2746"/>
      <c r="AK47" s="2746"/>
      <c r="AL47" s="2746"/>
      <c r="AM47" s="2746"/>
      <c r="AN47" s="2746"/>
      <c r="AO47" s="2746"/>
      <c r="AP47" s="2746"/>
      <c r="AQ47" s="2746"/>
      <c r="AR47" s="2746"/>
      <c r="AS47" s="2746"/>
      <c r="AT47" s="2746"/>
      <c r="AU47" s="2746"/>
      <c r="AV47" s="2746"/>
      <c r="AW47" s="2746"/>
      <c r="AX47" s="2746"/>
      <c r="AY47" s="2746"/>
      <c r="AZ47" s="2746"/>
      <c r="BA47" s="2746"/>
      <c r="BB47" s="2746"/>
      <c r="BC47" s="2746"/>
      <c r="BD47" s="2746"/>
      <c r="BE47" s="2746"/>
      <c r="BF47" s="2746"/>
      <c r="BG47" s="2746"/>
      <c r="BH47" s="2746"/>
      <c r="BI47" s="2746"/>
      <c r="BJ47" s="2746"/>
      <c r="BK47" s="2500"/>
      <c r="BL47" s="2758"/>
      <c r="BM47" s="2758"/>
      <c r="BN47" s="2761"/>
      <c r="BO47" s="2500"/>
      <c r="BP47" s="2500"/>
      <c r="BQ47" s="2500"/>
      <c r="BR47" s="2746"/>
      <c r="BS47" s="2500"/>
      <c r="BT47" s="2746"/>
      <c r="BU47" s="2500"/>
      <c r="BV47" s="2755"/>
    </row>
    <row r="48" spans="1:74" ht="87.75" customHeight="1" x14ac:dyDescent="0.2">
      <c r="A48" s="1200"/>
      <c r="C48" s="1201"/>
      <c r="D48" s="1202"/>
      <c r="F48" s="1202"/>
      <c r="G48" s="2544"/>
      <c r="H48" s="2680"/>
      <c r="I48" s="2544"/>
      <c r="J48" s="2680"/>
      <c r="K48" s="2544"/>
      <c r="L48" s="2681"/>
      <c r="M48" s="2745"/>
      <c r="N48" s="2681"/>
      <c r="O48" s="2544"/>
      <c r="P48" s="2544"/>
      <c r="Q48" s="2544"/>
      <c r="R48" s="2680"/>
      <c r="S48" s="2748"/>
      <c r="T48" s="2750"/>
      <c r="U48" s="2680"/>
      <c r="V48" s="2734"/>
      <c r="W48" s="732" t="s">
        <v>1700</v>
      </c>
      <c r="X48" s="1195">
        <f>12000000-6230000+800000+1200000-1615333</f>
        <v>6154667</v>
      </c>
      <c r="Y48" s="829">
        <v>6154667</v>
      </c>
      <c r="Z48" s="1176">
        <v>6154667</v>
      </c>
      <c r="AA48" s="1176">
        <v>6154667</v>
      </c>
      <c r="AB48" s="1197" t="s">
        <v>1698</v>
      </c>
      <c r="AC48" s="978">
        <v>20</v>
      </c>
      <c r="AD48" s="684" t="s">
        <v>1635</v>
      </c>
      <c r="AE48" s="2501"/>
      <c r="AF48" s="2501"/>
      <c r="AG48" s="2746"/>
      <c r="AH48" s="2746"/>
      <c r="AI48" s="2746"/>
      <c r="AJ48" s="2746"/>
      <c r="AK48" s="2746"/>
      <c r="AL48" s="2746"/>
      <c r="AM48" s="2746"/>
      <c r="AN48" s="2746"/>
      <c r="AO48" s="2746"/>
      <c r="AP48" s="2746"/>
      <c r="AQ48" s="2746"/>
      <c r="AR48" s="2746"/>
      <c r="AS48" s="2746"/>
      <c r="AT48" s="2746"/>
      <c r="AU48" s="2746"/>
      <c r="AV48" s="2746"/>
      <c r="AW48" s="2746"/>
      <c r="AX48" s="2746"/>
      <c r="AY48" s="2746"/>
      <c r="AZ48" s="2746"/>
      <c r="BA48" s="2746"/>
      <c r="BB48" s="2746"/>
      <c r="BC48" s="2746"/>
      <c r="BD48" s="2746"/>
      <c r="BE48" s="2746"/>
      <c r="BF48" s="2746"/>
      <c r="BG48" s="2746"/>
      <c r="BH48" s="2746"/>
      <c r="BI48" s="2746"/>
      <c r="BJ48" s="2746"/>
      <c r="BK48" s="2501"/>
      <c r="BL48" s="2759"/>
      <c r="BM48" s="2759"/>
      <c r="BN48" s="2762"/>
      <c r="BO48" s="2501"/>
      <c r="BP48" s="2501"/>
      <c r="BQ48" s="2501"/>
      <c r="BR48" s="2746"/>
      <c r="BS48" s="2501"/>
      <c r="BT48" s="2746"/>
      <c r="BU48" s="2501"/>
      <c r="BV48" s="2756"/>
    </row>
    <row r="49" spans="1:74" ht="99" customHeight="1" x14ac:dyDescent="0.2">
      <c r="A49" s="1200"/>
      <c r="C49" s="1201"/>
      <c r="D49" s="1202"/>
      <c r="F49" s="1202"/>
      <c r="G49" s="2773" t="s">
        <v>20</v>
      </c>
      <c r="H49" s="2518" t="s">
        <v>1701</v>
      </c>
      <c r="I49" s="2763">
        <v>4599025</v>
      </c>
      <c r="J49" s="2518" t="s">
        <v>1690</v>
      </c>
      <c r="K49" s="2763" t="s">
        <v>20</v>
      </c>
      <c r="L49" s="2518" t="s">
        <v>1702</v>
      </c>
      <c r="M49" s="2763">
        <v>459902500</v>
      </c>
      <c r="N49" s="2518" t="s">
        <v>1692</v>
      </c>
      <c r="O49" s="2767">
        <v>1</v>
      </c>
      <c r="P49" s="2767">
        <v>1</v>
      </c>
      <c r="Q49" s="2745" t="s">
        <v>1703</v>
      </c>
      <c r="R49" s="2681" t="s">
        <v>1704</v>
      </c>
      <c r="S49" s="2776">
        <f>SUM(X49:X62)/T49</f>
        <v>1</v>
      </c>
      <c r="T49" s="2779">
        <f>SUM(X49:X62)</f>
        <v>298084000</v>
      </c>
      <c r="U49" s="2681" t="s">
        <v>1705</v>
      </c>
      <c r="V49" s="2545" t="s">
        <v>1706</v>
      </c>
      <c r="W49" s="709" t="s">
        <v>1707</v>
      </c>
      <c r="X49" s="1182">
        <v>56112000</v>
      </c>
      <c r="Y49" s="1176">
        <v>55440000</v>
      </c>
      <c r="Z49" s="1176">
        <v>55440000</v>
      </c>
      <c r="AA49" s="1176">
        <v>55440000</v>
      </c>
      <c r="AB49" s="1183" t="s">
        <v>1708</v>
      </c>
      <c r="AC49" s="978">
        <v>20</v>
      </c>
      <c r="AD49" s="684" t="s">
        <v>1635</v>
      </c>
      <c r="AE49" s="2751">
        <v>295972</v>
      </c>
      <c r="AF49" s="2751">
        <v>295972</v>
      </c>
      <c r="AG49" s="2751">
        <v>285580</v>
      </c>
      <c r="AH49" s="2751">
        <v>285580</v>
      </c>
      <c r="AI49" s="2751">
        <v>135545</v>
      </c>
      <c r="AJ49" s="2751">
        <v>135545</v>
      </c>
      <c r="AK49" s="2751">
        <v>44254</v>
      </c>
      <c r="AL49" s="2751">
        <v>44254</v>
      </c>
      <c r="AM49" s="2751">
        <v>309146</v>
      </c>
      <c r="AN49" s="2751">
        <v>309146</v>
      </c>
      <c r="AO49" s="2751">
        <v>92607</v>
      </c>
      <c r="AP49" s="2751">
        <v>92607</v>
      </c>
      <c r="AQ49" s="2746">
        <v>2145</v>
      </c>
      <c r="AR49" s="2746">
        <v>2145</v>
      </c>
      <c r="AS49" s="2746">
        <v>12718</v>
      </c>
      <c r="AT49" s="2746">
        <v>12718</v>
      </c>
      <c r="AU49" s="2746">
        <v>26</v>
      </c>
      <c r="AV49" s="2746">
        <v>26</v>
      </c>
      <c r="AW49" s="2746">
        <v>37</v>
      </c>
      <c r="AX49" s="2746">
        <v>37</v>
      </c>
      <c r="AY49" s="2746">
        <v>0</v>
      </c>
      <c r="AZ49" s="2746">
        <v>0</v>
      </c>
      <c r="BA49" s="2746">
        <v>0</v>
      </c>
      <c r="BB49" s="2746">
        <v>0</v>
      </c>
      <c r="BC49" s="2746">
        <v>44350</v>
      </c>
      <c r="BD49" s="2746">
        <v>44350</v>
      </c>
      <c r="BE49" s="2746">
        <v>21944</v>
      </c>
      <c r="BF49" s="2746">
        <v>21944</v>
      </c>
      <c r="BG49" s="2746">
        <v>75687</v>
      </c>
      <c r="BH49" s="2746">
        <v>75687</v>
      </c>
      <c r="BI49" s="2746">
        <v>581552</v>
      </c>
      <c r="BJ49" s="2746">
        <v>581552</v>
      </c>
      <c r="BK49" s="2746">
        <v>27</v>
      </c>
      <c r="BL49" s="2784">
        <f>SUBTOTAL(9,Y49:Y62)</f>
        <v>293946671</v>
      </c>
      <c r="BM49" s="2784">
        <f>SUBTOTAL(9,Z49:Z62)</f>
        <v>293946671</v>
      </c>
      <c r="BN49" s="2785">
        <f>BM49/BL49</f>
        <v>1</v>
      </c>
      <c r="BO49" s="2746">
        <v>20</v>
      </c>
      <c r="BP49" s="2746" t="s">
        <v>422</v>
      </c>
      <c r="BQ49" s="2783" t="s">
        <v>1709</v>
      </c>
      <c r="BR49" s="2753">
        <v>44197</v>
      </c>
      <c r="BS49" s="2753">
        <v>44228</v>
      </c>
      <c r="BT49" s="2753">
        <v>44561</v>
      </c>
      <c r="BU49" s="2753">
        <v>44558</v>
      </c>
      <c r="BV49" s="2783" t="s">
        <v>1637</v>
      </c>
    </row>
    <row r="50" spans="1:74" ht="96.75" customHeight="1" x14ac:dyDescent="0.2">
      <c r="A50" s="1200"/>
      <c r="C50" s="1201"/>
      <c r="D50" s="1202"/>
      <c r="F50" s="1202"/>
      <c r="G50" s="2774"/>
      <c r="H50" s="2519"/>
      <c r="I50" s="2764"/>
      <c r="J50" s="2519"/>
      <c r="K50" s="2764"/>
      <c r="L50" s="2519"/>
      <c r="M50" s="2764"/>
      <c r="N50" s="2519"/>
      <c r="O50" s="2768"/>
      <c r="P50" s="2768"/>
      <c r="Q50" s="2502"/>
      <c r="R50" s="2771"/>
      <c r="S50" s="2777"/>
      <c r="T50" s="2780"/>
      <c r="U50" s="2771"/>
      <c r="V50" s="2781"/>
      <c r="W50" s="709" t="s">
        <v>1710</v>
      </c>
      <c r="X50" s="1205">
        <v>48260999</v>
      </c>
      <c r="Y50" s="1176">
        <v>48260999</v>
      </c>
      <c r="Z50" s="1176">
        <v>48260999</v>
      </c>
      <c r="AA50" s="1176">
        <v>48260999</v>
      </c>
      <c r="AB50" s="1183" t="s">
        <v>1708</v>
      </c>
      <c r="AC50" s="978">
        <v>20</v>
      </c>
      <c r="AD50" s="684" t="s">
        <v>1635</v>
      </c>
      <c r="AE50" s="2500"/>
      <c r="AF50" s="2500"/>
      <c r="AG50" s="2500"/>
      <c r="AH50" s="2500"/>
      <c r="AI50" s="2500"/>
      <c r="AJ50" s="2500"/>
      <c r="AK50" s="2500"/>
      <c r="AL50" s="2500"/>
      <c r="AM50" s="2500"/>
      <c r="AN50" s="2500"/>
      <c r="AO50" s="2500"/>
      <c r="AP50" s="2500"/>
      <c r="AQ50" s="2746"/>
      <c r="AR50" s="2746"/>
      <c r="AS50" s="2746"/>
      <c r="AT50" s="2746"/>
      <c r="AU50" s="2746"/>
      <c r="AV50" s="2746"/>
      <c r="AW50" s="2746"/>
      <c r="AX50" s="2746"/>
      <c r="AY50" s="2746"/>
      <c r="AZ50" s="2746"/>
      <c r="BA50" s="2746"/>
      <c r="BB50" s="2746"/>
      <c r="BC50" s="2746"/>
      <c r="BD50" s="2746"/>
      <c r="BE50" s="2746"/>
      <c r="BF50" s="2746"/>
      <c r="BG50" s="2746"/>
      <c r="BH50" s="2746"/>
      <c r="BI50" s="2746"/>
      <c r="BJ50" s="2746"/>
      <c r="BK50" s="2746"/>
      <c r="BL50" s="2784"/>
      <c r="BM50" s="2784"/>
      <c r="BN50" s="2785"/>
      <c r="BO50" s="2746"/>
      <c r="BP50" s="2746"/>
      <c r="BQ50" s="2783"/>
      <c r="BR50" s="2753"/>
      <c r="BS50" s="2753"/>
      <c r="BT50" s="2753"/>
      <c r="BU50" s="2746"/>
      <c r="BV50" s="2783"/>
    </row>
    <row r="51" spans="1:74" ht="85.5" customHeight="1" x14ac:dyDescent="0.2">
      <c r="A51" s="1200"/>
      <c r="C51" s="1201"/>
      <c r="D51" s="1202"/>
      <c r="F51" s="1202"/>
      <c r="G51" s="2774"/>
      <c r="H51" s="2519"/>
      <c r="I51" s="2764"/>
      <c r="J51" s="2519"/>
      <c r="K51" s="2764"/>
      <c r="L51" s="2519"/>
      <c r="M51" s="2764"/>
      <c r="N51" s="2519"/>
      <c r="O51" s="2768"/>
      <c r="P51" s="2768"/>
      <c r="Q51" s="2502"/>
      <c r="R51" s="2771"/>
      <c r="S51" s="2777"/>
      <c r="T51" s="2780"/>
      <c r="U51" s="2771"/>
      <c r="V51" s="2781"/>
      <c r="W51" s="709" t="s">
        <v>1711</v>
      </c>
      <c r="X51" s="1205">
        <v>59503501</v>
      </c>
      <c r="Y51" s="1176">
        <v>59407334</v>
      </c>
      <c r="Z51" s="1176">
        <v>59407334</v>
      </c>
      <c r="AA51" s="1176">
        <v>59407334</v>
      </c>
      <c r="AB51" s="1183" t="s">
        <v>1708</v>
      </c>
      <c r="AC51" s="978">
        <v>20</v>
      </c>
      <c r="AD51" s="684" t="s">
        <v>1635</v>
      </c>
      <c r="AE51" s="2500"/>
      <c r="AF51" s="2500"/>
      <c r="AG51" s="2500"/>
      <c r="AH51" s="2500"/>
      <c r="AI51" s="2500"/>
      <c r="AJ51" s="2500"/>
      <c r="AK51" s="2500"/>
      <c r="AL51" s="2500"/>
      <c r="AM51" s="2500"/>
      <c r="AN51" s="2500"/>
      <c r="AO51" s="2500"/>
      <c r="AP51" s="2500"/>
      <c r="AQ51" s="2746"/>
      <c r="AR51" s="2746"/>
      <c r="AS51" s="2746"/>
      <c r="AT51" s="2746"/>
      <c r="AU51" s="2746"/>
      <c r="AV51" s="2746"/>
      <c r="AW51" s="2746"/>
      <c r="AX51" s="2746"/>
      <c r="AY51" s="2746"/>
      <c r="AZ51" s="2746"/>
      <c r="BA51" s="2746"/>
      <c r="BB51" s="2746"/>
      <c r="BC51" s="2746"/>
      <c r="BD51" s="2746"/>
      <c r="BE51" s="2746"/>
      <c r="BF51" s="2746"/>
      <c r="BG51" s="2746"/>
      <c r="BH51" s="2746"/>
      <c r="BI51" s="2746"/>
      <c r="BJ51" s="2746"/>
      <c r="BK51" s="2746"/>
      <c r="BL51" s="2784"/>
      <c r="BM51" s="2784"/>
      <c r="BN51" s="2785"/>
      <c r="BO51" s="2746"/>
      <c r="BP51" s="2746"/>
      <c r="BQ51" s="2783"/>
      <c r="BR51" s="2753"/>
      <c r="BS51" s="2753"/>
      <c r="BT51" s="2753"/>
      <c r="BU51" s="2746"/>
      <c r="BV51" s="2783"/>
    </row>
    <row r="52" spans="1:74" ht="135" customHeight="1" x14ac:dyDescent="0.2">
      <c r="A52" s="1200"/>
      <c r="C52" s="1201"/>
      <c r="D52" s="1202"/>
      <c r="F52" s="1202"/>
      <c r="G52" s="2774"/>
      <c r="H52" s="2519"/>
      <c r="I52" s="2764"/>
      <c r="J52" s="2519"/>
      <c r="K52" s="2764"/>
      <c r="L52" s="2519"/>
      <c r="M52" s="2764"/>
      <c r="N52" s="2519"/>
      <c r="O52" s="2768"/>
      <c r="P52" s="2768"/>
      <c r="Q52" s="2502"/>
      <c r="R52" s="2771"/>
      <c r="S52" s="2777"/>
      <c r="T52" s="2780"/>
      <c r="U52" s="2771"/>
      <c r="V52" s="2781"/>
      <c r="W52" s="709" t="s">
        <v>1712</v>
      </c>
      <c r="X52" s="1205">
        <v>25605394.850000001</v>
      </c>
      <c r="Y52" s="1176">
        <v>25385394.850000001</v>
      </c>
      <c r="Z52" s="1176">
        <v>25385394.850000001</v>
      </c>
      <c r="AA52" s="1176">
        <v>25385394.850000001</v>
      </c>
      <c r="AB52" s="1183" t="s">
        <v>1708</v>
      </c>
      <c r="AC52" s="978">
        <v>20</v>
      </c>
      <c r="AD52" s="684" t="s">
        <v>1635</v>
      </c>
      <c r="AE52" s="2500"/>
      <c r="AF52" s="2500"/>
      <c r="AG52" s="2500"/>
      <c r="AH52" s="2500"/>
      <c r="AI52" s="2500"/>
      <c r="AJ52" s="2500"/>
      <c r="AK52" s="2500"/>
      <c r="AL52" s="2500"/>
      <c r="AM52" s="2500"/>
      <c r="AN52" s="2500"/>
      <c r="AO52" s="2500"/>
      <c r="AP52" s="2500"/>
      <c r="AQ52" s="2746"/>
      <c r="AR52" s="2746"/>
      <c r="AS52" s="2746"/>
      <c r="AT52" s="2746"/>
      <c r="AU52" s="2746"/>
      <c r="AV52" s="2746"/>
      <c r="AW52" s="2746"/>
      <c r="AX52" s="2746"/>
      <c r="AY52" s="2746"/>
      <c r="AZ52" s="2746"/>
      <c r="BA52" s="2746"/>
      <c r="BB52" s="2746"/>
      <c r="BC52" s="2746"/>
      <c r="BD52" s="2746"/>
      <c r="BE52" s="2746"/>
      <c r="BF52" s="2746"/>
      <c r="BG52" s="2746"/>
      <c r="BH52" s="2746"/>
      <c r="BI52" s="2746"/>
      <c r="BJ52" s="2746"/>
      <c r="BK52" s="2746"/>
      <c r="BL52" s="2784"/>
      <c r="BM52" s="2784"/>
      <c r="BN52" s="2785"/>
      <c r="BO52" s="2746"/>
      <c r="BP52" s="2746"/>
      <c r="BQ52" s="2783"/>
      <c r="BR52" s="2753"/>
      <c r="BS52" s="2753"/>
      <c r="BT52" s="2753"/>
      <c r="BU52" s="2746"/>
      <c r="BV52" s="2783"/>
    </row>
    <row r="53" spans="1:74" ht="95.25" customHeight="1" x14ac:dyDescent="0.2">
      <c r="A53" s="1200"/>
      <c r="C53" s="1201"/>
      <c r="D53" s="1202"/>
      <c r="F53" s="1202"/>
      <c r="G53" s="2774"/>
      <c r="H53" s="2519"/>
      <c r="I53" s="2764"/>
      <c r="J53" s="2519"/>
      <c r="K53" s="2764"/>
      <c r="L53" s="2519"/>
      <c r="M53" s="2764"/>
      <c r="N53" s="2519"/>
      <c r="O53" s="2768"/>
      <c r="P53" s="2768"/>
      <c r="Q53" s="2502"/>
      <c r="R53" s="2771"/>
      <c r="S53" s="2777"/>
      <c r="T53" s="2780"/>
      <c r="U53" s="2771"/>
      <c r="V53" s="2781"/>
      <c r="W53" s="709" t="s">
        <v>1713</v>
      </c>
      <c r="X53" s="1205">
        <v>25605394.390000001</v>
      </c>
      <c r="Y53" s="1176">
        <v>25385394.390000001</v>
      </c>
      <c r="Z53" s="1176">
        <v>25385394.390000001</v>
      </c>
      <c r="AA53" s="1176">
        <v>25385394.390000001</v>
      </c>
      <c r="AB53" s="1183" t="s">
        <v>1708</v>
      </c>
      <c r="AC53" s="978">
        <v>20</v>
      </c>
      <c r="AD53" s="684" t="s">
        <v>1635</v>
      </c>
      <c r="AE53" s="2500"/>
      <c r="AF53" s="2500"/>
      <c r="AG53" s="2500"/>
      <c r="AH53" s="2500"/>
      <c r="AI53" s="2500"/>
      <c r="AJ53" s="2500"/>
      <c r="AK53" s="2500"/>
      <c r="AL53" s="2500"/>
      <c r="AM53" s="2500"/>
      <c r="AN53" s="2500"/>
      <c r="AO53" s="2500"/>
      <c r="AP53" s="2500"/>
      <c r="AQ53" s="2746"/>
      <c r="AR53" s="2746"/>
      <c r="AS53" s="2746"/>
      <c r="AT53" s="2746"/>
      <c r="AU53" s="2746"/>
      <c r="AV53" s="2746"/>
      <c r="AW53" s="2746"/>
      <c r="AX53" s="2746"/>
      <c r="AY53" s="2746"/>
      <c r="AZ53" s="2746"/>
      <c r="BA53" s="2746"/>
      <c r="BB53" s="2746"/>
      <c r="BC53" s="2746"/>
      <c r="BD53" s="2746"/>
      <c r="BE53" s="2746"/>
      <c r="BF53" s="2746"/>
      <c r="BG53" s="2746"/>
      <c r="BH53" s="2746"/>
      <c r="BI53" s="2746"/>
      <c r="BJ53" s="2746"/>
      <c r="BK53" s="2746"/>
      <c r="BL53" s="2784"/>
      <c r="BM53" s="2784"/>
      <c r="BN53" s="2785"/>
      <c r="BO53" s="2746"/>
      <c r="BP53" s="2746"/>
      <c r="BQ53" s="2783"/>
      <c r="BR53" s="2753"/>
      <c r="BS53" s="2753"/>
      <c r="BT53" s="2753"/>
      <c r="BU53" s="2746"/>
      <c r="BV53" s="2783"/>
    </row>
    <row r="54" spans="1:74" ht="80.25" customHeight="1" x14ac:dyDescent="0.2">
      <c r="A54" s="1200"/>
      <c r="C54" s="1201"/>
      <c r="D54" s="1202"/>
      <c r="F54" s="1202"/>
      <c r="G54" s="2774"/>
      <c r="H54" s="2519"/>
      <c r="I54" s="2764"/>
      <c r="J54" s="2519"/>
      <c r="K54" s="2764"/>
      <c r="L54" s="2519"/>
      <c r="M54" s="2764"/>
      <c r="N54" s="2519"/>
      <c r="O54" s="2768"/>
      <c r="P54" s="2768"/>
      <c r="Q54" s="2502"/>
      <c r="R54" s="2771"/>
      <c r="S54" s="2777"/>
      <c r="T54" s="2780"/>
      <c r="U54" s="2771"/>
      <c r="V54" s="2781"/>
      <c r="W54" s="709" t="s">
        <v>1714</v>
      </c>
      <c r="X54" s="1205">
        <v>34439901.759999998</v>
      </c>
      <c r="Y54" s="1176">
        <v>34219901.759999998</v>
      </c>
      <c r="Z54" s="1176">
        <v>34219901.759999998</v>
      </c>
      <c r="AA54" s="1176">
        <v>34219901.759999998</v>
      </c>
      <c r="AB54" s="1183" t="s">
        <v>1708</v>
      </c>
      <c r="AC54" s="978">
        <v>20</v>
      </c>
      <c r="AD54" s="684" t="s">
        <v>1635</v>
      </c>
      <c r="AE54" s="2500"/>
      <c r="AF54" s="2500"/>
      <c r="AG54" s="2500"/>
      <c r="AH54" s="2500"/>
      <c r="AI54" s="2500"/>
      <c r="AJ54" s="2500"/>
      <c r="AK54" s="2500"/>
      <c r="AL54" s="2500"/>
      <c r="AM54" s="2500"/>
      <c r="AN54" s="2500"/>
      <c r="AO54" s="2500"/>
      <c r="AP54" s="2500"/>
      <c r="AQ54" s="2746"/>
      <c r="AR54" s="2746"/>
      <c r="AS54" s="2746"/>
      <c r="AT54" s="2746"/>
      <c r="AU54" s="2746"/>
      <c r="AV54" s="2746"/>
      <c r="AW54" s="2746"/>
      <c r="AX54" s="2746"/>
      <c r="AY54" s="2746"/>
      <c r="AZ54" s="2746"/>
      <c r="BA54" s="2746"/>
      <c r="BB54" s="2746"/>
      <c r="BC54" s="2746"/>
      <c r="BD54" s="2746"/>
      <c r="BE54" s="2746"/>
      <c r="BF54" s="2746"/>
      <c r="BG54" s="2746"/>
      <c r="BH54" s="2746"/>
      <c r="BI54" s="2746"/>
      <c r="BJ54" s="2746"/>
      <c r="BK54" s="2746"/>
      <c r="BL54" s="2784"/>
      <c r="BM54" s="2784"/>
      <c r="BN54" s="2785"/>
      <c r="BO54" s="2746"/>
      <c r="BP54" s="2746"/>
      <c r="BQ54" s="2783"/>
      <c r="BR54" s="2753"/>
      <c r="BS54" s="2753"/>
      <c r="BT54" s="2753"/>
      <c r="BU54" s="2746"/>
      <c r="BV54" s="2783"/>
    </row>
    <row r="55" spans="1:74" ht="105" customHeight="1" x14ac:dyDescent="0.2">
      <c r="A55" s="1200"/>
      <c r="C55" s="1201"/>
      <c r="D55" s="1202"/>
      <c r="F55" s="1202"/>
      <c r="G55" s="2774"/>
      <c r="H55" s="2519"/>
      <c r="I55" s="2764"/>
      <c r="J55" s="2519"/>
      <c r="K55" s="2764"/>
      <c r="L55" s="2519"/>
      <c r="M55" s="2764"/>
      <c r="N55" s="2519"/>
      <c r="O55" s="2768"/>
      <c r="P55" s="2768"/>
      <c r="Q55" s="2502"/>
      <c r="R55" s="2771"/>
      <c r="S55" s="2777"/>
      <c r="T55" s="2780"/>
      <c r="U55" s="2771"/>
      <c r="V55" s="2781"/>
      <c r="W55" s="709" t="s">
        <v>1715</v>
      </c>
      <c r="X55" s="1205">
        <v>4248949</v>
      </c>
      <c r="Y55" s="1176">
        <v>4028949</v>
      </c>
      <c r="Z55" s="1176">
        <v>4028949</v>
      </c>
      <c r="AA55" s="1176">
        <v>4028949</v>
      </c>
      <c r="AB55" s="1183" t="s">
        <v>1708</v>
      </c>
      <c r="AC55" s="978">
        <v>20</v>
      </c>
      <c r="AD55" s="684" t="s">
        <v>1635</v>
      </c>
      <c r="AE55" s="2500"/>
      <c r="AF55" s="2500"/>
      <c r="AG55" s="2500"/>
      <c r="AH55" s="2500"/>
      <c r="AI55" s="2500"/>
      <c r="AJ55" s="2500"/>
      <c r="AK55" s="2500"/>
      <c r="AL55" s="2500"/>
      <c r="AM55" s="2500"/>
      <c r="AN55" s="2500"/>
      <c r="AO55" s="2500"/>
      <c r="AP55" s="2500"/>
      <c r="AQ55" s="2746"/>
      <c r="AR55" s="2746"/>
      <c r="AS55" s="2746"/>
      <c r="AT55" s="2746"/>
      <c r="AU55" s="2746"/>
      <c r="AV55" s="2746"/>
      <c r="AW55" s="2746"/>
      <c r="AX55" s="2746"/>
      <c r="AY55" s="2746"/>
      <c r="AZ55" s="2746"/>
      <c r="BA55" s="2746"/>
      <c r="BB55" s="2746"/>
      <c r="BC55" s="2746"/>
      <c r="BD55" s="2746"/>
      <c r="BE55" s="2746"/>
      <c r="BF55" s="2746"/>
      <c r="BG55" s="2746"/>
      <c r="BH55" s="2746"/>
      <c r="BI55" s="2746"/>
      <c r="BJ55" s="2746"/>
      <c r="BK55" s="2746"/>
      <c r="BL55" s="2784"/>
      <c r="BM55" s="2784"/>
      <c r="BN55" s="2785"/>
      <c r="BO55" s="2746"/>
      <c r="BP55" s="2746"/>
      <c r="BQ55" s="2783"/>
      <c r="BR55" s="2753"/>
      <c r="BS55" s="2753"/>
      <c r="BT55" s="2753"/>
      <c r="BU55" s="2746"/>
      <c r="BV55" s="2783"/>
    </row>
    <row r="56" spans="1:74" ht="148.5" customHeight="1" x14ac:dyDescent="0.2">
      <c r="A56" s="1200"/>
      <c r="C56" s="1201"/>
      <c r="D56" s="1202"/>
      <c r="F56" s="1202"/>
      <c r="G56" s="2774"/>
      <c r="H56" s="2519"/>
      <c r="I56" s="2764"/>
      <c r="J56" s="2519"/>
      <c r="K56" s="2764"/>
      <c r="L56" s="2519"/>
      <c r="M56" s="2764"/>
      <c r="N56" s="2519"/>
      <c r="O56" s="2768"/>
      <c r="P56" s="2768"/>
      <c r="Q56" s="2502"/>
      <c r="R56" s="2771"/>
      <c r="S56" s="2777"/>
      <c r="T56" s="2780"/>
      <c r="U56" s="2771"/>
      <c r="V56" s="2781"/>
      <c r="W56" s="709" t="s">
        <v>1716</v>
      </c>
      <c r="X56" s="1205">
        <v>1660000</v>
      </c>
      <c r="Y56" s="1176">
        <v>1660000</v>
      </c>
      <c r="Z56" s="1176">
        <v>1660000</v>
      </c>
      <c r="AA56" s="1176">
        <v>1660000</v>
      </c>
      <c r="AB56" s="1183" t="s">
        <v>1708</v>
      </c>
      <c r="AC56" s="978">
        <v>20</v>
      </c>
      <c r="AD56" s="684" t="s">
        <v>1635</v>
      </c>
      <c r="AE56" s="2500"/>
      <c r="AF56" s="2500"/>
      <c r="AG56" s="2500"/>
      <c r="AH56" s="2500"/>
      <c r="AI56" s="2500"/>
      <c r="AJ56" s="2500"/>
      <c r="AK56" s="2500"/>
      <c r="AL56" s="2500"/>
      <c r="AM56" s="2500"/>
      <c r="AN56" s="2500"/>
      <c r="AO56" s="2500"/>
      <c r="AP56" s="2500"/>
      <c r="AQ56" s="2746"/>
      <c r="AR56" s="2746"/>
      <c r="AS56" s="2746"/>
      <c r="AT56" s="2746"/>
      <c r="AU56" s="2746"/>
      <c r="AV56" s="2746"/>
      <c r="AW56" s="2746"/>
      <c r="AX56" s="2746"/>
      <c r="AY56" s="2746"/>
      <c r="AZ56" s="2746"/>
      <c r="BA56" s="2746"/>
      <c r="BB56" s="2746"/>
      <c r="BC56" s="2746"/>
      <c r="BD56" s="2746"/>
      <c r="BE56" s="2746"/>
      <c r="BF56" s="2746"/>
      <c r="BG56" s="2746"/>
      <c r="BH56" s="2746"/>
      <c r="BI56" s="2746"/>
      <c r="BJ56" s="2746"/>
      <c r="BK56" s="2746"/>
      <c r="BL56" s="2784"/>
      <c r="BM56" s="2784"/>
      <c r="BN56" s="2785"/>
      <c r="BO56" s="2746"/>
      <c r="BP56" s="2746"/>
      <c r="BQ56" s="2783"/>
      <c r="BR56" s="2753"/>
      <c r="BS56" s="2753"/>
      <c r="BT56" s="2753"/>
      <c r="BU56" s="2746"/>
      <c r="BV56" s="2783"/>
    </row>
    <row r="57" spans="1:74" ht="144" customHeight="1" x14ac:dyDescent="0.2">
      <c r="A57" s="1200"/>
      <c r="C57" s="1201"/>
      <c r="D57" s="1202"/>
      <c r="F57" s="1202"/>
      <c r="G57" s="2774"/>
      <c r="H57" s="2519"/>
      <c r="I57" s="2764"/>
      <c r="J57" s="2519"/>
      <c r="K57" s="2764"/>
      <c r="L57" s="2519"/>
      <c r="M57" s="2764"/>
      <c r="N57" s="2519"/>
      <c r="O57" s="2768"/>
      <c r="P57" s="2768"/>
      <c r="Q57" s="2502"/>
      <c r="R57" s="2771"/>
      <c r="S57" s="2777"/>
      <c r="T57" s="2780"/>
      <c r="U57" s="2771"/>
      <c r="V57" s="2781"/>
      <c r="W57" s="709" t="s">
        <v>1717</v>
      </c>
      <c r="X57" s="1205">
        <v>17363860</v>
      </c>
      <c r="Y57" s="1176">
        <v>17363860</v>
      </c>
      <c r="Z57" s="1176">
        <v>17363860</v>
      </c>
      <c r="AA57" s="1176">
        <v>17363860</v>
      </c>
      <c r="AB57" s="1183" t="s">
        <v>1708</v>
      </c>
      <c r="AC57" s="978">
        <v>20</v>
      </c>
      <c r="AD57" s="684" t="s">
        <v>1635</v>
      </c>
      <c r="AE57" s="2500"/>
      <c r="AF57" s="2500"/>
      <c r="AG57" s="2500"/>
      <c r="AH57" s="2500"/>
      <c r="AI57" s="2500"/>
      <c r="AJ57" s="2500"/>
      <c r="AK57" s="2500"/>
      <c r="AL57" s="2500"/>
      <c r="AM57" s="2500"/>
      <c r="AN57" s="2500"/>
      <c r="AO57" s="2500"/>
      <c r="AP57" s="2500"/>
      <c r="AQ57" s="2746"/>
      <c r="AR57" s="2746"/>
      <c r="AS57" s="2746"/>
      <c r="AT57" s="2746"/>
      <c r="AU57" s="2746"/>
      <c r="AV57" s="2746"/>
      <c r="AW57" s="2746"/>
      <c r="AX57" s="2746"/>
      <c r="AY57" s="2746"/>
      <c r="AZ57" s="2746"/>
      <c r="BA57" s="2746"/>
      <c r="BB57" s="2746"/>
      <c r="BC57" s="2746"/>
      <c r="BD57" s="2746"/>
      <c r="BE57" s="2746"/>
      <c r="BF57" s="2746"/>
      <c r="BG57" s="2746"/>
      <c r="BH57" s="2746"/>
      <c r="BI57" s="2746"/>
      <c r="BJ57" s="2746"/>
      <c r="BK57" s="2746"/>
      <c r="BL57" s="2784"/>
      <c r="BM57" s="2784"/>
      <c r="BN57" s="2785"/>
      <c r="BO57" s="2746"/>
      <c r="BP57" s="2746"/>
      <c r="BQ57" s="2783"/>
      <c r="BR57" s="2753"/>
      <c r="BS57" s="2753"/>
      <c r="BT57" s="2753"/>
      <c r="BU57" s="2746"/>
      <c r="BV57" s="2783"/>
    </row>
    <row r="58" spans="1:74" ht="100.5" customHeight="1" x14ac:dyDescent="0.2">
      <c r="A58" s="1200"/>
      <c r="C58" s="1201"/>
      <c r="D58" s="1202"/>
      <c r="F58" s="1202"/>
      <c r="G58" s="2774"/>
      <c r="H58" s="2519"/>
      <c r="I58" s="2764"/>
      <c r="J58" s="2519"/>
      <c r="K58" s="2764"/>
      <c r="L58" s="2519"/>
      <c r="M58" s="2764"/>
      <c r="N58" s="2519"/>
      <c r="O58" s="2768"/>
      <c r="P58" s="2768"/>
      <c r="Q58" s="2502"/>
      <c r="R58" s="2771"/>
      <c r="S58" s="2777"/>
      <c r="T58" s="2780"/>
      <c r="U58" s="2771"/>
      <c r="V58" s="2781"/>
      <c r="W58" s="709" t="s">
        <v>1718</v>
      </c>
      <c r="X58" s="1205">
        <v>5196000</v>
      </c>
      <c r="Y58" s="1176">
        <v>5196000</v>
      </c>
      <c r="Z58" s="1176">
        <v>5196000</v>
      </c>
      <c r="AA58" s="1176">
        <v>5196000</v>
      </c>
      <c r="AB58" s="1183" t="s">
        <v>1708</v>
      </c>
      <c r="AC58" s="978">
        <v>20</v>
      </c>
      <c r="AD58" s="684" t="s">
        <v>1635</v>
      </c>
      <c r="AE58" s="2500"/>
      <c r="AF58" s="2500"/>
      <c r="AG58" s="2500"/>
      <c r="AH58" s="2500"/>
      <c r="AI58" s="2500"/>
      <c r="AJ58" s="2500"/>
      <c r="AK58" s="2500"/>
      <c r="AL58" s="2500"/>
      <c r="AM58" s="2500"/>
      <c r="AN58" s="2500"/>
      <c r="AO58" s="2500"/>
      <c r="AP58" s="2500"/>
      <c r="AQ58" s="2746"/>
      <c r="AR58" s="2746"/>
      <c r="AS58" s="2746"/>
      <c r="AT58" s="2746"/>
      <c r="AU58" s="2746"/>
      <c r="AV58" s="2746"/>
      <c r="AW58" s="2746"/>
      <c r="AX58" s="2746"/>
      <c r="AY58" s="2746"/>
      <c r="AZ58" s="2746"/>
      <c r="BA58" s="2746"/>
      <c r="BB58" s="2746"/>
      <c r="BC58" s="2746"/>
      <c r="BD58" s="2746"/>
      <c r="BE58" s="2746"/>
      <c r="BF58" s="2746"/>
      <c r="BG58" s="2746"/>
      <c r="BH58" s="2746"/>
      <c r="BI58" s="2746"/>
      <c r="BJ58" s="2746"/>
      <c r="BK58" s="2746"/>
      <c r="BL58" s="2784"/>
      <c r="BM58" s="2784"/>
      <c r="BN58" s="2785"/>
      <c r="BO58" s="2746"/>
      <c r="BP58" s="2746"/>
      <c r="BQ58" s="2783"/>
      <c r="BR58" s="2753"/>
      <c r="BS58" s="2753"/>
      <c r="BT58" s="2753"/>
      <c r="BU58" s="2746"/>
      <c r="BV58" s="2783"/>
    </row>
    <row r="59" spans="1:74" ht="72.75" customHeight="1" x14ac:dyDescent="0.2">
      <c r="A59" s="1200"/>
      <c r="C59" s="1201"/>
      <c r="D59" s="1202"/>
      <c r="F59" s="1202"/>
      <c r="G59" s="2774"/>
      <c r="H59" s="2519"/>
      <c r="I59" s="2764"/>
      <c r="J59" s="2519"/>
      <c r="K59" s="2764"/>
      <c r="L59" s="2519"/>
      <c r="M59" s="2764"/>
      <c r="N59" s="2519"/>
      <c r="O59" s="2768"/>
      <c r="P59" s="2768"/>
      <c r="Q59" s="2502"/>
      <c r="R59" s="2771"/>
      <c r="S59" s="2777"/>
      <c r="T59" s="2780"/>
      <c r="U59" s="2771"/>
      <c r="V59" s="2781"/>
      <c r="W59" s="709" t="s">
        <v>1719</v>
      </c>
      <c r="X59" s="1205">
        <v>7904000</v>
      </c>
      <c r="Y59" s="1176">
        <v>7904000</v>
      </c>
      <c r="Z59" s="1176">
        <v>7904000</v>
      </c>
      <c r="AA59" s="1176">
        <v>7904000</v>
      </c>
      <c r="AB59" s="1183" t="s">
        <v>1708</v>
      </c>
      <c r="AC59" s="978">
        <v>20</v>
      </c>
      <c r="AD59" s="684" t="s">
        <v>1635</v>
      </c>
      <c r="AE59" s="2500"/>
      <c r="AF59" s="2500"/>
      <c r="AG59" s="2500"/>
      <c r="AH59" s="2500"/>
      <c r="AI59" s="2500"/>
      <c r="AJ59" s="2500"/>
      <c r="AK59" s="2500"/>
      <c r="AL59" s="2500"/>
      <c r="AM59" s="2500"/>
      <c r="AN59" s="2500"/>
      <c r="AO59" s="2500"/>
      <c r="AP59" s="2500"/>
      <c r="AQ59" s="2746"/>
      <c r="AR59" s="2746"/>
      <c r="AS59" s="2746"/>
      <c r="AT59" s="2746"/>
      <c r="AU59" s="2746"/>
      <c r="AV59" s="2746"/>
      <c r="AW59" s="2746"/>
      <c r="AX59" s="2746"/>
      <c r="AY59" s="2746"/>
      <c r="AZ59" s="2746"/>
      <c r="BA59" s="2746"/>
      <c r="BB59" s="2746"/>
      <c r="BC59" s="2746"/>
      <c r="BD59" s="2746"/>
      <c r="BE59" s="2746"/>
      <c r="BF59" s="2746"/>
      <c r="BG59" s="2746"/>
      <c r="BH59" s="2746"/>
      <c r="BI59" s="2746"/>
      <c r="BJ59" s="2746"/>
      <c r="BK59" s="2746"/>
      <c r="BL59" s="2784"/>
      <c r="BM59" s="2784"/>
      <c r="BN59" s="2785"/>
      <c r="BO59" s="2746"/>
      <c r="BP59" s="2746"/>
      <c r="BQ59" s="2783"/>
      <c r="BR59" s="2753"/>
      <c r="BS59" s="2753"/>
      <c r="BT59" s="2753"/>
      <c r="BU59" s="2746"/>
      <c r="BV59" s="2783"/>
    </row>
    <row r="60" spans="1:74" ht="30" customHeight="1" x14ac:dyDescent="0.2">
      <c r="A60" s="1200"/>
      <c r="C60" s="1201"/>
      <c r="D60" s="1202"/>
      <c r="F60" s="1202"/>
      <c r="G60" s="2774"/>
      <c r="H60" s="2519"/>
      <c r="I60" s="2764"/>
      <c r="J60" s="2519"/>
      <c r="K60" s="2764"/>
      <c r="L60" s="2519"/>
      <c r="M60" s="2764"/>
      <c r="N60" s="2519"/>
      <c r="O60" s="2768"/>
      <c r="P60" s="2768"/>
      <c r="Q60" s="2502"/>
      <c r="R60" s="2771"/>
      <c r="S60" s="2777"/>
      <c r="T60" s="2780"/>
      <c r="U60" s="2771"/>
      <c r="V60" s="2781"/>
      <c r="W60" s="2529" t="s">
        <v>1720</v>
      </c>
      <c r="X60" s="1205">
        <v>45580</v>
      </c>
      <c r="Y60" s="1176">
        <v>0</v>
      </c>
      <c r="Z60" s="1176">
        <v>0</v>
      </c>
      <c r="AA60" s="1176">
        <v>0</v>
      </c>
      <c r="AB60" s="1183" t="s">
        <v>1721</v>
      </c>
      <c r="AC60" s="978">
        <v>20</v>
      </c>
      <c r="AD60" s="1206" t="s">
        <v>1635</v>
      </c>
      <c r="AE60" s="2500"/>
      <c r="AF60" s="2500"/>
      <c r="AG60" s="2500"/>
      <c r="AH60" s="2500"/>
      <c r="AI60" s="2500"/>
      <c r="AJ60" s="2500"/>
      <c r="AK60" s="2500"/>
      <c r="AL60" s="2500"/>
      <c r="AM60" s="2500"/>
      <c r="AN60" s="2500"/>
      <c r="AO60" s="2500"/>
      <c r="AP60" s="2500"/>
      <c r="AQ60" s="2746"/>
      <c r="AR60" s="2746"/>
      <c r="AS60" s="2746"/>
      <c r="AT60" s="2746"/>
      <c r="AU60" s="2746"/>
      <c r="AV60" s="2746"/>
      <c r="AW60" s="2746"/>
      <c r="AX60" s="2746"/>
      <c r="AY60" s="2746"/>
      <c r="AZ60" s="2746"/>
      <c r="BA60" s="2746"/>
      <c r="BB60" s="2746"/>
      <c r="BC60" s="2746"/>
      <c r="BD60" s="2746"/>
      <c r="BE60" s="2746"/>
      <c r="BF60" s="2746"/>
      <c r="BG60" s="2746"/>
      <c r="BH60" s="2746"/>
      <c r="BI60" s="2746"/>
      <c r="BJ60" s="2746"/>
      <c r="BK60" s="2746"/>
      <c r="BL60" s="2784"/>
      <c r="BM60" s="2784"/>
      <c r="BN60" s="2785"/>
      <c r="BO60" s="2746"/>
      <c r="BP60" s="2746"/>
      <c r="BQ60" s="2783"/>
      <c r="BR60" s="2753"/>
      <c r="BS60" s="2753"/>
      <c r="BT60" s="2753"/>
      <c r="BU60" s="2746"/>
      <c r="BV60" s="2783"/>
    </row>
    <row r="61" spans="1:74" ht="30" customHeight="1" x14ac:dyDescent="0.2">
      <c r="A61" s="1200"/>
      <c r="C61" s="1201"/>
      <c r="D61" s="1202"/>
      <c r="F61" s="1202"/>
      <c r="G61" s="2774"/>
      <c r="H61" s="2519"/>
      <c r="I61" s="2764"/>
      <c r="J61" s="2519"/>
      <c r="K61" s="2764"/>
      <c r="L61" s="2519"/>
      <c r="M61" s="2764"/>
      <c r="N61" s="2519"/>
      <c r="O61" s="2768"/>
      <c r="P61" s="2768"/>
      <c r="Q61" s="2502"/>
      <c r="R61" s="2771"/>
      <c r="S61" s="2777"/>
      <c r="T61" s="2780"/>
      <c r="U61" s="2771"/>
      <c r="V61" s="2781"/>
      <c r="W61" s="2530"/>
      <c r="X61" s="1205">
        <v>38420</v>
      </c>
      <c r="Y61" s="1176">
        <v>0</v>
      </c>
      <c r="Z61" s="1176">
        <v>0</v>
      </c>
      <c r="AA61" s="1176">
        <v>0</v>
      </c>
      <c r="AB61" s="1183" t="s">
        <v>1722</v>
      </c>
      <c r="AC61" s="978">
        <v>20</v>
      </c>
      <c r="AD61" s="1206" t="s">
        <v>1635</v>
      </c>
      <c r="AE61" s="2500"/>
      <c r="AF61" s="2500"/>
      <c r="AG61" s="2500"/>
      <c r="AH61" s="2500"/>
      <c r="AI61" s="2500"/>
      <c r="AJ61" s="2500"/>
      <c r="AK61" s="2500"/>
      <c r="AL61" s="2500"/>
      <c r="AM61" s="2500"/>
      <c r="AN61" s="2500"/>
      <c r="AO61" s="2500"/>
      <c r="AP61" s="2500"/>
      <c r="AQ61" s="2746"/>
      <c r="AR61" s="2746"/>
      <c r="AS61" s="2746"/>
      <c r="AT61" s="2746"/>
      <c r="AU61" s="2746"/>
      <c r="AV61" s="2746"/>
      <c r="AW61" s="2746"/>
      <c r="AX61" s="2746"/>
      <c r="AY61" s="2746"/>
      <c r="AZ61" s="2746"/>
      <c r="BA61" s="2746"/>
      <c r="BB61" s="2746"/>
      <c r="BC61" s="2746"/>
      <c r="BD61" s="2746"/>
      <c r="BE61" s="2746"/>
      <c r="BF61" s="2746"/>
      <c r="BG61" s="2746"/>
      <c r="BH61" s="2746"/>
      <c r="BI61" s="2746"/>
      <c r="BJ61" s="2746"/>
      <c r="BK61" s="2746"/>
      <c r="BL61" s="2784"/>
      <c r="BM61" s="2784"/>
      <c r="BN61" s="2785"/>
      <c r="BO61" s="2746"/>
      <c r="BP61" s="2746"/>
      <c r="BQ61" s="2783"/>
      <c r="BR61" s="2753"/>
      <c r="BS61" s="2753"/>
      <c r="BT61" s="2753"/>
      <c r="BU61" s="2746"/>
      <c r="BV61" s="2783"/>
    </row>
    <row r="62" spans="1:74" ht="30" customHeight="1" x14ac:dyDescent="0.2">
      <c r="A62" s="1200"/>
      <c r="C62" s="1201"/>
      <c r="D62" s="1202"/>
      <c r="F62" s="1202"/>
      <c r="G62" s="2775"/>
      <c r="H62" s="2766"/>
      <c r="I62" s="2765"/>
      <c r="J62" s="2766"/>
      <c r="K62" s="2765"/>
      <c r="L62" s="2766"/>
      <c r="M62" s="2765"/>
      <c r="N62" s="2766"/>
      <c r="O62" s="2769"/>
      <c r="P62" s="2769"/>
      <c r="Q62" s="2770"/>
      <c r="R62" s="2772"/>
      <c r="S62" s="2778"/>
      <c r="T62" s="2780"/>
      <c r="U62" s="2772"/>
      <c r="V62" s="2782"/>
      <c r="W62" s="2531"/>
      <c r="X62" s="1205">
        <v>12100000</v>
      </c>
      <c r="Y62" s="1176">
        <v>9694838</v>
      </c>
      <c r="Z62" s="1176">
        <v>9694838</v>
      </c>
      <c r="AA62" s="1176">
        <v>9694838</v>
      </c>
      <c r="AB62" s="1183" t="s">
        <v>1723</v>
      </c>
      <c r="AC62" s="1180">
        <v>20</v>
      </c>
      <c r="AD62" s="684" t="s">
        <v>1635</v>
      </c>
      <c r="AE62" s="2501"/>
      <c r="AF62" s="2501"/>
      <c r="AG62" s="2500"/>
      <c r="AH62" s="2500"/>
      <c r="AI62" s="2500"/>
      <c r="AJ62" s="2500"/>
      <c r="AK62" s="2500"/>
      <c r="AL62" s="2500"/>
      <c r="AM62" s="2500"/>
      <c r="AN62" s="2500"/>
      <c r="AO62" s="2500"/>
      <c r="AP62" s="2500"/>
      <c r="AQ62" s="2746"/>
      <c r="AR62" s="2746"/>
      <c r="AS62" s="2746"/>
      <c r="AT62" s="2746"/>
      <c r="AU62" s="2746"/>
      <c r="AV62" s="2746"/>
      <c r="AW62" s="2746"/>
      <c r="AX62" s="2746"/>
      <c r="AY62" s="2746"/>
      <c r="AZ62" s="2746"/>
      <c r="BA62" s="2746"/>
      <c r="BB62" s="2746"/>
      <c r="BC62" s="2746"/>
      <c r="BD62" s="2746"/>
      <c r="BE62" s="2746"/>
      <c r="BF62" s="2746"/>
      <c r="BG62" s="2746"/>
      <c r="BH62" s="2746"/>
      <c r="BI62" s="2746"/>
      <c r="BJ62" s="2746"/>
      <c r="BK62" s="2746"/>
      <c r="BL62" s="2784"/>
      <c r="BM62" s="2784"/>
      <c r="BN62" s="2785"/>
      <c r="BO62" s="2746"/>
      <c r="BP62" s="2746"/>
      <c r="BQ62" s="2783"/>
      <c r="BR62" s="2753"/>
      <c r="BS62" s="2753"/>
      <c r="BT62" s="2753"/>
      <c r="BU62" s="2746"/>
      <c r="BV62" s="2783"/>
    </row>
    <row r="63" spans="1:74" ht="97.5" customHeight="1" x14ac:dyDescent="0.2">
      <c r="A63" s="1200"/>
      <c r="C63" s="1201"/>
      <c r="D63" s="1202"/>
      <c r="F63" s="1202"/>
      <c r="G63" s="1207" t="s">
        <v>20</v>
      </c>
      <c r="H63" s="815" t="s">
        <v>1724</v>
      </c>
      <c r="I63" s="692">
        <v>4599031</v>
      </c>
      <c r="J63" s="815" t="s">
        <v>1725</v>
      </c>
      <c r="K63" s="692" t="s">
        <v>20</v>
      </c>
      <c r="L63" s="815" t="s">
        <v>1726</v>
      </c>
      <c r="M63" s="692">
        <v>459903101</v>
      </c>
      <c r="N63" s="815" t="s">
        <v>1727</v>
      </c>
      <c r="O63" s="683">
        <v>12</v>
      </c>
      <c r="P63" s="678">
        <v>12</v>
      </c>
      <c r="Q63" s="2544" t="s">
        <v>1728</v>
      </c>
      <c r="R63" s="2680" t="s">
        <v>1729</v>
      </c>
      <c r="S63" s="1208">
        <f>X63/T63</f>
        <v>0.16215657721990925</v>
      </c>
      <c r="T63" s="2749">
        <f>SUM(X63:X68)</f>
        <v>145168333</v>
      </c>
      <c r="U63" s="2680" t="s">
        <v>1730</v>
      </c>
      <c r="V63" s="2734" t="s">
        <v>1731</v>
      </c>
      <c r="W63" s="709" t="s">
        <v>1732</v>
      </c>
      <c r="X63" s="1209">
        <v>23540000</v>
      </c>
      <c r="Y63" s="1176">
        <v>23540000</v>
      </c>
      <c r="Z63" s="1176">
        <v>23540000</v>
      </c>
      <c r="AA63" s="1176">
        <v>23540000</v>
      </c>
      <c r="AB63" s="1210" t="s">
        <v>1733</v>
      </c>
      <c r="AC63" s="978">
        <v>20</v>
      </c>
      <c r="AD63" s="684" t="s">
        <v>1635</v>
      </c>
      <c r="AE63" s="2729">
        <v>295972</v>
      </c>
      <c r="AF63" s="2729">
        <v>295972</v>
      </c>
      <c r="AG63" s="2729">
        <v>285580</v>
      </c>
      <c r="AH63" s="2729">
        <v>285580</v>
      </c>
      <c r="AI63" s="2729">
        <v>135545</v>
      </c>
      <c r="AJ63" s="2729">
        <v>135545</v>
      </c>
      <c r="AK63" s="2729">
        <v>44254</v>
      </c>
      <c r="AL63" s="2729">
        <v>44254</v>
      </c>
      <c r="AM63" s="2729">
        <v>309146</v>
      </c>
      <c r="AN63" s="2729">
        <v>309146</v>
      </c>
      <c r="AO63" s="2729">
        <v>92607</v>
      </c>
      <c r="AP63" s="2729">
        <v>92607</v>
      </c>
      <c r="AQ63" s="2729">
        <v>2145</v>
      </c>
      <c r="AR63" s="2729">
        <v>2145</v>
      </c>
      <c r="AS63" s="2729">
        <v>12718</v>
      </c>
      <c r="AT63" s="2729">
        <v>12718</v>
      </c>
      <c r="AU63" s="2729">
        <v>26</v>
      </c>
      <c r="AV63" s="2729">
        <v>26</v>
      </c>
      <c r="AW63" s="2729">
        <v>37</v>
      </c>
      <c r="AX63" s="2729">
        <v>37</v>
      </c>
      <c r="AY63" s="2729">
        <v>0</v>
      </c>
      <c r="AZ63" s="2729">
        <v>0</v>
      </c>
      <c r="BA63" s="2729">
        <v>0</v>
      </c>
      <c r="BB63" s="2729">
        <v>0</v>
      </c>
      <c r="BC63" s="2729">
        <v>44350</v>
      </c>
      <c r="BD63" s="2729">
        <v>44350</v>
      </c>
      <c r="BE63" s="2729">
        <v>21944</v>
      </c>
      <c r="BF63" s="2729">
        <v>21944</v>
      </c>
      <c r="BG63" s="2729">
        <v>75687</v>
      </c>
      <c r="BH63" s="2729">
        <v>75687</v>
      </c>
      <c r="BI63" s="2729">
        <f>SUM(AE63,AG63)</f>
        <v>581552</v>
      </c>
      <c r="BJ63" s="2729">
        <f>SUM(AF63,AH63)</f>
        <v>581552</v>
      </c>
      <c r="BK63" s="2729">
        <v>15</v>
      </c>
      <c r="BL63" s="2787">
        <f>SUBTOTAL(9,Y63:Y68)</f>
        <v>144206333</v>
      </c>
      <c r="BM63" s="2787">
        <f>SUBTOTAL(9,Z63:Z68)</f>
        <v>144206333</v>
      </c>
      <c r="BN63" s="2790">
        <f>BM63/BL63</f>
        <v>1</v>
      </c>
      <c r="BO63" s="2729">
        <v>20</v>
      </c>
      <c r="BP63" s="2729" t="s">
        <v>422</v>
      </c>
      <c r="BQ63" s="2547" t="s">
        <v>1734</v>
      </c>
      <c r="BR63" s="2738">
        <v>44197</v>
      </c>
      <c r="BS63" s="2738">
        <v>44239</v>
      </c>
      <c r="BT63" s="2794">
        <v>44561</v>
      </c>
      <c r="BU63" s="2738">
        <v>44553</v>
      </c>
      <c r="BV63" s="2697" t="s">
        <v>1637</v>
      </c>
    </row>
    <row r="64" spans="1:74" ht="75" x14ac:dyDescent="0.2">
      <c r="A64" s="1200"/>
      <c r="C64" s="1201"/>
      <c r="D64" s="1202"/>
      <c r="F64" s="1202"/>
      <c r="G64" s="1207" t="s">
        <v>20</v>
      </c>
      <c r="H64" s="817" t="s">
        <v>1735</v>
      </c>
      <c r="I64" s="693">
        <v>4599031</v>
      </c>
      <c r="J64" s="815" t="s">
        <v>1725</v>
      </c>
      <c r="K64" s="692" t="s">
        <v>20</v>
      </c>
      <c r="L64" s="817" t="s">
        <v>1736</v>
      </c>
      <c r="M64" s="693">
        <v>459903101</v>
      </c>
      <c r="N64" s="817" t="s">
        <v>1727</v>
      </c>
      <c r="O64" s="683">
        <v>12</v>
      </c>
      <c r="P64" s="678">
        <v>12</v>
      </c>
      <c r="Q64" s="2544"/>
      <c r="R64" s="2680"/>
      <c r="S64" s="1208">
        <f>X64/T63</f>
        <v>0.17886132232433916</v>
      </c>
      <c r="T64" s="2750"/>
      <c r="U64" s="2680"/>
      <c r="V64" s="2734"/>
      <c r="W64" s="732" t="s">
        <v>1737</v>
      </c>
      <c r="X64" s="1209">
        <v>25965000</v>
      </c>
      <c r="Y64" s="1176">
        <v>25965000</v>
      </c>
      <c r="Z64" s="1176">
        <v>25965000</v>
      </c>
      <c r="AA64" s="1176">
        <v>25965000</v>
      </c>
      <c r="AB64" s="1210" t="s">
        <v>1738</v>
      </c>
      <c r="AC64" s="978">
        <v>20</v>
      </c>
      <c r="AD64" s="684" t="s">
        <v>1635</v>
      </c>
      <c r="AE64" s="2730"/>
      <c r="AF64" s="2730"/>
      <c r="AG64" s="2730"/>
      <c r="AH64" s="2730"/>
      <c r="AI64" s="2730"/>
      <c r="AJ64" s="2730"/>
      <c r="AK64" s="2730"/>
      <c r="AL64" s="2730"/>
      <c r="AM64" s="2730"/>
      <c r="AN64" s="2730"/>
      <c r="AO64" s="2730"/>
      <c r="AP64" s="2730"/>
      <c r="AQ64" s="2730"/>
      <c r="AR64" s="2730"/>
      <c r="AS64" s="2730"/>
      <c r="AT64" s="2730"/>
      <c r="AU64" s="2730"/>
      <c r="AV64" s="2730"/>
      <c r="AW64" s="2730"/>
      <c r="AX64" s="2730"/>
      <c r="AY64" s="2730"/>
      <c r="AZ64" s="2730"/>
      <c r="BA64" s="2730"/>
      <c r="BB64" s="2730"/>
      <c r="BC64" s="2730"/>
      <c r="BD64" s="2730"/>
      <c r="BE64" s="2730"/>
      <c r="BF64" s="2730"/>
      <c r="BG64" s="2730"/>
      <c r="BH64" s="2730"/>
      <c r="BI64" s="2730"/>
      <c r="BJ64" s="2730"/>
      <c r="BK64" s="2730"/>
      <c r="BL64" s="2788"/>
      <c r="BM64" s="2788"/>
      <c r="BN64" s="2791"/>
      <c r="BO64" s="2730"/>
      <c r="BP64" s="2730"/>
      <c r="BQ64" s="2730"/>
      <c r="BR64" s="2730"/>
      <c r="BS64" s="2730"/>
      <c r="BT64" s="2795"/>
      <c r="BU64" s="2730"/>
      <c r="BV64" s="2697"/>
    </row>
    <row r="65" spans="1:74" ht="69.75" customHeight="1" x14ac:dyDescent="0.2">
      <c r="A65" s="1200"/>
      <c r="C65" s="1201"/>
      <c r="D65" s="1202"/>
      <c r="F65" s="1202"/>
      <c r="G65" s="1207" t="s">
        <v>20</v>
      </c>
      <c r="H65" s="817" t="s">
        <v>1739</v>
      </c>
      <c r="I65" s="693">
        <v>4599031</v>
      </c>
      <c r="J65" s="815" t="s">
        <v>1725</v>
      </c>
      <c r="K65" s="692" t="s">
        <v>20</v>
      </c>
      <c r="L65" s="817" t="s">
        <v>1736</v>
      </c>
      <c r="M65" s="693">
        <v>459903101</v>
      </c>
      <c r="N65" s="817" t="s">
        <v>1727</v>
      </c>
      <c r="O65" s="683">
        <v>12</v>
      </c>
      <c r="P65" s="678">
        <v>12</v>
      </c>
      <c r="Q65" s="2544"/>
      <c r="R65" s="2680"/>
      <c r="S65" s="1208">
        <f>X65/T63</f>
        <v>0.16852849030098044</v>
      </c>
      <c r="T65" s="2750"/>
      <c r="U65" s="2680"/>
      <c r="V65" s="2734"/>
      <c r="W65" s="732" t="s">
        <v>1740</v>
      </c>
      <c r="X65" s="1209">
        <v>24465000</v>
      </c>
      <c r="Y65" s="1176">
        <v>24426333</v>
      </c>
      <c r="Z65" s="1176">
        <v>24426333</v>
      </c>
      <c r="AA65" s="1176">
        <v>24426333</v>
      </c>
      <c r="AB65" s="1210" t="s">
        <v>1741</v>
      </c>
      <c r="AC65" s="978">
        <v>20</v>
      </c>
      <c r="AD65" s="684" t="s">
        <v>1635</v>
      </c>
      <c r="AE65" s="2730"/>
      <c r="AF65" s="2730"/>
      <c r="AG65" s="2730"/>
      <c r="AH65" s="2730"/>
      <c r="AI65" s="2730"/>
      <c r="AJ65" s="2730"/>
      <c r="AK65" s="2730"/>
      <c r="AL65" s="2730"/>
      <c r="AM65" s="2730"/>
      <c r="AN65" s="2730"/>
      <c r="AO65" s="2730"/>
      <c r="AP65" s="2730"/>
      <c r="AQ65" s="2730"/>
      <c r="AR65" s="2730"/>
      <c r="AS65" s="2730"/>
      <c r="AT65" s="2730"/>
      <c r="AU65" s="2730"/>
      <c r="AV65" s="2730"/>
      <c r="AW65" s="2730"/>
      <c r="AX65" s="2730"/>
      <c r="AY65" s="2730"/>
      <c r="AZ65" s="2730"/>
      <c r="BA65" s="2730"/>
      <c r="BB65" s="2730"/>
      <c r="BC65" s="2730"/>
      <c r="BD65" s="2730"/>
      <c r="BE65" s="2730"/>
      <c r="BF65" s="2730"/>
      <c r="BG65" s="2730"/>
      <c r="BH65" s="2730"/>
      <c r="BI65" s="2730"/>
      <c r="BJ65" s="2730"/>
      <c r="BK65" s="2730"/>
      <c r="BL65" s="2788"/>
      <c r="BM65" s="2788"/>
      <c r="BN65" s="2791"/>
      <c r="BO65" s="2730"/>
      <c r="BP65" s="2730"/>
      <c r="BQ65" s="2730"/>
      <c r="BR65" s="2730"/>
      <c r="BS65" s="2730"/>
      <c r="BT65" s="2795"/>
      <c r="BU65" s="2730"/>
      <c r="BV65" s="2697"/>
    </row>
    <row r="66" spans="1:74" ht="300.75" customHeight="1" x14ac:dyDescent="0.2">
      <c r="A66" s="1200"/>
      <c r="C66" s="1201"/>
      <c r="D66" s="1202"/>
      <c r="F66" s="1202"/>
      <c r="G66" s="1207" t="s">
        <v>20</v>
      </c>
      <c r="H66" s="817" t="s">
        <v>1742</v>
      </c>
      <c r="I66" s="693">
        <v>4599031</v>
      </c>
      <c r="J66" s="815" t="s">
        <v>1725</v>
      </c>
      <c r="K66" s="692" t="s">
        <v>20</v>
      </c>
      <c r="L66" s="1211" t="s">
        <v>1736</v>
      </c>
      <c r="M66" s="693">
        <v>459903101</v>
      </c>
      <c r="N66" s="1211" t="s">
        <v>1727</v>
      </c>
      <c r="O66" s="683">
        <v>12</v>
      </c>
      <c r="P66" s="678">
        <v>12</v>
      </c>
      <c r="Q66" s="2544"/>
      <c r="R66" s="2680"/>
      <c r="S66" s="1208">
        <f>X66/T63</f>
        <v>0.1689245821952092</v>
      </c>
      <c r="T66" s="2750"/>
      <c r="U66" s="2680"/>
      <c r="V66" s="2734"/>
      <c r="W66" s="1212" t="s">
        <v>1743</v>
      </c>
      <c r="X66" s="1209">
        <v>24522500</v>
      </c>
      <c r="Y66" s="1176">
        <v>24522500</v>
      </c>
      <c r="Z66" s="1176">
        <v>24522500</v>
      </c>
      <c r="AA66" s="1176">
        <v>24522500</v>
      </c>
      <c r="AB66" s="1213" t="s">
        <v>1744</v>
      </c>
      <c r="AC66" s="978">
        <v>20</v>
      </c>
      <c r="AD66" s="684" t="s">
        <v>1635</v>
      </c>
      <c r="AE66" s="2730"/>
      <c r="AF66" s="2730"/>
      <c r="AG66" s="2730"/>
      <c r="AH66" s="2730"/>
      <c r="AI66" s="2730"/>
      <c r="AJ66" s="2730"/>
      <c r="AK66" s="2730"/>
      <c r="AL66" s="2730"/>
      <c r="AM66" s="2730"/>
      <c r="AN66" s="2730"/>
      <c r="AO66" s="2730"/>
      <c r="AP66" s="2730"/>
      <c r="AQ66" s="2730"/>
      <c r="AR66" s="2730"/>
      <c r="AS66" s="2730"/>
      <c r="AT66" s="2730"/>
      <c r="AU66" s="2730"/>
      <c r="AV66" s="2730"/>
      <c r="AW66" s="2730"/>
      <c r="AX66" s="2730"/>
      <c r="AY66" s="2730"/>
      <c r="AZ66" s="2730"/>
      <c r="BA66" s="2730"/>
      <c r="BB66" s="2730"/>
      <c r="BC66" s="2730"/>
      <c r="BD66" s="2730"/>
      <c r="BE66" s="2730"/>
      <c r="BF66" s="2730"/>
      <c r="BG66" s="2730"/>
      <c r="BH66" s="2730"/>
      <c r="BI66" s="2730"/>
      <c r="BJ66" s="2730"/>
      <c r="BK66" s="2730"/>
      <c r="BL66" s="2788"/>
      <c r="BM66" s="2788"/>
      <c r="BN66" s="2791"/>
      <c r="BO66" s="2730"/>
      <c r="BP66" s="2730"/>
      <c r="BQ66" s="2730"/>
      <c r="BR66" s="2730"/>
      <c r="BS66" s="2730"/>
      <c r="BT66" s="2795"/>
      <c r="BU66" s="2730"/>
      <c r="BV66" s="2697"/>
    </row>
    <row r="67" spans="1:74" ht="178.5" customHeight="1" x14ac:dyDescent="0.2">
      <c r="A67" s="1200"/>
      <c r="C67" s="1201"/>
      <c r="D67" s="1202"/>
      <c r="F67" s="1202"/>
      <c r="G67" s="1207" t="s">
        <v>20</v>
      </c>
      <c r="H67" s="817" t="s">
        <v>1745</v>
      </c>
      <c r="I67" s="693">
        <v>4599031</v>
      </c>
      <c r="J67" s="815" t="s">
        <v>1725</v>
      </c>
      <c r="K67" s="692" t="s">
        <v>20</v>
      </c>
      <c r="L67" s="817" t="s">
        <v>1736</v>
      </c>
      <c r="M67" s="693">
        <v>459903101</v>
      </c>
      <c r="N67" s="817" t="s">
        <v>1727</v>
      </c>
      <c r="O67" s="683">
        <v>12</v>
      </c>
      <c r="P67" s="678">
        <v>12</v>
      </c>
      <c r="Q67" s="2544"/>
      <c r="R67" s="2680"/>
      <c r="S67" s="1208">
        <f>X67/T63</f>
        <v>0.18599097642045664</v>
      </c>
      <c r="T67" s="2750"/>
      <c r="U67" s="2680"/>
      <c r="V67" s="2734"/>
      <c r="W67" s="1214" t="s">
        <v>1746</v>
      </c>
      <c r="X67" s="1209">
        <v>27000000</v>
      </c>
      <c r="Y67" s="1176">
        <v>27000000</v>
      </c>
      <c r="Z67" s="1176">
        <v>27000000</v>
      </c>
      <c r="AA67" s="1176">
        <v>27000000</v>
      </c>
      <c r="AB67" s="1210" t="s">
        <v>1747</v>
      </c>
      <c r="AC67" s="978">
        <v>20</v>
      </c>
      <c r="AD67" s="684" t="s">
        <v>1635</v>
      </c>
      <c r="AE67" s="2730"/>
      <c r="AF67" s="2730"/>
      <c r="AG67" s="2730"/>
      <c r="AH67" s="2730"/>
      <c r="AI67" s="2730"/>
      <c r="AJ67" s="2730"/>
      <c r="AK67" s="2730"/>
      <c r="AL67" s="2730"/>
      <c r="AM67" s="2730"/>
      <c r="AN67" s="2730"/>
      <c r="AO67" s="2730"/>
      <c r="AP67" s="2730"/>
      <c r="AQ67" s="2730"/>
      <c r="AR67" s="2730"/>
      <c r="AS67" s="2730"/>
      <c r="AT67" s="2730"/>
      <c r="AU67" s="2730"/>
      <c r="AV67" s="2730"/>
      <c r="AW67" s="2730"/>
      <c r="AX67" s="2730"/>
      <c r="AY67" s="2730"/>
      <c r="AZ67" s="2730"/>
      <c r="BA67" s="2730"/>
      <c r="BB67" s="2730"/>
      <c r="BC67" s="2730"/>
      <c r="BD67" s="2730"/>
      <c r="BE67" s="2730"/>
      <c r="BF67" s="2730"/>
      <c r="BG67" s="2730"/>
      <c r="BH67" s="2730"/>
      <c r="BI67" s="2730"/>
      <c r="BJ67" s="2730"/>
      <c r="BK67" s="2730"/>
      <c r="BL67" s="2788"/>
      <c r="BM67" s="2788"/>
      <c r="BN67" s="2791"/>
      <c r="BO67" s="2730"/>
      <c r="BP67" s="2730"/>
      <c r="BQ67" s="2730"/>
      <c r="BR67" s="2730"/>
      <c r="BS67" s="2730"/>
      <c r="BT67" s="2795"/>
      <c r="BU67" s="2730"/>
      <c r="BV67" s="2697"/>
    </row>
    <row r="68" spans="1:74" ht="98.25" customHeight="1" x14ac:dyDescent="0.2">
      <c r="A68" s="1200"/>
      <c r="C68" s="1201"/>
      <c r="D68" s="1202"/>
      <c r="F68" s="1202"/>
      <c r="G68" s="1207" t="s">
        <v>20</v>
      </c>
      <c r="H68" s="817" t="s">
        <v>1748</v>
      </c>
      <c r="I68" s="693">
        <v>4599031</v>
      </c>
      <c r="J68" s="815" t="s">
        <v>1725</v>
      </c>
      <c r="K68" s="692" t="s">
        <v>20</v>
      </c>
      <c r="L68" s="817" t="s">
        <v>1736</v>
      </c>
      <c r="M68" s="693">
        <v>459903101</v>
      </c>
      <c r="N68" s="817" t="s">
        <v>1727</v>
      </c>
      <c r="O68" s="683">
        <v>12</v>
      </c>
      <c r="P68" s="678">
        <v>12</v>
      </c>
      <c r="Q68" s="2544"/>
      <c r="R68" s="2680"/>
      <c r="S68" s="1208">
        <f>X68/T63</f>
        <v>0.13553805153910531</v>
      </c>
      <c r="T68" s="2786"/>
      <c r="U68" s="2680"/>
      <c r="V68" s="2734"/>
      <c r="W68" s="732" t="s">
        <v>1749</v>
      </c>
      <c r="X68" s="1209">
        <v>19675833</v>
      </c>
      <c r="Y68" s="1176">
        <v>18752500</v>
      </c>
      <c r="Z68" s="1176">
        <v>18752500</v>
      </c>
      <c r="AA68" s="1176">
        <v>18752500</v>
      </c>
      <c r="AB68" s="1210" t="s">
        <v>1750</v>
      </c>
      <c r="AC68" s="978">
        <v>20</v>
      </c>
      <c r="AD68" s="684" t="s">
        <v>1635</v>
      </c>
      <c r="AE68" s="2731"/>
      <c r="AF68" s="2731"/>
      <c r="AG68" s="2731"/>
      <c r="AH68" s="2731"/>
      <c r="AI68" s="2731"/>
      <c r="AJ68" s="2731"/>
      <c r="AK68" s="2731"/>
      <c r="AL68" s="2731"/>
      <c r="AM68" s="2731"/>
      <c r="AN68" s="2731"/>
      <c r="AO68" s="2731"/>
      <c r="AP68" s="2731"/>
      <c r="AQ68" s="2731"/>
      <c r="AR68" s="2731"/>
      <c r="AS68" s="2731"/>
      <c r="AT68" s="2731"/>
      <c r="AU68" s="2731"/>
      <c r="AV68" s="2731"/>
      <c r="AW68" s="2731"/>
      <c r="AX68" s="2731"/>
      <c r="AY68" s="2731"/>
      <c r="AZ68" s="2731"/>
      <c r="BA68" s="2731"/>
      <c r="BB68" s="2731"/>
      <c r="BC68" s="2731"/>
      <c r="BD68" s="2731"/>
      <c r="BE68" s="2731"/>
      <c r="BF68" s="2731"/>
      <c r="BG68" s="2731"/>
      <c r="BH68" s="2731"/>
      <c r="BI68" s="2731"/>
      <c r="BJ68" s="2731"/>
      <c r="BK68" s="2731"/>
      <c r="BL68" s="2789"/>
      <c r="BM68" s="2789"/>
      <c r="BN68" s="2792"/>
      <c r="BO68" s="2731"/>
      <c r="BP68" s="2731"/>
      <c r="BQ68" s="2731"/>
      <c r="BR68" s="2731"/>
      <c r="BS68" s="2731"/>
      <c r="BT68" s="2796"/>
      <c r="BU68" s="2731"/>
      <c r="BV68" s="2697"/>
    </row>
    <row r="69" spans="1:74" ht="42.75" customHeight="1" x14ac:dyDescent="0.2">
      <c r="A69" s="1200"/>
      <c r="C69" s="1201"/>
      <c r="D69" s="1202"/>
      <c r="F69" s="1202"/>
      <c r="G69" s="2728" t="s">
        <v>20</v>
      </c>
      <c r="H69" s="2680" t="s">
        <v>64</v>
      </c>
      <c r="I69" s="2544">
        <v>4599023</v>
      </c>
      <c r="J69" s="2680" t="s">
        <v>217</v>
      </c>
      <c r="K69" s="2544" t="s">
        <v>20</v>
      </c>
      <c r="L69" s="2680" t="s">
        <v>63</v>
      </c>
      <c r="M69" s="2544">
        <v>459902300</v>
      </c>
      <c r="N69" s="2680" t="s">
        <v>1751</v>
      </c>
      <c r="O69" s="2544">
        <v>18</v>
      </c>
      <c r="P69" s="2544">
        <v>18</v>
      </c>
      <c r="Q69" s="2544" t="s">
        <v>1752</v>
      </c>
      <c r="R69" s="2680" t="s">
        <v>1753</v>
      </c>
      <c r="S69" s="2793">
        <f>SUM(X69:X95)/T69</f>
        <v>1</v>
      </c>
      <c r="T69" s="2733">
        <f>SUM(X69:X95)</f>
        <v>70730000</v>
      </c>
      <c r="U69" s="2680" t="s">
        <v>1754</v>
      </c>
      <c r="V69" s="2734" t="s">
        <v>1755</v>
      </c>
      <c r="W69" s="709" t="s">
        <v>1756</v>
      </c>
      <c r="X69" s="1209">
        <v>500000</v>
      </c>
      <c r="Y69" s="1176">
        <v>500000</v>
      </c>
      <c r="Z69" s="1176">
        <v>500000</v>
      </c>
      <c r="AA69" s="1176">
        <v>500000</v>
      </c>
      <c r="AB69" s="1197" t="s">
        <v>1757</v>
      </c>
      <c r="AC69" s="978">
        <v>20</v>
      </c>
      <c r="AD69" s="684" t="s">
        <v>1635</v>
      </c>
      <c r="AE69" s="2751">
        <v>295972</v>
      </c>
      <c r="AF69" s="2751">
        <v>295972</v>
      </c>
      <c r="AG69" s="2751">
        <v>285580</v>
      </c>
      <c r="AH69" s="2751">
        <v>285580</v>
      </c>
      <c r="AI69" s="2751">
        <v>135545</v>
      </c>
      <c r="AJ69" s="2751">
        <v>135545</v>
      </c>
      <c r="AK69" s="2751">
        <v>44254</v>
      </c>
      <c r="AL69" s="2751">
        <v>44254</v>
      </c>
      <c r="AM69" s="2751">
        <v>309146</v>
      </c>
      <c r="AN69" s="2751">
        <v>309146</v>
      </c>
      <c r="AO69" s="2751">
        <v>92607</v>
      </c>
      <c r="AP69" s="2751">
        <v>92607</v>
      </c>
      <c r="AQ69" s="2751">
        <v>2145</v>
      </c>
      <c r="AR69" s="2751">
        <v>2145</v>
      </c>
      <c r="AS69" s="2751">
        <v>12718</v>
      </c>
      <c r="AT69" s="2751">
        <v>12718</v>
      </c>
      <c r="AU69" s="2751">
        <v>26</v>
      </c>
      <c r="AV69" s="2751">
        <v>26</v>
      </c>
      <c r="AW69" s="2751">
        <v>37</v>
      </c>
      <c r="AX69" s="2751">
        <v>37</v>
      </c>
      <c r="AY69" s="2751">
        <v>0</v>
      </c>
      <c r="AZ69" s="2751">
        <v>0</v>
      </c>
      <c r="BA69" s="2751">
        <v>0</v>
      </c>
      <c r="BB69" s="2751">
        <v>0</v>
      </c>
      <c r="BC69" s="2751">
        <v>44350</v>
      </c>
      <c r="BD69" s="2751">
        <v>44350</v>
      </c>
      <c r="BE69" s="2751">
        <v>21944</v>
      </c>
      <c r="BF69" s="2751">
        <v>21944</v>
      </c>
      <c r="BG69" s="2751">
        <v>75687</v>
      </c>
      <c r="BH69" s="2751">
        <v>75687</v>
      </c>
      <c r="BI69" s="2751">
        <v>581552</v>
      </c>
      <c r="BJ69" s="2751">
        <v>581552</v>
      </c>
      <c r="BK69" s="2751">
        <v>7</v>
      </c>
      <c r="BL69" s="2757">
        <f>SUBTOTAL(9,Y69:Y95)</f>
        <v>70730000</v>
      </c>
      <c r="BM69" s="2757">
        <f>SUBTOTAL(9,Z69:Z95)</f>
        <v>70730000</v>
      </c>
      <c r="BN69" s="2760">
        <f>BM69/BL69</f>
        <v>1</v>
      </c>
      <c r="BO69" s="2751">
        <v>20</v>
      </c>
      <c r="BP69" s="2751" t="s">
        <v>422</v>
      </c>
      <c r="BQ69" s="2752" t="s">
        <v>1669</v>
      </c>
      <c r="BR69" s="2754">
        <v>44197</v>
      </c>
      <c r="BS69" s="2754">
        <v>44228</v>
      </c>
      <c r="BT69" s="2754">
        <v>44561</v>
      </c>
      <c r="BU69" s="2754">
        <v>44554</v>
      </c>
      <c r="BV69" s="2755" t="s">
        <v>1637</v>
      </c>
    </row>
    <row r="70" spans="1:74" ht="42.75" customHeight="1" x14ac:dyDescent="0.2">
      <c r="A70" s="1200"/>
      <c r="C70" s="1201"/>
      <c r="D70" s="1202"/>
      <c r="F70" s="1202"/>
      <c r="G70" s="2728"/>
      <c r="H70" s="2680"/>
      <c r="I70" s="2544"/>
      <c r="J70" s="2680"/>
      <c r="K70" s="2544"/>
      <c r="L70" s="2680"/>
      <c r="M70" s="2544"/>
      <c r="N70" s="2680"/>
      <c r="O70" s="2544"/>
      <c r="P70" s="2544"/>
      <c r="Q70" s="2544"/>
      <c r="R70" s="2680"/>
      <c r="S70" s="2793"/>
      <c r="T70" s="2733"/>
      <c r="U70" s="2680"/>
      <c r="V70" s="2734"/>
      <c r="W70" s="709" t="s">
        <v>1758</v>
      </c>
      <c r="X70" s="1209">
        <v>500000</v>
      </c>
      <c r="Y70" s="1176">
        <v>500000</v>
      </c>
      <c r="Z70" s="1176">
        <v>500000</v>
      </c>
      <c r="AA70" s="1176">
        <v>500000</v>
      </c>
      <c r="AB70" s="1197" t="s">
        <v>1757</v>
      </c>
      <c r="AC70" s="978">
        <v>20</v>
      </c>
      <c r="AD70" s="684" t="s">
        <v>1635</v>
      </c>
      <c r="AE70" s="2500"/>
      <c r="AF70" s="2500"/>
      <c r="AG70" s="2500"/>
      <c r="AH70" s="2500"/>
      <c r="AI70" s="2500"/>
      <c r="AJ70" s="2500"/>
      <c r="AK70" s="2500"/>
      <c r="AL70" s="2500"/>
      <c r="AM70" s="2500"/>
      <c r="AN70" s="2500"/>
      <c r="AO70" s="2500"/>
      <c r="AP70" s="2500"/>
      <c r="AQ70" s="2500"/>
      <c r="AR70" s="2500"/>
      <c r="AS70" s="2500"/>
      <c r="AT70" s="2500"/>
      <c r="AU70" s="2500"/>
      <c r="AV70" s="2500"/>
      <c r="AW70" s="2500"/>
      <c r="AX70" s="2500"/>
      <c r="AY70" s="2500"/>
      <c r="AZ70" s="2500"/>
      <c r="BA70" s="2500"/>
      <c r="BB70" s="2500"/>
      <c r="BC70" s="2500"/>
      <c r="BD70" s="2500"/>
      <c r="BE70" s="2500"/>
      <c r="BF70" s="2500"/>
      <c r="BG70" s="2500"/>
      <c r="BH70" s="2500"/>
      <c r="BI70" s="2500"/>
      <c r="BJ70" s="2500"/>
      <c r="BK70" s="2500"/>
      <c r="BL70" s="2758"/>
      <c r="BM70" s="2758"/>
      <c r="BN70" s="2761"/>
      <c r="BO70" s="2500"/>
      <c r="BP70" s="2500"/>
      <c r="BQ70" s="2500"/>
      <c r="BR70" s="2500"/>
      <c r="BS70" s="2500"/>
      <c r="BT70" s="2500"/>
      <c r="BU70" s="2500"/>
      <c r="BV70" s="2755"/>
    </row>
    <row r="71" spans="1:74" ht="42.75" customHeight="1" x14ac:dyDescent="0.2">
      <c r="A71" s="1200"/>
      <c r="C71" s="1201"/>
      <c r="D71" s="1202"/>
      <c r="F71" s="1202"/>
      <c r="G71" s="2728"/>
      <c r="H71" s="2680"/>
      <c r="I71" s="2544"/>
      <c r="J71" s="2680"/>
      <c r="K71" s="2544"/>
      <c r="L71" s="2680"/>
      <c r="M71" s="2544"/>
      <c r="N71" s="2680"/>
      <c r="O71" s="2544"/>
      <c r="P71" s="2544"/>
      <c r="Q71" s="2544"/>
      <c r="R71" s="2680"/>
      <c r="S71" s="2793"/>
      <c r="T71" s="2733"/>
      <c r="U71" s="2680"/>
      <c r="V71" s="2734"/>
      <c r="W71" s="709" t="s">
        <v>1759</v>
      </c>
      <c r="X71" s="1209">
        <v>500000</v>
      </c>
      <c r="Y71" s="1176">
        <v>500000</v>
      </c>
      <c r="Z71" s="1176">
        <v>500000</v>
      </c>
      <c r="AA71" s="1176">
        <v>500000</v>
      </c>
      <c r="AB71" s="1197" t="s">
        <v>1757</v>
      </c>
      <c r="AC71" s="978">
        <v>20</v>
      </c>
      <c r="AD71" s="684" t="s">
        <v>1635</v>
      </c>
      <c r="AE71" s="2500"/>
      <c r="AF71" s="2500"/>
      <c r="AG71" s="2500"/>
      <c r="AH71" s="2500"/>
      <c r="AI71" s="2500"/>
      <c r="AJ71" s="2500"/>
      <c r="AK71" s="2500"/>
      <c r="AL71" s="2500"/>
      <c r="AM71" s="2500"/>
      <c r="AN71" s="2500"/>
      <c r="AO71" s="2500"/>
      <c r="AP71" s="2500"/>
      <c r="AQ71" s="2500"/>
      <c r="AR71" s="2500"/>
      <c r="AS71" s="2500"/>
      <c r="AT71" s="2500"/>
      <c r="AU71" s="2500"/>
      <c r="AV71" s="2500"/>
      <c r="AW71" s="2500"/>
      <c r="AX71" s="2500"/>
      <c r="AY71" s="2500"/>
      <c r="AZ71" s="2500"/>
      <c r="BA71" s="2500"/>
      <c r="BB71" s="2500"/>
      <c r="BC71" s="2500"/>
      <c r="BD71" s="2500"/>
      <c r="BE71" s="2500"/>
      <c r="BF71" s="2500"/>
      <c r="BG71" s="2500"/>
      <c r="BH71" s="2500"/>
      <c r="BI71" s="2500"/>
      <c r="BJ71" s="2500"/>
      <c r="BK71" s="2500"/>
      <c r="BL71" s="2758"/>
      <c r="BM71" s="2758"/>
      <c r="BN71" s="2761"/>
      <c r="BO71" s="2500"/>
      <c r="BP71" s="2500"/>
      <c r="BQ71" s="2500"/>
      <c r="BR71" s="2500"/>
      <c r="BS71" s="2500"/>
      <c r="BT71" s="2500"/>
      <c r="BU71" s="2500"/>
      <c r="BV71" s="2755"/>
    </row>
    <row r="72" spans="1:74" ht="42.75" customHeight="1" x14ac:dyDescent="0.2">
      <c r="A72" s="1200"/>
      <c r="C72" s="1201"/>
      <c r="D72" s="1202"/>
      <c r="F72" s="1202"/>
      <c r="G72" s="2728"/>
      <c r="H72" s="2680"/>
      <c r="I72" s="2544"/>
      <c r="J72" s="2680"/>
      <c r="K72" s="2544"/>
      <c r="L72" s="2680"/>
      <c r="M72" s="2544"/>
      <c r="N72" s="2680"/>
      <c r="O72" s="2544"/>
      <c r="P72" s="2544"/>
      <c r="Q72" s="2544"/>
      <c r="R72" s="2680"/>
      <c r="S72" s="2793"/>
      <c r="T72" s="2733"/>
      <c r="U72" s="2680"/>
      <c r="V72" s="2734"/>
      <c r="W72" s="709" t="s">
        <v>1760</v>
      </c>
      <c r="X72" s="1209">
        <v>500000</v>
      </c>
      <c r="Y72" s="1176">
        <v>500000</v>
      </c>
      <c r="Z72" s="1176">
        <v>500000</v>
      </c>
      <c r="AA72" s="1176">
        <v>500000</v>
      </c>
      <c r="AB72" s="1197" t="s">
        <v>1757</v>
      </c>
      <c r="AC72" s="978">
        <v>20</v>
      </c>
      <c r="AD72" s="684" t="s">
        <v>1635</v>
      </c>
      <c r="AE72" s="2500"/>
      <c r="AF72" s="2500"/>
      <c r="AG72" s="2500"/>
      <c r="AH72" s="2500"/>
      <c r="AI72" s="2500"/>
      <c r="AJ72" s="2500"/>
      <c r="AK72" s="2500"/>
      <c r="AL72" s="2500"/>
      <c r="AM72" s="2500"/>
      <c r="AN72" s="2500"/>
      <c r="AO72" s="2500"/>
      <c r="AP72" s="2500"/>
      <c r="AQ72" s="2500"/>
      <c r="AR72" s="2500"/>
      <c r="AS72" s="2500"/>
      <c r="AT72" s="2500"/>
      <c r="AU72" s="2500"/>
      <c r="AV72" s="2500"/>
      <c r="AW72" s="2500"/>
      <c r="AX72" s="2500"/>
      <c r="AY72" s="2500"/>
      <c r="AZ72" s="2500"/>
      <c r="BA72" s="2500"/>
      <c r="BB72" s="2500"/>
      <c r="BC72" s="2500"/>
      <c r="BD72" s="2500"/>
      <c r="BE72" s="2500"/>
      <c r="BF72" s="2500"/>
      <c r="BG72" s="2500"/>
      <c r="BH72" s="2500"/>
      <c r="BI72" s="2500"/>
      <c r="BJ72" s="2500"/>
      <c r="BK72" s="2500"/>
      <c r="BL72" s="2758"/>
      <c r="BM72" s="2758"/>
      <c r="BN72" s="2761"/>
      <c r="BO72" s="2500"/>
      <c r="BP72" s="2500"/>
      <c r="BQ72" s="2500"/>
      <c r="BR72" s="2500"/>
      <c r="BS72" s="2500"/>
      <c r="BT72" s="2500"/>
      <c r="BU72" s="2500"/>
      <c r="BV72" s="2755"/>
    </row>
    <row r="73" spans="1:74" ht="42.75" customHeight="1" x14ac:dyDescent="0.2">
      <c r="A73" s="1200"/>
      <c r="C73" s="1201"/>
      <c r="D73" s="1202"/>
      <c r="F73" s="1202"/>
      <c r="G73" s="2728"/>
      <c r="H73" s="2680"/>
      <c r="I73" s="2544"/>
      <c r="J73" s="2680"/>
      <c r="K73" s="2544"/>
      <c r="L73" s="2680"/>
      <c r="M73" s="2544"/>
      <c r="N73" s="2680"/>
      <c r="O73" s="2544"/>
      <c r="P73" s="2544"/>
      <c r="Q73" s="2544"/>
      <c r="R73" s="2680"/>
      <c r="S73" s="2793"/>
      <c r="T73" s="2733"/>
      <c r="U73" s="2680"/>
      <c r="V73" s="2734"/>
      <c r="W73" s="709" t="s">
        <v>1761</v>
      </c>
      <c r="X73" s="1209">
        <v>500000</v>
      </c>
      <c r="Y73" s="1176">
        <v>500000</v>
      </c>
      <c r="Z73" s="1176">
        <v>500000</v>
      </c>
      <c r="AA73" s="1176">
        <v>500000</v>
      </c>
      <c r="AB73" s="1197" t="s">
        <v>1757</v>
      </c>
      <c r="AC73" s="978">
        <v>20</v>
      </c>
      <c r="AD73" s="684" t="s">
        <v>1635</v>
      </c>
      <c r="AE73" s="2500"/>
      <c r="AF73" s="2500"/>
      <c r="AG73" s="2500"/>
      <c r="AH73" s="2500"/>
      <c r="AI73" s="2500"/>
      <c r="AJ73" s="2500"/>
      <c r="AK73" s="2500"/>
      <c r="AL73" s="2500"/>
      <c r="AM73" s="2500"/>
      <c r="AN73" s="2500"/>
      <c r="AO73" s="2500"/>
      <c r="AP73" s="2500"/>
      <c r="AQ73" s="2500"/>
      <c r="AR73" s="2500"/>
      <c r="AS73" s="2500"/>
      <c r="AT73" s="2500"/>
      <c r="AU73" s="2500"/>
      <c r="AV73" s="2500"/>
      <c r="AW73" s="2500"/>
      <c r="AX73" s="2500"/>
      <c r="AY73" s="2500"/>
      <c r="AZ73" s="2500"/>
      <c r="BA73" s="2500"/>
      <c r="BB73" s="2500"/>
      <c r="BC73" s="2500"/>
      <c r="BD73" s="2500"/>
      <c r="BE73" s="2500"/>
      <c r="BF73" s="2500"/>
      <c r="BG73" s="2500"/>
      <c r="BH73" s="2500"/>
      <c r="BI73" s="2500"/>
      <c r="BJ73" s="2500"/>
      <c r="BK73" s="2500"/>
      <c r="BL73" s="2758"/>
      <c r="BM73" s="2758"/>
      <c r="BN73" s="2761"/>
      <c r="BO73" s="2500"/>
      <c r="BP73" s="2500"/>
      <c r="BQ73" s="2500"/>
      <c r="BR73" s="2500"/>
      <c r="BS73" s="2500"/>
      <c r="BT73" s="2500"/>
      <c r="BU73" s="2500"/>
      <c r="BV73" s="2755"/>
    </row>
    <row r="74" spans="1:74" ht="42.75" customHeight="1" x14ac:dyDescent="0.2">
      <c r="A74" s="1200"/>
      <c r="C74" s="1201"/>
      <c r="D74" s="1202"/>
      <c r="F74" s="1202"/>
      <c r="G74" s="2728"/>
      <c r="H74" s="2680"/>
      <c r="I74" s="2544"/>
      <c r="J74" s="2680"/>
      <c r="K74" s="2544"/>
      <c r="L74" s="2680"/>
      <c r="M74" s="2544"/>
      <c r="N74" s="2680"/>
      <c r="O74" s="2544"/>
      <c r="P74" s="2544"/>
      <c r="Q74" s="2544"/>
      <c r="R74" s="2680"/>
      <c r="S74" s="2793"/>
      <c r="T74" s="2733"/>
      <c r="U74" s="2680"/>
      <c r="V74" s="2734"/>
      <c r="W74" s="709" t="s">
        <v>1762</v>
      </c>
      <c r="X74" s="1209">
        <v>500000</v>
      </c>
      <c r="Y74" s="1176">
        <v>500000</v>
      </c>
      <c r="Z74" s="1176">
        <v>500000</v>
      </c>
      <c r="AA74" s="1176">
        <v>500000</v>
      </c>
      <c r="AB74" s="1197" t="s">
        <v>1757</v>
      </c>
      <c r="AC74" s="978">
        <v>20</v>
      </c>
      <c r="AD74" s="684" t="s">
        <v>1635</v>
      </c>
      <c r="AE74" s="2500"/>
      <c r="AF74" s="2500"/>
      <c r="AG74" s="2500"/>
      <c r="AH74" s="2500"/>
      <c r="AI74" s="2500"/>
      <c r="AJ74" s="2500"/>
      <c r="AK74" s="2500"/>
      <c r="AL74" s="2500"/>
      <c r="AM74" s="2500"/>
      <c r="AN74" s="2500"/>
      <c r="AO74" s="2500"/>
      <c r="AP74" s="2500"/>
      <c r="AQ74" s="2500"/>
      <c r="AR74" s="2500"/>
      <c r="AS74" s="2500"/>
      <c r="AT74" s="2500"/>
      <c r="AU74" s="2500"/>
      <c r="AV74" s="2500"/>
      <c r="AW74" s="2500"/>
      <c r="AX74" s="2500"/>
      <c r="AY74" s="2500"/>
      <c r="AZ74" s="2500"/>
      <c r="BA74" s="2500"/>
      <c r="BB74" s="2500"/>
      <c r="BC74" s="2500"/>
      <c r="BD74" s="2500"/>
      <c r="BE74" s="2500"/>
      <c r="BF74" s="2500"/>
      <c r="BG74" s="2500"/>
      <c r="BH74" s="2500"/>
      <c r="BI74" s="2500"/>
      <c r="BJ74" s="2500"/>
      <c r="BK74" s="2500"/>
      <c r="BL74" s="2758"/>
      <c r="BM74" s="2758"/>
      <c r="BN74" s="2761"/>
      <c r="BO74" s="2500"/>
      <c r="BP74" s="2500"/>
      <c r="BQ74" s="2500"/>
      <c r="BR74" s="2500"/>
      <c r="BS74" s="2500"/>
      <c r="BT74" s="2500"/>
      <c r="BU74" s="2500"/>
      <c r="BV74" s="2755"/>
    </row>
    <row r="75" spans="1:74" ht="42.75" customHeight="1" x14ac:dyDescent="0.2">
      <c r="A75" s="1200"/>
      <c r="C75" s="1201"/>
      <c r="D75" s="1202"/>
      <c r="F75" s="1202"/>
      <c r="G75" s="2728"/>
      <c r="H75" s="2680"/>
      <c r="I75" s="2544"/>
      <c r="J75" s="2680"/>
      <c r="K75" s="2544"/>
      <c r="L75" s="2680"/>
      <c r="M75" s="2544"/>
      <c r="N75" s="2680"/>
      <c r="O75" s="2544"/>
      <c r="P75" s="2544"/>
      <c r="Q75" s="2544"/>
      <c r="R75" s="2680"/>
      <c r="S75" s="2793"/>
      <c r="T75" s="2733"/>
      <c r="U75" s="2680"/>
      <c r="V75" s="2734"/>
      <c r="W75" s="709" t="s">
        <v>1763</v>
      </c>
      <c r="X75" s="1209">
        <v>500000</v>
      </c>
      <c r="Y75" s="1176">
        <v>500000</v>
      </c>
      <c r="Z75" s="1176">
        <v>500000</v>
      </c>
      <c r="AA75" s="1176">
        <v>500000</v>
      </c>
      <c r="AB75" s="1197" t="s">
        <v>1757</v>
      </c>
      <c r="AC75" s="978">
        <v>20</v>
      </c>
      <c r="AD75" s="684" t="s">
        <v>1635</v>
      </c>
      <c r="AE75" s="2500"/>
      <c r="AF75" s="2500"/>
      <c r="AG75" s="2500"/>
      <c r="AH75" s="2500"/>
      <c r="AI75" s="2500"/>
      <c r="AJ75" s="2500"/>
      <c r="AK75" s="2500"/>
      <c r="AL75" s="2500"/>
      <c r="AM75" s="2500"/>
      <c r="AN75" s="2500"/>
      <c r="AO75" s="2500"/>
      <c r="AP75" s="2500"/>
      <c r="AQ75" s="2500"/>
      <c r="AR75" s="2500"/>
      <c r="AS75" s="2500"/>
      <c r="AT75" s="2500"/>
      <c r="AU75" s="2500"/>
      <c r="AV75" s="2500"/>
      <c r="AW75" s="2500"/>
      <c r="AX75" s="2500"/>
      <c r="AY75" s="2500"/>
      <c r="AZ75" s="2500"/>
      <c r="BA75" s="2500"/>
      <c r="BB75" s="2500"/>
      <c r="BC75" s="2500"/>
      <c r="BD75" s="2500"/>
      <c r="BE75" s="2500"/>
      <c r="BF75" s="2500"/>
      <c r="BG75" s="2500"/>
      <c r="BH75" s="2500"/>
      <c r="BI75" s="2500"/>
      <c r="BJ75" s="2500"/>
      <c r="BK75" s="2500"/>
      <c r="BL75" s="2758"/>
      <c r="BM75" s="2758"/>
      <c r="BN75" s="2761"/>
      <c r="BO75" s="2500"/>
      <c r="BP75" s="2500"/>
      <c r="BQ75" s="2500"/>
      <c r="BR75" s="2500"/>
      <c r="BS75" s="2500"/>
      <c r="BT75" s="2500"/>
      <c r="BU75" s="2500"/>
      <c r="BV75" s="2755"/>
    </row>
    <row r="76" spans="1:74" ht="42.75" customHeight="1" x14ac:dyDescent="0.2">
      <c r="A76" s="1200"/>
      <c r="C76" s="1201"/>
      <c r="D76" s="1202"/>
      <c r="F76" s="1202"/>
      <c r="G76" s="2728"/>
      <c r="H76" s="2680"/>
      <c r="I76" s="2544"/>
      <c r="J76" s="2680"/>
      <c r="K76" s="2544"/>
      <c r="L76" s="2680"/>
      <c r="M76" s="2544"/>
      <c r="N76" s="2680"/>
      <c r="O76" s="2544"/>
      <c r="P76" s="2544"/>
      <c r="Q76" s="2544"/>
      <c r="R76" s="2680"/>
      <c r="S76" s="2793"/>
      <c r="T76" s="2733"/>
      <c r="U76" s="2680"/>
      <c r="V76" s="2734"/>
      <c r="W76" s="709" t="s">
        <v>1764</v>
      </c>
      <c r="X76" s="1209">
        <v>5500000</v>
      </c>
      <c r="Y76" s="1176">
        <v>5500000</v>
      </c>
      <c r="Z76" s="1176">
        <v>5500000</v>
      </c>
      <c r="AA76" s="1176">
        <v>5500000</v>
      </c>
      <c r="AB76" s="1197" t="s">
        <v>1757</v>
      </c>
      <c r="AC76" s="978">
        <v>20</v>
      </c>
      <c r="AD76" s="684" t="s">
        <v>1635</v>
      </c>
      <c r="AE76" s="2500"/>
      <c r="AF76" s="2500"/>
      <c r="AG76" s="2500"/>
      <c r="AH76" s="2500"/>
      <c r="AI76" s="2500"/>
      <c r="AJ76" s="2500"/>
      <c r="AK76" s="2500"/>
      <c r="AL76" s="2500"/>
      <c r="AM76" s="2500"/>
      <c r="AN76" s="2500"/>
      <c r="AO76" s="2500"/>
      <c r="AP76" s="2500"/>
      <c r="AQ76" s="2500"/>
      <c r="AR76" s="2500"/>
      <c r="AS76" s="2500"/>
      <c r="AT76" s="2500"/>
      <c r="AU76" s="2500"/>
      <c r="AV76" s="2500"/>
      <c r="AW76" s="2500"/>
      <c r="AX76" s="2500"/>
      <c r="AY76" s="2500"/>
      <c r="AZ76" s="2500"/>
      <c r="BA76" s="2500"/>
      <c r="BB76" s="2500"/>
      <c r="BC76" s="2500"/>
      <c r="BD76" s="2500"/>
      <c r="BE76" s="2500"/>
      <c r="BF76" s="2500"/>
      <c r="BG76" s="2500"/>
      <c r="BH76" s="2500"/>
      <c r="BI76" s="2500"/>
      <c r="BJ76" s="2500"/>
      <c r="BK76" s="2500"/>
      <c r="BL76" s="2758"/>
      <c r="BM76" s="2758"/>
      <c r="BN76" s="2761"/>
      <c r="BO76" s="2500"/>
      <c r="BP76" s="2500"/>
      <c r="BQ76" s="2500"/>
      <c r="BR76" s="2500"/>
      <c r="BS76" s="2500"/>
      <c r="BT76" s="2500"/>
      <c r="BU76" s="2500"/>
      <c r="BV76" s="2755"/>
    </row>
    <row r="77" spans="1:74" ht="42.75" customHeight="1" x14ac:dyDescent="0.2">
      <c r="A77" s="1200"/>
      <c r="C77" s="1201"/>
      <c r="D77" s="1202"/>
      <c r="F77" s="1202"/>
      <c r="G77" s="2728"/>
      <c r="H77" s="2680"/>
      <c r="I77" s="2544"/>
      <c r="J77" s="2680"/>
      <c r="K77" s="2544"/>
      <c r="L77" s="2680"/>
      <c r="M77" s="2544"/>
      <c r="N77" s="2680"/>
      <c r="O77" s="2544"/>
      <c r="P77" s="2544"/>
      <c r="Q77" s="2544"/>
      <c r="R77" s="2680"/>
      <c r="S77" s="2793"/>
      <c r="T77" s="2733"/>
      <c r="U77" s="2680"/>
      <c r="V77" s="2734"/>
      <c r="W77" s="709" t="s">
        <v>1765</v>
      </c>
      <c r="X77" s="1209">
        <v>2200000</v>
      </c>
      <c r="Y77" s="1176">
        <v>2200000</v>
      </c>
      <c r="Z77" s="1176">
        <v>2200000</v>
      </c>
      <c r="AA77" s="1176">
        <v>2200000</v>
      </c>
      <c r="AB77" s="1197" t="s">
        <v>1757</v>
      </c>
      <c r="AC77" s="978">
        <v>20</v>
      </c>
      <c r="AD77" s="684" t="s">
        <v>1635</v>
      </c>
      <c r="AE77" s="2500"/>
      <c r="AF77" s="2500"/>
      <c r="AG77" s="2500"/>
      <c r="AH77" s="2500"/>
      <c r="AI77" s="2500"/>
      <c r="AJ77" s="2500"/>
      <c r="AK77" s="2500"/>
      <c r="AL77" s="2500"/>
      <c r="AM77" s="2500"/>
      <c r="AN77" s="2500"/>
      <c r="AO77" s="2500"/>
      <c r="AP77" s="2500"/>
      <c r="AQ77" s="2500"/>
      <c r="AR77" s="2500"/>
      <c r="AS77" s="2500"/>
      <c r="AT77" s="2500"/>
      <c r="AU77" s="2500"/>
      <c r="AV77" s="2500"/>
      <c r="AW77" s="2500"/>
      <c r="AX77" s="2500"/>
      <c r="AY77" s="2500"/>
      <c r="AZ77" s="2500"/>
      <c r="BA77" s="2500"/>
      <c r="BB77" s="2500"/>
      <c r="BC77" s="2500"/>
      <c r="BD77" s="2500"/>
      <c r="BE77" s="2500"/>
      <c r="BF77" s="2500"/>
      <c r="BG77" s="2500"/>
      <c r="BH77" s="2500"/>
      <c r="BI77" s="2500"/>
      <c r="BJ77" s="2500"/>
      <c r="BK77" s="2500"/>
      <c r="BL77" s="2758"/>
      <c r="BM77" s="2758"/>
      <c r="BN77" s="2761"/>
      <c r="BO77" s="2500"/>
      <c r="BP77" s="2500"/>
      <c r="BQ77" s="2500"/>
      <c r="BR77" s="2500"/>
      <c r="BS77" s="2500"/>
      <c r="BT77" s="2500"/>
      <c r="BU77" s="2500"/>
      <c r="BV77" s="2755"/>
    </row>
    <row r="78" spans="1:74" ht="42.75" customHeight="1" x14ac:dyDescent="0.2">
      <c r="A78" s="1200"/>
      <c r="C78" s="1201"/>
      <c r="D78" s="1202"/>
      <c r="F78" s="1202"/>
      <c r="G78" s="2728"/>
      <c r="H78" s="2680"/>
      <c r="I78" s="2544"/>
      <c r="J78" s="2680"/>
      <c r="K78" s="2544"/>
      <c r="L78" s="2680"/>
      <c r="M78" s="2544"/>
      <c r="N78" s="2680"/>
      <c r="O78" s="2544"/>
      <c r="P78" s="2544"/>
      <c r="Q78" s="2544"/>
      <c r="R78" s="2680"/>
      <c r="S78" s="2793"/>
      <c r="T78" s="2733"/>
      <c r="U78" s="2680"/>
      <c r="V78" s="2734"/>
      <c r="W78" s="709" t="s">
        <v>1766</v>
      </c>
      <c r="X78" s="1209">
        <v>2700000</v>
      </c>
      <c r="Y78" s="1176">
        <v>2700000</v>
      </c>
      <c r="Z78" s="1176">
        <v>2700000</v>
      </c>
      <c r="AA78" s="1176">
        <v>2700000</v>
      </c>
      <c r="AB78" s="1197" t="s">
        <v>1757</v>
      </c>
      <c r="AC78" s="978">
        <v>20</v>
      </c>
      <c r="AD78" s="684" t="s">
        <v>1635</v>
      </c>
      <c r="AE78" s="2500"/>
      <c r="AF78" s="2500"/>
      <c r="AG78" s="2500"/>
      <c r="AH78" s="2500"/>
      <c r="AI78" s="2500"/>
      <c r="AJ78" s="2500"/>
      <c r="AK78" s="2500"/>
      <c r="AL78" s="2500"/>
      <c r="AM78" s="2500"/>
      <c r="AN78" s="2500"/>
      <c r="AO78" s="2500"/>
      <c r="AP78" s="2500"/>
      <c r="AQ78" s="2500"/>
      <c r="AR78" s="2500"/>
      <c r="AS78" s="2500"/>
      <c r="AT78" s="2500"/>
      <c r="AU78" s="2500"/>
      <c r="AV78" s="2500"/>
      <c r="AW78" s="2500"/>
      <c r="AX78" s="2500"/>
      <c r="AY78" s="2500"/>
      <c r="AZ78" s="2500"/>
      <c r="BA78" s="2500"/>
      <c r="BB78" s="2500"/>
      <c r="BC78" s="2500"/>
      <c r="BD78" s="2500"/>
      <c r="BE78" s="2500"/>
      <c r="BF78" s="2500"/>
      <c r="BG78" s="2500"/>
      <c r="BH78" s="2500"/>
      <c r="BI78" s="2500"/>
      <c r="BJ78" s="2500"/>
      <c r="BK78" s="2500"/>
      <c r="BL78" s="2758"/>
      <c r="BM78" s="2758"/>
      <c r="BN78" s="2761"/>
      <c r="BO78" s="2500"/>
      <c r="BP78" s="2500"/>
      <c r="BQ78" s="2500"/>
      <c r="BR78" s="2500"/>
      <c r="BS78" s="2500"/>
      <c r="BT78" s="2500"/>
      <c r="BU78" s="2500"/>
      <c r="BV78" s="2755"/>
    </row>
    <row r="79" spans="1:74" ht="42.75" customHeight="1" x14ac:dyDescent="0.2">
      <c r="A79" s="1200"/>
      <c r="C79" s="1201"/>
      <c r="D79" s="1202"/>
      <c r="F79" s="1202"/>
      <c r="G79" s="2728"/>
      <c r="H79" s="2680"/>
      <c r="I79" s="2544"/>
      <c r="J79" s="2680"/>
      <c r="K79" s="2544"/>
      <c r="L79" s="2680"/>
      <c r="M79" s="2544"/>
      <c r="N79" s="2680"/>
      <c r="O79" s="2544"/>
      <c r="P79" s="2544"/>
      <c r="Q79" s="2544"/>
      <c r="R79" s="2680"/>
      <c r="S79" s="2793"/>
      <c r="T79" s="2733"/>
      <c r="U79" s="2680"/>
      <c r="V79" s="2734"/>
      <c r="W79" s="709" t="s">
        <v>1767</v>
      </c>
      <c r="X79" s="1209">
        <v>2200000</v>
      </c>
      <c r="Y79" s="1176">
        <v>2200000</v>
      </c>
      <c r="Z79" s="1176">
        <v>2200000</v>
      </c>
      <c r="AA79" s="1176">
        <v>2200000</v>
      </c>
      <c r="AB79" s="1197" t="s">
        <v>1757</v>
      </c>
      <c r="AC79" s="978">
        <v>20</v>
      </c>
      <c r="AD79" s="684" t="s">
        <v>1635</v>
      </c>
      <c r="AE79" s="2500"/>
      <c r="AF79" s="2500"/>
      <c r="AG79" s="2500"/>
      <c r="AH79" s="2500"/>
      <c r="AI79" s="2500"/>
      <c r="AJ79" s="2500"/>
      <c r="AK79" s="2500"/>
      <c r="AL79" s="2500"/>
      <c r="AM79" s="2500"/>
      <c r="AN79" s="2500"/>
      <c r="AO79" s="2500"/>
      <c r="AP79" s="2500"/>
      <c r="AQ79" s="2500"/>
      <c r="AR79" s="2500"/>
      <c r="AS79" s="2500"/>
      <c r="AT79" s="2500"/>
      <c r="AU79" s="2500"/>
      <c r="AV79" s="2500"/>
      <c r="AW79" s="2500"/>
      <c r="AX79" s="2500"/>
      <c r="AY79" s="2500"/>
      <c r="AZ79" s="2500"/>
      <c r="BA79" s="2500"/>
      <c r="BB79" s="2500"/>
      <c r="BC79" s="2500"/>
      <c r="BD79" s="2500"/>
      <c r="BE79" s="2500"/>
      <c r="BF79" s="2500"/>
      <c r="BG79" s="2500"/>
      <c r="BH79" s="2500"/>
      <c r="BI79" s="2500"/>
      <c r="BJ79" s="2500"/>
      <c r="BK79" s="2500"/>
      <c r="BL79" s="2758"/>
      <c r="BM79" s="2758"/>
      <c r="BN79" s="2761"/>
      <c r="BO79" s="2500"/>
      <c r="BP79" s="2500"/>
      <c r="BQ79" s="2500"/>
      <c r="BR79" s="2500"/>
      <c r="BS79" s="2500"/>
      <c r="BT79" s="2500"/>
      <c r="BU79" s="2500"/>
      <c r="BV79" s="2755"/>
    </row>
    <row r="80" spans="1:74" ht="42.75" customHeight="1" x14ac:dyDescent="0.2">
      <c r="A80" s="1200"/>
      <c r="C80" s="1201"/>
      <c r="D80" s="1202"/>
      <c r="F80" s="1202"/>
      <c r="G80" s="2728"/>
      <c r="H80" s="2680"/>
      <c r="I80" s="2544"/>
      <c r="J80" s="2680"/>
      <c r="K80" s="2544"/>
      <c r="L80" s="2680"/>
      <c r="M80" s="2544"/>
      <c r="N80" s="2680"/>
      <c r="O80" s="2544"/>
      <c r="P80" s="2544"/>
      <c r="Q80" s="2544"/>
      <c r="R80" s="2680"/>
      <c r="S80" s="2793"/>
      <c r="T80" s="2733"/>
      <c r="U80" s="2680"/>
      <c r="V80" s="2734"/>
      <c r="W80" s="709" t="s">
        <v>1768</v>
      </c>
      <c r="X80" s="1209">
        <v>4400000</v>
      </c>
      <c r="Y80" s="1176">
        <v>4400000</v>
      </c>
      <c r="Z80" s="1176">
        <v>4400000</v>
      </c>
      <c r="AA80" s="1176">
        <v>4400000</v>
      </c>
      <c r="AB80" s="1197" t="s">
        <v>1757</v>
      </c>
      <c r="AC80" s="978">
        <v>20</v>
      </c>
      <c r="AD80" s="684" t="s">
        <v>1635</v>
      </c>
      <c r="AE80" s="2500"/>
      <c r="AF80" s="2500"/>
      <c r="AG80" s="2500"/>
      <c r="AH80" s="2500"/>
      <c r="AI80" s="2500"/>
      <c r="AJ80" s="2500"/>
      <c r="AK80" s="2500"/>
      <c r="AL80" s="2500"/>
      <c r="AM80" s="2500"/>
      <c r="AN80" s="2500"/>
      <c r="AO80" s="2500"/>
      <c r="AP80" s="2500"/>
      <c r="AQ80" s="2500"/>
      <c r="AR80" s="2500"/>
      <c r="AS80" s="2500"/>
      <c r="AT80" s="2500"/>
      <c r="AU80" s="2500"/>
      <c r="AV80" s="2500"/>
      <c r="AW80" s="2500"/>
      <c r="AX80" s="2500"/>
      <c r="AY80" s="2500"/>
      <c r="AZ80" s="2500"/>
      <c r="BA80" s="2500"/>
      <c r="BB80" s="2500"/>
      <c r="BC80" s="2500"/>
      <c r="BD80" s="2500"/>
      <c r="BE80" s="2500"/>
      <c r="BF80" s="2500"/>
      <c r="BG80" s="2500"/>
      <c r="BH80" s="2500"/>
      <c r="BI80" s="2500"/>
      <c r="BJ80" s="2500"/>
      <c r="BK80" s="2500"/>
      <c r="BL80" s="2758"/>
      <c r="BM80" s="2758"/>
      <c r="BN80" s="2761"/>
      <c r="BO80" s="2500"/>
      <c r="BP80" s="2500"/>
      <c r="BQ80" s="2500"/>
      <c r="BR80" s="2500"/>
      <c r="BS80" s="2500"/>
      <c r="BT80" s="2500"/>
      <c r="BU80" s="2500"/>
      <c r="BV80" s="2755"/>
    </row>
    <row r="81" spans="1:74" ht="42.75" customHeight="1" x14ac:dyDescent="0.2">
      <c r="A81" s="1200"/>
      <c r="C81" s="1201"/>
      <c r="D81" s="1202"/>
      <c r="F81" s="1202"/>
      <c r="G81" s="2728"/>
      <c r="H81" s="2680"/>
      <c r="I81" s="2544"/>
      <c r="J81" s="2680"/>
      <c r="K81" s="2544"/>
      <c r="L81" s="2680"/>
      <c r="M81" s="2544"/>
      <c r="N81" s="2680"/>
      <c r="O81" s="2544"/>
      <c r="P81" s="2544"/>
      <c r="Q81" s="2544"/>
      <c r="R81" s="2680"/>
      <c r="S81" s="2793"/>
      <c r="T81" s="2733"/>
      <c r="U81" s="2680"/>
      <c r="V81" s="2734"/>
      <c r="W81" s="709" t="s">
        <v>1769</v>
      </c>
      <c r="X81" s="1209">
        <v>2200000</v>
      </c>
      <c r="Y81" s="1176">
        <v>2200000</v>
      </c>
      <c r="Z81" s="1176">
        <v>2200000</v>
      </c>
      <c r="AA81" s="1176">
        <v>2200000</v>
      </c>
      <c r="AB81" s="1197" t="s">
        <v>1757</v>
      </c>
      <c r="AC81" s="978">
        <v>20</v>
      </c>
      <c r="AD81" s="684" t="s">
        <v>1635</v>
      </c>
      <c r="AE81" s="2500"/>
      <c r="AF81" s="2500"/>
      <c r="AG81" s="2500"/>
      <c r="AH81" s="2500"/>
      <c r="AI81" s="2500"/>
      <c r="AJ81" s="2500"/>
      <c r="AK81" s="2500"/>
      <c r="AL81" s="2500"/>
      <c r="AM81" s="2500"/>
      <c r="AN81" s="2500"/>
      <c r="AO81" s="2500"/>
      <c r="AP81" s="2500"/>
      <c r="AQ81" s="2500"/>
      <c r="AR81" s="2500"/>
      <c r="AS81" s="2500"/>
      <c r="AT81" s="2500"/>
      <c r="AU81" s="2500"/>
      <c r="AV81" s="2500"/>
      <c r="AW81" s="2500"/>
      <c r="AX81" s="2500"/>
      <c r="AY81" s="2500"/>
      <c r="AZ81" s="2500"/>
      <c r="BA81" s="2500"/>
      <c r="BB81" s="2500"/>
      <c r="BC81" s="2500"/>
      <c r="BD81" s="2500"/>
      <c r="BE81" s="2500"/>
      <c r="BF81" s="2500"/>
      <c r="BG81" s="2500"/>
      <c r="BH81" s="2500"/>
      <c r="BI81" s="2500"/>
      <c r="BJ81" s="2500"/>
      <c r="BK81" s="2500"/>
      <c r="BL81" s="2758"/>
      <c r="BM81" s="2758"/>
      <c r="BN81" s="2761"/>
      <c r="BO81" s="2500"/>
      <c r="BP81" s="2500"/>
      <c r="BQ81" s="2500"/>
      <c r="BR81" s="2500"/>
      <c r="BS81" s="2500"/>
      <c r="BT81" s="2500"/>
      <c r="BU81" s="2500"/>
      <c r="BV81" s="2755"/>
    </row>
    <row r="82" spans="1:74" ht="42.75" customHeight="1" x14ac:dyDescent="0.2">
      <c r="A82" s="1200"/>
      <c r="C82" s="1201"/>
      <c r="D82" s="1202"/>
      <c r="F82" s="1202"/>
      <c r="G82" s="2728"/>
      <c r="H82" s="2680"/>
      <c r="I82" s="2544"/>
      <c r="J82" s="2680"/>
      <c r="K82" s="2544"/>
      <c r="L82" s="2680"/>
      <c r="M82" s="2544"/>
      <c r="N82" s="2680"/>
      <c r="O82" s="2544"/>
      <c r="P82" s="2544"/>
      <c r="Q82" s="2544"/>
      <c r="R82" s="2680"/>
      <c r="S82" s="2793"/>
      <c r="T82" s="2733"/>
      <c r="U82" s="2680"/>
      <c r="V82" s="2734"/>
      <c r="W82" s="709" t="s">
        <v>1770</v>
      </c>
      <c r="X82" s="1209">
        <v>2200000</v>
      </c>
      <c r="Y82" s="1176">
        <v>2200000</v>
      </c>
      <c r="Z82" s="1176">
        <v>2200000</v>
      </c>
      <c r="AA82" s="1176">
        <v>2200000</v>
      </c>
      <c r="AB82" s="1197" t="s">
        <v>1757</v>
      </c>
      <c r="AC82" s="978">
        <v>20</v>
      </c>
      <c r="AD82" s="684" t="s">
        <v>1635</v>
      </c>
      <c r="AE82" s="2500"/>
      <c r="AF82" s="2500"/>
      <c r="AG82" s="2500"/>
      <c r="AH82" s="2500"/>
      <c r="AI82" s="2500"/>
      <c r="AJ82" s="2500"/>
      <c r="AK82" s="2500"/>
      <c r="AL82" s="2500"/>
      <c r="AM82" s="2500"/>
      <c r="AN82" s="2500"/>
      <c r="AO82" s="2500"/>
      <c r="AP82" s="2500"/>
      <c r="AQ82" s="2500"/>
      <c r="AR82" s="2500"/>
      <c r="AS82" s="2500"/>
      <c r="AT82" s="2500"/>
      <c r="AU82" s="2500"/>
      <c r="AV82" s="2500"/>
      <c r="AW82" s="2500"/>
      <c r="AX82" s="2500"/>
      <c r="AY82" s="2500"/>
      <c r="AZ82" s="2500"/>
      <c r="BA82" s="2500"/>
      <c r="BB82" s="2500"/>
      <c r="BC82" s="2500"/>
      <c r="BD82" s="2500"/>
      <c r="BE82" s="2500"/>
      <c r="BF82" s="2500"/>
      <c r="BG82" s="2500"/>
      <c r="BH82" s="2500"/>
      <c r="BI82" s="2500"/>
      <c r="BJ82" s="2500"/>
      <c r="BK82" s="2500"/>
      <c r="BL82" s="2758"/>
      <c r="BM82" s="2758"/>
      <c r="BN82" s="2761"/>
      <c r="BO82" s="2500"/>
      <c r="BP82" s="2500"/>
      <c r="BQ82" s="2500"/>
      <c r="BR82" s="2500"/>
      <c r="BS82" s="2500"/>
      <c r="BT82" s="2500"/>
      <c r="BU82" s="2500"/>
      <c r="BV82" s="2755"/>
    </row>
    <row r="83" spans="1:74" ht="42.75" customHeight="1" x14ac:dyDescent="0.2">
      <c r="A83" s="1200"/>
      <c r="C83" s="1201"/>
      <c r="D83" s="1202"/>
      <c r="F83" s="1202"/>
      <c r="G83" s="2728"/>
      <c r="H83" s="2680"/>
      <c r="I83" s="2544"/>
      <c r="J83" s="2680"/>
      <c r="K83" s="2544"/>
      <c r="L83" s="2680"/>
      <c r="M83" s="2544"/>
      <c r="N83" s="2680"/>
      <c r="O83" s="2544"/>
      <c r="P83" s="2544"/>
      <c r="Q83" s="2544"/>
      <c r="R83" s="2680"/>
      <c r="S83" s="2793"/>
      <c r="T83" s="2733"/>
      <c r="U83" s="2680"/>
      <c r="V83" s="2734"/>
      <c r="W83" s="709" t="s">
        <v>1771</v>
      </c>
      <c r="X83" s="1209">
        <v>2200000</v>
      </c>
      <c r="Y83" s="1176">
        <v>2200000</v>
      </c>
      <c r="Z83" s="1176">
        <v>2200000</v>
      </c>
      <c r="AA83" s="1176">
        <v>2200000</v>
      </c>
      <c r="AB83" s="1197" t="s">
        <v>1757</v>
      </c>
      <c r="AC83" s="978">
        <v>20</v>
      </c>
      <c r="AD83" s="684" t="s">
        <v>1635</v>
      </c>
      <c r="AE83" s="2500"/>
      <c r="AF83" s="2500"/>
      <c r="AG83" s="2500"/>
      <c r="AH83" s="2500"/>
      <c r="AI83" s="2500"/>
      <c r="AJ83" s="2500"/>
      <c r="AK83" s="2500"/>
      <c r="AL83" s="2500"/>
      <c r="AM83" s="2500"/>
      <c r="AN83" s="2500"/>
      <c r="AO83" s="2500"/>
      <c r="AP83" s="2500"/>
      <c r="AQ83" s="2500"/>
      <c r="AR83" s="2500"/>
      <c r="AS83" s="2500"/>
      <c r="AT83" s="2500"/>
      <c r="AU83" s="2500"/>
      <c r="AV83" s="2500"/>
      <c r="AW83" s="2500"/>
      <c r="AX83" s="2500"/>
      <c r="AY83" s="2500"/>
      <c r="AZ83" s="2500"/>
      <c r="BA83" s="2500"/>
      <c r="BB83" s="2500"/>
      <c r="BC83" s="2500"/>
      <c r="BD83" s="2500"/>
      <c r="BE83" s="2500"/>
      <c r="BF83" s="2500"/>
      <c r="BG83" s="2500"/>
      <c r="BH83" s="2500"/>
      <c r="BI83" s="2500"/>
      <c r="BJ83" s="2500"/>
      <c r="BK83" s="2500"/>
      <c r="BL83" s="2758"/>
      <c r="BM83" s="2758"/>
      <c r="BN83" s="2761"/>
      <c r="BO83" s="2500"/>
      <c r="BP83" s="2500"/>
      <c r="BQ83" s="2500"/>
      <c r="BR83" s="2500"/>
      <c r="BS83" s="2500"/>
      <c r="BT83" s="2500"/>
      <c r="BU83" s="2500"/>
      <c r="BV83" s="2755"/>
    </row>
    <row r="84" spans="1:74" ht="42.75" customHeight="1" x14ac:dyDescent="0.2">
      <c r="A84" s="1200"/>
      <c r="C84" s="1201"/>
      <c r="D84" s="1202"/>
      <c r="F84" s="1202"/>
      <c r="G84" s="2728"/>
      <c r="H84" s="2680"/>
      <c r="I84" s="2544"/>
      <c r="J84" s="2680"/>
      <c r="K84" s="2544"/>
      <c r="L84" s="2680"/>
      <c r="M84" s="2544"/>
      <c r="N84" s="2680"/>
      <c r="O84" s="2544"/>
      <c r="P84" s="2544"/>
      <c r="Q84" s="2544"/>
      <c r="R84" s="2680"/>
      <c r="S84" s="2793"/>
      <c r="T84" s="2733"/>
      <c r="U84" s="2680"/>
      <c r="V84" s="2734"/>
      <c r="W84" s="709" t="s">
        <v>1772</v>
      </c>
      <c r="X84" s="1209">
        <v>5500000</v>
      </c>
      <c r="Y84" s="1176">
        <v>5500000</v>
      </c>
      <c r="Z84" s="1176">
        <v>5500000</v>
      </c>
      <c r="AA84" s="1176">
        <v>5500000</v>
      </c>
      <c r="AB84" s="1197" t="s">
        <v>1757</v>
      </c>
      <c r="AC84" s="978">
        <v>20</v>
      </c>
      <c r="AD84" s="684" t="s">
        <v>1635</v>
      </c>
      <c r="AE84" s="2500"/>
      <c r="AF84" s="2500"/>
      <c r="AG84" s="2500"/>
      <c r="AH84" s="2500"/>
      <c r="AI84" s="2500"/>
      <c r="AJ84" s="2500"/>
      <c r="AK84" s="2500"/>
      <c r="AL84" s="2500"/>
      <c r="AM84" s="2500"/>
      <c r="AN84" s="2500"/>
      <c r="AO84" s="2500"/>
      <c r="AP84" s="2500"/>
      <c r="AQ84" s="2500"/>
      <c r="AR84" s="2500"/>
      <c r="AS84" s="2500"/>
      <c r="AT84" s="2500"/>
      <c r="AU84" s="2500"/>
      <c r="AV84" s="2500"/>
      <c r="AW84" s="2500"/>
      <c r="AX84" s="2500"/>
      <c r="AY84" s="2500"/>
      <c r="AZ84" s="2500"/>
      <c r="BA84" s="2500"/>
      <c r="BB84" s="2500"/>
      <c r="BC84" s="2500"/>
      <c r="BD84" s="2500"/>
      <c r="BE84" s="2500"/>
      <c r="BF84" s="2500"/>
      <c r="BG84" s="2500"/>
      <c r="BH84" s="2500"/>
      <c r="BI84" s="2500"/>
      <c r="BJ84" s="2500"/>
      <c r="BK84" s="2500"/>
      <c r="BL84" s="2758"/>
      <c r="BM84" s="2758"/>
      <c r="BN84" s="2761"/>
      <c r="BO84" s="2500"/>
      <c r="BP84" s="2500"/>
      <c r="BQ84" s="2500"/>
      <c r="BR84" s="2500"/>
      <c r="BS84" s="2500"/>
      <c r="BT84" s="2500"/>
      <c r="BU84" s="2500"/>
      <c r="BV84" s="2755"/>
    </row>
    <row r="85" spans="1:74" ht="42.75" customHeight="1" x14ac:dyDescent="0.2">
      <c r="A85" s="1200"/>
      <c r="C85" s="1201"/>
      <c r="D85" s="1202"/>
      <c r="F85" s="1202"/>
      <c r="G85" s="2728"/>
      <c r="H85" s="2680"/>
      <c r="I85" s="2544"/>
      <c r="J85" s="2680"/>
      <c r="K85" s="2544"/>
      <c r="L85" s="2680"/>
      <c r="M85" s="2544"/>
      <c r="N85" s="2680"/>
      <c r="O85" s="2544"/>
      <c r="P85" s="2544"/>
      <c r="Q85" s="2544"/>
      <c r="R85" s="2680"/>
      <c r="S85" s="2793"/>
      <c r="T85" s="2733"/>
      <c r="U85" s="2680"/>
      <c r="V85" s="2734"/>
      <c r="W85" s="709" t="s">
        <v>1773</v>
      </c>
      <c r="X85" s="1209">
        <v>4400000</v>
      </c>
      <c r="Y85" s="1176">
        <v>4400000</v>
      </c>
      <c r="Z85" s="1176">
        <v>4400000</v>
      </c>
      <c r="AA85" s="1176">
        <v>4400000</v>
      </c>
      <c r="AB85" s="1197" t="s">
        <v>1757</v>
      </c>
      <c r="AC85" s="978">
        <v>20</v>
      </c>
      <c r="AD85" s="684" t="s">
        <v>1635</v>
      </c>
      <c r="AE85" s="2500"/>
      <c r="AF85" s="2500"/>
      <c r="AG85" s="2500"/>
      <c r="AH85" s="2500"/>
      <c r="AI85" s="2500"/>
      <c r="AJ85" s="2500"/>
      <c r="AK85" s="2500"/>
      <c r="AL85" s="2500"/>
      <c r="AM85" s="2500"/>
      <c r="AN85" s="2500"/>
      <c r="AO85" s="2500"/>
      <c r="AP85" s="2500"/>
      <c r="AQ85" s="2500"/>
      <c r="AR85" s="2500"/>
      <c r="AS85" s="2500"/>
      <c r="AT85" s="2500"/>
      <c r="AU85" s="2500"/>
      <c r="AV85" s="2500"/>
      <c r="AW85" s="2500"/>
      <c r="AX85" s="2500"/>
      <c r="AY85" s="2500"/>
      <c r="AZ85" s="2500"/>
      <c r="BA85" s="2500"/>
      <c r="BB85" s="2500"/>
      <c r="BC85" s="2500"/>
      <c r="BD85" s="2500"/>
      <c r="BE85" s="2500"/>
      <c r="BF85" s="2500"/>
      <c r="BG85" s="2500"/>
      <c r="BH85" s="2500"/>
      <c r="BI85" s="2500"/>
      <c r="BJ85" s="2500"/>
      <c r="BK85" s="2500"/>
      <c r="BL85" s="2758"/>
      <c r="BM85" s="2758"/>
      <c r="BN85" s="2761"/>
      <c r="BO85" s="2500"/>
      <c r="BP85" s="2500"/>
      <c r="BQ85" s="2500"/>
      <c r="BR85" s="2500"/>
      <c r="BS85" s="2500"/>
      <c r="BT85" s="2500"/>
      <c r="BU85" s="2500"/>
      <c r="BV85" s="2755"/>
    </row>
    <row r="86" spans="1:74" ht="42.75" customHeight="1" x14ac:dyDescent="0.2">
      <c r="A86" s="1200"/>
      <c r="C86" s="1201"/>
      <c r="D86" s="1202"/>
      <c r="F86" s="1202"/>
      <c r="G86" s="2728"/>
      <c r="H86" s="2680"/>
      <c r="I86" s="2544"/>
      <c r="J86" s="2680"/>
      <c r="K86" s="2544"/>
      <c r="L86" s="2680"/>
      <c r="M86" s="2544"/>
      <c r="N86" s="2680"/>
      <c r="O86" s="2544"/>
      <c r="P86" s="2544"/>
      <c r="Q86" s="2544"/>
      <c r="R86" s="2680"/>
      <c r="S86" s="2793"/>
      <c r="T86" s="2733"/>
      <c r="U86" s="2680"/>
      <c r="V86" s="2734"/>
      <c r="W86" s="709" t="s">
        <v>1774</v>
      </c>
      <c r="X86" s="1209">
        <v>4400000</v>
      </c>
      <c r="Y86" s="1176">
        <v>4400000</v>
      </c>
      <c r="Z86" s="1176">
        <v>4400000</v>
      </c>
      <c r="AA86" s="1176">
        <v>4400000</v>
      </c>
      <c r="AB86" s="1197" t="s">
        <v>1757</v>
      </c>
      <c r="AC86" s="978">
        <v>20</v>
      </c>
      <c r="AD86" s="684" t="s">
        <v>1635</v>
      </c>
      <c r="AE86" s="2500"/>
      <c r="AF86" s="2500"/>
      <c r="AG86" s="2500"/>
      <c r="AH86" s="2500"/>
      <c r="AI86" s="2500"/>
      <c r="AJ86" s="2500"/>
      <c r="AK86" s="2500"/>
      <c r="AL86" s="2500"/>
      <c r="AM86" s="2500"/>
      <c r="AN86" s="2500"/>
      <c r="AO86" s="2500"/>
      <c r="AP86" s="2500"/>
      <c r="AQ86" s="2500"/>
      <c r="AR86" s="2500"/>
      <c r="AS86" s="2500"/>
      <c r="AT86" s="2500"/>
      <c r="AU86" s="2500"/>
      <c r="AV86" s="2500"/>
      <c r="AW86" s="2500"/>
      <c r="AX86" s="2500"/>
      <c r="AY86" s="2500"/>
      <c r="AZ86" s="2500"/>
      <c r="BA86" s="2500"/>
      <c r="BB86" s="2500"/>
      <c r="BC86" s="2500"/>
      <c r="BD86" s="2500"/>
      <c r="BE86" s="2500"/>
      <c r="BF86" s="2500"/>
      <c r="BG86" s="2500"/>
      <c r="BH86" s="2500"/>
      <c r="BI86" s="2500"/>
      <c r="BJ86" s="2500"/>
      <c r="BK86" s="2500"/>
      <c r="BL86" s="2758"/>
      <c r="BM86" s="2758"/>
      <c r="BN86" s="2761"/>
      <c r="BO86" s="2500"/>
      <c r="BP86" s="2500"/>
      <c r="BQ86" s="2500"/>
      <c r="BR86" s="2500"/>
      <c r="BS86" s="2500"/>
      <c r="BT86" s="2500"/>
      <c r="BU86" s="2500"/>
      <c r="BV86" s="2755"/>
    </row>
    <row r="87" spans="1:74" ht="42.75" customHeight="1" x14ac:dyDescent="0.2">
      <c r="A87" s="1200"/>
      <c r="C87" s="1201"/>
      <c r="D87" s="1202"/>
      <c r="F87" s="1202"/>
      <c r="G87" s="2728"/>
      <c r="H87" s="2680"/>
      <c r="I87" s="2544"/>
      <c r="J87" s="2680"/>
      <c r="K87" s="2544"/>
      <c r="L87" s="2680"/>
      <c r="M87" s="2544"/>
      <c r="N87" s="2680"/>
      <c r="O87" s="2544"/>
      <c r="P87" s="2544"/>
      <c r="Q87" s="2544"/>
      <c r="R87" s="2680"/>
      <c r="S87" s="2793"/>
      <c r="T87" s="2733"/>
      <c r="U87" s="2680"/>
      <c r="V87" s="2734"/>
      <c r="W87" s="709" t="s">
        <v>1775</v>
      </c>
      <c r="X87" s="1209">
        <v>4400000</v>
      </c>
      <c r="Y87" s="1176">
        <v>4400000</v>
      </c>
      <c r="Z87" s="1176">
        <v>4400000</v>
      </c>
      <c r="AA87" s="1176">
        <v>4400000</v>
      </c>
      <c r="AB87" s="1197" t="s">
        <v>1757</v>
      </c>
      <c r="AC87" s="978">
        <v>20</v>
      </c>
      <c r="AD87" s="684" t="s">
        <v>1635</v>
      </c>
      <c r="AE87" s="2500"/>
      <c r="AF87" s="2500"/>
      <c r="AG87" s="2500"/>
      <c r="AH87" s="2500"/>
      <c r="AI87" s="2500"/>
      <c r="AJ87" s="2500"/>
      <c r="AK87" s="2500"/>
      <c r="AL87" s="2500"/>
      <c r="AM87" s="2500"/>
      <c r="AN87" s="2500"/>
      <c r="AO87" s="2500"/>
      <c r="AP87" s="2500"/>
      <c r="AQ87" s="2500"/>
      <c r="AR87" s="2500"/>
      <c r="AS87" s="2500"/>
      <c r="AT87" s="2500"/>
      <c r="AU87" s="2500"/>
      <c r="AV87" s="2500"/>
      <c r="AW87" s="2500"/>
      <c r="AX87" s="2500"/>
      <c r="AY87" s="2500"/>
      <c r="AZ87" s="2500"/>
      <c r="BA87" s="2500"/>
      <c r="BB87" s="2500"/>
      <c r="BC87" s="2500"/>
      <c r="BD87" s="2500"/>
      <c r="BE87" s="2500"/>
      <c r="BF87" s="2500"/>
      <c r="BG87" s="2500"/>
      <c r="BH87" s="2500"/>
      <c r="BI87" s="2500"/>
      <c r="BJ87" s="2500"/>
      <c r="BK87" s="2500"/>
      <c r="BL87" s="2758"/>
      <c r="BM87" s="2758"/>
      <c r="BN87" s="2761"/>
      <c r="BO87" s="2500"/>
      <c r="BP87" s="2500"/>
      <c r="BQ87" s="2500"/>
      <c r="BR87" s="2500"/>
      <c r="BS87" s="2500"/>
      <c r="BT87" s="2500"/>
      <c r="BU87" s="2500"/>
      <c r="BV87" s="2755"/>
    </row>
    <row r="88" spans="1:74" ht="42.75" customHeight="1" x14ac:dyDescent="0.2">
      <c r="A88" s="1200"/>
      <c r="C88" s="1201"/>
      <c r="D88" s="1202"/>
      <c r="F88" s="1202"/>
      <c r="G88" s="2728"/>
      <c r="H88" s="2680"/>
      <c r="I88" s="2544"/>
      <c r="J88" s="2680"/>
      <c r="K88" s="2544"/>
      <c r="L88" s="2680"/>
      <c r="M88" s="2544"/>
      <c r="N88" s="2680"/>
      <c r="O88" s="2544"/>
      <c r="P88" s="2544"/>
      <c r="Q88" s="2544"/>
      <c r="R88" s="2680"/>
      <c r="S88" s="2793"/>
      <c r="T88" s="2733"/>
      <c r="U88" s="2680"/>
      <c r="V88" s="2734"/>
      <c r="W88" s="709" t="s">
        <v>1776</v>
      </c>
      <c r="X88" s="1209">
        <v>4400000</v>
      </c>
      <c r="Y88" s="1176">
        <v>4400000</v>
      </c>
      <c r="Z88" s="1176">
        <v>4400000</v>
      </c>
      <c r="AA88" s="1176">
        <v>4400000</v>
      </c>
      <c r="AB88" s="1197" t="s">
        <v>1757</v>
      </c>
      <c r="AC88" s="978">
        <v>20</v>
      </c>
      <c r="AD88" s="684" t="s">
        <v>1635</v>
      </c>
      <c r="AE88" s="2500"/>
      <c r="AF88" s="2500"/>
      <c r="AG88" s="2500"/>
      <c r="AH88" s="2500"/>
      <c r="AI88" s="2500"/>
      <c r="AJ88" s="2500"/>
      <c r="AK88" s="2500"/>
      <c r="AL88" s="2500"/>
      <c r="AM88" s="2500"/>
      <c r="AN88" s="2500"/>
      <c r="AO88" s="2500"/>
      <c r="AP88" s="2500"/>
      <c r="AQ88" s="2500"/>
      <c r="AR88" s="2500"/>
      <c r="AS88" s="2500"/>
      <c r="AT88" s="2500"/>
      <c r="AU88" s="2500"/>
      <c r="AV88" s="2500"/>
      <c r="AW88" s="2500"/>
      <c r="AX88" s="2500"/>
      <c r="AY88" s="2500"/>
      <c r="AZ88" s="2500"/>
      <c r="BA88" s="2500"/>
      <c r="BB88" s="2500"/>
      <c r="BC88" s="2500"/>
      <c r="BD88" s="2500"/>
      <c r="BE88" s="2500"/>
      <c r="BF88" s="2500"/>
      <c r="BG88" s="2500"/>
      <c r="BH88" s="2500"/>
      <c r="BI88" s="2500"/>
      <c r="BJ88" s="2500"/>
      <c r="BK88" s="2500"/>
      <c r="BL88" s="2758"/>
      <c r="BM88" s="2758"/>
      <c r="BN88" s="2761"/>
      <c r="BO88" s="2500"/>
      <c r="BP88" s="2500"/>
      <c r="BQ88" s="2500"/>
      <c r="BR88" s="2500"/>
      <c r="BS88" s="2500"/>
      <c r="BT88" s="2500"/>
      <c r="BU88" s="2500"/>
      <c r="BV88" s="2755"/>
    </row>
    <row r="89" spans="1:74" ht="42.75" customHeight="1" x14ac:dyDescent="0.2">
      <c r="A89" s="1200"/>
      <c r="C89" s="1201"/>
      <c r="D89" s="1202"/>
      <c r="F89" s="1202"/>
      <c r="G89" s="2728"/>
      <c r="H89" s="2680"/>
      <c r="I89" s="2544"/>
      <c r="J89" s="2680"/>
      <c r="K89" s="2544"/>
      <c r="L89" s="2680"/>
      <c r="M89" s="2544"/>
      <c r="N89" s="2680"/>
      <c r="O89" s="2544"/>
      <c r="P89" s="2544"/>
      <c r="Q89" s="2544"/>
      <c r="R89" s="2680"/>
      <c r="S89" s="2793"/>
      <c r="T89" s="2733"/>
      <c r="U89" s="2680"/>
      <c r="V89" s="2734"/>
      <c r="W89" s="709" t="s">
        <v>1777</v>
      </c>
      <c r="X89" s="1209">
        <v>2200000</v>
      </c>
      <c r="Y89" s="1176">
        <v>2200000</v>
      </c>
      <c r="Z89" s="1176">
        <v>2200000</v>
      </c>
      <c r="AA89" s="1176">
        <v>2200000</v>
      </c>
      <c r="AB89" s="1197" t="s">
        <v>1757</v>
      </c>
      <c r="AC89" s="978">
        <v>20</v>
      </c>
      <c r="AD89" s="684" t="s">
        <v>1635</v>
      </c>
      <c r="AE89" s="2500"/>
      <c r="AF89" s="2500"/>
      <c r="AG89" s="2500"/>
      <c r="AH89" s="2500"/>
      <c r="AI89" s="2500"/>
      <c r="AJ89" s="2500"/>
      <c r="AK89" s="2500"/>
      <c r="AL89" s="2500"/>
      <c r="AM89" s="2500"/>
      <c r="AN89" s="2500"/>
      <c r="AO89" s="2500"/>
      <c r="AP89" s="2500"/>
      <c r="AQ89" s="2500"/>
      <c r="AR89" s="2500"/>
      <c r="AS89" s="2500"/>
      <c r="AT89" s="2500"/>
      <c r="AU89" s="2500"/>
      <c r="AV89" s="2500"/>
      <c r="AW89" s="2500"/>
      <c r="AX89" s="2500"/>
      <c r="AY89" s="2500"/>
      <c r="AZ89" s="2500"/>
      <c r="BA89" s="2500"/>
      <c r="BB89" s="2500"/>
      <c r="BC89" s="2500"/>
      <c r="BD89" s="2500"/>
      <c r="BE89" s="2500"/>
      <c r="BF89" s="2500"/>
      <c r="BG89" s="2500"/>
      <c r="BH89" s="2500"/>
      <c r="BI89" s="2500"/>
      <c r="BJ89" s="2500"/>
      <c r="BK89" s="2500"/>
      <c r="BL89" s="2758"/>
      <c r="BM89" s="2758"/>
      <c r="BN89" s="2761"/>
      <c r="BO89" s="2500"/>
      <c r="BP89" s="2500"/>
      <c r="BQ89" s="2500"/>
      <c r="BR89" s="2500"/>
      <c r="BS89" s="2500"/>
      <c r="BT89" s="2500"/>
      <c r="BU89" s="2500"/>
      <c r="BV89" s="2755"/>
    </row>
    <row r="90" spans="1:74" ht="42.75" customHeight="1" x14ac:dyDescent="0.2">
      <c r="A90" s="1200"/>
      <c r="C90" s="1201"/>
      <c r="D90" s="1202"/>
      <c r="F90" s="1202"/>
      <c r="G90" s="2728"/>
      <c r="H90" s="2680"/>
      <c r="I90" s="2544"/>
      <c r="J90" s="2680"/>
      <c r="K90" s="2544"/>
      <c r="L90" s="2680"/>
      <c r="M90" s="2544"/>
      <c r="N90" s="2680"/>
      <c r="O90" s="2544"/>
      <c r="P90" s="2544"/>
      <c r="Q90" s="2544"/>
      <c r="R90" s="2680"/>
      <c r="S90" s="2793"/>
      <c r="T90" s="2733"/>
      <c r="U90" s="2680"/>
      <c r="V90" s="2734"/>
      <c r="W90" s="709" t="s">
        <v>1778</v>
      </c>
      <c r="X90" s="1209">
        <v>3300000</v>
      </c>
      <c r="Y90" s="1176">
        <v>3300000</v>
      </c>
      <c r="Z90" s="1176">
        <v>3300000</v>
      </c>
      <c r="AA90" s="1176">
        <v>3300000</v>
      </c>
      <c r="AB90" s="1197" t="s">
        <v>1757</v>
      </c>
      <c r="AC90" s="978">
        <v>20</v>
      </c>
      <c r="AD90" s="684" t="s">
        <v>1635</v>
      </c>
      <c r="AE90" s="2500"/>
      <c r="AF90" s="2500"/>
      <c r="AG90" s="2500"/>
      <c r="AH90" s="2500"/>
      <c r="AI90" s="2500"/>
      <c r="AJ90" s="2500"/>
      <c r="AK90" s="2500"/>
      <c r="AL90" s="2500"/>
      <c r="AM90" s="2500"/>
      <c r="AN90" s="2500"/>
      <c r="AO90" s="2500"/>
      <c r="AP90" s="2500"/>
      <c r="AQ90" s="2500"/>
      <c r="AR90" s="2500"/>
      <c r="AS90" s="2500"/>
      <c r="AT90" s="2500"/>
      <c r="AU90" s="2500"/>
      <c r="AV90" s="2500"/>
      <c r="AW90" s="2500"/>
      <c r="AX90" s="2500"/>
      <c r="AY90" s="2500"/>
      <c r="AZ90" s="2500"/>
      <c r="BA90" s="2500"/>
      <c r="BB90" s="2500"/>
      <c r="BC90" s="2500"/>
      <c r="BD90" s="2500"/>
      <c r="BE90" s="2500"/>
      <c r="BF90" s="2500"/>
      <c r="BG90" s="2500"/>
      <c r="BH90" s="2500"/>
      <c r="BI90" s="2500"/>
      <c r="BJ90" s="2500"/>
      <c r="BK90" s="2500"/>
      <c r="BL90" s="2758"/>
      <c r="BM90" s="2758"/>
      <c r="BN90" s="2761"/>
      <c r="BO90" s="2500"/>
      <c r="BP90" s="2500"/>
      <c r="BQ90" s="2500"/>
      <c r="BR90" s="2500"/>
      <c r="BS90" s="2500"/>
      <c r="BT90" s="2500"/>
      <c r="BU90" s="2500"/>
      <c r="BV90" s="2755"/>
    </row>
    <row r="91" spans="1:74" ht="42.75" customHeight="1" x14ac:dyDescent="0.2">
      <c r="A91" s="1200"/>
      <c r="C91" s="1201"/>
      <c r="D91" s="1202"/>
      <c r="F91" s="1202"/>
      <c r="G91" s="2728"/>
      <c r="H91" s="2680"/>
      <c r="I91" s="2544"/>
      <c r="J91" s="2680"/>
      <c r="K91" s="2544"/>
      <c r="L91" s="2680"/>
      <c r="M91" s="2544"/>
      <c r="N91" s="2680"/>
      <c r="O91" s="2544"/>
      <c r="P91" s="2544"/>
      <c r="Q91" s="2544"/>
      <c r="R91" s="2680"/>
      <c r="S91" s="2793"/>
      <c r="T91" s="2733"/>
      <c r="U91" s="2680"/>
      <c r="V91" s="2734"/>
      <c r="W91" s="709" t="s">
        <v>1779</v>
      </c>
      <c r="X91" s="1209">
        <v>2200000</v>
      </c>
      <c r="Y91" s="1176">
        <v>2200000</v>
      </c>
      <c r="Z91" s="1176">
        <v>2200000</v>
      </c>
      <c r="AA91" s="1176">
        <v>2200000</v>
      </c>
      <c r="AB91" s="1197" t="s">
        <v>1757</v>
      </c>
      <c r="AC91" s="978">
        <v>20</v>
      </c>
      <c r="AD91" s="684" t="s">
        <v>1635</v>
      </c>
      <c r="AE91" s="2500"/>
      <c r="AF91" s="2500"/>
      <c r="AG91" s="2500"/>
      <c r="AH91" s="2500"/>
      <c r="AI91" s="2500"/>
      <c r="AJ91" s="2500"/>
      <c r="AK91" s="2500"/>
      <c r="AL91" s="2500"/>
      <c r="AM91" s="2500"/>
      <c r="AN91" s="2500"/>
      <c r="AO91" s="2500"/>
      <c r="AP91" s="2500"/>
      <c r="AQ91" s="2500"/>
      <c r="AR91" s="2500"/>
      <c r="AS91" s="2500"/>
      <c r="AT91" s="2500"/>
      <c r="AU91" s="2500"/>
      <c r="AV91" s="2500"/>
      <c r="AW91" s="2500"/>
      <c r="AX91" s="2500"/>
      <c r="AY91" s="2500"/>
      <c r="AZ91" s="2500"/>
      <c r="BA91" s="2500"/>
      <c r="BB91" s="2500"/>
      <c r="BC91" s="2500"/>
      <c r="BD91" s="2500"/>
      <c r="BE91" s="2500"/>
      <c r="BF91" s="2500"/>
      <c r="BG91" s="2500"/>
      <c r="BH91" s="2500"/>
      <c r="BI91" s="2500"/>
      <c r="BJ91" s="2500"/>
      <c r="BK91" s="2500"/>
      <c r="BL91" s="2758"/>
      <c r="BM91" s="2758"/>
      <c r="BN91" s="2761"/>
      <c r="BO91" s="2500"/>
      <c r="BP91" s="2500"/>
      <c r="BQ91" s="2500"/>
      <c r="BR91" s="2500"/>
      <c r="BS91" s="2500"/>
      <c r="BT91" s="2500"/>
      <c r="BU91" s="2500"/>
      <c r="BV91" s="2755"/>
    </row>
    <row r="92" spans="1:74" ht="42.75" customHeight="1" x14ac:dyDescent="0.2">
      <c r="A92" s="1200"/>
      <c r="C92" s="1201"/>
      <c r="D92" s="1202"/>
      <c r="F92" s="1202"/>
      <c r="G92" s="2728"/>
      <c r="H92" s="2680"/>
      <c r="I92" s="2544"/>
      <c r="J92" s="2680"/>
      <c r="K92" s="2544"/>
      <c r="L92" s="2680"/>
      <c r="M92" s="2544"/>
      <c r="N92" s="2680"/>
      <c r="O92" s="2544"/>
      <c r="P92" s="2544"/>
      <c r="Q92" s="2544"/>
      <c r="R92" s="2680"/>
      <c r="S92" s="2793"/>
      <c r="T92" s="2733"/>
      <c r="U92" s="2680"/>
      <c r="V92" s="2734"/>
      <c r="W92" s="709" t="s">
        <v>1780</v>
      </c>
      <c r="X92" s="1209">
        <v>3900000</v>
      </c>
      <c r="Y92" s="1176">
        <v>3900000</v>
      </c>
      <c r="Z92" s="1176">
        <v>3900000</v>
      </c>
      <c r="AA92" s="1176">
        <v>3900000</v>
      </c>
      <c r="AB92" s="1197" t="s">
        <v>1757</v>
      </c>
      <c r="AC92" s="978">
        <v>20</v>
      </c>
      <c r="AD92" s="684" t="s">
        <v>1635</v>
      </c>
      <c r="AE92" s="2500"/>
      <c r="AF92" s="2500"/>
      <c r="AG92" s="2500"/>
      <c r="AH92" s="2500"/>
      <c r="AI92" s="2500"/>
      <c r="AJ92" s="2500"/>
      <c r="AK92" s="2500"/>
      <c r="AL92" s="2500"/>
      <c r="AM92" s="2500"/>
      <c r="AN92" s="2500"/>
      <c r="AO92" s="2500"/>
      <c r="AP92" s="2500"/>
      <c r="AQ92" s="2500"/>
      <c r="AR92" s="2500"/>
      <c r="AS92" s="2500"/>
      <c r="AT92" s="2500"/>
      <c r="AU92" s="2500"/>
      <c r="AV92" s="2500"/>
      <c r="AW92" s="2500"/>
      <c r="AX92" s="2500"/>
      <c r="AY92" s="2500"/>
      <c r="AZ92" s="2500"/>
      <c r="BA92" s="2500"/>
      <c r="BB92" s="2500"/>
      <c r="BC92" s="2500"/>
      <c r="BD92" s="2500"/>
      <c r="BE92" s="2500"/>
      <c r="BF92" s="2500"/>
      <c r="BG92" s="2500"/>
      <c r="BH92" s="2500"/>
      <c r="BI92" s="2500"/>
      <c r="BJ92" s="2500"/>
      <c r="BK92" s="2500"/>
      <c r="BL92" s="2758"/>
      <c r="BM92" s="2758"/>
      <c r="BN92" s="2761"/>
      <c r="BO92" s="2500"/>
      <c r="BP92" s="2500"/>
      <c r="BQ92" s="2500"/>
      <c r="BR92" s="2500"/>
      <c r="BS92" s="2500"/>
      <c r="BT92" s="2500"/>
      <c r="BU92" s="2500"/>
      <c r="BV92" s="2755"/>
    </row>
    <row r="93" spans="1:74" ht="42.75" customHeight="1" x14ac:dyDescent="0.2">
      <c r="A93" s="1200"/>
      <c r="C93" s="1201"/>
      <c r="D93" s="1202"/>
      <c r="F93" s="1202"/>
      <c r="G93" s="2728"/>
      <c r="H93" s="2680"/>
      <c r="I93" s="2544"/>
      <c r="J93" s="2680"/>
      <c r="K93" s="2544"/>
      <c r="L93" s="2680"/>
      <c r="M93" s="2544"/>
      <c r="N93" s="2680"/>
      <c r="O93" s="2544"/>
      <c r="P93" s="2544"/>
      <c r="Q93" s="2544"/>
      <c r="R93" s="2680"/>
      <c r="S93" s="2793"/>
      <c r="T93" s="2733"/>
      <c r="U93" s="2680"/>
      <c r="V93" s="2734"/>
      <c r="W93" s="709" t="s">
        <v>1781</v>
      </c>
      <c r="X93" s="1209">
        <v>4524000</v>
      </c>
      <c r="Y93" s="1176">
        <v>4524000</v>
      </c>
      <c r="Z93" s="1176">
        <v>4524000</v>
      </c>
      <c r="AA93" s="1176">
        <v>4524000</v>
      </c>
      <c r="AB93" s="1197" t="s">
        <v>1757</v>
      </c>
      <c r="AC93" s="978">
        <v>20</v>
      </c>
      <c r="AD93" s="684" t="s">
        <v>1635</v>
      </c>
      <c r="AE93" s="2500"/>
      <c r="AF93" s="2500"/>
      <c r="AG93" s="2500"/>
      <c r="AH93" s="2500"/>
      <c r="AI93" s="2500"/>
      <c r="AJ93" s="2500"/>
      <c r="AK93" s="2500"/>
      <c r="AL93" s="2500"/>
      <c r="AM93" s="2500"/>
      <c r="AN93" s="2500"/>
      <c r="AO93" s="2500"/>
      <c r="AP93" s="2500"/>
      <c r="AQ93" s="2500"/>
      <c r="AR93" s="2500"/>
      <c r="AS93" s="2500"/>
      <c r="AT93" s="2500"/>
      <c r="AU93" s="2500"/>
      <c r="AV93" s="2500"/>
      <c r="AW93" s="2500"/>
      <c r="AX93" s="2500"/>
      <c r="AY93" s="2500"/>
      <c r="AZ93" s="2500"/>
      <c r="BA93" s="2500"/>
      <c r="BB93" s="2500"/>
      <c r="BC93" s="2500"/>
      <c r="BD93" s="2500"/>
      <c r="BE93" s="2500"/>
      <c r="BF93" s="2500"/>
      <c r="BG93" s="2500"/>
      <c r="BH93" s="2500"/>
      <c r="BI93" s="2500"/>
      <c r="BJ93" s="2500"/>
      <c r="BK93" s="2500"/>
      <c r="BL93" s="2758"/>
      <c r="BM93" s="2758"/>
      <c r="BN93" s="2761"/>
      <c r="BO93" s="2500"/>
      <c r="BP93" s="2500"/>
      <c r="BQ93" s="2500"/>
      <c r="BR93" s="2500"/>
      <c r="BS93" s="2500"/>
      <c r="BT93" s="2500"/>
      <c r="BU93" s="2500"/>
      <c r="BV93" s="2755"/>
    </row>
    <row r="94" spans="1:74" ht="42.75" customHeight="1" x14ac:dyDescent="0.2">
      <c r="A94" s="1200"/>
      <c r="C94" s="1201"/>
      <c r="D94" s="1202"/>
      <c r="F94" s="1202"/>
      <c r="G94" s="2728"/>
      <c r="H94" s="2680"/>
      <c r="I94" s="2544"/>
      <c r="J94" s="2680"/>
      <c r="K94" s="2544"/>
      <c r="L94" s="2680"/>
      <c r="M94" s="2544"/>
      <c r="N94" s="2680"/>
      <c r="O94" s="2544"/>
      <c r="P94" s="2544"/>
      <c r="Q94" s="2544"/>
      <c r="R94" s="2680"/>
      <c r="S94" s="2793"/>
      <c r="T94" s="2733"/>
      <c r="U94" s="2680"/>
      <c r="V94" s="2734"/>
      <c r="W94" s="1215" t="s">
        <v>1782</v>
      </c>
      <c r="X94" s="1209">
        <v>2370000</v>
      </c>
      <c r="Y94" s="1176">
        <v>2370000</v>
      </c>
      <c r="Z94" s="1176">
        <v>2370000</v>
      </c>
      <c r="AA94" s="1176">
        <v>2370000</v>
      </c>
      <c r="AB94" s="1197" t="s">
        <v>1757</v>
      </c>
      <c r="AC94" s="978">
        <v>20</v>
      </c>
      <c r="AD94" s="684" t="s">
        <v>1635</v>
      </c>
      <c r="AE94" s="2500"/>
      <c r="AF94" s="2500"/>
      <c r="AG94" s="2500"/>
      <c r="AH94" s="2500"/>
      <c r="AI94" s="2500"/>
      <c r="AJ94" s="2500"/>
      <c r="AK94" s="2500"/>
      <c r="AL94" s="2500"/>
      <c r="AM94" s="2500"/>
      <c r="AN94" s="2500"/>
      <c r="AO94" s="2500"/>
      <c r="AP94" s="2500"/>
      <c r="AQ94" s="2500"/>
      <c r="AR94" s="2500"/>
      <c r="AS94" s="2500"/>
      <c r="AT94" s="2500"/>
      <c r="AU94" s="2500"/>
      <c r="AV94" s="2500"/>
      <c r="AW94" s="2500"/>
      <c r="AX94" s="2500"/>
      <c r="AY94" s="2500"/>
      <c r="AZ94" s="2500"/>
      <c r="BA94" s="2500"/>
      <c r="BB94" s="2500"/>
      <c r="BC94" s="2500"/>
      <c r="BD94" s="2500"/>
      <c r="BE94" s="2500"/>
      <c r="BF94" s="2500"/>
      <c r="BG94" s="2500"/>
      <c r="BH94" s="2500"/>
      <c r="BI94" s="2500"/>
      <c r="BJ94" s="2500"/>
      <c r="BK94" s="2500"/>
      <c r="BL94" s="2758"/>
      <c r="BM94" s="2758"/>
      <c r="BN94" s="2761"/>
      <c r="BO94" s="2500"/>
      <c r="BP94" s="2500"/>
      <c r="BQ94" s="2500"/>
      <c r="BR94" s="2500"/>
      <c r="BS94" s="2500"/>
      <c r="BT94" s="2500"/>
      <c r="BU94" s="2500"/>
      <c r="BV94" s="2755"/>
    </row>
    <row r="95" spans="1:74" ht="42.75" customHeight="1" x14ac:dyDescent="0.2">
      <c r="A95" s="1200"/>
      <c r="C95" s="1201"/>
      <c r="D95" s="1202"/>
      <c r="F95" s="1202"/>
      <c r="G95" s="2728"/>
      <c r="H95" s="2680"/>
      <c r="I95" s="2544"/>
      <c r="J95" s="2680"/>
      <c r="K95" s="2544"/>
      <c r="L95" s="2680"/>
      <c r="M95" s="2544"/>
      <c r="N95" s="2680"/>
      <c r="O95" s="2544"/>
      <c r="P95" s="2544"/>
      <c r="Q95" s="2544"/>
      <c r="R95" s="2680"/>
      <c r="S95" s="2793"/>
      <c r="T95" s="2733"/>
      <c r="U95" s="2680"/>
      <c r="V95" s="2734"/>
      <c r="W95" s="1215" t="s">
        <v>1783</v>
      </c>
      <c r="X95" s="1209">
        <v>2036000</v>
      </c>
      <c r="Y95" s="1176">
        <v>2036000</v>
      </c>
      <c r="Z95" s="1176">
        <v>2036000</v>
      </c>
      <c r="AA95" s="1176">
        <v>2036000</v>
      </c>
      <c r="AB95" s="1197" t="s">
        <v>1757</v>
      </c>
      <c r="AC95" s="978">
        <v>20</v>
      </c>
      <c r="AD95" s="684" t="s">
        <v>1635</v>
      </c>
      <c r="AE95" s="2501"/>
      <c r="AF95" s="2501"/>
      <c r="AG95" s="2501"/>
      <c r="AH95" s="2501"/>
      <c r="AI95" s="2501"/>
      <c r="AJ95" s="2501"/>
      <c r="AK95" s="2501"/>
      <c r="AL95" s="2501"/>
      <c r="AM95" s="2501"/>
      <c r="AN95" s="2501"/>
      <c r="AO95" s="2501"/>
      <c r="AP95" s="2501"/>
      <c r="AQ95" s="2501"/>
      <c r="AR95" s="2501"/>
      <c r="AS95" s="2501"/>
      <c r="AT95" s="2501"/>
      <c r="AU95" s="2501"/>
      <c r="AV95" s="2501"/>
      <c r="AW95" s="2501"/>
      <c r="AX95" s="2501"/>
      <c r="AY95" s="2501"/>
      <c r="AZ95" s="2501"/>
      <c r="BA95" s="2501"/>
      <c r="BB95" s="2501"/>
      <c r="BC95" s="2501"/>
      <c r="BD95" s="2501"/>
      <c r="BE95" s="2501"/>
      <c r="BF95" s="2501"/>
      <c r="BG95" s="2501"/>
      <c r="BH95" s="2501"/>
      <c r="BI95" s="2501"/>
      <c r="BJ95" s="2501"/>
      <c r="BK95" s="2501"/>
      <c r="BL95" s="2759"/>
      <c r="BM95" s="2759"/>
      <c r="BN95" s="2762"/>
      <c r="BO95" s="2501"/>
      <c r="BP95" s="2501"/>
      <c r="BQ95" s="2501"/>
      <c r="BR95" s="2501"/>
      <c r="BS95" s="2501"/>
      <c r="BT95" s="2501"/>
      <c r="BU95" s="2501"/>
      <c r="BV95" s="2756"/>
    </row>
    <row r="96" spans="1:74" s="760" customFormat="1" ht="33" customHeight="1" x14ac:dyDescent="0.25">
      <c r="A96" s="1216"/>
      <c r="B96" s="1217"/>
      <c r="C96" s="1218"/>
      <c r="D96" s="1219"/>
      <c r="E96" s="1217"/>
      <c r="F96" s="1219"/>
      <c r="G96" s="1220"/>
      <c r="H96" s="756"/>
      <c r="I96" s="756"/>
      <c r="J96" s="756"/>
      <c r="K96" s="756"/>
      <c r="L96" s="756"/>
      <c r="M96" s="756"/>
      <c r="N96" s="756"/>
      <c r="O96" s="756"/>
      <c r="P96" s="756"/>
      <c r="Q96" s="756"/>
      <c r="R96" s="1221"/>
      <c r="S96" s="732"/>
      <c r="T96" s="1222">
        <f>SUM(T10:T95)</f>
        <v>910965833</v>
      </c>
      <c r="U96" s="1223"/>
      <c r="V96" s="1221"/>
      <c r="W96" s="1224" t="s">
        <v>0</v>
      </c>
      <c r="X96" s="1225">
        <f>SUM(X10:X95)</f>
        <v>910965833</v>
      </c>
      <c r="Y96" s="1225">
        <f>SUM(Y10:Y95)</f>
        <v>877866456</v>
      </c>
      <c r="Z96" s="1225">
        <f>SUM(Z10:Z95)</f>
        <v>877866456</v>
      </c>
      <c r="AA96" s="1225">
        <f>SUM(AA10:AA95)</f>
        <v>877866456</v>
      </c>
      <c r="AB96" s="1226"/>
      <c r="AC96" s="1227"/>
      <c r="AD96" s="1228"/>
      <c r="AE96" s="756"/>
      <c r="AF96" s="756"/>
      <c r="AG96" s="756"/>
      <c r="AH96" s="756"/>
      <c r="AI96" s="756"/>
      <c r="AJ96" s="756"/>
      <c r="AK96" s="756"/>
      <c r="AL96" s="756"/>
      <c r="AM96" s="756"/>
      <c r="AN96" s="756"/>
      <c r="AO96" s="756"/>
      <c r="AP96" s="756"/>
      <c r="AQ96" s="756"/>
      <c r="AR96" s="756"/>
      <c r="AS96" s="756"/>
      <c r="AT96" s="756"/>
      <c r="AU96" s="756"/>
      <c r="AV96" s="756"/>
      <c r="AW96" s="756"/>
      <c r="AX96" s="756"/>
      <c r="AY96" s="756"/>
      <c r="AZ96" s="756"/>
      <c r="BA96" s="756"/>
      <c r="BB96" s="756"/>
      <c r="BC96" s="756"/>
      <c r="BD96" s="756"/>
      <c r="BE96" s="756"/>
      <c r="BF96" s="756"/>
      <c r="BG96" s="756"/>
      <c r="BH96" s="756"/>
      <c r="BI96" s="756"/>
      <c r="BJ96" s="756"/>
      <c r="BK96" s="1229">
        <f>SUM(BK10:BK95)</f>
        <v>85</v>
      </c>
      <c r="BL96" s="1230">
        <f>SUM(BL10:BL95)</f>
        <v>877866456</v>
      </c>
      <c r="BM96" s="1230">
        <f>SUM(BM10:BM95)</f>
        <v>877866456</v>
      </c>
      <c r="BN96" s="1231">
        <f>BM96/BL96</f>
        <v>1</v>
      </c>
      <c r="BO96" s="756"/>
      <c r="BP96" s="756"/>
      <c r="BQ96" s="756"/>
      <c r="BR96" s="756"/>
      <c r="BS96" s="756"/>
      <c r="BT96" s="1232"/>
      <c r="BU96" s="1232"/>
      <c r="BV96" s="1232"/>
    </row>
    <row r="97" spans="1:93" x14ac:dyDescent="0.2">
      <c r="R97" s="7"/>
      <c r="W97" s="1235"/>
      <c r="X97" s="1236"/>
      <c r="Y97" s="1237"/>
      <c r="Z97" s="1237"/>
      <c r="AA97" s="1237"/>
    </row>
    <row r="98" spans="1:93" x14ac:dyDescent="0.2">
      <c r="W98" s="1235"/>
      <c r="X98" s="1237"/>
      <c r="Y98" s="1237"/>
      <c r="Z98" s="1237"/>
      <c r="AA98" s="1237"/>
    </row>
    <row r="102" spans="1:93" x14ac:dyDescent="0.2">
      <c r="Y102" s="1242"/>
    </row>
    <row r="103" spans="1:93" x14ac:dyDescent="0.2">
      <c r="Y103" s="1242"/>
    </row>
    <row r="104" spans="1:93" x14ac:dyDescent="0.2">
      <c r="Y104" s="1242"/>
    </row>
    <row r="105" spans="1:93" x14ac:dyDescent="0.2">
      <c r="Y105" s="1242"/>
    </row>
    <row r="106" spans="1:93" ht="15.75" x14ac:dyDescent="0.25">
      <c r="AB106" s="1243" t="s">
        <v>1784</v>
      </c>
    </row>
    <row r="107" spans="1:93" s="1126" customFormat="1" x14ac:dyDescent="0.2">
      <c r="A107" s="1233"/>
      <c r="B107" s="1127"/>
      <c r="C107" s="1127"/>
      <c r="D107" s="1127"/>
      <c r="E107" s="1127"/>
      <c r="F107" s="1127"/>
      <c r="G107" s="1127"/>
      <c r="H107" s="1127"/>
      <c r="I107" s="1127"/>
      <c r="J107" s="1127"/>
      <c r="K107" s="1127"/>
      <c r="L107" s="7"/>
      <c r="M107" s="1127"/>
      <c r="N107" s="7"/>
      <c r="P107" s="1138"/>
      <c r="R107" s="1138"/>
      <c r="S107" s="874"/>
      <c r="T107" s="432"/>
      <c r="U107" s="1234"/>
      <c r="V107" s="4"/>
      <c r="W107" s="7"/>
      <c r="X107" s="1241"/>
      <c r="Y107" s="1241"/>
      <c r="Z107" s="1241"/>
      <c r="AA107" s="1241"/>
      <c r="AB107" s="1244" t="s">
        <v>1785</v>
      </c>
      <c r="AC107" s="6"/>
      <c r="AD107" s="5"/>
      <c r="AE107" s="4"/>
      <c r="AF107" s="4"/>
      <c r="AG107" s="1127"/>
      <c r="AH107" s="1127"/>
      <c r="AI107" s="1127"/>
      <c r="AJ107" s="1127"/>
      <c r="AK107" s="1127"/>
      <c r="AL107" s="1127"/>
      <c r="AM107" s="1127"/>
      <c r="AN107" s="1127"/>
      <c r="AO107" s="1127"/>
      <c r="AP107" s="1127"/>
      <c r="AQ107" s="1127"/>
      <c r="AR107" s="1127"/>
      <c r="AS107" s="1127"/>
      <c r="AT107" s="1127"/>
      <c r="AU107" s="1127"/>
      <c r="AV107" s="1127"/>
      <c r="AW107" s="1127"/>
      <c r="AX107" s="1127"/>
      <c r="AY107" s="1127"/>
      <c r="AZ107" s="1127"/>
      <c r="BA107" s="1127"/>
      <c r="BB107" s="1127"/>
      <c r="BC107" s="1127"/>
      <c r="BD107" s="1127"/>
      <c r="BE107" s="1127"/>
      <c r="BF107" s="1127"/>
      <c r="BG107" s="1127"/>
      <c r="BH107" s="1127"/>
      <c r="BI107" s="1127"/>
      <c r="BJ107" s="1127"/>
      <c r="BK107" s="1127"/>
      <c r="BL107" s="1127"/>
      <c r="BM107" s="1127"/>
      <c r="BN107" s="1127"/>
      <c r="BO107" s="1127"/>
      <c r="BP107" s="1127"/>
      <c r="BQ107" s="1127"/>
      <c r="BR107" s="1127"/>
      <c r="BS107" s="1127"/>
      <c r="BT107" s="1239"/>
      <c r="BU107" s="1239"/>
      <c r="BV107" s="1240"/>
      <c r="BW107" s="1127"/>
      <c r="BX107" s="1127"/>
      <c r="BY107" s="1127"/>
      <c r="BZ107" s="1127"/>
      <c r="CA107" s="1127"/>
      <c r="CB107" s="1127"/>
      <c r="CC107" s="1127"/>
      <c r="CD107" s="1127"/>
      <c r="CE107" s="1127"/>
      <c r="CF107" s="1127"/>
      <c r="CG107" s="1127"/>
      <c r="CH107" s="1127"/>
      <c r="CI107" s="1127"/>
      <c r="CJ107" s="1127"/>
      <c r="CK107" s="1127"/>
      <c r="CL107" s="1127"/>
      <c r="CM107" s="1127"/>
      <c r="CN107" s="1127"/>
      <c r="CO107" s="1127"/>
    </row>
    <row r="108" spans="1:93" x14ac:dyDescent="0.2">
      <c r="Y108" s="1242"/>
    </row>
    <row r="111" spans="1:93" ht="15.75" x14ac:dyDescent="0.2">
      <c r="Z111" s="1245"/>
    </row>
  </sheetData>
  <sheetProtection formatCells="0" selectLockedCells="1" selectUnlockedCells="1"/>
  <mergeCells count="483">
    <mergeCell ref="BT69:BT95"/>
    <mergeCell ref="BU69:BU95"/>
    <mergeCell ref="BV69:BV95"/>
    <mergeCell ref="BN69:BN95"/>
    <mergeCell ref="BO69:BO95"/>
    <mergeCell ref="BP69:BP95"/>
    <mergeCell ref="BQ69:BQ95"/>
    <mergeCell ref="BR69:BR95"/>
    <mergeCell ref="BS69:BS95"/>
    <mergeCell ref="BH69:BH95"/>
    <mergeCell ref="BI69:BI95"/>
    <mergeCell ref="BJ69:BJ95"/>
    <mergeCell ref="BK69:BK95"/>
    <mergeCell ref="BL69:BL95"/>
    <mergeCell ref="BM69:BM95"/>
    <mergeCell ref="BB69:BB95"/>
    <mergeCell ref="BC69:BC95"/>
    <mergeCell ref="BD69:BD95"/>
    <mergeCell ref="BE69:BE95"/>
    <mergeCell ref="BF69:BF95"/>
    <mergeCell ref="BG69:BG95"/>
    <mergeCell ref="AV69:AV95"/>
    <mergeCell ref="AW69:AW95"/>
    <mergeCell ref="AX69:AX95"/>
    <mergeCell ref="AY69:AY95"/>
    <mergeCell ref="AZ69:AZ95"/>
    <mergeCell ref="BA69:BA95"/>
    <mergeCell ref="AP69:AP95"/>
    <mergeCell ref="AQ69:AQ95"/>
    <mergeCell ref="AR69:AR95"/>
    <mergeCell ref="AS69:AS95"/>
    <mergeCell ref="AT69:AT95"/>
    <mergeCell ref="AU69:AU95"/>
    <mergeCell ref="AJ69:AJ95"/>
    <mergeCell ref="AK69:AK95"/>
    <mergeCell ref="AL69:AL95"/>
    <mergeCell ref="AM69:AM95"/>
    <mergeCell ref="AN69:AN95"/>
    <mergeCell ref="AO69:AO95"/>
    <mergeCell ref="V69:V95"/>
    <mergeCell ref="AE69:AE95"/>
    <mergeCell ref="AF69:AF95"/>
    <mergeCell ref="AG69:AG95"/>
    <mergeCell ref="AH69:AH95"/>
    <mergeCell ref="AI69:AI95"/>
    <mergeCell ref="P69:P95"/>
    <mergeCell ref="Q69:Q95"/>
    <mergeCell ref="R69:R95"/>
    <mergeCell ref="S69:S95"/>
    <mergeCell ref="T69:T95"/>
    <mergeCell ref="U69:U95"/>
    <mergeCell ref="BV63:BV68"/>
    <mergeCell ref="G69:G95"/>
    <mergeCell ref="H69:H95"/>
    <mergeCell ref="I69:I95"/>
    <mergeCell ref="J69:J95"/>
    <mergeCell ref="K69:K95"/>
    <mergeCell ref="L69:L95"/>
    <mergeCell ref="M69:M95"/>
    <mergeCell ref="N69:N95"/>
    <mergeCell ref="O69:O95"/>
    <mergeCell ref="BP63:BP68"/>
    <mergeCell ref="BQ63:BQ68"/>
    <mergeCell ref="BR63:BR68"/>
    <mergeCell ref="BS63:BS68"/>
    <mergeCell ref="BT63:BT68"/>
    <mergeCell ref="BU63:BU68"/>
    <mergeCell ref="BJ63:BJ68"/>
    <mergeCell ref="BK63:BK68"/>
    <mergeCell ref="BL63:BL68"/>
    <mergeCell ref="BM63:BM68"/>
    <mergeCell ref="BN63:BN68"/>
    <mergeCell ref="BO63:BO68"/>
    <mergeCell ref="BD63:BD68"/>
    <mergeCell ref="BE63:BE68"/>
    <mergeCell ref="BF63:BF68"/>
    <mergeCell ref="BG63:BG68"/>
    <mergeCell ref="BH63:BH68"/>
    <mergeCell ref="BI63:BI68"/>
    <mergeCell ref="AX63:AX68"/>
    <mergeCell ref="AY63:AY68"/>
    <mergeCell ref="AZ63:AZ68"/>
    <mergeCell ref="BA63:BA68"/>
    <mergeCell ref="BB63:BB68"/>
    <mergeCell ref="BC63:BC68"/>
    <mergeCell ref="AR63:AR68"/>
    <mergeCell ref="AS63:AS68"/>
    <mergeCell ref="AT63:AT68"/>
    <mergeCell ref="AU63:AU68"/>
    <mergeCell ref="AV63:AV68"/>
    <mergeCell ref="AW63:AW68"/>
    <mergeCell ref="AL63:AL68"/>
    <mergeCell ref="AM63:AM68"/>
    <mergeCell ref="AN63:AN68"/>
    <mergeCell ref="AO63:AO68"/>
    <mergeCell ref="AP63:AP68"/>
    <mergeCell ref="AQ63:AQ68"/>
    <mergeCell ref="AF63:AF68"/>
    <mergeCell ref="AG63:AG68"/>
    <mergeCell ref="AH63:AH68"/>
    <mergeCell ref="AI63:AI68"/>
    <mergeCell ref="AJ63:AJ68"/>
    <mergeCell ref="AK63:AK68"/>
    <mergeCell ref="Q63:Q68"/>
    <mergeCell ref="R63:R68"/>
    <mergeCell ref="T63:T68"/>
    <mergeCell ref="U63:U68"/>
    <mergeCell ref="V63:V68"/>
    <mergeCell ref="AE63:AE68"/>
    <mergeCell ref="BQ49:BQ62"/>
    <mergeCell ref="BR49:BR62"/>
    <mergeCell ref="BS49:BS62"/>
    <mergeCell ref="BE49:BE62"/>
    <mergeCell ref="BF49:BF62"/>
    <mergeCell ref="BG49:BG62"/>
    <mergeCell ref="BH49:BH62"/>
    <mergeCell ref="BI49:BI62"/>
    <mergeCell ref="BJ49:BJ62"/>
    <mergeCell ref="AY49:AY62"/>
    <mergeCell ref="AZ49:AZ62"/>
    <mergeCell ref="BA49:BA62"/>
    <mergeCell ref="BB49:BB62"/>
    <mergeCell ref="BC49:BC62"/>
    <mergeCell ref="BD49:BD62"/>
    <mergeCell ref="AS49:AS62"/>
    <mergeCell ref="AT49:AT62"/>
    <mergeCell ref="AU49:AU62"/>
    <mergeCell ref="BT49:BT62"/>
    <mergeCell ref="BU49:BU62"/>
    <mergeCell ref="BV49:BV62"/>
    <mergeCell ref="BK49:BK62"/>
    <mergeCell ref="BL49:BL62"/>
    <mergeCell ref="BM49:BM62"/>
    <mergeCell ref="BN49:BN62"/>
    <mergeCell ref="BO49:BO62"/>
    <mergeCell ref="BP49:BP62"/>
    <mergeCell ref="AV49:AV62"/>
    <mergeCell ref="AW49:AW62"/>
    <mergeCell ref="AX49:AX62"/>
    <mergeCell ref="AM49:AM62"/>
    <mergeCell ref="AN49:AN62"/>
    <mergeCell ref="AO49:AO62"/>
    <mergeCell ref="AP49:AP62"/>
    <mergeCell ref="AQ49:AQ62"/>
    <mergeCell ref="AR49:AR62"/>
    <mergeCell ref="AG49:AG62"/>
    <mergeCell ref="AH49:AH62"/>
    <mergeCell ref="AI49:AI62"/>
    <mergeCell ref="AJ49:AJ62"/>
    <mergeCell ref="AK49:AK62"/>
    <mergeCell ref="AL49:AL62"/>
    <mergeCell ref="S49:S62"/>
    <mergeCell ref="T49:T62"/>
    <mergeCell ref="U49:U62"/>
    <mergeCell ref="V49:V62"/>
    <mergeCell ref="AE49:AE62"/>
    <mergeCell ref="AF49:AF62"/>
    <mergeCell ref="W60:W62"/>
    <mergeCell ref="M49:M62"/>
    <mergeCell ref="N49:N62"/>
    <mergeCell ref="O49:O62"/>
    <mergeCell ref="P49:P62"/>
    <mergeCell ref="Q49:Q62"/>
    <mergeCell ref="R49:R62"/>
    <mergeCell ref="G49:G62"/>
    <mergeCell ref="H49:H62"/>
    <mergeCell ref="I49:I62"/>
    <mergeCell ref="J49:J62"/>
    <mergeCell ref="K49:K62"/>
    <mergeCell ref="L49:L62"/>
    <mergeCell ref="BQ46:BQ48"/>
    <mergeCell ref="BR46:BR48"/>
    <mergeCell ref="BS46:BS48"/>
    <mergeCell ref="BT46:BT48"/>
    <mergeCell ref="BU46:BU48"/>
    <mergeCell ref="BV46:BV48"/>
    <mergeCell ref="BK46:BK48"/>
    <mergeCell ref="BL46:BL48"/>
    <mergeCell ref="BM46:BM48"/>
    <mergeCell ref="BN46:BN48"/>
    <mergeCell ref="BO46:BO48"/>
    <mergeCell ref="BP46:BP48"/>
    <mergeCell ref="BE46:BE48"/>
    <mergeCell ref="BF46:BF48"/>
    <mergeCell ref="BG46:BG48"/>
    <mergeCell ref="BH46:BH48"/>
    <mergeCell ref="BI46:BI48"/>
    <mergeCell ref="BJ46:BJ48"/>
    <mergeCell ref="AY46:AY48"/>
    <mergeCell ref="AZ46:AZ48"/>
    <mergeCell ref="BA46:BA48"/>
    <mergeCell ref="BB46:BB48"/>
    <mergeCell ref="BC46:BC48"/>
    <mergeCell ref="BD46:BD48"/>
    <mergeCell ref="AS46:AS48"/>
    <mergeCell ref="AT46:AT48"/>
    <mergeCell ref="AU46:AU48"/>
    <mergeCell ref="AV46:AV48"/>
    <mergeCell ref="AW46:AW48"/>
    <mergeCell ref="AX46:AX48"/>
    <mergeCell ref="AM46:AM48"/>
    <mergeCell ref="AN46:AN48"/>
    <mergeCell ref="AO46:AO48"/>
    <mergeCell ref="AP46:AP48"/>
    <mergeCell ref="AQ46:AQ48"/>
    <mergeCell ref="AR46:AR48"/>
    <mergeCell ref="AG46:AG48"/>
    <mergeCell ref="AH46:AH48"/>
    <mergeCell ref="AI46:AI48"/>
    <mergeCell ref="AJ46:AJ48"/>
    <mergeCell ref="AK46:AK48"/>
    <mergeCell ref="AL46:AL48"/>
    <mergeCell ref="S46:S48"/>
    <mergeCell ref="T46:T48"/>
    <mergeCell ref="U46:U48"/>
    <mergeCell ref="V46:V48"/>
    <mergeCell ref="AE46:AE48"/>
    <mergeCell ref="AF46:AF48"/>
    <mergeCell ref="M46:M48"/>
    <mergeCell ref="N46:N48"/>
    <mergeCell ref="O46:O48"/>
    <mergeCell ref="P46:P48"/>
    <mergeCell ref="Q46:Q48"/>
    <mergeCell ref="R46:R48"/>
    <mergeCell ref="G46:G48"/>
    <mergeCell ref="H46:H48"/>
    <mergeCell ref="I46:I48"/>
    <mergeCell ref="J46:J48"/>
    <mergeCell ref="K46:K48"/>
    <mergeCell ref="L46:L48"/>
    <mergeCell ref="BQ40:BQ45"/>
    <mergeCell ref="BR40:BR45"/>
    <mergeCell ref="BS40:BS45"/>
    <mergeCell ref="BT40:BT45"/>
    <mergeCell ref="BU40:BU45"/>
    <mergeCell ref="BV40:BV45"/>
    <mergeCell ref="BK40:BK45"/>
    <mergeCell ref="BL40:BL45"/>
    <mergeCell ref="BM40:BM45"/>
    <mergeCell ref="BN40:BN45"/>
    <mergeCell ref="BO40:BO45"/>
    <mergeCell ref="BP40:BP45"/>
    <mergeCell ref="BE40:BE45"/>
    <mergeCell ref="BF40:BF45"/>
    <mergeCell ref="BG40:BG45"/>
    <mergeCell ref="BH40:BH45"/>
    <mergeCell ref="BI40:BI45"/>
    <mergeCell ref="BJ40:BJ45"/>
    <mergeCell ref="AY40:AY45"/>
    <mergeCell ref="AZ40:AZ45"/>
    <mergeCell ref="BA40:BA45"/>
    <mergeCell ref="BB40:BB45"/>
    <mergeCell ref="BC40:BC45"/>
    <mergeCell ref="BD40:BD45"/>
    <mergeCell ref="AS40:AS45"/>
    <mergeCell ref="AT40:AT45"/>
    <mergeCell ref="AU40:AU45"/>
    <mergeCell ref="AV40:AV45"/>
    <mergeCell ref="AW40:AW45"/>
    <mergeCell ref="AX40:AX45"/>
    <mergeCell ref="AM40:AM45"/>
    <mergeCell ref="AN40:AN45"/>
    <mergeCell ref="AO40:AO45"/>
    <mergeCell ref="AP40:AP45"/>
    <mergeCell ref="AQ40:AQ45"/>
    <mergeCell ref="AR40:AR45"/>
    <mergeCell ref="AG40:AG45"/>
    <mergeCell ref="AH40:AH45"/>
    <mergeCell ref="AI40:AI45"/>
    <mergeCell ref="AJ40:AJ45"/>
    <mergeCell ref="AK40:AK45"/>
    <mergeCell ref="AL40:AL45"/>
    <mergeCell ref="S40:S45"/>
    <mergeCell ref="T40:T45"/>
    <mergeCell ref="U40:U45"/>
    <mergeCell ref="V40:V45"/>
    <mergeCell ref="AE40:AE45"/>
    <mergeCell ref="AF40:AF45"/>
    <mergeCell ref="M40:M45"/>
    <mergeCell ref="N40:N45"/>
    <mergeCell ref="O40:O45"/>
    <mergeCell ref="P40:P45"/>
    <mergeCell ref="Q40:Q45"/>
    <mergeCell ref="R40:R45"/>
    <mergeCell ref="G40:G45"/>
    <mergeCell ref="H40:H45"/>
    <mergeCell ref="I40:I45"/>
    <mergeCell ref="J40:J45"/>
    <mergeCell ref="K40:K45"/>
    <mergeCell ref="L40:L45"/>
    <mergeCell ref="BQ34:BQ38"/>
    <mergeCell ref="BR34:BR38"/>
    <mergeCell ref="BS34:BS38"/>
    <mergeCell ref="BT34:BT38"/>
    <mergeCell ref="BU34:BU38"/>
    <mergeCell ref="BV34:BV38"/>
    <mergeCell ref="BK34:BK38"/>
    <mergeCell ref="BL34:BL38"/>
    <mergeCell ref="BM34:BM38"/>
    <mergeCell ref="BN34:BN38"/>
    <mergeCell ref="BO34:BO38"/>
    <mergeCell ref="BP34:BP38"/>
    <mergeCell ref="BE34:BE38"/>
    <mergeCell ref="BF34:BF38"/>
    <mergeCell ref="BG34:BG38"/>
    <mergeCell ref="BH34:BH38"/>
    <mergeCell ref="BI34:BI38"/>
    <mergeCell ref="BJ34:BJ38"/>
    <mergeCell ref="AY34:AY38"/>
    <mergeCell ref="AZ34:AZ38"/>
    <mergeCell ref="BA34:BA38"/>
    <mergeCell ref="BB34:BB38"/>
    <mergeCell ref="BC34:BC38"/>
    <mergeCell ref="BD34:BD38"/>
    <mergeCell ref="AS34:AS38"/>
    <mergeCell ref="AT34:AT38"/>
    <mergeCell ref="AU34:AU38"/>
    <mergeCell ref="AV34:AV38"/>
    <mergeCell ref="AW34:AW38"/>
    <mergeCell ref="AX34:AX38"/>
    <mergeCell ref="AM34:AM38"/>
    <mergeCell ref="AN34:AN38"/>
    <mergeCell ref="AO34:AO38"/>
    <mergeCell ref="AP34:AP38"/>
    <mergeCell ref="AQ34:AQ38"/>
    <mergeCell ref="AR34:AR38"/>
    <mergeCell ref="AG34:AG38"/>
    <mergeCell ref="AH34:AH38"/>
    <mergeCell ref="AI34:AI38"/>
    <mergeCell ref="AJ34:AJ38"/>
    <mergeCell ref="AK34:AK38"/>
    <mergeCell ref="AL34:AL38"/>
    <mergeCell ref="S34:S38"/>
    <mergeCell ref="T34:T38"/>
    <mergeCell ref="U34:U38"/>
    <mergeCell ref="V34:V38"/>
    <mergeCell ref="AE34:AE38"/>
    <mergeCell ref="AF34:AF38"/>
    <mergeCell ref="M34:M38"/>
    <mergeCell ref="N34:N38"/>
    <mergeCell ref="O34:O38"/>
    <mergeCell ref="P34:P38"/>
    <mergeCell ref="Q34:Q38"/>
    <mergeCell ref="R34:R38"/>
    <mergeCell ref="G34:G38"/>
    <mergeCell ref="H34:H38"/>
    <mergeCell ref="I34:I38"/>
    <mergeCell ref="J34:J38"/>
    <mergeCell ref="K34:K38"/>
    <mergeCell ref="L34:L38"/>
    <mergeCell ref="BU13:BU33"/>
    <mergeCell ref="BV13:BV33"/>
    <mergeCell ref="W15:W17"/>
    <mergeCell ref="W18:W19"/>
    <mergeCell ref="W20:W21"/>
    <mergeCell ref="W22:W23"/>
    <mergeCell ref="W30:W32"/>
    <mergeCell ref="BO13:BO33"/>
    <mergeCell ref="BP13:BP33"/>
    <mergeCell ref="BQ13:BQ33"/>
    <mergeCell ref="BR13:BR33"/>
    <mergeCell ref="BS13:BS33"/>
    <mergeCell ref="BT13:BT33"/>
    <mergeCell ref="BI13:BI33"/>
    <mergeCell ref="BJ13:BJ33"/>
    <mergeCell ref="BK13:BK33"/>
    <mergeCell ref="BL13:BL33"/>
    <mergeCell ref="BM13:BM33"/>
    <mergeCell ref="BN13:BN33"/>
    <mergeCell ref="BC13:BC33"/>
    <mergeCell ref="BD13:BD33"/>
    <mergeCell ref="BE13:BE33"/>
    <mergeCell ref="BF13:BF33"/>
    <mergeCell ref="BG13:BG33"/>
    <mergeCell ref="BH13:BH33"/>
    <mergeCell ref="AW13:AW33"/>
    <mergeCell ref="AX13:AX33"/>
    <mergeCell ref="AY13:AY33"/>
    <mergeCell ref="AZ13:AZ33"/>
    <mergeCell ref="BA13:BA33"/>
    <mergeCell ref="BB13:BB33"/>
    <mergeCell ref="AQ13:AQ33"/>
    <mergeCell ref="AR13:AR33"/>
    <mergeCell ref="AS13:AS33"/>
    <mergeCell ref="AT13:AT33"/>
    <mergeCell ref="AU13:AU33"/>
    <mergeCell ref="AV13:AV33"/>
    <mergeCell ref="AK13:AK33"/>
    <mergeCell ref="AL13:AL33"/>
    <mergeCell ref="AM13:AM33"/>
    <mergeCell ref="AN13:AN33"/>
    <mergeCell ref="AO13:AO33"/>
    <mergeCell ref="AP13:AP33"/>
    <mergeCell ref="AE13:AE33"/>
    <mergeCell ref="AF13:AF33"/>
    <mergeCell ref="AG13:AG33"/>
    <mergeCell ref="AH13:AH33"/>
    <mergeCell ref="AI13:AI33"/>
    <mergeCell ref="AJ13:AJ33"/>
    <mergeCell ref="R13:R33"/>
    <mergeCell ref="S13:S33"/>
    <mergeCell ref="T13:T33"/>
    <mergeCell ref="U13:U33"/>
    <mergeCell ref="V13:V33"/>
    <mergeCell ref="W13:W14"/>
    <mergeCell ref="L13:L33"/>
    <mergeCell ref="M13:M33"/>
    <mergeCell ref="N13:N33"/>
    <mergeCell ref="O13:O33"/>
    <mergeCell ref="P13:P33"/>
    <mergeCell ref="Q13:Q33"/>
    <mergeCell ref="BL8:BL9"/>
    <mergeCell ref="BM8:BM9"/>
    <mergeCell ref="BN8:BN9"/>
    <mergeCell ref="BO8:BP8"/>
    <mergeCell ref="BQ8:BQ9"/>
    <mergeCell ref="G13:G33"/>
    <mergeCell ref="H13:H33"/>
    <mergeCell ref="I13:I33"/>
    <mergeCell ref="J13:J33"/>
    <mergeCell ref="K13:K33"/>
    <mergeCell ref="AY8:AZ8"/>
    <mergeCell ref="BA8:BB8"/>
    <mergeCell ref="BC8:BD8"/>
    <mergeCell ref="BE8:BF8"/>
    <mergeCell ref="BG8:BH8"/>
    <mergeCell ref="BK8:BK9"/>
    <mergeCell ref="AM8:AN8"/>
    <mergeCell ref="AO8:AP8"/>
    <mergeCell ref="AQ8:AR8"/>
    <mergeCell ref="AS8:AT8"/>
    <mergeCell ref="AU8:AV8"/>
    <mergeCell ref="AW8:AX8"/>
    <mergeCell ref="AC8:AC9"/>
    <mergeCell ref="AD8:AD9"/>
    <mergeCell ref="AQ7:BB7"/>
    <mergeCell ref="BC7:BH7"/>
    <mergeCell ref="L8:L9"/>
    <mergeCell ref="M8:M9"/>
    <mergeCell ref="N8:N9"/>
    <mergeCell ref="Q8:Q9"/>
    <mergeCell ref="R8:R9"/>
    <mergeCell ref="S8:S9"/>
    <mergeCell ref="F8:F9"/>
    <mergeCell ref="G8:G9"/>
    <mergeCell ref="H8:H9"/>
    <mergeCell ref="I8:I9"/>
    <mergeCell ref="J8:J9"/>
    <mergeCell ref="K8:K9"/>
    <mergeCell ref="AE8:AF8"/>
    <mergeCell ref="AG8:AH8"/>
    <mergeCell ref="AI8:AJ8"/>
    <mergeCell ref="AK8:AL8"/>
    <mergeCell ref="T8:T9"/>
    <mergeCell ref="U8:U9"/>
    <mergeCell ref="V8:V9"/>
    <mergeCell ref="W8:W9"/>
    <mergeCell ref="X8:AA8"/>
    <mergeCell ref="AB8:AB9"/>
    <mergeCell ref="A1:BT4"/>
    <mergeCell ref="A5:P6"/>
    <mergeCell ref="Q5:BV5"/>
    <mergeCell ref="AE6:BG6"/>
    <mergeCell ref="A7:B7"/>
    <mergeCell ref="C7:D7"/>
    <mergeCell ref="E7:F7"/>
    <mergeCell ref="G7:J7"/>
    <mergeCell ref="K7:N7"/>
    <mergeCell ref="O7:P8"/>
    <mergeCell ref="BI7:BJ8"/>
    <mergeCell ref="BK7:BQ7"/>
    <mergeCell ref="BR7:BS8"/>
    <mergeCell ref="BT7:BU8"/>
    <mergeCell ref="BV7:BV8"/>
    <mergeCell ref="A8:A9"/>
    <mergeCell ref="B8:B9"/>
    <mergeCell ref="C8:C9"/>
    <mergeCell ref="D8:D9"/>
    <mergeCell ref="E8:E9"/>
    <mergeCell ref="Q7:W7"/>
    <mergeCell ref="AB7:AD7"/>
    <mergeCell ref="AE7:AH7"/>
    <mergeCell ref="AI7:AP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002060"/>
  </sheetPr>
  <dimension ref="A1:CN59"/>
  <sheetViews>
    <sheetView showGridLines="0" tabSelected="1" topLeftCell="H28" zoomScale="60" zoomScaleNormal="60" workbookViewId="0">
      <selection activeCell="J13" sqref="J13:J47"/>
    </sheetView>
  </sheetViews>
  <sheetFormatPr baseColWidth="10" defaultColWidth="11.42578125" defaultRowHeight="25.5" customHeight="1" x14ac:dyDescent="0.25"/>
  <cols>
    <col min="1" max="1" width="12.5703125" style="12" customWidth="1"/>
    <col min="2" max="2" width="15.5703125" style="1" customWidth="1"/>
    <col min="3" max="3" width="13.28515625" style="1" customWidth="1"/>
    <col min="4" max="4" width="13.7109375" style="1" customWidth="1"/>
    <col min="5" max="5" width="13.85546875" style="1" customWidth="1"/>
    <col min="6" max="6" width="13.5703125" style="1" customWidth="1"/>
    <col min="7" max="7" width="15.5703125" style="1" customWidth="1"/>
    <col min="8" max="8" width="28.140625" style="11" customWidth="1"/>
    <col min="9" max="9" width="25.42578125" style="1" customWidth="1"/>
    <col min="10" max="10" width="28.140625" style="11" customWidth="1"/>
    <col min="11" max="11" width="16.42578125" style="1" customWidth="1"/>
    <col min="12" max="12" width="26.85546875" style="7" customWidth="1"/>
    <col min="13" max="13" width="25.42578125" style="4" customWidth="1"/>
    <col min="14" max="14" width="26.85546875" style="7" customWidth="1"/>
    <col min="15" max="15" width="13.5703125" style="4" customWidth="1"/>
    <col min="16" max="16" width="14" style="4" customWidth="1"/>
    <col min="17" max="17" width="31.85546875" style="4" customWidth="1"/>
    <col min="18" max="18" width="23" style="7" customWidth="1"/>
    <col min="19" max="19" width="11.85546875" style="10" customWidth="1"/>
    <col min="20" max="20" width="31.85546875" style="9" customWidth="1"/>
    <col min="21" max="21" width="36.42578125" style="8" customWidth="1"/>
    <col min="22" max="22" width="39.140625" style="7" customWidth="1"/>
    <col min="23" max="23" width="33.28515625" style="7" customWidth="1"/>
    <col min="24" max="24" width="32" style="4" customWidth="1"/>
    <col min="25" max="25" width="32.28515625" style="4" customWidth="1"/>
    <col min="26" max="26" width="29.5703125" style="4" customWidth="1"/>
    <col min="27" max="27" width="53.7109375" style="7" customWidth="1"/>
    <col min="28" max="28" width="11.28515625" style="6" customWidth="1"/>
    <col min="29" max="29" width="24.7109375" style="227" customWidth="1"/>
    <col min="30" max="30" width="16.42578125" style="4" customWidth="1"/>
    <col min="31" max="31" width="13.140625" style="4" customWidth="1"/>
    <col min="32" max="34" width="10.85546875" style="1" bestFit="1" customWidth="1"/>
    <col min="35" max="35" width="10.42578125" style="1" bestFit="1" customWidth="1"/>
    <col min="36" max="37" width="9.42578125" style="1" bestFit="1" customWidth="1"/>
    <col min="38" max="39" width="10.42578125" style="1" bestFit="1" customWidth="1"/>
    <col min="40" max="41" width="9.42578125" style="1" bestFit="1" customWidth="1"/>
    <col min="42" max="43" width="7.5703125" style="1" bestFit="1" customWidth="1"/>
    <col min="44" max="45" width="8.42578125" style="1" bestFit="1" customWidth="1"/>
    <col min="46" max="49" width="4.42578125" style="1" bestFit="1" customWidth="1"/>
    <col min="50" max="50" width="4" style="1" bestFit="1" customWidth="1"/>
    <col min="51" max="51" width="3.7109375" style="1" bestFit="1" customWidth="1"/>
    <col min="52" max="52" width="4" style="1" bestFit="1" customWidth="1"/>
    <col min="53" max="53" width="3.7109375" style="1" bestFit="1" customWidth="1"/>
    <col min="54" max="55" width="9.42578125" style="1" bestFit="1" customWidth="1"/>
    <col min="56" max="57" width="9" style="1" bestFit="1" customWidth="1"/>
    <col min="58" max="59" width="9.42578125" style="1" bestFit="1" customWidth="1"/>
    <col min="60" max="61" width="13.28515625" style="1" customWidth="1"/>
    <col min="62" max="62" width="16.140625" style="1" customWidth="1"/>
    <col min="63" max="63" width="30.140625" style="1" customWidth="1"/>
    <col min="64" max="64" width="34.28515625" style="1" customWidth="1"/>
    <col min="65" max="65" width="20" style="1" customWidth="1"/>
    <col min="66" max="66" width="20.42578125" style="1" customWidth="1"/>
    <col min="67" max="67" width="25.5703125" style="1" customWidth="1"/>
    <col min="68" max="68" width="33" style="1" customWidth="1"/>
    <col min="69" max="69" width="16.7109375" style="1" customWidth="1"/>
    <col min="70" max="70" width="20.28515625" style="4" customWidth="1"/>
    <col min="71" max="71" width="21.140625" style="3" customWidth="1"/>
    <col min="72" max="72" width="20.5703125" style="3" customWidth="1"/>
    <col min="73" max="73" width="24.42578125" style="2" customWidth="1"/>
    <col min="74" max="74" width="9.140625" style="1" customWidth="1"/>
    <col min="75" max="16384" width="11.42578125" style="1"/>
  </cols>
  <sheetData>
    <row r="1" spans="1:92" ht="15.75" x14ac:dyDescent="0.25">
      <c r="A1" s="2601" t="s">
        <v>140</v>
      </c>
      <c r="B1" s="2602"/>
      <c r="C1" s="2602"/>
      <c r="D1" s="2602"/>
      <c r="E1" s="2602"/>
      <c r="F1" s="2602"/>
      <c r="G1" s="2602"/>
      <c r="H1" s="2602"/>
      <c r="I1" s="2602"/>
      <c r="J1" s="2602"/>
      <c r="K1" s="2602"/>
      <c r="L1" s="2602"/>
      <c r="M1" s="2602"/>
      <c r="N1" s="2602"/>
      <c r="O1" s="2602"/>
      <c r="P1" s="2602"/>
      <c r="Q1" s="2602"/>
      <c r="R1" s="2602"/>
      <c r="S1" s="2602"/>
      <c r="T1" s="2602"/>
      <c r="U1" s="2602"/>
      <c r="V1" s="2602"/>
      <c r="W1" s="2602"/>
      <c r="X1" s="2602"/>
      <c r="Y1" s="2602"/>
      <c r="Z1" s="2602"/>
      <c r="AA1" s="2602"/>
      <c r="AB1" s="2602"/>
      <c r="AC1" s="2602"/>
      <c r="AD1" s="2602"/>
      <c r="AE1" s="2602"/>
      <c r="AF1" s="2602"/>
      <c r="AG1" s="2602"/>
      <c r="AH1" s="2602"/>
      <c r="AI1" s="2602"/>
      <c r="AJ1" s="2602"/>
      <c r="AK1" s="2602"/>
      <c r="AL1" s="2602"/>
      <c r="AM1" s="2602"/>
      <c r="AN1" s="2602"/>
      <c r="AO1" s="2602"/>
      <c r="AP1" s="2602"/>
      <c r="AQ1" s="2602"/>
      <c r="AR1" s="2602"/>
      <c r="AS1" s="2602"/>
      <c r="AT1" s="2602"/>
      <c r="AU1" s="2602"/>
      <c r="AV1" s="2602"/>
      <c r="AW1" s="2602"/>
      <c r="AX1" s="2602"/>
      <c r="AY1" s="2602"/>
      <c r="AZ1" s="2602"/>
      <c r="BA1" s="2602"/>
      <c r="BB1" s="2602"/>
      <c r="BC1" s="2602"/>
      <c r="BD1" s="2602"/>
      <c r="BE1" s="2602"/>
      <c r="BF1" s="2602"/>
      <c r="BG1" s="2602"/>
      <c r="BH1" s="2602"/>
      <c r="BI1" s="2602"/>
      <c r="BJ1" s="2602"/>
      <c r="BK1" s="2602"/>
      <c r="BL1" s="2602"/>
      <c r="BM1" s="2602"/>
      <c r="BN1" s="2602"/>
      <c r="BO1" s="2602"/>
      <c r="BP1" s="2602"/>
      <c r="BQ1" s="2602"/>
      <c r="BR1" s="2602"/>
      <c r="BS1" s="2603"/>
      <c r="BT1" s="158" t="s">
        <v>138</v>
      </c>
      <c r="BU1" s="148" t="s">
        <v>137</v>
      </c>
      <c r="BV1" s="4"/>
      <c r="BW1" s="4"/>
      <c r="BX1" s="4"/>
      <c r="BY1" s="4"/>
      <c r="BZ1" s="4"/>
      <c r="CA1" s="4"/>
      <c r="CB1" s="4"/>
      <c r="CC1" s="4"/>
      <c r="CD1" s="4"/>
      <c r="CE1" s="4"/>
      <c r="CF1" s="4"/>
      <c r="CG1" s="4"/>
      <c r="CH1" s="4"/>
      <c r="CI1" s="4"/>
      <c r="CJ1" s="4"/>
      <c r="CK1" s="4"/>
      <c r="CL1" s="4"/>
      <c r="CM1" s="4"/>
      <c r="CN1" s="4"/>
    </row>
    <row r="2" spans="1:92" ht="15.75" x14ac:dyDescent="0.25">
      <c r="A2" s="2602"/>
      <c r="B2" s="2602"/>
      <c r="C2" s="2602"/>
      <c r="D2" s="2602"/>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c r="BD2" s="2602"/>
      <c r="BE2" s="2602"/>
      <c r="BF2" s="2602"/>
      <c r="BG2" s="2602"/>
      <c r="BH2" s="2602"/>
      <c r="BI2" s="2602"/>
      <c r="BJ2" s="2602"/>
      <c r="BK2" s="2602"/>
      <c r="BL2" s="2602"/>
      <c r="BM2" s="2602"/>
      <c r="BN2" s="2602"/>
      <c r="BO2" s="2602"/>
      <c r="BP2" s="2602"/>
      <c r="BQ2" s="2602"/>
      <c r="BR2" s="2602"/>
      <c r="BS2" s="2603"/>
      <c r="BT2" s="158" t="s">
        <v>136</v>
      </c>
      <c r="BU2" s="159">
        <v>8</v>
      </c>
      <c r="BV2" s="4"/>
      <c r="BW2" s="4"/>
      <c r="BX2" s="4"/>
      <c r="BY2" s="4"/>
      <c r="BZ2" s="4"/>
      <c r="CA2" s="4"/>
      <c r="CB2" s="4"/>
      <c r="CC2" s="4"/>
      <c r="CD2" s="4"/>
      <c r="CE2" s="4"/>
      <c r="CF2" s="4"/>
      <c r="CG2" s="4"/>
      <c r="CH2" s="4"/>
      <c r="CI2" s="4"/>
      <c r="CJ2" s="4"/>
      <c r="CK2" s="4"/>
      <c r="CL2" s="4"/>
      <c r="CM2" s="4"/>
      <c r="CN2" s="4"/>
    </row>
    <row r="3" spans="1:92" ht="15.75" x14ac:dyDescent="0.25">
      <c r="A3" s="2602"/>
      <c r="B3" s="2602"/>
      <c r="C3" s="2602"/>
      <c r="D3" s="2602"/>
      <c r="E3" s="2602"/>
      <c r="F3" s="2602"/>
      <c r="G3" s="2602"/>
      <c r="H3" s="2602"/>
      <c r="I3" s="2602"/>
      <c r="J3" s="2602"/>
      <c r="K3" s="2602"/>
      <c r="L3" s="2602"/>
      <c r="M3" s="2602"/>
      <c r="N3" s="2602"/>
      <c r="O3" s="2602"/>
      <c r="P3" s="2602"/>
      <c r="Q3" s="2602"/>
      <c r="R3" s="2602"/>
      <c r="S3" s="2602"/>
      <c r="T3" s="2602"/>
      <c r="U3" s="2602"/>
      <c r="V3" s="2602"/>
      <c r="W3" s="2602"/>
      <c r="X3" s="2602"/>
      <c r="Y3" s="2602"/>
      <c r="Z3" s="2602"/>
      <c r="AA3" s="2602"/>
      <c r="AB3" s="2602"/>
      <c r="AC3" s="2602"/>
      <c r="AD3" s="2602"/>
      <c r="AE3" s="2602"/>
      <c r="AF3" s="2602"/>
      <c r="AG3" s="2602"/>
      <c r="AH3" s="2602"/>
      <c r="AI3" s="2602"/>
      <c r="AJ3" s="2602"/>
      <c r="AK3" s="2602"/>
      <c r="AL3" s="2602"/>
      <c r="AM3" s="2602"/>
      <c r="AN3" s="2602"/>
      <c r="AO3" s="2602"/>
      <c r="AP3" s="2602"/>
      <c r="AQ3" s="2602"/>
      <c r="AR3" s="2602"/>
      <c r="AS3" s="2602"/>
      <c r="AT3" s="2602"/>
      <c r="AU3" s="2602"/>
      <c r="AV3" s="2602"/>
      <c r="AW3" s="2602"/>
      <c r="AX3" s="2602"/>
      <c r="AY3" s="2602"/>
      <c r="AZ3" s="2602"/>
      <c r="BA3" s="2602"/>
      <c r="BB3" s="2602"/>
      <c r="BC3" s="2602"/>
      <c r="BD3" s="2602"/>
      <c r="BE3" s="2602"/>
      <c r="BF3" s="2602"/>
      <c r="BG3" s="2602"/>
      <c r="BH3" s="2602"/>
      <c r="BI3" s="2602"/>
      <c r="BJ3" s="2602"/>
      <c r="BK3" s="2602"/>
      <c r="BL3" s="2602"/>
      <c r="BM3" s="2602"/>
      <c r="BN3" s="2602"/>
      <c r="BO3" s="2602"/>
      <c r="BP3" s="2602"/>
      <c r="BQ3" s="2602"/>
      <c r="BR3" s="2602"/>
      <c r="BS3" s="2603"/>
      <c r="BT3" s="158" t="s">
        <v>134</v>
      </c>
      <c r="BU3" s="149">
        <v>44266</v>
      </c>
      <c r="BV3" s="4"/>
      <c r="BW3" s="4"/>
      <c r="BX3" s="4"/>
      <c r="BY3" s="4"/>
      <c r="BZ3" s="4"/>
      <c r="CA3" s="4"/>
      <c r="CB3" s="4"/>
      <c r="CC3" s="4"/>
      <c r="CD3" s="4"/>
      <c r="CE3" s="4"/>
      <c r="CF3" s="4"/>
      <c r="CG3" s="4"/>
      <c r="CH3" s="4"/>
      <c r="CI3" s="4"/>
      <c r="CJ3" s="4"/>
      <c r="CK3" s="4"/>
      <c r="CL3" s="4"/>
      <c r="CM3" s="4"/>
      <c r="CN3" s="4"/>
    </row>
    <row r="4" spans="1:92" ht="15.75" x14ac:dyDescent="0.25">
      <c r="A4" s="2604"/>
      <c r="B4" s="2604"/>
      <c r="C4" s="2604"/>
      <c r="D4" s="2604"/>
      <c r="E4" s="2604"/>
      <c r="F4" s="2604"/>
      <c r="G4" s="2604"/>
      <c r="H4" s="2604"/>
      <c r="I4" s="2604"/>
      <c r="J4" s="2604"/>
      <c r="K4" s="2604"/>
      <c r="L4" s="2604"/>
      <c r="M4" s="2604"/>
      <c r="N4" s="2604"/>
      <c r="O4" s="2604"/>
      <c r="P4" s="2604"/>
      <c r="Q4" s="2604"/>
      <c r="R4" s="2604"/>
      <c r="S4" s="2604"/>
      <c r="T4" s="2604"/>
      <c r="U4" s="2604"/>
      <c r="V4" s="2604"/>
      <c r="W4" s="2604"/>
      <c r="X4" s="2604"/>
      <c r="Y4" s="2604"/>
      <c r="Z4" s="2604"/>
      <c r="AA4" s="2604"/>
      <c r="AB4" s="2604"/>
      <c r="AC4" s="2604"/>
      <c r="AD4" s="2604"/>
      <c r="AE4" s="2604"/>
      <c r="AF4" s="2604"/>
      <c r="AG4" s="2604"/>
      <c r="AH4" s="2604"/>
      <c r="AI4" s="2604"/>
      <c r="AJ4" s="2604"/>
      <c r="AK4" s="2604"/>
      <c r="AL4" s="2604"/>
      <c r="AM4" s="2604"/>
      <c r="AN4" s="2604"/>
      <c r="AO4" s="2604"/>
      <c r="AP4" s="2604"/>
      <c r="AQ4" s="2604"/>
      <c r="AR4" s="2604"/>
      <c r="AS4" s="2604"/>
      <c r="AT4" s="2604"/>
      <c r="AU4" s="2604"/>
      <c r="AV4" s="2604"/>
      <c r="AW4" s="2604"/>
      <c r="AX4" s="2604"/>
      <c r="AY4" s="2604"/>
      <c r="AZ4" s="2604"/>
      <c r="BA4" s="2604"/>
      <c r="BB4" s="2604"/>
      <c r="BC4" s="2604"/>
      <c r="BD4" s="2604"/>
      <c r="BE4" s="2604"/>
      <c r="BF4" s="2604"/>
      <c r="BG4" s="2604"/>
      <c r="BH4" s="2604"/>
      <c r="BI4" s="2604"/>
      <c r="BJ4" s="2604"/>
      <c r="BK4" s="2604"/>
      <c r="BL4" s="2604"/>
      <c r="BM4" s="2604"/>
      <c r="BN4" s="2604"/>
      <c r="BO4" s="2604"/>
      <c r="BP4" s="2604"/>
      <c r="BQ4" s="2604"/>
      <c r="BR4" s="2604"/>
      <c r="BS4" s="2605"/>
      <c r="BT4" s="158" t="s">
        <v>133</v>
      </c>
      <c r="BU4" s="147" t="s">
        <v>132</v>
      </c>
      <c r="BV4" s="4"/>
      <c r="BW4" s="4"/>
      <c r="BX4" s="4"/>
      <c r="BY4" s="4"/>
      <c r="BZ4" s="4"/>
      <c r="CA4" s="4"/>
      <c r="CB4" s="4"/>
      <c r="CC4" s="4"/>
      <c r="CD4" s="4"/>
      <c r="CE4" s="4"/>
      <c r="CF4" s="4"/>
      <c r="CG4" s="4"/>
      <c r="CH4" s="4"/>
      <c r="CI4" s="4"/>
      <c r="CJ4" s="4"/>
      <c r="CK4" s="4"/>
      <c r="CL4" s="4"/>
      <c r="CM4" s="4"/>
      <c r="CN4" s="4"/>
    </row>
    <row r="5" spans="1:92" ht="15.75" x14ac:dyDescent="0.25">
      <c r="A5" s="2633" t="s">
        <v>141</v>
      </c>
      <c r="B5" s="2606"/>
      <c r="C5" s="2606"/>
      <c r="D5" s="2606"/>
      <c r="E5" s="2606"/>
      <c r="F5" s="2606"/>
      <c r="G5" s="2606"/>
      <c r="H5" s="2606"/>
      <c r="I5" s="2606"/>
      <c r="J5" s="2606"/>
      <c r="K5" s="2606"/>
      <c r="L5" s="2606"/>
      <c r="M5" s="2606"/>
      <c r="N5" s="2606"/>
      <c r="O5" s="2606"/>
      <c r="P5" s="2634"/>
      <c r="Q5" s="2636"/>
      <c r="R5" s="2608"/>
      <c r="S5" s="2608"/>
      <c r="T5" s="2608"/>
      <c r="U5" s="2608"/>
      <c r="V5" s="2608"/>
      <c r="W5" s="2608"/>
      <c r="X5" s="2608"/>
      <c r="Y5" s="2608"/>
      <c r="Z5" s="2608"/>
      <c r="AA5" s="2608"/>
      <c r="AB5" s="2608"/>
      <c r="AC5" s="2608"/>
      <c r="AD5" s="2608"/>
      <c r="AE5" s="2608"/>
      <c r="AF5" s="2608"/>
      <c r="AG5" s="2608"/>
      <c r="AH5" s="2608"/>
      <c r="AI5" s="2608"/>
      <c r="AJ5" s="2608"/>
      <c r="AK5" s="2608"/>
      <c r="AL5" s="2608"/>
      <c r="AM5" s="2608"/>
      <c r="AN5" s="2608"/>
      <c r="AO5" s="2608"/>
      <c r="AP5" s="2608"/>
      <c r="AQ5" s="2608"/>
      <c r="AR5" s="2608"/>
      <c r="AS5" s="2608"/>
      <c r="AT5" s="2608"/>
      <c r="AU5" s="2608"/>
      <c r="AV5" s="2608"/>
      <c r="AW5" s="2608"/>
      <c r="AX5" s="2608"/>
      <c r="AY5" s="2608"/>
      <c r="AZ5" s="2608"/>
      <c r="BA5" s="2608"/>
      <c r="BB5" s="2608"/>
      <c r="BC5" s="2608"/>
      <c r="BD5" s="2608"/>
      <c r="BE5" s="2608"/>
      <c r="BF5" s="2608"/>
      <c r="BG5" s="2608"/>
      <c r="BH5" s="2608"/>
      <c r="BI5" s="2608"/>
      <c r="BJ5" s="2608"/>
      <c r="BK5" s="2608"/>
      <c r="BL5" s="2608"/>
      <c r="BM5" s="2608"/>
      <c r="BN5" s="2608"/>
      <c r="BO5" s="2608"/>
      <c r="BP5" s="2608"/>
      <c r="BQ5" s="2608"/>
      <c r="BR5" s="2608"/>
      <c r="BS5" s="2608"/>
      <c r="BT5" s="2608"/>
      <c r="BU5" s="2608"/>
      <c r="BV5" s="4"/>
      <c r="BW5" s="4"/>
      <c r="BX5" s="4"/>
      <c r="BY5" s="4"/>
      <c r="BZ5" s="4"/>
      <c r="CA5" s="4"/>
      <c r="CB5" s="4"/>
      <c r="CC5" s="4"/>
      <c r="CD5" s="4"/>
      <c r="CE5" s="4"/>
      <c r="CF5" s="4"/>
      <c r="CG5" s="4"/>
      <c r="CH5" s="4"/>
      <c r="CI5" s="4"/>
      <c r="CJ5" s="4"/>
      <c r="CK5" s="4"/>
      <c r="CL5" s="4"/>
      <c r="CM5" s="4"/>
      <c r="CN5" s="4"/>
    </row>
    <row r="6" spans="1:92" ht="15.75" x14ac:dyDescent="0.25">
      <c r="A6" s="2635"/>
      <c r="B6" s="2604"/>
      <c r="C6" s="2604"/>
      <c r="D6" s="2604"/>
      <c r="E6" s="2604"/>
      <c r="F6" s="2604"/>
      <c r="G6" s="2604"/>
      <c r="H6" s="2604"/>
      <c r="I6" s="2604"/>
      <c r="J6" s="2604"/>
      <c r="K6" s="2604"/>
      <c r="L6" s="2604"/>
      <c r="M6" s="2604"/>
      <c r="N6" s="2604"/>
      <c r="O6" s="2604"/>
      <c r="P6" s="2605"/>
      <c r="Q6" s="142"/>
      <c r="R6" s="143"/>
      <c r="S6" s="142"/>
      <c r="T6" s="142"/>
      <c r="U6" s="143"/>
      <c r="V6" s="143"/>
      <c r="W6" s="143"/>
      <c r="X6" s="142"/>
      <c r="Y6" s="142"/>
      <c r="Z6" s="142"/>
      <c r="AA6" s="143"/>
      <c r="AB6" s="142"/>
      <c r="AC6" s="143"/>
      <c r="AD6" s="2609" t="s">
        <v>130</v>
      </c>
      <c r="AE6" s="2602"/>
      <c r="AF6" s="2602"/>
      <c r="AG6" s="2602"/>
      <c r="AH6" s="2602"/>
      <c r="AI6" s="2602"/>
      <c r="AJ6" s="2602"/>
      <c r="AK6" s="2602"/>
      <c r="AL6" s="2602"/>
      <c r="AM6" s="2602"/>
      <c r="AN6" s="2602"/>
      <c r="AO6" s="2602"/>
      <c r="AP6" s="2602"/>
      <c r="AQ6" s="2602"/>
      <c r="AR6" s="2602"/>
      <c r="AS6" s="2602"/>
      <c r="AT6" s="2602"/>
      <c r="AU6" s="2602"/>
      <c r="AV6" s="2602"/>
      <c r="AW6" s="2602"/>
      <c r="AX6" s="2602"/>
      <c r="AY6" s="2602"/>
      <c r="AZ6" s="2602"/>
      <c r="BA6" s="2602"/>
      <c r="BB6" s="2602"/>
      <c r="BC6" s="2602"/>
      <c r="BD6" s="2602"/>
      <c r="BE6" s="2602"/>
      <c r="BF6" s="2603"/>
      <c r="BG6" s="142"/>
      <c r="BH6" s="142"/>
      <c r="BI6" s="142"/>
      <c r="BJ6" s="142"/>
      <c r="BK6" s="142"/>
      <c r="BL6" s="142"/>
      <c r="BM6" s="142"/>
      <c r="BN6" s="142"/>
      <c r="BO6" s="142"/>
      <c r="BP6" s="142"/>
      <c r="BQ6" s="142"/>
      <c r="BR6" s="22"/>
      <c r="BS6" s="142"/>
      <c r="BT6" s="161"/>
      <c r="BU6" s="141"/>
      <c r="BV6" s="4"/>
      <c r="BW6" s="4"/>
      <c r="BX6" s="4"/>
      <c r="BY6" s="4"/>
      <c r="BZ6" s="4"/>
      <c r="CA6" s="4"/>
      <c r="CB6" s="4"/>
      <c r="CC6" s="4"/>
      <c r="CD6" s="4"/>
      <c r="CE6" s="4"/>
      <c r="CF6" s="4"/>
      <c r="CG6" s="4"/>
      <c r="CH6" s="4"/>
      <c r="CI6" s="4"/>
      <c r="CJ6" s="4"/>
      <c r="CK6" s="4"/>
      <c r="CL6" s="4"/>
      <c r="CM6" s="4"/>
      <c r="CN6" s="4"/>
    </row>
    <row r="7" spans="1:92" ht="15.75" customHeight="1" x14ac:dyDescent="0.25">
      <c r="A7" s="2610" t="s">
        <v>129</v>
      </c>
      <c r="B7" s="2610"/>
      <c r="C7" s="2610" t="s">
        <v>128</v>
      </c>
      <c r="D7" s="2610"/>
      <c r="E7" s="2610" t="s">
        <v>127</v>
      </c>
      <c r="F7" s="2610"/>
      <c r="G7" s="2610" t="s">
        <v>126</v>
      </c>
      <c r="H7" s="2610"/>
      <c r="I7" s="2610"/>
      <c r="J7" s="2610"/>
      <c r="K7" s="2610" t="s">
        <v>125</v>
      </c>
      <c r="L7" s="2610"/>
      <c r="M7" s="2610"/>
      <c r="N7" s="2639"/>
      <c r="O7" s="2888" t="s">
        <v>124</v>
      </c>
      <c r="P7" s="2888"/>
      <c r="Q7" s="2888"/>
      <c r="R7" s="2888"/>
      <c r="S7" s="2888"/>
      <c r="T7" s="2888"/>
      <c r="U7" s="2888"/>
      <c r="V7" s="2888"/>
      <c r="W7" s="2888"/>
      <c r="X7" s="2888"/>
      <c r="Y7" s="162"/>
      <c r="Z7" s="162"/>
      <c r="AA7" s="2610" t="s">
        <v>123</v>
      </c>
      <c r="AB7" s="2610"/>
      <c r="AC7" s="2610"/>
      <c r="AD7" s="2892" t="s">
        <v>122</v>
      </c>
      <c r="AE7" s="2892"/>
      <c r="AF7" s="2892"/>
      <c r="AG7" s="2892"/>
      <c r="AH7" s="2618" t="s">
        <v>121</v>
      </c>
      <c r="AI7" s="2618"/>
      <c r="AJ7" s="2618"/>
      <c r="AK7" s="2618"/>
      <c r="AL7" s="2618"/>
      <c r="AM7" s="2618"/>
      <c r="AN7" s="2618"/>
      <c r="AO7" s="2618"/>
      <c r="AP7" s="2617" t="s">
        <v>120</v>
      </c>
      <c r="AQ7" s="2617"/>
      <c r="AR7" s="2617"/>
      <c r="AS7" s="2617"/>
      <c r="AT7" s="2617"/>
      <c r="AU7" s="2617"/>
      <c r="AV7" s="2617"/>
      <c r="AW7" s="2617"/>
      <c r="AX7" s="2617"/>
      <c r="AY7" s="2617"/>
      <c r="AZ7" s="2617"/>
      <c r="BA7" s="2617"/>
      <c r="BB7" s="2618" t="s">
        <v>119</v>
      </c>
      <c r="BC7" s="2618"/>
      <c r="BD7" s="2618"/>
      <c r="BE7" s="2618"/>
      <c r="BF7" s="2618"/>
      <c r="BG7" s="2618"/>
      <c r="BH7" s="2619" t="s">
        <v>118</v>
      </c>
      <c r="BI7" s="2619"/>
      <c r="BJ7" s="2889" t="s">
        <v>117</v>
      </c>
      <c r="BK7" s="2889"/>
      <c r="BL7" s="2889"/>
      <c r="BM7" s="2889"/>
      <c r="BN7" s="2889"/>
      <c r="BO7" s="2889"/>
      <c r="BP7" s="2889"/>
      <c r="BQ7" s="2593" t="s">
        <v>116</v>
      </c>
      <c r="BR7" s="2593"/>
      <c r="BS7" s="2890" t="s">
        <v>115</v>
      </c>
      <c r="BT7" s="2890"/>
      <c r="BU7" s="2891" t="s">
        <v>114</v>
      </c>
      <c r="BV7" s="4"/>
      <c r="BW7" s="4"/>
      <c r="BX7" s="4"/>
      <c r="BY7" s="4"/>
      <c r="BZ7" s="4"/>
      <c r="CA7" s="4"/>
      <c r="CB7" s="4"/>
      <c r="CC7" s="4"/>
      <c r="CD7" s="4"/>
      <c r="CE7" s="4"/>
      <c r="CF7" s="4"/>
      <c r="CG7" s="4"/>
      <c r="CH7" s="4"/>
      <c r="CI7" s="4"/>
      <c r="CJ7" s="4"/>
      <c r="CK7" s="4"/>
      <c r="CL7" s="4"/>
      <c r="CM7" s="4"/>
      <c r="CN7" s="4"/>
    </row>
    <row r="8" spans="1:92" ht="132.75" customHeight="1" x14ac:dyDescent="0.25">
      <c r="A8" s="2593" t="s">
        <v>71</v>
      </c>
      <c r="B8" s="2593" t="s">
        <v>70</v>
      </c>
      <c r="C8" s="2593" t="s">
        <v>71</v>
      </c>
      <c r="D8" s="2593" t="s">
        <v>70</v>
      </c>
      <c r="E8" s="2593" t="s">
        <v>71</v>
      </c>
      <c r="F8" s="2593" t="s">
        <v>70</v>
      </c>
      <c r="G8" s="2593" t="s">
        <v>110</v>
      </c>
      <c r="H8" s="2593" t="s">
        <v>113</v>
      </c>
      <c r="I8" s="2593" t="s">
        <v>112</v>
      </c>
      <c r="J8" s="2593" t="s">
        <v>142</v>
      </c>
      <c r="K8" s="2593" t="s">
        <v>110</v>
      </c>
      <c r="L8" s="2593" t="s">
        <v>109</v>
      </c>
      <c r="M8" s="2593" t="s">
        <v>108</v>
      </c>
      <c r="N8" s="2886" t="s">
        <v>107</v>
      </c>
      <c r="O8" s="2887" t="s">
        <v>106</v>
      </c>
      <c r="P8" s="2887"/>
      <c r="Q8" s="2593" t="s">
        <v>105</v>
      </c>
      <c r="R8" s="2884" t="s">
        <v>104</v>
      </c>
      <c r="S8" s="2593" t="s">
        <v>103</v>
      </c>
      <c r="T8" s="2593" t="s">
        <v>102</v>
      </c>
      <c r="U8" s="2884" t="s">
        <v>101</v>
      </c>
      <c r="V8" s="2884" t="s">
        <v>100</v>
      </c>
      <c r="W8" s="2884" t="s">
        <v>99</v>
      </c>
      <c r="X8" s="2594" t="s">
        <v>98</v>
      </c>
      <c r="Y8" s="2594"/>
      <c r="Z8" s="2594"/>
      <c r="AA8" s="2884" t="s">
        <v>97</v>
      </c>
      <c r="AB8" s="2593" t="s">
        <v>96</v>
      </c>
      <c r="AC8" s="2884" t="s">
        <v>70</v>
      </c>
      <c r="AD8" s="2885" t="s">
        <v>95</v>
      </c>
      <c r="AE8" s="2885"/>
      <c r="AF8" s="2592" t="s">
        <v>94</v>
      </c>
      <c r="AG8" s="2592"/>
      <c r="AH8" s="2592" t="s">
        <v>93</v>
      </c>
      <c r="AI8" s="2592"/>
      <c r="AJ8" s="2592" t="s">
        <v>92</v>
      </c>
      <c r="AK8" s="2592"/>
      <c r="AL8" s="2597" t="s">
        <v>91</v>
      </c>
      <c r="AM8" s="2598"/>
      <c r="AN8" s="2592" t="s">
        <v>90</v>
      </c>
      <c r="AO8" s="2592"/>
      <c r="AP8" s="2592" t="s">
        <v>89</v>
      </c>
      <c r="AQ8" s="2592"/>
      <c r="AR8" s="2592" t="s">
        <v>88</v>
      </c>
      <c r="AS8" s="2592"/>
      <c r="AT8" s="2592" t="s">
        <v>87</v>
      </c>
      <c r="AU8" s="2592"/>
      <c r="AV8" s="2592" t="s">
        <v>86</v>
      </c>
      <c r="AW8" s="2592"/>
      <c r="AX8" s="2592" t="s">
        <v>85</v>
      </c>
      <c r="AY8" s="2592"/>
      <c r="AZ8" s="2592" t="s">
        <v>84</v>
      </c>
      <c r="BA8" s="2592"/>
      <c r="BB8" s="2592" t="s">
        <v>83</v>
      </c>
      <c r="BC8" s="2592"/>
      <c r="BD8" s="2592" t="s">
        <v>82</v>
      </c>
      <c r="BE8" s="2592"/>
      <c r="BF8" s="2592" t="s">
        <v>81</v>
      </c>
      <c r="BG8" s="2592"/>
      <c r="BH8" s="2619"/>
      <c r="BI8" s="2619"/>
      <c r="BJ8" s="2584" t="s">
        <v>80</v>
      </c>
      <c r="BK8" s="2583" t="s">
        <v>79</v>
      </c>
      <c r="BL8" s="2584" t="s">
        <v>78</v>
      </c>
      <c r="BM8" s="2585" t="s">
        <v>77</v>
      </c>
      <c r="BN8" s="2586" t="s">
        <v>76</v>
      </c>
      <c r="BO8" s="2587"/>
      <c r="BP8" s="2584" t="s">
        <v>75</v>
      </c>
      <c r="BQ8" s="2593"/>
      <c r="BR8" s="2593"/>
      <c r="BS8" s="2890"/>
      <c r="BT8" s="2890"/>
      <c r="BU8" s="2891"/>
      <c r="BV8" s="4"/>
      <c r="BW8" s="4"/>
      <c r="BX8" s="4"/>
      <c r="BY8" s="4"/>
      <c r="BZ8" s="4"/>
      <c r="CA8" s="4"/>
      <c r="CB8" s="4"/>
      <c r="CC8" s="4"/>
      <c r="CD8" s="4"/>
      <c r="CE8" s="4"/>
      <c r="CF8" s="4"/>
      <c r="CG8" s="4"/>
      <c r="CH8" s="4"/>
      <c r="CI8" s="4"/>
      <c r="CJ8" s="4"/>
      <c r="CK8" s="4"/>
      <c r="CL8" s="4"/>
      <c r="CM8" s="4"/>
      <c r="CN8" s="4"/>
    </row>
    <row r="9" spans="1:92" ht="15.75" x14ac:dyDescent="0.25">
      <c r="A9" s="2593"/>
      <c r="B9" s="2593"/>
      <c r="C9" s="2593"/>
      <c r="D9" s="2593"/>
      <c r="E9" s="2593"/>
      <c r="F9" s="2593"/>
      <c r="G9" s="2593"/>
      <c r="H9" s="2593"/>
      <c r="I9" s="2593"/>
      <c r="J9" s="2593"/>
      <c r="K9" s="2593"/>
      <c r="L9" s="2593"/>
      <c r="M9" s="2593"/>
      <c r="N9" s="2886"/>
      <c r="O9" s="131" t="s">
        <v>69</v>
      </c>
      <c r="P9" s="131" t="s">
        <v>68</v>
      </c>
      <c r="Q9" s="2593"/>
      <c r="R9" s="2884"/>
      <c r="S9" s="2593"/>
      <c r="T9" s="2593"/>
      <c r="U9" s="2884"/>
      <c r="V9" s="2884"/>
      <c r="W9" s="2884"/>
      <c r="X9" s="163" t="s">
        <v>74</v>
      </c>
      <c r="Y9" s="163" t="s">
        <v>73</v>
      </c>
      <c r="Z9" s="163" t="s">
        <v>72</v>
      </c>
      <c r="AA9" s="2884"/>
      <c r="AB9" s="2593"/>
      <c r="AC9" s="2884"/>
      <c r="AD9" s="131" t="s">
        <v>69</v>
      </c>
      <c r="AE9" s="131" t="s">
        <v>68</v>
      </c>
      <c r="AF9" s="131" t="s">
        <v>69</v>
      </c>
      <c r="AG9" s="131" t="s">
        <v>68</v>
      </c>
      <c r="AH9" s="131" t="s">
        <v>69</v>
      </c>
      <c r="AI9" s="131" t="s">
        <v>68</v>
      </c>
      <c r="AJ9" s="131" t="s">
        <v>69</v>
      </c>
      <c r="AK9" s="131" t="s">
        <v>68</v>
      </c>
      <c r="AL9" s="131" t="s">
        <v>69</v>
      </c>
      <c r="AM9" s="131" t="s">
        <v>68</v>
      </c>
      <c r="AN9" s="131" t="s">
        <v>69</v>
      </c>
      <c r="AO9" s="131" t="s">
        <v>68</v>
      </c>
      <c r="AP9" s="131" t="s">
        <v>69</v>
      </c>
      <c r="AQ9" s="131" t="s">
        <v>68</v>
      </c>
      <c r="AR9" s="131" t="s">
        <v>69</v>
      </c>
      <c r="AS9" s="131" t="s">
        <v>68</v>
      </c>
      <c r="AT9" s="131" t="s">
        <v>69</v>
      </c>
      <c r="AU9" s="131" t="s">
        <v>68</v>
      </c>
      <c r="AV9" s="131" t="s">
        <v>69</v>
      </c>
      <c r="AW9" s="131" t="s">
        <v>68</v>
      </c>
      <c r="AX9" s="131" t="s">
        <v>69</v>
      </c>
      <c r="AY9" s="131" t="s">
        <v>68</v>
      </c>
      <c r="AZ9" s="131" t="s">
        <v>69</v>
      </c>
      <c r="BA9" s="131" t="s">
        <v>68</v>
      </c>
      <c r="BB9" s="131" t="s">
        <v>69</v>
      </c>
      <c r="BC9" s="131" t="s">
        <v>68</v>
      </c>
      <c r="BD9" s="131" t="s">
        <v>69</v>
      </c>
      <c r="BE9" s="131" t="s">
        <v>68</v>
      </c>
      <c r="BF9" s="131" t="s">
        <v>69</v>
      </c>
      <c r="BG9" s="131" t="s">
        <v>68</v>
      </c>
      <c r="BH9" s="131" t="s">
        <v>69</v>
      </c>
      <c r="BI9" s="131" t="s">
        <v>68</v>
      </c>
      <c r="BJ9" s="2584"/>
      <c r="BK9" s="2583"/>
      <c r="BL9" s="2584"/>
      <c r="BM9" s="2585"/>
      <c r="BN9" s="130" t="s">
        <v>71</v>
      </c>
      <c r="BO9" s="135" t="s">
        <v>70</v>
      </c>
      <c r="BP9" s="2584"/>
      <c r="BQ9" s="128" t="s">
        <v>69</v>
      </c>
      <c r="BR9" s="128" t="s">
        <v>68</v>
      </c>
      <c r="BS9" s="128" t="s">
        <v>69</v>
      </c>
      <c r="BT9" s="128" t="s">
        <v>68</v>
      </c>
      <c r="BU9" s="2891"/>
      <c r="BV9" s="4"/>
      <c r="BW9" s="4"/>
      <c r="BX9" s="4"/>
      <c r="BY9" s="4"/>
      <c r="BZ9" s="4"/>
      <c r="CA9" s="4"/>
      <c r="CB9" s="4"/>
      <c r="CC9" s="4"/>
      <c r="CD9" s="4"/>
      <c r="CE9" s="4"/>
      <c r="CF9" s="4"/>
      <c r="CG9" s="4"/>
      <c r="CH9" s="4"/>
      <c r="CI9" s="4"/>
      <c r="CJ9" s="4"/>
      <c r="CK9" s="4"/>
      <c r="CL9" s="4"/>
      <c r="CM9" s="4"/>
      <c r="CN9" s="4"/>
    </row>
    <row r="10" spans="1:92" s="14" customFormat="1" ht="15.75" x14ac:dyDescent="0.25">
      <c r="A10" s="164">
        <v>4</v>
      </c>
      <c r="B10" s="2876" t="s">
        <v>67</v>
      </c>
      <c r="C10" s="2876"/>
      <c r="D10" s="2876"/>
      <c r="E10" s="2876"/>
      <c r="F10" s="2876"/>
      <c r="G10" s="2876"/>
      <c r="H10" s="2876"/>
      <c r="I10" s="2876"/>
      <c r="J10" s="165"/>
      <c r="K10" s="166"/>
      <c r="L10" s="165"/>
      <c r="M10" s="166"/>
      <c r="N10" s="167"/>
      <c r="O10" s="166"/>
      <c r="P10" s="166"/>
      <c r="Q10" s="166"/>
      <c r="R10" s="165"/>
      <c r="S10" s="168"/>
      <c r="T10" s="169"/>
      <c r="U10" s="170"/>
      <c r="V10" s="165"/>
      <c r="W10" s="165"/>
      <c r="X10" s="166"/>
      <c r="Y10" s="166"/>
      <c r="Z10" s="166"/>
      <c r="AA10" s="165"/>
      <c r="AB10" s="171"/>
      <c r="AC10" s="172"/>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73"/>
      <c r="BT10" s="173"/>
      <c r="BU10" s="173"/>
      <c r="BV10" s="4"/>
      <c r="BW10" s="4"/>
      <c r="BX10" s="4"/>
      <c r="BY10" s="4"/>
      <c r="BZ10" s="4"/>
      <c r="CA10" s="4"/>
      <c r="CB10" s="4"/>
      <c r="CC10" s="4"/>
      <c r="CD10" s="4"/>
      <c r="CE10" s="4"/>
      <c r="CF10" s="4"/>
      <c r="CG10" s="4"/>
      <c r="CH10" s="4"/>
      <c r="CI10" s="4"/>
      <c r="CJ10" s="4"/>
      <c r="CK10" s="4"/>
      <c r="CL10" s="4"/>
    </row>
    <row r="11" spans="1:92" s="25" customFormat="1" ht="15.75" x14ac:dyDescent="0.25">
      <c r="A11" s="174"/>
      <c r="B11" s="175"/>
      <c r="C11" s="176">
        <v>45</v>
      </c>
      <c r="D11" s="2877" t="s">
        <v>66</v>
      </c>
      <c r="E11" s="2878"/>
      <c r="F11" s="2878"/>
      <c r="G11" s="2878"/>
      <c r="H11" s="2878"/>
      <c r="I11" s="2878"/>
      <c r="J11" s="2878"/>
      <c r="K11" s="177"/>
      <c r="L11" s="178"/>
      <c r="M11" s="177"/>
      <c r="N11" s="178"/>
      <c r="O11" s="179"/>
      <c r="P11" s="179"/>
      <c r="Q11" s="179"/>
      <c r="R11" s="180"/>
      <c r="S11" s="181"/>
      <c r="T11" s="182"/>
      <c r="U11" s="183"/>
      <c r="V11" s="180"/>
      <c r="W11" s="180"/>
      <c r="X11" s="179"/>
      <c r="Y11" s="179"/>
      <c r="Z11" s="179"/>
      <c r="AA11" s="180"/>
      <c r="AB11" s="184"/>
      <c r="AC11" s="185"/>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86"/>
      <c r="BT11" s="186"/>
      <c r="BU11" s="186"/>
      <c r="BV11" s="24"/>
      <c r="BW11" s="24"/>
      <c r="BX11" s="24"/>
      <c r="BY11" s="24"/>
      <c r="BZ11" s="24"/>
      <c r="CA11" s="24"/>
      <c r="CB11" s="24"/>
      <c r="CC11" s="24"/>
      <c r="CD11" s="24"/>
      <c r="CE11" s="24"/>
      <c r="CF11" s="24"/>
      <c r="CG11" s="24"/>
      <c r="CH11" s="24"/>
      <c r="CI11" s="24"/>
      <c r="CJ11" s="24"/>
      <c r="CK11" s="24"/>
      <c r="CL11" s="24"/>
    </row>
    <row r="12" spans="1:92" ht="15.75" x14ac:dyDescent="0.25">
      <c r="A12" s="49"/>
      <c r="B12" s="48"/>
      <c r="C12" s="187"/>
      <c r="D12" s="102"/>
      <c r="E12" s="188">
        <v>4599</v>
      </c>
      <c r="F12" s="2879" t="s">
        <v>143</v>
      </c>
      <c r="G12" s="2880"/>
      <c r="H12" s="2880"/>
      <c r="I12" s="2880"/>
      <c r="J12" s="2880"/>
      <c r="K12" s="2880"/>
      <c r="L12" s="2880"/>
      <c r="M12" s="2880"/>
      <c r="N12" s="2880"/>
      <c r="O12" s="189"/>
      <c r="P12" s="189"/>
      <c r="Q12" s="190"/>
      <c r="R12" s="191"/>
      <c r="S12" s="192"/>
      <c r="T12" s="193"/>
      <c r="U12" s="194"/>
      <c r="V12" s="194"/>
      <c r="W12" s="194"/>
      <c r="X12" s="193"/>
      <c r="Y12" s="193"/>
      <c r="Z12" s="193"/>
      <c r="AA12" s="194"/>
      <c r="AB12" s="195"/>
      <c r="AC12" s="194"/>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6"/>
      <c r="BR12" s="196"/>
      <c r="BS12" s="196"/>
      <c r="BT12" s="196"/>
      <c r="BU12" s="190"/>
      <c r="BV12" s="14"/>
      <c r="BW12" s="21"/>
      <c r="BX12" s="4"/>
      <c r="BY12" s="4"/>
      <c r="BZ12" s="4"/>
      <c r="CA12" s="4"/>
      <c r="CB12" s="4"/>
      <c r="CC12" s="4"/>
      <c r="CD12" s="4"/>
      <c r="CE12" s="4"/>
      <c r="CF12" s="4"/>
      <c r="CG12" s="4"/>
      <c r="CH12" s="4"/>
      <c r="CI12" s="4"/>
      <c r="CJ12" s="4"/>
      <c r="CK12" s="4"/>
      <c r="CL12" s="4"/>
    </row>
    <row r="13" spans="1:92" s="24" customFormat="1" ht="31.5" customHeight="1" x14ac:dyDescent="0.25">
      <c r="A13" s="197"/>
      <c r="B13" s="198"/>
      <c r="C13" s="199"/>
      <c r="D13" s="198"/>
      <c r="E13" s="200"/>
      <c r="F13" s="201"/>
      <c r="G13" s="2550" t="s">
        <v>20</v>
      </c>
      <c r="H13" s="2814" t="s">
        <v>144</v>
      </c>
      <c r="I13" s="2871">
        <v>4599002</v>
      </c>
      <c r="J13" s="2881" t="s">
        <v>47</v>
      </c>
      <c r="K13" s="2871" t="s">
        <v>20</v>
      </c>
      <c r="L13" s="2681" t="s">
        <v>145</v>
      </c>
      <c r="M13" s="2871">
        <v>459900201</v>
      </c>
      <c r="N13" s="2681" t="s">
        <v>146</v>
      </c>
      <c r="O13" s="2874">
        <v>1</v>
      </c>
      <c r="P13" s="2565">
        <v>0.76</v>
      </c>
      <c r="Q13" s="2745" t="s">
        <v>147</v>
      </c>
      <c r="R13" s="2681" t="s">
        <v>148</v>
      </c>
      <c r="S13" s="2865">
        <v>1</v>
      </c>
      <c r="T13" s="2868">
        <f>SUM(X13:X47)</f>
        <v>2485625342.8400002</v>
      </c>
      <c r="U13" s="2529" t="s">
        <v>149</v>
      </c>
      <c r="V13" s="2529" t="s">
        <v>150</v>
      </c>
      <c r="W13" s="2529" t="s">
        <v>151</v>
      </c>
      <c r="X13" s="202">
        <v>250000000</v>
      </c>
      <c r="Y13" s="203">
        <v>0</v>
      </c>
      <c r="Z13" s="203">
        <v>0</v>
      </c>
      <c r="AA13" s="204" t="s">
        <v>152</v>
      </c>
      <c r="AB13" s="205">
        <v>20</v>
      </c>
      <c r="AC13" s="206" t="s">
        <v>1</v>
      </c>
      <c r="AD13" s="2862">
        <v>295972</v>
      </c>
      <c r="AE13" s="2862">
        <v>295972</v>
      </c>
      <c r="AF13" s="2862">
        <v>285580</v>
      </c>
      <c r="AG13" s="2862">
        <v>285580</v>
      </c>
      <c r="AH13" s="2862">
        <v>295976</v>
      </c>
      <c r="AI13" s="2853">
        <v>295976</v>
      </c>
      <c r="AJ13" s="2853">
        <v>44254</v>
      </c>
      <c r="AK13" s="2853">
        <v>44254</v>
      </c>
      <c r="AL13" s="2853">
        <v>309146</v>
      </c>
      <c r="AM13" s="2853">
        <v>309146</v>
      </c>
      <c r="AN13" s="2853">
        <v>92607</v>
      </c>
      <c r="AO13" s="2853">
        <v>92607</v>
      </c>
      <c r="AP13" s="2853">
        <v>2145</v>
      </c>
      <c r="AQ13" s="2853">
        <v>2145</v>
      </c>
      <c r="AR13" s="2853">
        <v>12718</v>
      </c>
      <c r="AS13" s="2853">
        <v>12718</v>
      </c>
      <c r="AT13" s="2853">
        <v>26</v>
      </c>
      <c r="AU13" s="2853">
        <v>26</v>
      </c>
      <c r="AV13" s="2853">
        <v>37</v>
      </c>
      <c r="AW13" s="2853">
        <v>37</v>
      </c>
      <c r="AX13" s="2853" t="s">
        <v>153</v>
      </c>
      <c r="AY13" s="2853"/>
      <c r="AZ13" s="2853" t="s">
        <v>153</v>
      </c>
      <c r="BA13" s="2853"/>
      <c r="BB13" s="2853">
        <v>44350</v>
      </c>
      <c r="BC13" s="2853">
        <v>44350</v>
      </c>
      <c r="BD13" s="2853">
        <v>21944</v>
      </c>
      <c r="BE13" s="2853">
        <v>21944</v>
      </c>
      <c r="BF13" s="2853">
        <v>75687</v>
      </c>
      <c r="BG13" s="2853">
        <v>75687</v>
      </c>
      <c r="BH13" s="2853">
        <v>581552</v>
      </c>
      <c r="BI13" s="2853">
        <f>+AE13+AG13</f>
        <v>581552</v>
      </c>
      <c r="BJ13" s="2853">
        <v>99</v>
      </c>
      <c r="BK13" s="2856">
        <f>SUM(Y13:Y47)</f>
        <v>1884104618.6799998</v>
      </c>
      <c r="BL13" s="2856">
        <f>SUM(Z13:Z47)</f>
        <v>1884104618.6799998</v>
      </c>
      <c r="BM13" s="2859">
        <f>+BL13/BK13</f>
        <v>1</v>
      </c>
      <c r="BN13" s="2853" t="s">
        <v>154</v>
      </c>
      <c r="BO13" s="2838" t="s">
        <v>155</v>
      </c>
      <c r="BP13" s="2841" t="s">
        <v>156</v>
      </c>
      <c r="BQ13" s="2844">
        <v>44201</v>
      </c>
      <c r="BR13" s="2847">
        <v>44228</v>
      </c>
      <c r="BS13" s="2844">
        <v>44560</v>
      </c>
      <c r="BT13" s="2850">
        <v>44558</v>
      </c>
      <c r="BU13" s="2818" t="s">
        <v>157</v>
      </c>
      <c r="BV13" s="25"/>
      <c r="BW13" s="25"/>
    </row>
    <row r="14" spans="1:92" s="24" customFormat="1" ht="30" x14ac:dyDescent="0.25">
      <c r="A14" s="197"/>
      <c r="B14" s="198"/>
      <c r="C14" s="199"/>
      <c r="D14" s="198"/>
      <c r="E14" s="207"/>
      <c r="F14" s="86"/>
      <c r="G14" s="2550"/>
      <c r="H14" s="2814"/>
      <c r="I14" s="2872"/>
      <c r="J14" s="2882"/>
      <c r="K14" s="2872"/>
      <c r="L14" s="2771"/>
      <c r="M14" s="2872"/>
      <c r="N14" s="2771"/>
      <c r="O14" s="2875"/>
      <c r="P14" s="2566"/>
      <c r="Q14" s="2502"/>
      <c r="R14" s="2771"/>
      <c r="S14" s="2866"/>
      <c r="T14" s="2869"/>
      <c r="U14" s="2530"/>
      <c r="V14" s="2530"/>
      <c r="W14" s="2530"/>
      <c r="X14" s="208">
        <v>5000000</v>
      </c>
      <c r="Y14" s="203">
        <v>1807565.68</v>
      </c>
      <c r="Z14" s="203">
        <v>1807565.68</v>
      </c>
      <c r="AA14" s="204" t="s">
        <v>158</v>
      </c>
      <c r="AB14" s="205">
        <v>56</v>
      </c>
      <c r="AC14" s="206" t="s">
        <v>159</v>
      </c>
      <c r="AD14" s="2863"/>
      <c r="AE14" s="2863"/>
      <c r="AF14" s="2863"/>
      <c r="AG14" s="2863"/>
      <c r="AH14" s="2863"/>
      <c r="AI14" s="2854"/>
      <c r="AJ14" s="2854"/>
      <c r="AK14" s="2854"/>
      <c r="AL14" s="2854"/>
      <c r="AM14" s="2854"/>
      <c r="AN14" s="2854"/>
      <c r="AO14" s="2854"/>
      <c r="AP14" s="2854"/>
      <c r="AQ14" s="2854"/>
      <c r="AR14" s="2854"/>
      <c r="AS14" s="2854"/>
      <c r="AT14" s="2854"/>
      <c r="AU14" s="2854"/>
      <c r="AV14" s="2854"/>
      <c r="AW14" s="2854"/>
      <c r="AX14" s="2854"/>
      <c r="AY14" s="2854"/>
      <c r="AZ14" s="2854"/>
      <c r="BA14" s="2854"/>
      <c r="BB14" s="2854"/>
      <c r="BC14" s="2854"/>
      <c r="BD14" s="2854"/>
      <c r="BE14" s="2854"/>
      <c r="BF14" s="2854"/>
      <c r="BG14" s="2854"/>
      <c r="BH14" s="2854"/>
      <c r="BI14" s="2854"/>
      <c r="BJ14" s="2854"/>
      <c r="BK14" s="2857"/>
      <c r="BL14" s="2857"/>
      <c r="BM14" s="2860"/>
      <c r="BN14" s="2854"/>
      <c r="BO14" s="2839"/>
      <c r="BP14" s="2842"/>
      <c r="BQ14" s="2845"/>
      <c r="BR14" s="2848"/>
      <c r="BS14" s="2845"/>
      <c r="BT14" s="2851"/>
      <c r="BU14" s="2819"/>
      <c r="BV14" s="25"/>
      <c r="BW14" s="25"/>
    </row>
    <row r="15" spans="1:92" s="24" customFormat="1" ht="30" x14ac:dyDescent="0.25">
      <c r="A15" s="197"/>
      <c r="B15" s="198"/>
      <c r="C15" s="199"/>
      <c r="D15" s="198"/>
      <c r="E15" s="207"/>
      <c r="F15" s="86"/>
      <c r="G15" s="2550"/>
      <c r="H15" s="2814"/>
      <c r="I15" s="2872"/>
      <c r="J15" s="2882"/>
      <c r="K15" s="2872"/>
      <c r="L15" s="2771"/>
      <c r="M15" s="2872"/>
      <c r="N15" s="2771"/>
      <c r="O15" s="2875"/>
      <c r="P15" s="2566"/>
      <c r="Q15" s="2502"/>
      <c r="R15" s="2771"/>
      <c r="S15" s="2866"/>
      <c r="T15" s="2869"/>
      <c r="U15" s="2530"/>
      <c r="V15" s="2530"/>
      <c r="W15" s="2530"/>
      <c r="X15" s="208">
        <v>0</v>
      </c>
      <c r="Y15" s="203">
        <v>0</v>
      </c>
      <c r="Z15" s="203">
        <v>0</v>
      </c>
      <c r="AA15" s="204" t="s">
        <v>160</v>
      </c>
      <c r="AB15" s="205">
        <v>56</v>
      </c>
      <c r="AC15" s="206" t="s">
        <v>159</v>
      </c>
      <c r="AD15" s="2863"/>
      <c r="AE15" s="2863"/>
      <c r="AF15" s="2863"/>
      <c r="AG15" s="2863"/>
      <c r="AH15" s="2863"/>
      <c r="AI15" s="2854"/>
      <c r="AJ15" s="2854"/>
      <c r="AK15" s="2854"/>
      <c r="AL15" s="2854"/>
      <c r="AM15" s="2854"/>
      <c r="AN15" s="2854"/>
      <c r="AO15" s="2854"/>
      <c r="AP15" s="2854"/>
      <c r="AQ15" s="2854"/>
      <c r="AR15" s="2854"/>
      <c r="AS15" s="2854"/>
      <c r="AT15" s="2854"/>
      <c r="AU15" s="2854"/>
      <c r="AV15" s="2854"/>
      <c r="AW15" s="2854"/>
      <c r="AX15" s="2854"/>
      <c r="AY15" s="2854"/>
      <c r="AZ15" s="2854"/>
      <c r="BA15" s="2854"/>
      <c r="BB15" s="2854"/>
      <c r="BC15" s="2854"/>
      <c r="BD15" s="2854"/>
      <c r="BE15" s="2854"/>
      <c r="BF15" s="2854"/>
      <c r="BG15" s="2854"/>
      <c r="BH15" s="2854"/>
      <c r="BI15" s="2854"/>
      <c r="BJ15" s="2854"/>
      <c r="BK15" s="2857"/>
      <c r="BL15" s="2857"/>
      <c r="BM15" s="2860"/>
      <c r="BN15" s="2854"/>
      <c r="BO15" s="2839"/>
      <c r="BP15" s="2842"/>
      <c r="BQ15" s="2845"/>
      <c r="BR15" s="2848"/>
      <c r="BS15" s="2845"/>
      <c r="BT15" s="2851"/>
      <c r="BU15" s="2819"/>
      <c r="BV15" s="25"/>
      <c r="BW15" s="25"/>
    </row>
    <row r="16" spans="1:92" s="24" customFormat="1" ht="37.5" customHeight="1" x14ac:dyDescent="0.25">
      <c r="A16" s="197"/>
      <c r="B16" s="198"/>
      <c r="C16" s="199"/>
      <c r="D16" s="198"/>
      <c r="E16" s="207"/>
      <c r="F16" s="86"/>
      <c r="G16" s="2550"/>
      <c r="H16" s="2814"/>
      <c r="I16" s="2872"/>
      <c r="J16" s="2882"/>
      <c r="K16" s="2872"/>
      <c r="L16" s="2771"/>
      <c r="M16" s="2872"/>
      <c r="N16" s="2771"/>
      <c r="O16" s="2875"/>
      <c r="P16" s="2566"/>
      <c r="Q16" s="2502"/>
      <c r="R16" s="2771"/>
      <c r="S16" s="2866"/>
      <c r="T16" s="2869"/>
      <c r="U16" s="2530"/>
      <c r="V16" s="2530"/>
      <c r="W16" s="2530"/>
      <c r="X16" s="208">
        <v>1000000</v>
      </c>
      <c r="Y16" s="203">
        <v>1000000</v>
      </c>
      <c r="Z16" s="203">
        <v>1000000</v>
      </c>
      <c r="AA16" s="204" t="s">
        <v>161</v>
      </c>
      <c r="AB16" s="205">
        <v>20</v>
      </c>
      <c r="AC16" s="206" t="s">
        <v>1</v>
      </c>
      <c r="AD16" s="2863"/>
      <c r="AE16" s="2863"/>
      <c r="AF16" s="2863"/>
      <c r="AG16" s="2863"/>
      <c r="AH16" s="2863"/>
      <c r="AI16" s="2854"/>
      <c r="AJ16" s="2854"/>
      <c r="AK16" s="2854"/>
      <c r="AL16" s="2854"/>
      <c r="AM16" s="2854"/>
      <c r="AN16" s="2854"/>
      <c r="AO16" s="2854"/>
      <c r="AP16" s="2854"/>
      <c r="AQ16" s="2854"/>
      <c r="AR16" s="2854"/>
      <c r="AS16" s="2854"/>
      <c r="AT16" s="2854"/>
      <c r="AU16" s="2854"/>
      <c r="AV16" s="2854"/>
      <c r="AW16" s="2854"/>
      <c r="AX16" s="2854"/>
      <c r="AY16" s="2854"/>
      <c r="AZ16" s="2854"/>
      <c r="BA16" s="2854"/>
      <c r="BB16" s="2854"/>
      <c r="BC16" s="2854"/>
      <c r="BD16" s="2854"/>
      <c r="BE16" s="2854"/>
      <c r="BF16" s="2854"/>
      <c r="BG16" s="2854"/>
      <c r="BH16" s="2854"/>
      <c r="BI16" s="2854"/>
      <c r="BJ16" s="2854"/>
      <c r="BK16" s="2857"/>
      <c r="BL16" s="2857"/>
      <c r="BM16" s="2860"/>
      <c r="BN16" s="2854"/>
      <c r="BO16" s="2839"/>
      <c r="BP16" s="2842"/>
      <c r="BQ16" s="2845"/>
      <c r="BR16" s="2848"/>
      <c r="BS16" s="2845"/>
      <c r="BT16" s="2851"/>
      <c r="BU16" s="2819"/>
      <c r="BV16" s="25"/>
      <c r="BW16" s="25"/>
    </row>
    <row r="17" spans="1:75" s="24" customFormat="1" ht="29.25" customHeight="1" x14ac:dyDescent="0.25">
      <c r="A17" s="197"/>
      <c r="B17" s="198"/>
      <c r="C17" s="199"/>
      <c r="D17" s="198"/>
      <c r="E17" s="207"/>
      <c r="F17" s="86"/>
      <c r="G17" s="2550"/>
      <c r="H17" s="2814"/>
      <c r="I17" s="2872"/>
      <c r="J17" s="2882"/>
      <c r="K17" s="2872"/>
      <c r="L17" s="2771"/>
      <c r="M17" s="2872"/>
      <c r="N17" s="2771"/>
      <c r="O17" s="2875"/>
      <c r="P17" s="2566"/>
      <c r="Q17" s="2502"/>
      <c r="R17" s="2771"/>
      <c r="S17" s="2866"/>
      <c r="T17" s="2869"/>
      <c r="U17" s="2530"/>
      <c r="V17" s="2530"/>
      <c r="W17" s="2530"/>
      <c r="X17" s="208">
        <v>250000</v>
      </c>
      <c r="Y17" s="203">
        <v>0</v>
      </c>
      <c r="Z17" s="203">
        <v>0</v>
      </c>
      <c r="AA17" s="204" t="s">
        <v>162</v>
      </c>
      <c r="AB17" s="205">
        <v>56</v>
      </c>
      <c r="AC17" s="206" t="s">
        <v>159</v>
      </c>
      <c r="AD17" s="2863"/>
      <c r="AE17" s="2863"/>
      <c r="AF17" s="2863"/>
      <c r="AG17" s="2863"/>
      <c r="AH17" s="2863"/>
      <c r="AI17" s="2854"/>
      <c r="AJ17" s="2854"/>
      <c r="AK17" s="2854"/>
      <c r="AL17" s="2854"/>
      <c r="AM17" s="2854"/>
      <c r="AN17" s="2854"/>
      <c r="AO17" s="2854"/>
      <c r="AP17" s="2854"/>
      <c r="AQ17" s="2854"/>
      <c r="AR17" s="2854"/>
      <c r="AS17" s="2854"/>
      <c r="AT17" s="2854"/>
      <c r="AU17" s="2854"/>
      <c r="AV17" s="2854"/>
      <c r="AW17" s="2854"/>
      <c r="AX17" s="2854"/>
      <c r="AY17" s="2854"/>
      <c r="AZ17" s="2854"/>
      <c r="BA17" s="2854"/>
      <c r="BB17" s="2854"/>
      <c r="BC17" s="2854"/>
      <c r="BD17" s="2854"/>
      <c r="BE17" s="2854"/>
      <c r="BF17" s="2854"/>
      <c r="BG17" s="2854"/>
      <c r="BH17" s="2854"/>
      <c r="BI17" s="2854"/>
      <c r="BJ17" s="2854"/>
      <c r="BK17" s="2857"/>
      <c r="BL17" s="2857"/>
      <c r="BM17" s="2860"/>
      <c r="BN17" s="2854"/>
      <c r="BO17" s="2839"/>
      <c r="BP17" s="2842"/>
      <c r="BQ17" s="2845"/>
      <c r="BR17" s="2848"/>
      <c r="BS17" s="2845"/>
      <c r="BT17" s="2851"/>
      <c r="BU17" s="2819"/>
      <c r="BV17" s="25"/>
      <c r="BW17" s="25"/>
    </row>
    <row r="18" spans="1:75" s="24" customFormat="1" ht="33.75" customHeight="1" x14ac:dyDescent="0.25">
      <c r="A18" s="197"/>
      <c r="B18" s="198"/>
      <c r="C18" s="199"/>
      <c r="D18" s="198"/>
      <c r="E18" s="207"/>
      <c r="F18" s="86"/>
      <c r="G18" s="2550"/>
      <c r="H18" s="2814"/>
      <c r="I18" s="2872"/>
      <c r="J18" s="2882"/>
      <c r="K18" s="2872"/>
      <c r="L18" s="2771"/>
      <c r="M18" s="2872"/>
      <c r="N18" s="2771"/>
      <c r="O18" s="2875"/>
      <c r="P18" s="2566"/>
      <c r="Q18" s="2502"/>
      <c r="R18" s="2771"/>
      <c r="S18" s="2866"/>
      <c r="T18" s="2869"/>
      <c r="U18" s="2530"/>
      <c r="V18" s="2530"/>
      <c r="W18" s="2530"/>
      <c r="X18" s="208">
        <v>4750000</v>
      </c>
      <c r="Y18" s="203">
        <v>4750000</v>
      </c>
      <c r="Z18" s="203">
        <v>4750000</v>
      </c>
      <c r="AA18" s="204" t="s">
        <v>163</v>
      </c>
      <c r="AB18" s="205">
        <v>56</v>
      </c>
      <c r="AC18" s="206" t="s">
        <v>159</v>
      </c>
      <c r="AD18" s="2863"/>
      <c r="AE18" s="2863"/>
      <c r="AF18" s="2863"/>
      <c r="AG18" s="2863"/>
      <c r="AH18" s="2863"/>
      <c r="AI18" s="2854"/>
      <c r="AJ18" s="2854"/>
      <c r="AK18" s="2854"/>
      <c r="AL18" s="2854"/>
      <c r="AM18" s="2854"/>
      <c r="AN18" s="2854"/>
      <c r="AO18" s="2854"/>
      <c r="AP18" s="2854"/>
      <c r="AQ18" s="2854"/>
      <c r="AR18" s="2854"/>
      <c r="AS18" s="2854"/>
      <c r="AT18" s="2854"/>
      <c r="AU18" s="2854"/>
      <c r="AV18" s="2854"/>
      <c r="AW18" s="2854"/>
      <c r="AX18" s="2854"/>
      <c r="AY18" s="2854"/>
      <c r="AZ18" s="2854"/>
      <c r="BA18" s="2854"/>
      <c r="BB18" s="2854"/>
      <c r="BC18" s="2854"/>
      <c r="BD18" s="2854"/>
      <c r="BE18" s="2854"/>
      <c r="BF18" s="2854"/>
      <c r="BG18" s="2854"/>
      <c r="BH18" s="2854"/>
      <c r="BI18" s="2854"/>
      <c r="BJ18" s="2854"/>
      <c r="BK18" s="2857"/>
      <c r="BL18" s="2857"/>
      <c r="BM18" s="2860"/>
      <c r="BN18" s="2854"/>
      <c r="BO18" s="2839"/>
      <c r="BP18" s="2842"/>
      <c r="BQ18" s="2845"/>
      <c r="BR18" s="2848"/>
      <c r="BS18" s="2845"/>
      <c r="BT18" s="2851"/>
      <c r="BU18" s="2819"/>
      <c r="BV18" s="25"/>
      <c r="BW18" s="25"/>
    </row>
    <row r="19" spans="1:75" s="24" customFormat="1" ht="30" x14ac:dyDescent="0.25">
      <c r="A19" s="197"/>
      <c r="B19" s="198"/>
      <c r="C19" s="199"/>
      <c r="D19" s="198"/>
      <c r="E19" s="207"/>
      <c r="F19" s="86"/>
      <c r="G19" s="2550"/>
      <c r="H19" s="2814"/>
      <c r="I19" s="2872"/>
      <c r="J19" s="2882"/>
      <c r="K19" s="2872"/>
      <c r="L19" s="2771"/>
      <c r="M19" s="2872"/>
      <c r="N19" s="2771"/>
      <c r="O19" s="2875"/>
      <c r="P19" s="2566"/>
      <c r="Q19" s="2502"/>
      <c r="R19" s="2771"/>
      <c r="S19" s="2866"/>
      <c r="T19" s="2869"/>
      <c r="U19" s="2530"/>
      <c r="V19" s="2530"/>
      <c r="W19" s="2530"/>
      <c r="X19" s="208">
        <v>0</v>
      </c>
      <c r="Y19" s="203">
        <v>0</v>
      </c>
      <c r="Z19" s="203">
        <v>0</v>
      </c>
      <c r="AA19" s="204" t="s">
        <v>164</v>
      </c>
      <c r="AB19" s="205">
        <v>56</v>
      </c>
      <c r="AC19" s="206" t="s">
        <v>159</v>
      </c>
      <c r="AD19" s="2863"/>
      <c r="AE19" s="2863"/>
      <c r="AF19" s="2863"/>
      <c r="AG19" s="2863"/>
      <c r="AH19" s="2863"/>
      <c r="AI19" s="2854"/>
      <c r="AJ19" s="2854"/>
      <c r="AK19" s="2854"/>
      <c r="AL19" s="2854"/>
      <c r="AM19" s="2854"/>
      <c r="AN19" s="2854"/>
      <c r="AO19" s="2854"/>
      <c r="AP19" s="2854"/>
      <c r="AQ19" s="2854"/>
      <c r="AR19" s="2854"/>
      <c r="AS19" s="2854"/>
      <c r="AT19" s="2854"/>
      <c r="AU19" s="2854"/>
      <c r="AV19" s="2854"/>
      <c r="AW19" s="2854"/>
      <c r="AX19" s="2854"/>
      <c r="AY19" s="2854"/>
      <c r="AZ19" s="2854"/>
      <c r="BA19" s="2854"/>
      <c r="BB19" s="2854"/>
      <c r="BC19" s="2854"/>
      <c r="BD19" s="2854"/>
      <c r="BE19" s="2854"/>
      <c r="BF19" s="2854"/>
      <c r="BG19" s="2854"/>
      <c r="BH19" s="2854"/>
      <c r="BI19" s="2854"/>
      <c r="BJ19" s="2854"/>
      <c r="BK19" s="2857"/>
      <c r="BL19" s="2857"/>
      <c r="BM19" s="2860"/>
      <c r="BN19" s="2854"/>
      <c r="BO19" s="2839"/>
      <c r="BP19" s="2842"/>
      <c r="BQ19" s="2845"/>
      <c r="BR19" s="2848"/>
      <c r="BS19" s="2845"/>
      <c r="BT19" s="2851"/>
      <c r="BU19" s="2819"/>
      <c r="BV19" s="25"/>
      <c r="BW19" s="25"/>
    </row>
    <row r="20" spans="1:75" s="24" customFormat="1" ht="58.5" customHeight="1" x14ac:dyDescent="0.25">
      <c r="A20" s="197"/>
      <c r="B20" s="198"/>
      <c r="C20" s="199"/>
      <c r="D20" s="198"/>
      <c r="E20" s="207"/>
      <c r="F20" s="86"/>
      <c r="G20" s="2550"/>
      <c r="H20" s="2814"/>
      <c r="I20" s="2872"/>
      <c r="J20" s="2882"/>
      <c r="K20" s="2872"/>
      <c r="L20" s="2771"/>
      <c r="M20" s="2872"/>
      <c r="N20" s="2771"/>
      <c r="O20" s="2875"/>
      <c r="P20" s="2566"/>
      <c r="Q20" s="2502"/>
      <c r="R20" s="2771"/>
      <c r="S20" s="2866"/>
      <c r="T20" s="2869"/>
      <c r="U20" s="2530"/>
      <c r="V20" s="2530"/>
      <c r="W20" s="2530"/>
      <c r="X20" s="208">
        <v>20000000</v>
      </c>
      <c r="Y20" s="203">
        <v>214736</v>
      </c>
      <c r="Z20" s="203">
        <v>214736</v>
      </c>
      <c r="AA20" s="204" t="s">
        <v>165</v>
      </c>
      <c r="AB20" s="205">
        <v>20</v>
      </c>
      <c r="AC20" s="206" t="s">
        <v>1</v>
      </c>
      <c r="AD20" s="2863"/>
      <c r="AE20" s="2863"/>
      <c r="AF20" s="2863"/>
      <c r="AG20" s="2863"/>
      <c r="AH20" s="2863"/>
      <c r="AI20" s="2854"/>
      <c r="AJ20" s="2854"/>
      <c r="AK20" s="2854"/>
      <c r="AL20" s="2854"/>
      <c r="AM20" s="2854"/>
      <c r="AN20" s="2854"/>
      <c r="AO20" s="2854"/>
      <c r="AP20" s="2854"/>
      <c r="AQ20" s="2854"/>
      <c r="AR20" s="2854"/>
      <c r="AS20" s="2854"/>
      <c r="AT20" s="2854"/>
      <c r="AU20" s="2854"/>
      <c r="AV20" s="2854"/>
      <c r="AW20" s="2854"/>
      <c r="AX20" s="2854"/>
      <c r="AY20" s="2854"/>
      <c r="AZ20" s="2854"/>
      <c r="BA20" s="2854"/>
      <c r="BB20" s="2854"/>
      <c r="BC20" s="2854"/>
      <c r="BD20" s="2854"/>
      <c r="BE20" s="2854"/>
      <c r="BF20" s="2854"/>
      <c r="BG20" s="2854"/>
      <c r="BH20" s="2854"/>
      <c r="BI20" s="2854"/>
      <c r="BJ20" s="2854"/>
      <c r="BK20" s="2857"/>
      <c r="BL20" s="2857"/>
      <c r="BM20" s="2860"/>
      <c r="BN20" s="2854"/>
      <c r="BO20" s="2839"/>
      <c r="BP20" s="2842"/>
      <c r="BQ20" s="2845"/>
      <c r="BR20" s="2848"/>
      <c r="BS20" s="2845"/>
      <c r="BT20" s="2851"/>
      <c r="BU20" s="2819"/>
      <c r="BV20" s="25"/>
      <c r="BW20" s="25"/>
    </row>
    <row r="21" spans="1:75" s="24" customFormat="1" ht="42" customHeight="1" x14ac:dyDescent="0.25">
      <c r="A21" s="197"/>
      <c r="B21" s="198"/>
      <c r="C21" s="199"/>
      <c r="D21" s="198"/>
      <c r="E21" s="207"/>
      <c r="F21" s="86"/>
      <c r="G21" s="2550"/>
      <c r="H21" s="2814"/>
      <c r="I21" s="2872"/>
      <c r="J21" s="2882"/>
      <c r="K21" s="2872"/>
      <c r="L21" s="2771"/>
      <c r="M21" s="2872"/>
      <c r="N21" s="2771"/>
      <c r="O21" s="2875"/>
      <c r="P21" s="2566"/>
      <c r="Q21" s="2502"/>
      <c r="R21" s="2771"/>
      <c r="S21" s="2866"/>
      <c r="T21" s="2869"/>
      <c r="U21" s="2530"/>
      <c r="V21" s="2530"/>
      <c r="W21" s="2530"/>
      <c r="X21" s="209">
        <v>875013798</v>
      </c>
      <c r="Y21" s="203">
        <v>871069164</v>
      </c>
      <c r="Z21" s="203">
        <v>871069164</v>
      </c>
      <c r="AA21" s="204" t="s">
        <v>166</v>
      </c>
      <c r="AB21" s="205">
        <v>20</v>
      </c>
      <c r="AC21" s="206" t="s">
        <v>1</v>
      </c>
      <c r="AD21" s="2863"/>
      <c r="AE21" s="2863"/>
      <c r="AF21" s="2863"/>
      <c r="AG21" s="2863"/>
      <c r="AH21" s="2863"/>
      <c r="AI21" s="2854"/>
      <c r="AJ21" s="2854"/>
      <c r="AK21" s="2854"/>
      <c r="AL21" s="2854"/>
      <c r="AM21" s="2854"/>
      <c r="AN21" s="2854"/>
      <c r="AO21" s="2854"/>
      <c r="AP21" s="2854"/>
      <c r="AQ21" s="2854"/>
      <c r="AR21" s="2854"/>
      <c r="AS21" s="2854"/>
      <c r="AT21" s="2854"/>
      <c r="AU21" s="2854"/>
      <c r="AV21" s="2854"/>
      <c r="AW21" s="2854"/>
      <c r="AX21" s="2854"/>
      <c r="AY21" s="2854"/>
      <c r="AZ21" s="2854"/>
      <c r="BA21" s="2854"/>
      <c r="BB21" s="2854"/>
      <c r="BC21" s="2854"/>
      <c r="BD21" s="2854"/>
      <c r="BE21" s="2854"/>
      <c r="BF21" s="2854"/>
      <c r="BG21" s="2854"/>
      <c r="BH21" s="2854"/>
      <c r="BI21" s="2854"/>
      <c r="BJ21" s="2854"/>
      <c r="BK21" s="2857"/>
      <c r="BL21" s="2857"/>
      <c r="BM21" s="2860"/>
      <c r="BN21" s="2854"/>
      <c r="BO21" s="2839"/>
      <c r="BP21" s="2842"/>
      <c r="BQ21" s="2845"/>
      <c r="BR21" s="2848"/>
      <c r="BS21" s="2845"/>
      <c r="BT21" s="2851"/>
      <c r="BU21" s="2819"/>
      <c r="BV21" s="25"/>
      <c r="BW21" s="25"/>
    </row>
    <row r="22" spans="1:75" s="24" customFormat="1" ht="45.75" customHeight="1" x14ac:dyDescent="0.25">
      <c r="A22" s="197"/>
      <c r="B22" s="198"/>
      <c r="C22" s="199"/>
      <c r="D22" s="198"/>
      <c r="E22" s="207"/>
      <c r="F22" s="86"/>
      <c r="G22" s="2550"/>
      <c r="H22" s="2814"/>
      <c r="I22" s="2872"/>
      <c r="J22" s="2882"/>
      <c r="K22" s="2872"/>
      <c r="L22" s="2771"/>
      <c r="M22" s="2872"/>
      <c r="N22" s="2771"/>
      <c r="O22" s="2875"/>
      <c r="P22" s="2566"/>
      <c r="Q22" s="2502"/>
      <c r="R22" s="2771"/>
      <c r="S22" s="2866"/>
      <c r="T22" s="2869"/>
      <c r="U22" s="2530"/>
      <c r="V22" s="2530"/>
      <c r="W22" s="2530"/>
      <c r="X22" s="208">
        <v>10000000</v>
      </c>
      <c r="Y22" s="203">
        <v>9976600</v>
      </c>
      <c r="Z22" s="203">
        <v>9976600</v>
      </c>
      <c r="AA22" s="204" t="s">
        <v>167</v>
      </c>
      <c r="AB22" s="205">
        <v>20</v>
      </c>
      <c r="AC22" s="206" t="s">
        <v>1</v>
      </c>
      <c r="AD22" s="2863"/>
      <c r="AE22" s="2863"/>
      <c r="AF22" s="2863"/>
      <c r="AG22" s="2863"/>
      <c r="AH22" s="2863"/>
      <c r="AI22" s="2854"/>
      <c r="AJ22" s="2854"/>
      <c r="AK22" s="2854"/>
      <c r="AL22" s="2854"/>
      <c r="AM22" s="2854"/>
      <c r="AN22" s="2854"/>
      <c r="AO22" s="2854"/>
      <c r="AP22" s="2854"/>
      <c r="AQ22" s="2854"/>
      <c r="AR22" s="2854"/>
      <c r="AS22" s="2854"/>
      <c r="AT22" s="2854"/>
      <c r="AU22" s="2854"/>
      <c r="AV22" s="2854"/>
      <c r="AW22" s="2854"/>
      <c r="AX22" s="2854"/>
      <c r="AY22" s="2854"/>
      <c r="AZ22" s="2854"/>
      <c r="BA22" s="2854"/>
      <c r="BB22" s="2854"/>
      <c r="BC22" s="2854"/>
      <c r="BD22" s="2854"/>
      <c r="BE22" s="2854"/>
      <c r="BF22" s="2854"/>
      <c r="BG22" s="2854"/>
      <c r="BH22" s="2854"/>
      <c r="BI22" s="2854"/>
      <c r="BJ22" s="2854"/>
      <c r="BK22" s="2857"/>
      <c r="BL22" s="2857"/>
      <c r="BM22" s="2860"/>
      <c r="BN22" s="2854"/>
      <c r="BO22" s="2839"/>
      <c r="BP22" s="2842"/>
      <c r="BQ22" s="2845"/>
      <c r="BR22" s="2848"/>
      <c r="BS22" s="2845"/>
      <c r="BT22" s="2851"/>
      <c r="BU22" s="2819"/>
      <c r="BV22" s="25"/>
      <c r="BW22" s="25"/>
    </row>
    <row r="23" spans="1:75" s="24" customFormat="1" ht="52.5" customHeight="1" x14ac:dyDescent="0.25">
      <c r="A23" s="197"/>
      <c r="B23" s="198"/>
      <c r="C23" s="199"/>
      <c r="D23" s="198"/>
      <c r="E23" s="207"/>
      <c r="F23" s="86"/>
      <c r="G23" s="2550"/>
      <c r="H23" s="2814"/>
      <c r="I23" s="2872"/>
      <c r="J23" s="2882"/>
      <c r="K23" s="2872"/>
      <c r="L23" s="2771"/>
      <c r="M23" s="2872"/>
      <c r="N23" s="2771"/>
      <c r="O23" s="2875"/>
      <c r="P23" s="2566"/>
      <c r="Q23" s="2502"/>
      <c r="R23" s="2771"/>
      <c r="S23" s="2866"/>
      <c r="T23" s="2869"/>
      <c r="U23" s="2530"/>
      <c r="V23" s="2530"/>
      <c r="W23" s="2530"/>
      <c r="X23" s="208">
        <v>285940187.83999997</v>
      </c>
      <c r="Y23" s="203">
        <v>241602832</v>
      </c>
      <c r="Z23" s="203">
        <v>241602832</v>
      </c>
      <c r="AA23" s="204" t="s">
        <v>168</v>
      </c>
      <c r="AB23" s="205">
        <v>56</v>
      </c>
      <c r="AC23" s="206" t="s">
        <v>159</v>
      </c>
      <c r="AD23" s="2863"/>
      <c r="AE23" s="2863"/>
      <c r="AF23" s="2863"/>
      <c r="AG23" s="2863"/>
      <c r="AH23" s="2863"/>
      <c r="AI23" s="2854"/>
      <c r="AJ23" s="2854"/>
      <c r="AK23" s="2854"/>
      <c r="AL23" s="2854"/>
      <c r="AM23" s="2854"/>
      <c r="AN23" s="2854"/>
      <c r="AO23" s="2854"/>
      <c r="AP23" s="2854"/>
      <c r="AQ23" s="2854"/>
      <c r="AR23" s="2854"/>
      <c r="AS23" s="2854"/>
      <c r="AT23" s="2854"/>
      <c r="AU23" s="2854"/>
      <c r="AV23" s="2854"/>
      <c r="AW23" s="2854"/>
      <c r="AX23" s="2854"/>
      <c r="AY23" s="2854"/>
      <c r="AZ23" s="2854"/>
      <c r="BA23" s="2854"/>
      <c r="BB23" s="2854"/>
      <c r="BC23" s="2854"/>
      <c r="BD23" s="2854"/>
      <c r="BE23" s="2854"/>
      <c r="BF23" s="2854"/>
      <c r="BG23" s="2854"/>
      <c r="BH23" s="2854"/>
      <c r="BI23" s="2854"/>
      <c r="BJ23" s="2854"/>
      <c r="BK23" s="2857"/>
      <c r="BL23" s="2857"/>
      <c r="BM23" s="2860"/>
      <c r="BN23" s="2854"/>
      <c r="BO23" s="2839"/>
      <c r="BP23" s="2842"/>
      <c r="BQ23" s="2845"/>
      <c r="BR23" s="2848"/>
      <c r="BS23" s="2845"/>
      <c r="BT23" s="2851"/>
      <c r="BU23" s="2819"/>
      <c r="BV23" s="25"/>
      <c r="BW23" s="25"/>
    </row>
    <row r="24" spans="1:75" s="24" customFormat="1" ht="63.75" customHeight="1" x14ac:dyDescent="0.25">
      <c r="A24" s="197"/>
      <c r="B24" s="198"/>
      <c r="C24" s="199"/>
      <c r="D24" s="198"/>
      <c r="E24" s="207"/>
      <c r="F24" s="86"/>
      <c r="G24" s="2550"/>
      <c r="H24" s="2814"/>
      <c r="I24" s="2872"/>
      <c r="J24" s="2882"/>
      <c r="K24" s="2872"/>
      <c r="L24" s="2771"/>
      <c r="M24" s="2872"/>
      <c r="N24" s="2771"/>
      <c r="O24" s="2875"/>
      <c r="P24" s="2566"/>
      <c r="Q24" s="2502"/>
      <c r="R24" s="2771"/>
      <c r="S24" s="2866"/>
      <c r="T24" s="2869"/>
      <c r="U24" s="2530"/>
      <c r="V24" s="2530"/>
      <c r="W24" s="2530"/>
      <c r="X24" s="208">
        <v>6500000</v>
      </c>
      <c r="Y24" s="203">
        <v>5710825</v>
      </c>
      <c r="Z24" s="203">
        <v>5710825</v>
      </c>
      <c r="AA24" s="204" t="s">
        <v>169</v>
      </c>
      <c r="AB24" s="205">
        <v>56</v>
      </c>
      <c r="AC24" s="206" t="s">
        <v>159</v>
      </c>
      <c r="AD24" s="2863"/>
      <c r="AE24" s="2863"/>
      <c r="AF24" s="2863"/>
      <c r="AG24" s="2863"/>
      <c r="AH24" s="2863"/>
      <c r="AI24" s="2854"/>
      <c r="AJ24" s="2854"/>
      <c r="AK24" s="2854"/>
      <c r="AL24" s="2854"/>
      <c r="AM24" s="2854"/>
      <c r="AN24" s="2854"/>
      <c r="AO24" s="2854"/>
      <c r="AP24" s="2854"/>
      <c r="AQ24" s="2854"/>
      <c r="AR24" s="2854"/>
      <c r="AS24" s="2854"/>
      <c r="AT24" s="2854"/>
      <c r="AU24" s="2854"/>
      <c r="AV24" s="2854"/>
      <c r="AW24" s="2854"/>
      <c r="AX24" s="2854"/>
      <c r="AY24" s="2854"/>
      <c r="AZ24" s="2854"/>
      <c r="BA24" s="2854"/>
      <c r="BB24" s="2854"/>
      <c r="BC24" s="2854"/>
      <c r="BD24" s="2854"/>
      <c r="BE24" s="2854"/>
      <c r="BF24" s="2854"/>
      <c r="BG24" s="2854"/>
      <c r="BH24" s="2854"/>
      <c r="BI24" s="2854"/>
      <c r="BJ24" s="2854"/>
      <c r="BK24" s="2857"/>
      <c r="BL24" s="2857"/>
      <c r="BM24" s="2860"/>
      <c r="BN24" s="2854"/>
      <c r="BO24" s="2839"/>
      <c r="BP24" s="2842"/>
      <c r="BQ24" s="2845"/>
      <c r="BR24" s="2848"/>
      <c r="BS24" s="2845"/>
      <c r="BT24" s="2851"/>
      <c r="BU24" s="2819"/>
      <c r="BV24" s="25"/>
      <c r="BW24" s="25"/>
    </row>
    <row r="25" spans="1:75" s="24" customFormat="1" ht="58.5" customHeight="1" x14ac:dyDescent="0.25">
      <c r="A25" s="197"/>
      <c r="B25" s="198"/>
      <c r="C25" s="199"/>
      <c r="D25" s="198"/>
      <c r="E25" s="207"/>
      <c r="F25" s="86"/>
      <c r="G25" s="2550"/>
      <c r="H25" s="2814"/>
      <c r="I25" s="2872"/>
      <c r="J25" s="2882"/>
      <c r="K25" s="2872"/>
      <c r="L25" s="2771"/>
      <c r="M25" s="2872"/>
      <c r="N25" s="2771"/>
      <c r="O25" s="2875"/>
      <c r="P25" s="2566"/>
      <c r="Q25" s="2502"/>
      <c r="R25" s="2771"/>
      <c r="S25" s="2866"/>
      <c r="T25" s="2869"/>
      <c r="U25" s="2530"/>
      <c r="V25" s="2530"/>
      <c r="W25" s="2530"/>
      <c r="X25" s="208">
        <v>500000000</v>
      </c>
      <c r="Y25" s="203">
        <v>334134678</v>
      </c>
      <c r="Z25" s="203">
        <v>334134678</v>
      </c>
      <c r="AA25" s="204" t="s">
        <v>170</v>
      </c>
      <c r="AB25" s="210">
        <v>88</v>
      </c>
      <c r="AC25" s="206" t="s">
        <v>171</v>
      </c>
      <c r="AD25" s="2863"/>
      <c r="AE25" s="2863"/>
      <c r="AF25" s="2863"/>
      <c r="AG25" s="2863"/>
      <c r="AH25" s="2863"/>
      <c r="AI25" s="2854"/>
      <c r="AJ25" s="2854"/>
      <c r="AK25" s="2854"/>
      <c r="AL25" s="2854"/>
      <c r="AM25" s="2854"/>
      <c r="AN25" s="2854"/>
      <c r="AO25" s="2854"/>
      <c r="AP25" s="2854"/>
      <c r="AQ25" s="2854"/>
      <c r="AR25" s="2854"/>
      <c r="AS25" s="2854"/>
      <c r="AT25" s="2854"/>
      <c r="AU25" s="2854"/>
      <c r="AV25" s="2854"/>
      <c r="AW25" s="2854"/>
      <c r="AX25" s="2854"/>
      <c r="AY25" s="2854"/>
      <c r="AZ25" s="2854"/>
      <c r="BA25" s="2854"/>
      <c r="BB25" s="2854"/>
      <c r="BC25" s="2854"/>
      <c r="BD25" s="2854"/>
      <c r="BE25" s="2854"/>
      <c r="BF25" s="2854"/>
      <c r="BG25" s="2854"/>
      <c r="BH25" s="2854"/>
      <c r="BI25" s="2854"/>
      <c r="BJ25" s="2854"/>
      <c r="BK25" s="2857"/>
      <c r="BL25" s="2857"/>
      <c r="BM25" s="2860"/>
      <c r="BN25" s="2854"/>
      <c r="BO25" s="2839"/>
      <c r="BP25" s="2842"/>
      <c r="BQ25" s="2845"/>
      <c r="BR25" s="2848"/>
      <c r="BS25" s="2845"/>
      <c r="BT25" s="2851"/>
      <c r="BU25" s="2819"/>
      <c r="BV25" s="25"/>
      <c r="BW25" s="25"/>
    </row>
    <row r="26" spans="1:75" s="24" customFormat="1" ht="57.75" customHeight="1" x14ac:dyDescent="0.25">
      <c r="A26" s="197"/>
      <c r="B26" s="198"/>
      <c r="C26" s="199"/>
      <c r="D26" s="198"/>
      <c r="E26" s="207"/>
      <c r="F26" s="86"/>
      <c r="G26" s="2550"/>
      <c r="H26" s="2814"/>
      <c r="I26" s="2872"/>
      <c r="J26" s="2882"/>
      <c r="K26" s="2872"/>
      <c r="L26" s="2771"/>
      <c r="M26" s="2872"/>
      <c r="N26" s="2771"/>
      <c r="O26" s="2875"/>
      <c r="P26" s="2566"/>
      <c r="Q26" s="2502"/>
      <c r="R26" s="2771"/>
      <c r="S26" s="2866"/>
      <c r="T26" s="2869"/>
      <c r="U26" s="2530"/>
      <c r="V26" s="2530"/>
      <c r="W26" s="2530"/>
      <c r="X26" s="208">
        <v>1416148</v>
      </c>
      <c r="Y26" s="203">
        <v>1024941</v>
      </c>
      <c r="Z26" s="203">
        <v>1024941</v>
      </c>
      <c r="AA26" s="204" t="s">
        <v>172</v>
      </c>
      <c r="AB26" s="210">
        <v>88</v>
      </c>
      <c r="AC26" s="206" t="s">
        <v>171</v>
      </c>
      <c r="AD26" s="2863"/>
      <c r="AE26" s="2863"/>
      <c r="AF26" s="2863"/>
      <c r="AG26" s="2863"/>
      <c r="AH26" s="2863"/>
      <c r="AI26" s="2854"/>
      <c r="AJ26" s="2854"/>
      <c r="AK26" s="2854"/>
      <c r="AL26" s="2854"/>
      <c r="AM26" s="2854"/>
      <c r="AN26" s="2854"/>
      <c r="AO26" s="2854"/>
      <c r="AP26" s="2854"/>
      <c r="AQ26" s="2854"/>
      <c r="AR26" s="2854"/>
      <c r="AS26" s="2854"/>
      <c r="AT26" s="2854"/>
      <c r="AU26" s="2854"/>
      <c r="AV26" s="2854"/>
      <c r="AW26" s="2854"/>
      <c r="AX26" s="2854"/>
      <c r="AY26" s="2854"/>
      <c r="AZ26" s="2854"/>
      <c r="BA26" s="2854"/>
      <c r="BB26" s="2854"/>
      <c r="BC26" s="2854"/>
      <c r="BD26" s="2854"/>
      <c r="BE26" s="2854"/>
      <c r="BF26" s="2854"/>
      <c r="BG26" s="2854"/>
      <c r="BH26" s="2854"/>
      <c r="BI26" s="2854"/>
      <c r="BJ26" s="2854"/>
      <c r="BK26" s="2857"/>
      <c r="BL26" s="2857"/>
      <c r="BM26" s="2860"/>
      <c r="BN26" s="2854"/>
      <c r="BO26" s="2839"/>
      <c r="BP26" s="2842"/>
      <c r="BQ26" s="2845"/>
      <c r="BR26" s="2848"/>
      <c r="BS26" s="2845"/>
      <c r="BT26" s="2851"/>
      <c r="BU26" s="2819"/>
      <c r="BV26" s="25"/>
      <c r="BW26" s="25"/>
    </row>
    <row r="27" spans="1:75" s="24" customFormat="1" ht="48.75" customHeight="1" x14ac:dyDescent="0.25">
      <c r="A27" s="197"/>
      <c r="B27" s="198"/>
      <c r="C27" s="199"/>
      <c r="D27" s="198"/>
      <c r="E27" s="207"/>
      <c r="F27" s="86"/>
      <c r="G27" s="2550"/>
      <c r="H27" s="2814"/>
      <c r="I27" s="2872"/>
      <c r="J27" s="2882"/>
      <c r="K27" s="2872"/>
      <c r="L27" s="2771"/>
      <c r="M27" s="2872"/>
      <c r="N27" s="2771"/>
      <c r="O27" s="2875"/>
      <c r="P27" s="2566"/>
      <c r="Q27" s="2502"/>
      <c r="R27" s="2771"/>
      <c r="S27" s="2866"/>
      <c r="T27" s="2869"/>
      <c r="U27" s="2530"/>
      <c r="V27" s="2530"/>
      <c r="W27" s="2530"/>
      <c r="X27" s="208">
        <v>1979731</v>
      </c>
      <c r="Y27" s="203">
        <v>1979731</v>
      </c>
      <c r="Z27" s="203">
        <v>1979731</v>
      </c>
      <c r="AA27" s="204" t="s">
        <v>173</v>
      </c>
      <c r="AB27" s="210">
        <v>88</v>
      </c>
      <c r="AC27" s="206" t="s">
        <v>171</v>
      </c>
      <c r="AD27" s="2863"/>
      <c r="AE27" s="2863"/>
      <c r="AF27" s="2863"/>
      <c r="AG27" s="2863"/>
      <c r="AH27" s="2863"/>
      <c r="AI27" s="2854"/>
      <c r="AJ27" s="2854"/>
      <c r="AK27" s="2854"/>
      <c r="AL27" s="2854"/>
      <c r="AM27" s="2854"/>
      <c r="AN27" s="2854"/>
      <c r="AO27" s="2854"/>
      <c r="AP27" s="2854"/>
      <c r="AQ27" s="2854"/>
      <c r="AR27" s="2854"/>
      <c r="AS27" s="2854"/>
      <c r="AT27" s="2854"/>
      <c r="AU27" s="2854"/>
      <c r="AV27" s="2854"/>
      <c r="AW27" s="2854"/>
      <c r="AX27" s="2854"/>
      <c r="AY27" s="2854"/>
      <c r="AZ27" s="2854"/>
      <c r="BA27" s="2854"/>
      <c r="BB27" s="2854"/>
      <c r="BC27" s="2854"/>
      <c r="BD27" s="2854"/>
      <c r="BE27" s="2854"/>
      <c r="BF27" s="2854"/>
      <c r="BG27" s="2854"/>
      <c r="BH27" s="2854"/>
      <c r="BI27" s="2854"/>
      <c r="BJ27" s="2854"/>
      <c r="BK27" s="2857"/>
      <c r="BL27" s="2857"/>
      <c r="BM27" s="2860"/>
      <c r="BN27" s="2854"/>
      <c r="BO27" s="2839"/>
      <c r="BP27" s="2842"/>
      <c r="BQ27" s="2845"/>
      <c r="BR27" s="2848"/>
      <c r="BS27" s="2845"/>
      <c r="BT27" s="2851"/>
      <c r="BU27" s="2819"/>
      <c r="BV27" s="25"/>
      <c r="BW27" s="25"/>
    </row>
    <row r="28" spans="1:75" s="24" customFormat="1" ht="44.25" customHeight="1" x14ac:dyDescent="0.25">
      <c r="A28" s="197"/>
      <c r="B28" s="198"/>
      <c r="C28" s="199"/>
      <c r="D28" s="198"/>
      <c r="E28" s="207"/>
      <c r="F28" s="86"/>
      <c r="G28" s="2550"/>
      <c r="H28" s="2814"/>
      <c r="I28" s="2872"/>
      <c r="J28" s="2882"/>
      <c r="K28" s="2872"/>
      <c r="L28" s="2771"/>
      <c r="M28" s="2872"/>
      <c r="N28" s="2771"/>
      <c r="O28" s="2875"/>
      <c r="P28" s="2566"/>
      <c r="Q28" s="2502"/>
      <c r="R28" s="2771"/>
      <c r="S28" s="2866"/>
      <c r="T28" s="2869"/>
      <c r="U28" s="2530"/>
      <c r="V28" s="2530"/>
      <c r="W28" s="2530"/>
      <c r="X28" s="208">
        <v>5000000</v>
      </c>
      <c r="Y28" s="203">
        <v>4306934</v>
      </c>
      <c r="Z28" s="203">
        <v>4306934</v>
      </c>
      <c r="AA28" s="204" t="s">
        <v>174</v>
      </c>
      <c r="AB28" s="210">
        <v>20</v>
      </c>
      <c r="AC28" s="206" t="s">
        <v>1</v>
      </c>
      <c r="AD28" s="2863"/>
      <c r="AE28" s="2863"/>
      <c r="AF28" s="2863"/>
      <c r="AG28" s="2863"/>
      <c r="AH28" s="2863"/>
      <c r="AI28" s="2854"/>
      <c r="AJ28" s="2854"/>
      <c r="AK28" s="2854"/>
      <c r="AL28" s="2854"/>
      <c r="AM28" s="2854"/>
      <c r="AN28" s="2854"/>
      <c r="AO28" s="2854"/>
      <c r="AP28" s="2854"/>
      <c r="AQ28" s="2854"/>
      <c r="AR28" s="2854"/>
      <c r="AS28" s="2854"/>
      <c r="AT28" s="2854"/>
      <c r="AU28" s="2854"/>
      <c r="AV28" s="2854"/>
      <c r="AW28" s="2854"/>
      <c r="AX28" s="2854"/>
      <c r="AY28" s="2854"/>
      <c r="AZ28" s="2854"/>
      <c r="BA28" s="2854"/>
      <c r="BB28" s="2854"/>
      <c r="BC28" s="2854"/>
      <c r="BD28" s="2854"/>
      <c r="BE28" s="2854"/>
      <c r="BF28" s="2854"/>
      <c r="BG28" s="2854"/>
      <c r="BH28" s="2854"/>
      <c r="BI28" s="2854"/>
      <c r="BJ28" s="2854"/>
      <c r="BK28" s="2857"/>
      <c r="BL28" s="2857"/>
      <c r="BM28" s="2860"/>
      <c r="BN28" s="2854"/>
      <c r="BO28" s="2839"/>
      <c r="BP28" s="2842"/>
      <c r="BQ28" s="2845"/>
      <c r="BR28" s="2848"/>
      <c r="BS28" s="2845"/>
      <c r="BT28" s="2851"/>
      <c r="BU28" s="2819"/>
      <c r="BV28" s="25"/>
      <c r="BW28" s="25"/>
    </row>
    <row r="29" spans="1:75" s="24" customFormat="1" ht="47.25" customHeight="1" x14ac:dyDescent="0.25">
      <c r="A29" s="197"/>
      <c r="B29" s="198"/>
      <c r="C29" s="199"/>
      <c r="D29" s="198"/>
      <c r="E29" s="207"/>
      <c r="F29" s="86"/>
      <c r="G29" s="2550"/>
      <c r="H29" s="2814"/>
      <c r="I29" s="2872"/>
      <c r="J29" s="2882"/>
      <c r="K29" s="2872"/>
      <c r="L29" s="2771"/>
      <c r="M29" s="2872"/>
      <c r="N29" s="2771"/>
      <c r="O29" s="2875"/>
      <c r="P29" s="2566"/>
      <c r="Q29" s="2502"/>
      <c r="R29" s="2771"/>
      <c r="S29" s="2866"/>
      <c r="T29" s="2869"/>
      <c r="U29" s="2530"/>
      <c r="V29" s="2530"/>
      <c r="W29" s="2530"/>
      <c r="X29" s="208">
        <v>0</v>
      </c>
      <c r="Y29" s="203">
        <v>0</v>
      </c>
      <c r="Z29" s="203">
        <v>0</v>
      </c>
      <c r="AA29" s="204" t="s">
        <v>175</v>
      </c>
      <c r="AB29" s="210">
        <v>20</v>
      </c>
      <c r="AC29" s="206" t="s">
        <v>1</v>
      </c>
      <c r="AD29" s="2863"/>
      <c r="AE29" s="2863"/>
      <c r="AF29" s="2863"/>
      <c r="AG29" s="2863"/>
      <c r="AH29" s="2863"/>
      <c r="AI29" s="2854"/>
      <c r="AJ29" s="2854"/>
      <c r="AK29" s="2854"/>
      <c r="AL29" s="2854"/>
      <c r="AM29" s="2854"/>
      <c r="AN29" s="2854"/>
      <c r="AO29" s="2854"/>
      <c r="AP29" s="2854"/>
      <c r="AQ29" s="2854"/>
      <c r="AR29" s="2854"/>
      <c r="AS29" s="2854"/>
      <c r="AT29" s="2854"/>
      <c r="AU29" s="2854"/>
      <c r="AV29" s="2854"/>
      <c r="AW29" s="2854"/>
      <c r="AX29" s="2854"/>
      <c r="AY29" s="2854"/>
      <c r="AZ29" s="2854"/>
      <c r="BA29" s="2854"/>
      <c r="BB29" s="2854"/>
      <c r="BC29" s="2854"/>
      <c r="BD29" s="2854"/>
      <c r="BE29" s="2854"/>
      <c r="BF29" s="2854"/>
      <c r="BG29" s="2854"/>
      <c r="BH29" s="2854"/>
      <c r="BI29" s="2854"/>
      <c r="BJ29" s="2854"/>
      <c r="BK29" s="2857"/>
      <c r="BL29" s="2857"/>
      <c r="BM29" s="2860"/>
      <c r="BN29" s="2854"/>
      <c r="BO29" s="2839"/>
      <c r="BP29" s="2842"/>
      <c r="BQ29" s="2845"/>
      <c r="BR29" s="2848"/>
      <c r="BS29" s="2845"/>
      <c r="BT29" s="2851"/>
      <c r="BU29" s="2819"/>
      <c r="BV29" s="25"/>
      <c r="BW29" s="25"/>
    </row>
    <row r="30" spans="1:75" s="24" customFormat="1" ht="50.25" customHeight="1" x14ac:dyDescent="0.25">
      <c r="A30" s="197"/>
      <c r="B30" s="198"/>
      <c r="C30" s="199"/>
      <c r="D30" s="198"/>
      <c r="E30" s="207"/>
      <c r="F30" s="86"/>
      <c r="G30" s="2550"/>
      <c r="H30" s="2814"/>
      <c r="I30" s="2872"/>
      <c r="J30" s="2882"/>
      <c r="K30" s="2872"/>
      <c r="L30" s="2771"/>
      <c r="M30" s="2872"/>
      <c r="N30" s="2771"/>
      <c r="O30" s="2875"/>
      <c r="P30" s="2566"/>
      <c r="Q30" s="2502"/>
      <c r="R30" s="2771"/>
      <c r="S30" s="2866"/>
      <c r="T30" s="2869"/>
      <c r="U30" s="2530"/>
      <c r="V30" s="2530"/>
      <c r="W30" s="2530"/>
      <c r="X30" s="208">
        <v>305557602</v>
      </c>
      <c r="Y30" s="203">
        <v>305557602</v>
      </c>
      <c r="Z30" s="203">
        <v>305557602</v>
      </c>
      <c r="AA30" s="204" t="s">
        <v>176</v>
      </c>
      <c r="AB30" s="210">
        <v>20</v>
      </c>
      <c r="AC30" s="206" t="s">
        <v>1</v>
      </c>
      <c r="AD30" s="2863"/>
      <c r="AE30" s="2863"/>
      <c r="AF30" s="2863"/>
      <c r="AG30" s="2863"/>
      <c r="AH30" s="2863"/>
      <c r="AI30" s="2854"/>
      <c r="AJ30" s="2854"/>
      <c r="AK30" s="2854"/>
      <c r="AL30" s="2854"/>
      <c r="AM30" s="2854"/>
      <c r="AN30" s="2854"/>
      <c r="AO30" s="2854"/>
      <c r="AP30" s="2854"/>
      <c r="AQ30" s="2854"/>
      <c r="AR30" s="2854"/>
      <c r="AS30" s="2854"/>
      <c r="AT30" s="2854"/>
      <c r="AU30" s="2854"/>
      <c r="AV30" s="2854"/>
      <c r="AW30" s="2854"/>
      <c r="AX30" s="2854"/>
      <c r="AY30" s="2854"/>
      <c r="AZ30" s="2854"/>
      <c r="BA30" s="2854"/>
      <c r="BB30" s="2854"/>
      <c r="BC30" s="2854"/>
      <c r="BD30" s="2854"/>
      <c r="BE30" s="2854"/>
      <c r="BF30" s="2854"/>
      <c r="BG30" s="2854"/>
      <c r="BH30" s="2854"/>
      <c r="BI30" s="2854"/>
      <c r="BJ30" s="2854"/>
      <c r="BK30" s="2857"/>
      <c r="BL30" s="2857"/>
      <c r="BM30" s="2860"/>
      <c r="BN30" s="2854"/>
      <c r="BO30" s="2839"/>
      <c r="BP30" s="2842"/>
      <c r="BQ30" s="2845"/>
      <c r="BR30" s="2848"/>
      <c r="BS30" s="2845"/>
      <c r="BT30" s="2851"/>
      <c r="BU30" s="2819"/>
      <c r="BV30" s="25"/>
      <c r="BW30" s="25"/>
    </row>
    <row r="31" spans="1:75" s="24" customFormat="1" ht="47.25" customHeight="1" x14ac:dyDescent="0.25">
      <c r="A31" s="197"/>
      <c r="B31" s="198"/>
      <c r="C31" s="199"/>
      <c r="D31" s="198"/>
      <c r="E31" s="207"/>
      <c r="F31" s="86"/>
      <c r="G31" s="2550"/>
      <c r="H31" s="2814"/>
      <c r="I31" s="2872"/>
      <c r="J31" s="2882"/>
      <c r="K31" s="2872"/>
      <c r="L31" s="2771"/>
      <c r="M31" s="2872"/>
      <c r="N31" s="2771"/>
      <c r="O31" s="2875"/>
      <c r="P31" s="2566"/>
      <c r="Q31" s="2502"/>
      <c r="R31" s="2771"/>
      <c r="S31" s="2866"/>
      <c r="T31" s="2869"/>
      <c r="U31" s="2530"/>
      <c r="V31" s="2530"/>
      <c r="W31" s="2530"/>
      <c r="X31" s="208">
        <v>0</v>
      </c>
      <c r="Y31" s="203">
        <v>0</v>
      </c>
      <c r="Z31" s="203">
        <v>0</v>
      </c>
      <c r="AA31" s="204" t="s">
        <v>177</v>
      </c>
      <c r="AB31" s="210">
        <v>56</v>
      </c>
      <c r="AC31" s="206" t="s">
        <v>159</v>
      </c>
      <c r="AD31" s="2863"/>
      <c r="AE31" s="2863"/>
      <c r="AF31" s="2863"/>
      <c r="AG31" s="2863"/>
      <c r="AH31" s="2863"/>
      <c r="AI31" s="2854"/>
      <c r="AJ31" s="2854"/>
      <c r="AK31" s="2854"/>
      <c r="AL31" s="2854"/>
      <c r="AM31" s="2854"/>
      <c r="AN31" s="2854"/>
      <c r="AO31" s="2854"/>
      <c r="AP31" s="2854"/>
      <c r="AQ31" s="2854"/>
      <c r="AR31" s="2854"/>
      <c r="AS31" s="2854"/>
      <c r="AT31" s="2854"/>
      <c r="AU31" s="2854"/>
      <c r="AV31" s="2854"/>
      <c r="AW31" s="2854"/>
      <c r="AX31" s="2854"/>
      <c r="AY31" s="2854"/>
      <c r="AZ31" s="2854"/>
      <c r="BA31" s="2854"/>
      <c r="BB31" s="2854"/>
      <c r="BC31" s="2854"/>
      <c r="BD31" s="2854"/>
      <c r="BE31" s="2854"/>
      <c r="BF31" s="2854"/>
      <c r="BG31" s="2854"/>
      <c r="BH31" s="2854"/>
      <c r="BI31" s="2854"/>
      <c r="BJ31" s="2854"/>
      <c r="BK31" s="2857"/>
      <c r="BL31" s="2857"/>
      <c r="BM31" s="2860"/>
      <c r="BN31" s="2854"/>
      <c r="BO31" s="2839"/>
      <c r="BP31" s="2842"/>
      <c r="BQ31" s="2845"/>
      <c r="BR31" s="2848"/>
      <c r="BS31" s="2845"/>
      <c r="BT31" s="2851"/>
      <c r="BU31" s="2819"/>
      <c r="BV31" s="25"/>
      <c r="BW31" s="25"/>
    </row>
    <row r="32" spans="1:75" s="24" customFormat="1" ht="47.25" customHeight="1" x14ac:dyDescent="0.25">
      <c r="A32" s="197"/>
      <c r="B32" s="198"/>
      <c r="C32" s="199"/>
      <c r="D32" s="198"/>
      <c r="E32" s="207"/>
      <c r="F32" s="86"/>
      <c r="G32" s="2550"/>
      <c r="H32" s="2814"/>
      <c r="I32" s="2872"/>
      <c r="J32" s="2882"/>
      <c r="K32" s="2872"/>
      <c r="L32" s="2771"/>
      <c r="M32" s="2872"/>
      <c r="N32" s="2771"/>
      <c r="O32" s="2875"/>
      <c r="P32" s="2566"/>
      <c r="Q32" s="2502"/>
      <c r="R32" s="2771"/>
      <c r="S32" s="2866"/>
      <c r="T32" s="2869"/>
      <c r="U32" s="2530"/>
      <c r="V32" s="2530"/>
      <c r="W32" s="2530"/>
      <c r="X32" s="208">
        <v>74789276</v>
      </c>
      <c r="Y32" s="203">
        <v>44962836</v>
      </c>
      <c r="Z32" s="203">
        <v>44962836</v>
      </c>
      <c r="AA32" s="204" t="s">
        <v>178</v>
      </c>
      <c r="AB32" s="210">
        <v>95</v>
      </c>
      <c r="AC32" s="206" t="s">
        <v>179</v>
      </c>
      <c r="AD32" s="2863"/>
      <c r="AE32" s="2863"/>
      <c r="AF32" s="2863"/>
      <c r="AG32" s="2863"/>
      <c r="AH32" s="2863"/>
      <c r="AI32" s="2854"/>
      <c r="AJ32" s="2854"/>
      <c r="AK32" s="2854"/>
      <c r="AL32" s="2854"/>
      <c r="AM32" s="2854"/>
      <c r="AN32" s="2854"/>
      <c r="AO32" s="2854"/>
      <c r="AP32" s="2854"/>
      <c r="AQ32" s="2854"/>
      <c r="AR32" s="2854"/>
      <c r="AS32" s="2854"/>
      <c r="AT32" s="2854"/>
      <c r="AU32" s="2854"/>
      <c r="AV32" s="2854"/>
      <c r="AW32" s="2854"/>
      <c r="AX32" s="2854"/>
      <c r="AY32" s="2854"/>
      <c r="AZ32" s="2854"/>
      <c r="BA32" s="2854"/>
      <c r="BB32" s="2854"/>
      <c r="BC32" s="2854"/>
      <c r="BD32" s="2854"/>
      <c r="BE32" s="2854"/>
      <c r="BF32" s="2854"/>
      <c r="BG32" s="2854"/>
      <c r="BH32" s="2854"/>
      <c r="BI32" s="2854"/>
      <c r="BJ32" s="2854"/>
      <c r="BK32" s="2857"/>
      <c r="BL32" s="2857"/>
      <c r="BM32" s="2860"/>
      <c r="BN32" s="2854"/>
      <c r="BO32" s="2839"/>
      <c r="BP32" s="2842"/>
      <c r="BQ32" s="2845"/>
      <c r="BR32" s="2848"/>
      <c r="BS32" s="2845"/>
      <c r="BT32" s="2851"/>
      <c r="BU32" s="2819"/>
      <c r="BV32" s="25"/>
      <c r="BW32" s="25"/>
    </row>
    <row r="33" spans="1:75" s="24" customFormat="1" ht="36.75" customHeight="1" x14ac:dyDescent="0.25">
      <c r="A33" s="197"/>
      <c r="B33" s="198"/>
      <c r="C33" s="199"/>
      <c r="D33" s="198"/>
      <c r="E33" s="207"/>
      <c r="F33" s="86"/>
      <c r="G33" s="2550"/>
      <c r="H33" s="2814"/>
      <c r="I33" s="2872"/>
      <c r="J33" s="2882"/>
      <c r="K33" s="2872"/>
      <c r="L33" s="2771"/>
      <c r="M33" s="2872"/>
      <c r="N33" s="2771"/>
      <c r="O33" s="2875"/>
      <c r="P33" s="2566"/>
      <c r="Q33" s="2502"/>
      <c r="R33" s="2771"/>
      <c r="S33" s="2866"/>
      <c r="T33" s="2869"/>
      <c r="U33" s="2530"/>
      <c r="V33" s="2530"/>
      <c r="W33" s="2530"/>
      <c r="X33" s="208">
        <v>50000000</v>
      </c>
      <c r="Y33" s="203">
        <v>29299431</v>
      </c>
      <c r="Z33" s="203">
        <v>29299431</v>
      </c>
      <c r="AA33" s="204" t="s">
        <v>180</v>
      </c>
      <c r="AB33" s="210">
        <v>56</v>
      </c>
      <c r="AC33" s="206" t="s">
        <v>159</v>
      </c>
      <c r="AD33" s="2863"/>
      <c r="AE33" s="2863"/>
      <c r="AF33" s="2863"/>
      <c r="AG33" s="2863"/>
      <c r="AH33" s="2863"/>
      <c r="AI33" s="2854"/>
      <c r="AJ33" s="2854"/>
      <c r="AK33" s="2854"/>
      <c r="AL33" s="2854"/>
      <c r="AM33" s="2854"/>
      <c r="AN33" s="2854"/>
      <c r="AO33" s="2854"/>
      <c r="AP33" s="2854"/>
      <c r="AQ33" s="2854"/>
      <c r="AR33" s="2854"/>
      <c r="AS33" s="2854"/>
      <c r="AT33" s="2854"/>
      <c r="AU33" s="2854"/>
      <c r="AV33" s="2854"/>
      <c r="AW33" s="2854"/>
      <c r="AX33" s="2854"/>
      <c r="AY33" s="2854"/>
      <c r="AZ33" s="2854"/>
      <c r="BA33" s="2854"/>
      <c r="BB33" s="2854"/>
      <c r="BC33" s="2854"/>
      <c r="BD33" s="2854"/>
      <c r="BE33" s="2854"/>
      <c r="BF33" s="2854"/>
      <c r="BG33" s="2854"/>
      <c r="BH33" s="2854"/>
      <c r="BI33" s="2854"/>
      <c r="BJ33" s="2854"/>
      <c r="BK33" s="2857"/>
      <c r="BL33" s="2857"/>
      <c r="BM33" s="2860"/>
      <c r="BN33" s="2854"/>
      <c r="BO33" s="2839"/>
      <c r="BP33" s="2842"/>
      <c r="BQ33" s="2845"/>
      <c r="BR33" s="2848"/>
      <c r="BS33" s="2845"/>
      <c r="BT33" s="2851"/>
      <c r="BU33" s="2819"/>
      <c r="BV33" s="25"/>
      <c r="BW33" s="25"/>
    </row>
    <row r="34" spans="1:75" s="24" customFormat="1" ht="36.75" customHeight="1" x14ac:dyDescent="0.25">
      <c r="A34" s="197"/>
      <c r="B34" s="198"/>
      <c r="C34" s="199"/>
      <c r="D34" s="198"/>
      <c r="E34" s="207"/>
      <c r="F34" s="86"/>
      <c r="G34" s="2550"/>
      <c r="H34" s="2814"/>
      <c r="I34" s="2872"/>
      <c r="J34" s="2882"/>
      <c r="K34" s="2872"/>
      <c r="L34" s="2771"/>
      <c r="M34" s="2872"/>
      <c r="N34" s="2771"/>
      <c r="O34" s="2875"/>
      <c r="P34" s="2566"/>
      <c r="Q34" s="2502"/>
      <c r="R34" s="2771"/>
      <c r="S34" s="2866"/>
      <c r="T34" s="2869"/>
      <c r="U34" s="2530"/>
      <c r="V34" s="2530"/>
      <c r="W34" s="2530"/>
      <c r="X34" s="208">
        <v>22000000</v>
      </c>
      <c r="Y34" s="203">
        <v>15562820</v>
      </c>
      <c r="Z34" s="203">
        <v>15562820</v>
      </c>
      <c r="AA34" s="211" t="s">
        <v>181</v>
      </c>
      <c r="AB34" s="210">
        <v>56</v>
      </c>
      <c r="AC34" s="206" t="s">
        <v>159</v>
      </c>
      <c r="AD34" s="2863"/>
      <c r="AE34" s="2863"/>
      <c r="AF34" s="2863"/>
      <c r="AG34" s="2863"/>
      <c r="AH34" s="2863"/>
      <c r="AI34" s="2854"/>
      <c r="AJ34" s="2854"/>
      <c r="AK34" s="2854"/>
      <c r="AL34" s="2854"/>
      <c r="AM34" s="2854"/>
      <c r="AN34" s="2854"/>
      <c r="AO34" s="2854"/>
      <c r="AP34" s="2854"/>
      <c r="AQ34" s="2854"/>
      <c r="AR34" s="2854"/>
      <c r="AS34" s="2854"/>
      <c r="AT34" s="2854"/>
      <c r="AU34" s="2854"/>
      <c r="AV34" s="2854"/>
      <c r="AW34" s="2854"/>
      <c r="AX34" s="2854"/>
      <c r="AY34" s="2854"/>
      <c r="AZ34" s="2854"/>
      <c r="BA34" s="2854"/>
      <c r="BB34" s="2854"/>
      <c r="BC34" s="2854"/>
      <c r="BD34" s="2854"/>
      <c r="BE34" s="2854"/>
      <c r="BF34" s="2854"/>
      <c r="BG34" s="2854"/>
      <c r="BH34" s="2854"/>
      <c r="BI34" s="2854"/>
      <c r="BJ34" s="2854"/>
      <c r="BK34" s="2857"/>
      <c r="BL34" s="2857"/>
      <c r="BM34" s="2860"/>
      <c r="BN34" s="2854"/>
      <c r="BO34" s="2839"/>
      <c r="BP34" s="2842"/>
      <c r="BQ34" s="2845"/>
      <c r="BR34" s="2848"/>
      <c r="BS34" s="2845"/>
      <c r="BT34" s="2851"/>
      <c r="BU34" s="2819"/>
      <c r="BV34" s="25"/>
      <c r="BW34" s="25"/>
    </row>
    <row r="35" spans="1:75" s="24" customFormat="1" ht="36.75" customHeight="1" x14ac:dyDescent="0.25">
      <c r="A35" s="197"/>
      <c r="B35" s="198"/>
      <c r="C35" s="199"/>
      <c r="D35" s="198"/>
      <c r="E35" s="207"/>
      <c r="F35" s="86"/>
      <c r="G35" s="2550"/>
      <c r="H35" s="2814"/>
      <c r="I35" s="2872"/>
      <c r="J35" s="2882"/>
      <c r="K35" s="2872"/>
      <c r="L35" s="2771"/>
      <c r="M35" s="2872"/>
      <c r="N35" s="2771"/>
      <c r="O35" s="2875"/>
      <c r="P35" s="2566"/>
      <c r="Q35" s="2502"/>
      <c r="R35" s="2771"/>
      <c r="S35" s="2866"/>
      <c r="T35" s="2869"/>
      <c r="U35" s="2530"/>
      <c r="V35" s="2530"/>
      <c r="W35" s="2530"/>
      <c r="X35" s="208">
        <v>900000</v>
      </c>
      <c r="Y35" s="203">
        <v>335580</v>
      </c>
      <c r="Z35" s="203">
        <v>335580</v>
      </c>
      <c r="AA35" s="211" t="s">
        <v>182</v>
      </c>
      <c r="AB35" s="210">
        <v>56</v>
      </c>
      <c r="AC35" s="206" t="s">
        <v>159</v>
      </c>
      <c r="AD35" s="2863"/>
      <c r="AE35" s="2863"/>
      <c r="AF35" s="2863"/>
      <c r="AG35" s="2863"/>
      <c r="AH35" s="2863"/>
      <c r="AI35" s="2854"/>
      <c r="AJ35" s="2854"/>
      <c r="AK35" s="2854"/>
      <c r="AL35" s="2854"/>
      <c r="AM35" s="2854"/>
      <c r="AN35" s="2854"/>
      <c r="AO35" s="2854"/>
      <c r="AP35" s="2854"/>
      <c r="AQ35" s="2854"/>
      <c r="AR35" s="2854"/>
      <c r="AS35" s="2854"/>
      <c r="AT35" s="2854"/>
      <c r="AU35" s="2854"/>
      <c r="AV35" s="2854"/>
      <c r="AW35" s="2854"/>
      <c r="AX35" s="2854"/>
      <c r="AY35" s="2854"/>
      <c r="AZ35" s="2854"/>
      <c r="BA35" s="2854"/>
      <c r="BB35" s="2854"/>
      <c r="BC35" s="2854"/>
      <c r="BD35" s="2854"/>
      <c r="BE35" s="2854"/>
      <c r="BF35" s="2854"/>
      <c r="BG35" s="2854"/>
      <c r="BH35" s="2854"/>
      <c r="BI35" s="2854"/>
      <c r="BJ35" s="2854"/>
      <c r="BK35" s="2857"/>
      <c r="BL35" s="2857"/>
      <c r="BM35" s="2860"/>
      <c r="BN35" s="2854"/>
      <c r="BO35" s="2839"/>
      <c r="BP35" s="2842"/>
      <c r="BQ35" s="2845"/>
      <c r="BR35" s="2848"/>
      <c r="BS35" s="2845"/>
      <c r="BT35" s="2851"/>
      <c r="BU35" s="2819"/>
      <c r="BV35" s="25"/>
      <c r="BW35" s="25"/>
    </row>
    <row r="36" spans="1:75" s="24" customFormat="1" ht="36.75" customHeight="1" x14ac:dyDescent="0.25">
      <c r="A36" s="197"/>
      <c r="B36" s="198"/>
      <c r="C36" s="199"/>
      <c r="D36" s="198"/>
      <c r="E36" s="207"/>
      <c r="F36" s="86"/>
      <c r="G36" s="2550"/>
      <c r="H36" s="2814"/>
      <c r="I36" s="2872"/>
      <c r="J36" s="2882"/>
      <c r="K36" s="2872"/>
      <c r="L36" s="2771"/>
      <c r="M36" s="2872"/>
      <c r="N36" s="2771"/>
      <c r="O36" s="2875"/>
      <c r="P36" s="2566"/>
      <c r="Q36" s="2502"/>
      <c r="R36" s="2771"/>
      <c r="S36" s="2866"/>
      <c r="T36" s="2869"/>
      <c r="U36" s="2530"/>
      <c r="V36" s="2530"/>
      <c r="W36" s="2530"/>
      <c r="X36" s="208">
        <v>200000</v>
      </c>
      <c r="Y36" s="203">
        <v>142800</v>
      </c>
      <c r="Z36" s="203">
        <v>142800</v>
      </c>
      <c r="AA36" s="211" t="s">
        <v>183</v>
      </c>
      <c r="AB36" s="210">
        <v>56</v>
      </c>
      <c r="AC36" s="206" t="s">
        <v>159</v>
      </c>
      <c r="AD36" s="2863"/>
      <c r="AE36" s="2863"/>
      <c r="AF36" s="2863"/>
      <c r="AG36" s="2863"/>
      <c r="AH36" s="2863"/>
      <c r="AI36" s="2854"/>
      <c r="AJ36" s="2854"/>
      <c r="AK36" s="2854"/>
      <c r="AL36" s="2854"/>
      <c r="AM36" s="2854"/>
      <c r="AN36" s="2854"/>
      <c r="AO36" s="2854"/>
      <c r="AP36" s="2854"/>
      <c r="AQ36" s="2854"/>
      <c r="AR36" s="2854"/>
      <c r="AS36" s="2854"/>
      <c r="AT36" s="2854"/>
      <c r="AU36" s="2854"/>
      <c r="AV36" s="2854"/>
      <c r="AW36" s="2854"/>
      <c r="AX36" s="2854"/>
      <c r="AY36" s="2854"/>
      <c r="AZ36" s="2854"/>
      <c r="BA36" s="2854"/>
      <c r="BB36" s="2854"/>
      <c r="BC36" s="2854"/>
      <c r="BD36" s="2854"/>
      <c r="BE36" s="2854"/>
      <c r="BF36" s="2854"/>
      <c r="BG36" s="2854"/>
      <c r="BH36" s="2854"/>
      <c r="BI36" s="2854"/>
      <c r="BJ36" s="2854"/>
      <c r="BK36" s="2857"/>
      <c r="BL36" s="2857"/>
      <c r="BM36" s="2860"/>
      <c r="BN36" s="2854"/>
      <c r="BO36" s="2839"/>
      <c r="BP36" s="2842"/>
      <c r="BQ36" s="2845"/>
      <c r="BR36" s="2848"/>
      <c r="BS36" s="2845"/>
      <c r="BT36" s="2851"/>
      <c r="BU36" s="2819"/>
      <c r="BV36" s="25"/>
      <c r="BW36" s="25"/>
    </row>
    <row r="37" spans="1:75" s="24" customFormat="1" ht="36.75" customHeight="1" x14ac:dyDescent="0.25">
      <c r="A37" s="197"/>
      <c r="B37" s="198"/>
      <c r="C37" s="199"/>
      <c r="D37" s="198"/>
      <c r="E37" s="207"/>
      <c r="F37" s="86"/>
      <c r="G37" s="2550"/>
      <c r="H37" s="2814"/>
      <c r="I37" s="2872"/>
      <c r="J37" s="2882"/>
      <c r="K37" s="2872"/>
      <c r="L37" s="2771"/>
      <c r="M37" s="2872"/>
      <c r="N37" s="2771"/>
      <c r="O37" s="2875"/>
      <c r="P37" s="2566"/>
      <c r="Q37" s="2502"/>
      <c r="R37" s="2771"/>
      <c r="S37" s="2866"/>
      <c r="T37" s="2869"/>
      <c r="U37" s="2530"/>
      <c r="V37" s="2530"/>
      <c r="W37" s="2530"/>
      <c r="X37" s="208">
        <v>2000000</v>
      </c>
      <c r="Y37" s="203">
        <v>1004955</v>
      </c>
      <c r="Z37" s="203">
        <v>1004955</v>
      </c>
      <c r="AA37" s="211" t="s">
        <v>184</v>
      </c>
      <c r="AB37" s="210">
        <v>56</v>
      </c>
      <c r="AC37" s="206" t="s">
        <v>159</v>
      </c>
      <c r="AD37" s="2863"/>
      <c r="AE37" s="2863"/>
      <c r="AF37" s="2863"/>
      <c r="AG37" s="2863"/>
      <c r="AH37" s="2863"/>
      <c r="AI37" s="2854"/>
      <c r="AJ37" s="2854"/>
      <c r="AK37" s="2854"/>
      <c r="AL37" s="2854"/>
      <c r="AM37" s="2854"/>
      <c r="AN37" s="2854"/>
      <c r="AO37" s="2854"/>
      <c r="AP37" s="2854"/>
      <c r="AQ37" s="2854"/>
      <c r="AR37" s="2854"/>
      <c r="AS37" s="2854"/>
      <c r="AT37" s="2854"/>
      <c r="AU37" s="2854"/>
      <c r="AV37" s="2854"/>
      <c r="AW37" s="2854"/>
      <c r="AX37" s="2854"/>
      <c r="AY37" s="2854"/>
      <c r="AZ37" s="2854"/>
      <c r="BA37" s="2854"/>
      <c r="BB37" s="2854"/>
      <c r="BC37" s="2854"/>
      <c r="BD37" s="2854"/>
      <c r="BE37" s="2854"/>
      <c r="BF37" s="2854"/>
      <c r="BG37" s="2854"/>
      <c r="BH37" s="2854"/>
      <c r="BI37" s="2854"/>
      <c r="BJ37" s="2854"/>
      <c r="BK37" s="2857"/>
      <c r="BL37" s="2857"/>
      <c r="BM37" s="2860"/>
      <c r="BN37" s="2854"/>
      <c r="BO37" s="2839"/>
      <c r="BP37" s="2842"/>
      <c r="BQ37" s="2845"/>
      <c r="BR37" s="2848"/>
      <c r="BS37" s="2845"/>
      <c r="BT37" s="2851"/>
      <c r="BU37" s="2819"/>
      <c r="BV37" s="25"/>
      <c r="BW37" s="25"/>
    </row>
    <row r="38" spans="1:75" s="24" customFormat="1" ht="36.75" customHeight="1" x14ac:dyDescent="0.25">
      <c r="A38" s="197"/>
      <c r="B38" s="198"/>
      <c r="C38" s="199"/>
      <c r="D38" s="198"/>
      <c r="E38" s="207"/>
      <c r="F38" s="86"/>
      <c r="G38" s="2550"/>
      <c r="H38" s="2814"/>
      <c r="I38" s="2872"/>
      <c r="J38" s="2882"/>
      <c r="K38" s="2872"/>
      <c r="L38" s="2771"/>
      <c r="M38" s="2872"/>
      <c r="N38" s="2771"/>
      <c r="O38" s="2875"/>
      <c r="P38" s="2566"/>
      <c r="Q38" s="2502"/>
      <c r="R38" s="2771"/>
      <c r="S38" s="2866"/>
      <c r="T38" s="2869"/>
      <c r="U38" s="2530"/>
      <c r="V38" s="2530"/>
      <c r="W38" s="2530"/>
      <c r="X38" s="208">
        <v>2700000</v>
      </c>
      <c r="Y38" s="203">
        <v>339150</v>
      </c>
      <c r="Z38" s="203">
        <v>339150</v>
      </c>
      <c r="AA38" s="211" t="s">
        <v>185</v>
      </c>
      <c r="AB38" s="210">
        <v>56</v>
      </c>
      <c r="AC38" s="206" t="s">
        <v>159</v>
      </c>
      <c r="AD38" s="2863"/>
      <c r="AE38" s="2863"/>
      <c r="AF38" s="2863"/>
      <c r="AG38" s="2863"/>
      <c r="AH38" s="2863"/>
      <c r="AI38" s="2854"/>
      <c r="AJ38" s="2854"/>
      <c r="AK38" s="2854"/>
      <c r="AL38" s="2854"/>
      <c r="AM38" s="2854"/>
      <c r="AN38" s="2854"/>
      <c r="AO38" s="2854"/>
      <c r="AP38" s="2854"/>
      <c r="AQ38" s="2854"/>
      <c r="AR38" s="2854"/>
      <c r="AS38" s="2854"/>
      <c r="AT38" s="2854"/>
      <c r="AU38" s="2854"/>
      <c r="AV38" s="2854"/>
      <c r="AW38" s="2854"/>
      <c r="AX38" s="2854"/>
      <c r="AY38" s="2854"/>
      <c r="AZ38" s="2854"/>
      <c r="BA38" s="2854"/>
      <c r="BB38" s="2854"/>
      <c r="BC38" s="2854"/>
      <c r="BD38" s="2854"/>
      <c r="BE38" s="2854"/>
      <c r="BF38" s="2854"/>
      <c r="BG38" s="2854"/>
      <c r="BH38" s="2854"/>
      <c r="BI38" s="2854"/>
      <c r="BJ38" s="2854"/>
      <c r="BK38" s="2857"/>
      <c r="BL38" s="2857"/>
      <c r="BM38" s="2860"/>
      <c r="BN38" s="2854"/>
      <c r="BO38" s="2839"/>
      <c r="BP38" s="2842"/>
      <c r="BQ38" s="2845"/>
      <c r="BR38" s="2848"/>
      <c r="BS38" s="2845"/>
      <c r="BT38" s="2851"/>
      <c r="BU38" s="2819"/>
      <c r="BV38" s="25"/>
      <c r="BW38" s="25"/>
    </row>
    <row r="39" spans="1:75" s="24" customFormat="1" ht="36.75" customHeight="1" x14ac:dyDescent="0.25">
      <c r="A39" s="197"/>
      <c r="B39" s="198"/>
      <c r="C39" s="199"/>
      <c r="D39" s="198"/>
      <c r="E39" s="207"/>
      <c r="F39" s="86"/>
      <c r="G39" s="2550"/>
      <c r="H39" s="2814"/>
      <c r="I39" s="2872"/>
      <c r="J39" s="2882"/>
      <c r="K39" s="2872"/>
      <c r="L39" s="2771"/>
      <c r="M39" s="2872"/>
      <c r="N39" s="2771"/>
      <c r="O39" s="2875"/>
      <c r="P39" s="2566"/>
      <c r="Q39" s="2502"/>
      <c r="R39" s="2771"/>
      <c r="S39" s="2866"/>
      <c r="T39" s="2869"/>
      <c r="U39" s="2530"/>
      <c r="V39" s="2530"/>
      <c r="W39" s="2530"/>
      <c r="X39" s="208">
        <v>2200000</v>
      </c>
      <c r="Y39" s="203">
        <v>1511895</v>
      </c>
      <c r="Z39" s="203">
        <v>1511895</v>
      </c>
      <c r="AA39" s="211" t="s">
        <v>186</v>
      </c>
      <c r="AB39" s="210">
        <v>56</v>
      </c>
      <c r="AC39" s="206" t="s">
        <v>159</v>
      </c>
      <c r="AD39" s="2863"/>
      <c r="AE39" s="2863"/>
      <c r="AF39" s="2863"/>
      <c r="AG39" s="2863"/>
      <c r="AH39" s="2863"/>
      <c r="AI39" s="2854"/>
      <c r="AJ39" s="2854"/>
      <c r="AK39" s="2854"/>
      <c r="AL39" s="2854"/>
      <c r="AM39" s="2854"/>
      <c r="AN39" s="2854"/>
      <c r="AO39" s="2854"/>
      <c r="AP39" s="2854"/>
      <c r="AQ39" s="2854"/>
      <c r="AR39" s="2854"/>
      <c r="AS39" s="2854"/>
      <c r="AT39" s="2854"/>
      <c r="AU39" s="2854"/>
      <c r="AV39" s="2854"/>
      <c r="AW39" s="2854"/>
      <c r="AX39" s="2854"/>
      <c r="AY39" s="2854"/>
      <c r="AZ39" s="2854"/>
      <c r="BA39" s="2854"/>
      <c r="BB39" s="2854"/>
      <c r="BC39" s="2854"/>
      <c r="BD39" s="2854"/>
      <c r="BE39" s="2854"/>
      <c r="BF39" s="2854"/>
      <c r="BG39" s="2854"/>
      <c r="BH39" s="2854"/>
      <c r="BI39" s="2854"/>
      <c r="BJ39" s="2854"/>
      <c r="BK39" s="2857"/>
      <c r="BL39" s="2857"/>
      <c r="BM39" s="2860"/>
      <c r="BN39" s="2854"/>
      <c r="BO39" s="2839"/>
      <c r="BP39" s="2842"/>
      <c r="BQ39" s="2845"/>
      <c r="BR39" s="2848"/>
      <c r="BS39" s="2845"/>
      <c r="BT39" s="2851"/>
      <c r="BU39" s="2819"/>
      <c r="BV39" s="25"/>
      <c r="BW39" s="25"/>
    </row>
    <row r="40" spans="1:75" s="24" customFormat="1" ht="36.75" customHeight="1" x14ac:dyDescent="0.25">
      <c r="A40" s="197"/>
      <c r="B40" s="198"/>
      <c r="C40" s="199"/>
      <c r="D40" s="198"/>
      <c r="E40" s="207"/>
      <c r="F40" s="86"/>
      <c r="G40" s="2550"/>
      <c r="H40" s="2814"/>
      <c r="I40" s="2872"/>
      <c r="J40" s="2882"/>
      <c r="K40" s="2872"/>
      <c r="L40" s="2771"/>
      <c r="M40" s="2872"/>
      <c r="N40" s="2771"/>
      <c r="O40" s="2875"/>
      <c r="P40" s="2566"/>
      <c r="Q40" s="2502"/>
      <c r="R40" s="2771"/>
      <c r="S40" s="2866"/>
      <c r="T40" s="2869"/>
      <c r="U40" s="2530"/>
      <c r="V40" s="2530"/>
      <c r="W40" s="2530"/>
      <c r="X40" s="208">
        <v>6503000</v>
      </c>
      <c r="Y40" s="203">
        <v>0</v>
      </c>
      <c r="Z40" s="203">
        <v>0</v>
      </c>
      <c r="AA40" s="211" t="s">
        <v>187</v>
      </c>
      <c r="AB40" s="210">
        <v>56</v>
      </c>
      <c r="AC40" s="206" t="s">
        <v>159</v>
      </c>
      <c r="AD40" s="2863"/>
      <c r="AE40" s="2863"/>
      <c r="AF40" s="2863"/>
      <c r="AG40" s="2863"/>
      <c r="AH40" s="2863"/>
      <c r="AI40" s="2854"/>
      <c r="AJ40" s="2854"/>
      <c r="AK40" s="2854"/>
      <c r="AL40" s="2854"/>
      <c r="AM40" s="2854"/>
      <c r="AN40" s="2854"/>
      <c r="AO40" s="2854"/>
      <c r="AP40" s="2854"/>
      <c r="AQ40" s="2854"/>
      <c r="AR40" s="2854"/>
      <c r="AS40" s="2854"/>
      <c r="AT40" s="2854"/>
      <c r="AU40" s="2854"/>
      <c r="AV40" s="2854"/>
      <c r="AW40" s="2854"/>
      <c r="AX40" s="2854"/>
      <c r="AY40" s="2854"/>
      <c r="AZ40" s="2854"/>
      <c r="BA40" s="2854"/>
      <c r="BB40" s="2854"/>
      <c r="BC40" s="2854"/>
      <c r="BD40" s="2854"/>
      <c r="BE40" s="2854"/>
      <c r="BF40" s="2854"/>
      <c r="BG40" s="2854"/>
      <c r="BH40" s="2854"/>
      <c r="BI40" s="2854"/>
      <c r="BJ40" s="2854"/>
      <c r="BK40" s="2857"/>
      <c r="BL40" s="2857"/>
      <c r="BM40" s="2860"/>
      <c r="BN40" s="2854"/>
      <c r="BO40" s="2839"/>
      <c r="BP40" s="2842"/>
      <c r="BQ40" s="2845"/>
      <c r="BR40" s="2848"/>
      <c r="BS40" s="2845"/>
      <c r="BT40" s="2851"/>
      <c r="BU40" s="2819"/>
      <c r="BV40" s="25"/>
      <c r="BW40" s="25"/>
    </row>
    <row r="41" spans="1:75" s="24" customFormat="1" ht="36.75" customHeight="1" x14ac:dyDescent="0.25">
      <c r="A41" s="197"/>
      <c r="B41" s="198"/>
      <c r="C41" s="199"/>
      <c r="D41" s="198"/>
      <c r="E41" s="207"/>
      <c r="F41" s="86"/>
      <c r="G41" s="2550"/>
      <c r="H41" s="2814"/>
      <c r="I41" s="2872"/>
      <c r="J41" s="2882"/>
      <c r="K41" s="2872"/>
      <c r="L41" s="2771"/>
      <c r="M41" s="2872"/>
      <c r="N41" s="2771"/>
      <c r="O41" s="2875"/>
      <c r="P41" s="2566"/>
      <c r="Q41" s="2502"/>
      <c r="R41" s="2771"/>
      <c r="S41" s="2866"/>
      <c r="T41" s="2869"/>
      <c r="U41" s="2530"/>
      <c r="V41" s="2530"/>
      <c r="W41" s="2530"/>
      <c r="X41" s="208">
        <v>4857000</v>
      </c>
      <c r="Y41" s="203">
        <v>0</v>
      </c>
      <c r="Z41" s="203">
        <v>0</v>
      </c>
      <c r="AA41" s="211" t="s">
        <v>188</v>
      </c>
      <c r="AB41" s="210">
        <v>56</v>
      </c>
      <c r="AC41" s="206" t="s">
        <v>159</v>
      </c>
      <c r="AD41" s="2863"/>
      <c r="AE41" s="2863"/>
      <c r="AF41" s="2863"/>
      <c r="AG41" s="2863"/>
      <c r="AH41" s="2863"/>
      <c r="AI41" s="2854"/>
      <c r="AJ41" s="2854"/>
      <c r="AK41" s="2854"/>
      <c r="AL41" s="2854"/>
      <c r="AM41" s="2854"/>
      <c r="AN41" s="2854"/>
      <c r="AO41" s="2854"/>
      <c r="AP41" s="2854"/>
      <c r="AQ41" s="2854"/>
      <c r="AR41" s="2854"/>
      <c r="AS41" s="2854"/>
      <c r="AT41" s="2854"/>
      <c r="AU41" s="2854"/>
      <c r="AV41" s="2854"/>
      <c r="AW41" s="2854"/>
      <c r="AX41" s="2854"/>
      <c r="AY41" s="2854"/>
      <c r="AZ41" s="2854"/>
      <c r="BA41" s="2854"/>
      <c r="BB41" s="2854"/>
      <c r="BC41" s="2854"/>
      <c r="BD41" s="2854"/>
      <c r="BE41" s="2854"/>
      <c r="BF41" s="2854"/>
      <c r="BG41" s="2854"/>
      <c r="BH41" s="2854"/>
      <c r="BI41" s="2854"/>
      <c r="BJ41" s="2854"/>
      <c r="BK41" s="2857"/>
      <c r="BL41" s="2857"/>
      <c r="BM41" s="2860"/>
      <c r="BN41" s="2854"/>
      <c r="BO41" s="2839"/>
      <c r="BP41" s="2842"/>
      <c r="BQ41" s="2845"/>
      <c r="BR41" s="2848"/>
      <c r="BS41" s="2845"/>
      <c r="BT41" s="2851"/>
      <c r="BU41" s="2819"/>
      <c r="BV41" s="25"/>
      <c r="BW41" s="25"/>
    </row>
    <row r="42" spans="1:75" s="24" customFormat="1" ht="36.75" customHeight="1" x14ac:dyDescent="0.25">
      <c r="A42" s="197"/>
      <c r="B42" s="198"/>
      <c r="C42" s="199"/>
      <c r="D42" s="198"/>
      <c r="E42" s="207"/>
      <c r="F42" s="86"/>
      <c r="G42" s="2550"/>
      <c r="H42" s="2814"/>
      <c r="I42" s="2872"/>
      <c r="J42" s="2882"/>
      <c r="K42" s="2872"/>
      <c r="L42" s="2771"/>
      <c r="M42" s="2872"/>
      <c r="N42" s="2771"/>
      <c r="O42" s="2875"/>
      <c r="P42" s="2566"/>
      <c r="Q42" s="2502"/>
      <c r="R42" s="2771"/>
      <c r="S42" s="2866"/>
      <c r="T42" s="2869"/>
      <c r="U42" s="2530"/>
      <c r="V42" s="2530"/>
      <c r="W42" s="2530"/>
      <c r="X42" s="208">
        <v>10345000</v>
      </c>
      <c r="Y42" s="203">
        <v>0</v>
      </c>
      <c r="Z42" s="203">
        <v>0</v>
      </c>
      <c r="AA42" s="211" t="s">
        <v>189</v>
      </c>
      <c r="AB42" s="210">
        <v>56</v>
      </c>
      <c r="AC42" s="206" t="s">
        <v>159</v>
      </c>
      <c r="AD42" s="2863"/>
      <c r="AE42" s="2863"/>
      <c r="AF42" s="2863"/>
      <c r="AG42" s="2863"/>
      <c r="AH42" s="2863"/>
      <c r="AI42" s="2854"/>
      <c r="AJ42" s="2854"/>
      <c r="AK42" s="2854"/>
      <c r="AL42" s="2854"/>
      <c r="AM42" s="2854"/>
      <c r="AN42" s="2854"/>
      <c r="AO42" s="2854"/>
      <c r="AP42" s="2854"/>
      <c r="AQ42" s="2854"/>
      <c r="AR42" s="2854"/>
      <c r="AS42" s="2854"/>
      <c r="AT42" s="2854"/>
      <c r="AU42" s="2854"/>
      <c r="AV42" s="2854"/>
      <c r="AW42" s="2854"/>
      <c r="AX42" s="2854"/>
      <c r="AY42" s="2854"/>
      <c r="AZ42" s="2854"/>
      <c r="BA42" s="2854"/>
      <c r="BB42" s="2854"/>
      <c r="BC42" s="2854"/>
      <c r="BD42" s="2854"/>
      <c r="BE42" s="2854"/>
      <c r="BF42" s="2854"/>
      <c r="BG42" s="2854"/>
      <c r="BH42" s="2854"/>
      <c r="BI42" s="2854"/>
      <c r="BJ42" s="2854"/>
      <c r="BK42" s="2857"/>
      <c r="BL42" s="2857"/>
      <c r="BM42" s="2860"/>
      <c r="BN42" s="2854"/>
      <c r="BO42" s="2839"/>
      <c r="BP42" s="2842"/>
      <c r="BQ42" s="2845"/>
      <c r="BR42" s="2848"/>
      <c r="BS42" s="2845"/>
      <c r="BT42" s="2851"/>
      <c r="BU42" s="2819"/>
      <c r="BV42" s="25"/>
      <c r="BW42" s="25"/>
    </row>
    <row r="43" spans="1:75" s="24" customFormat="1" ht="36.75" customHeight="1" x14ac:dyDescent="0.25">
      <c r="A43" s="197"/>
      <c r="B43" s="198"/>
      <c r="C43" s="199"/>
      <c r="D43" s="198"/>
      <c r="E43" s="207"/>
      <c r="F43" s="86"/>
      <c r="G43" s="2550"/>
      <c r="H43" s="2814"/>
      <c r="I43" s="2872"/>
      <c r="J43" s="2882"/>
      <c r="K43" s="2872"/>
      <c r="L43" s="2771"/>
      <c r="M43" s="2872"/>
      <c r="N43" s="2771"/>
      <c r="O43" s="2875"/>
      <c r="P43" s="2566"/>
      <c r="Q43" s="2502"/>
      <c r="R43" s="2771"/>
      <c r="S43" s="2866"/>
      <c r="T43" s="2869"/>
      <c r="U43" s="2530"/>
      <c r="V43" s="2530"/>
      <c r="W43" s="2530"/>
      <c r="X43" s="208">
        <v>20000000</v>
      </c>
      <c r="Y43" s="212">
        <v>0</v>
      </c>
      <c r="Z43" s="212">
        <v>0</v>
      </c>
      <c r="AA43" s="211" t="s">
        <v>190</v>
      </c>
      <c r="AB43" s="210">
        <v>56</v>
      </c>
      <c r="AC43" s="206" t="s">
        <v>159</v>
      </c>
      <c r="AD43" s="2863"/>
      <c r="AE43" s="2863"/>
      <c r="AF43" s="2863"/>
      <c r="AG43" s="2863"/>
      <c r="AH43" s="2863"/>
      <c r="AI43" s="2854"/>
      <c r="AJ43" s="2854"/>
      <c r="AK43" s="2854"/>
      <c r="AL43" s="2854"/>
      <c r="AM43" s="2854"/>
      <c r="AN43" s="2854"/>
      <c r="AO43" s="2854"/>
      <c r="AP43" s="2854"/>
      <c r="AQ43" s="2854"/>
      <c r="AR43" s="2854"/>
      <c r="AS43" s="2854"/>
      <c r="AT43" s="2854"/>
      <c r="AU43" s="2854"/>
      <c r="AV43" s="2854"/>
      <c r="AW43" s="2854"/>
      <c r="AX43" s="2854"/>
      <c r="AY43" s="2854"/>
      <c r="AZ43" s="2854"/>
      <c r="BA43" s="2854"/>
      <c r="BB43" s="2854"/>
      <c r="BC43" s="2854"/>
      <c r="BD43" s="2854"/>
      <c r="BE43" s="2854"/>
      <c r="BF43" s="2854"/>
      <c r="BG43" s="2854"/>
      <c r="BH43" s="2854"/>
      <c r="BI43" s="2854"/>
      <c r="BJ43" s="2854"/>
      <c r="BK43" s="2857"/>
      <c r="BL43" s="2857"/>
      <c r="BM43" s="2860"/>
      <c r="BN43" s="2854"/>
      <c r="BO43" s="2839"/>
      <c r="BP43" s="2842"/>
      <c r="BQ43" s="2845"/>
      <c r="BR43" s="2848"/>
      <c r="BS43" s="2845"/>
      <c r="BT43" s="2851"/>
      <c r="BU43" s="2819"/>
      <c r="BV43" s="25"/>
      <c r="BW43" s="25"/>
    </row>
    <row r="44" spans="1:75" s="24" customFormat="1" ht="36.75" customHeight="1" x14ac:dyDescent="0.25">
      <c r="A44" s="197"/>
      <c r="B44" s="198"/>
      <c r="C44" s="199"/>
      <c r="D44" s="198"/>
      <c r="E44" s="207"/>
      <c r="F44" s="86"/>
      <c r="G44" s="2550"/>
      <c r="H44" s="2814"/>
      <c r="I44" s="2872"/>
      <c r="J44" s="2882"/>
      <c r="K44" s="2872"/>
      <c r="L44" s="2771"/>
      <c r="M44" s="2872"/>
      <c r="N44" s="2771"/>
      <c r="O44" s="2875"/>
      <c r="P44" s="2566"/>
      <c r="Q44" s="2502"/>
      <c r="R44" s="2771"/>
      <c r="S44" s="2866"/>
      <c r="T44" s="2869"/>
      <c r="U44" s="2530"/>
      <c r="V44" s="2530"/>
      <c r="W44" s="2530"/>
      <c r="X44" s="208">
        <v>345000</v>
      </c>
      <c r="Y44" s="212">
        <v>0</v>
      </c>
      <c r="Z44" s="212">
        <v>0</v>
      </c>
      <c r="AA44" s="211" t="s">
        <v>191</v>
      </c>
      <c r="AB44" s="210">
        <v>56</v>
      </c>
      <c r="AC44" s="206" t="s">
        <v>159</v>
      </c>
      <c r="AD44" s="2863"/>
      <c r="AE44" s="2863"/>
      <c r="AF44" s="2863"/>
      <c r="AG44" s="2863"/>
      <c r="AH44" s="2863"/>
      <c r="AI44" s="2854"/>
      <c r="AJ44" s="2854"/>
      <c r="AK44" s="2854"/>
      <c r="AL44" s="2854"/>
      <c r="AM44" s="2854"/>
      <c r="AN44" s="2854"/>
      <c r="AO44" s="2854"/>
      <c r="AP44" s="2854"/>
      <c r="AQ44" s="2854"/>
      <c r="AR44" s="2854"/>
      <c r="AS44" s="2854"/>
      <c r="AT44" s="2854"/>
      <c r="AU44" s="2854"/>
      <c r="AV44" s="2854"/>
      <c r="AW44" s="2854"/>
      <c r="AX44" s="2854"/>
      <c r="AY44" s="2854"/>
      <c r="AZ44" s="2854"/>
      <c r="BA44" s="2854"/>
      <c r="BB44" s="2854"/>
      <c r="BC44" s="2854"/>
      <c r="BD44" s="2854"/>
      <c r="BE44" s="2854"/>
      <c r="BF44" s="2854"/>
      <c r="BG44" s="2854"/>
      <c r="BH44" s="2854"/>
      <c r="BI44" s="2854"/>
      <c r="BJ44" s="2854"/>
      <c r="BK44" s="2857"/>
      <c r="BL44" s="2857"/>
      <c r="BM44" s="2860"/>
      <c r="BN44" s="2854"/>
      <c r="BO44" s="2839"/>
      <c r="BP44" s="2842"/>
      <c r="BQ44" s="2845"/>
      <c r="BR44" s="2848"/>
      <c r="BS44" s="2845"/>
      <c r="BT44" s="2851"/>
      <c r="BU44" s="2819"/>
      <c r="BV44" s="25"/>
      <c r="BW44" s="25"/>
    </row>
    <row r="45" spans="1:75" s="24" customFormat="1" ht="36.75" customHeight="1" x14ac:dyDescent="0.25">
      <c r="A45" s="197"/>
      <c r="B45" s="198"/>
      <c r="C45" s="199"/>
      <c r="D45" s="198"/>
      <c r="E45" s="207"/>
      <c r="F45" s="86"/>
      <c r="G45" s="2550"/>
      <c r="H45" s="2814"/>
      <c r="I45" s="2872"/>
      <c r="J45" s="2882"/>
      <c r="K45" s="2872"/>
      <c r="L45" s="2771"/>
      <c r="M45" s="2872"/>
      <c r="N45" s="2771"/>
      <c r="O45" s="2875"/>
      <c r="P45" s="2566"/>
      <c r="Q45" s="2502"/>
      <c r="R45" s="2771"/>
      <c r="S45" s="2866"/>
      <c r="T45" s="2869"/>
      <c r="U45" s="2530"/>
      <c r="V45" s="2530"/>
      <c r="W45" s="2530"/>
      <c r="X45" s="208">
        <v>908000</v>
      </c>
      <c r="Y45" s="212">
        <v>0</v>
      </c>
      <c r="Z45" s="212">
        <v>0</v>
      </c>
      <c r="AA45" s="211" t="s">
        <v>192</v>
      </c>
      <c r="AB45" s="210">
        <v>56</v>
      </c>
      <c r="AC45" s="206" t="s">
        <v>159</v>
      </c>
      <c r="AD45" s="2863"/>
      <c r="AE45" s="2863"/>
      <c r="AF45" s="2863"/>
      <c r="AG45" s="2863"/>
      <c r="AH45" s="2863"/>
      <c r="AI45" s="2854"/>
      <c r="AJ45" s="2854"/>
      <c r="AK45" s="2854"/>
      <c r="AL45" s="2854"/>
      <c r="AM45" s="2854"/>
      <c r="AN45" s="2854"/>
      <c r="AO45" s="2854"/>
      <c r="AP45" s="2854"/>
      <c r="AQ45" s="2854"/>
      <c r="AR45" s="2854"/>
      <c r="AS45" s="2854"/>
      <c r="AT45" s="2854"/>
      <c r="AU45" s="2854"/>
      <c r="AV45" s="2854"/>
      <c r="AW45" s="2854"/>
      <c r="AX45" s="2854"/>
      <c r="AY45" s="2854"/>
      <c r="AZ45" s="2854"/>
      <c r="BA45" s="2854"/>
      <c r="BB45" s="2854"/>
      <c r="BC45" s="2854"/>
      <c r="BD45" s="2854"/>
      <c r="BE45" s="2854"/>
      <c r="BF45" s="2854"/>
      <c r="BG45" s="2854"/>
      <c r="BH45" s="2854"/>
      <c r="BI45" s="2854"/>
      <c r="BJ45" s="2854"/>
      <c r="BK45" s="2857"/>
      <c r="BL45" s="2857"/>
      <c r="BM45" s="2860"/>
      <c r="BN45" s="2854"/>
      <c r="BO45" s="2839"/>
      <c r="BP45" s="2842"/>
      <c r="BQ45" s="2845"/>
      <c r="BR45" s="2848"/>
      <c r="BS45" s="2845"/>
      <c r="BT45" s="2851"/>
      <c r="BU45" s="2819"/>
      <c r="BV45" s="25"/>
      <c r="BW45" s="25"/>
    </row>
    <row r="46" spans="1:75" s="24" customFormat="1" ht="36.75" customHeight="1" x14ac:dyDescent="0.25">
      <c r="A46" s="197"/>
      <c r="B46" s="198"/>
      <c r="C46" s="199"/>
      <c r="D46" s="198"/>
      <c r="E46" s="207"/>
      <c r="F46" s="86"/>
      <c r="G46" s="2550"/>
      <c r="H46" s="2814"/>
      <c r="I46" s="2872"/>
      <c r="J46" s="2882"/>
      <c r="K46" s="2872"/>
      <c r="L46" s="2771"/>
      <c r="M46" s="2872"/>
      <c r="N46" s="2771"/>
      <c r="O46" s="2875"/>
      <c r="P46" s="2566"/>
      <c r="Q46" s="2502"/>
      <c r="R46" s="2771"/>
      <c r="S46" s="2866"/>
      <c r="T46" s="2869"/>
      <c r="U46" s="2530"/>
      <c r="V46" s="2530"/>
      <c r="W46" s="2530"/>
      <c r="X46" s="208">
        <v>4042000</v>
      </c>
      <c r="Y46" s="212">
        <v>0</v>
      </c>
      <c r="Z46" s="212">
        <v>0</v>
      </c>
      <c r="AA46" s="211" t="s">
        <v>193</v>
      </c>
      <c r="AB46" s="210">
        <v>56</v>
      </c>
      <c r="AC46" s="206" t="s">
        <v>159</v>
      </c>
      <c r="AD46" s="2863"/>
      <c r="AE46" s="2863"/>
      <c r="AF46" s="2863"/>
      <c r="AG46" s="2863"/>
      <c r="AH46" s="2863"/>
      <c r="AI46" s="2854"/>
      <c r="AJ46" s="2854"/>
      <c r="AK46" s="2854"/>
      <c r="AL46" s="2854"/>
      <c r="AM46" s="2854"/>
      <c r="AN46" s="2854"/>
      <c r="AO46" s="2854"/>
      <c r="AP46" s="2854"/>
      <c r="AQ46" s="2854"/>
      <c r="AR46" s="2854"/>
      <c r="AS46" s="2854"/>
      <c r="AT46" s="2854"/>
      <c r="AU46" s="2854"/>
      <c r="AV46" s="2854"/>
      <c r="AW46" s="2854"/>
      <c r="AX46" s="2854"/>
      <c r="AY46" s="2854"/>
      <c r="AZ46" s="2854"/>
      <c r="BA46" s="2854"/>
      <c r="BB46" s="2854"/>
      <c r="BC46" s="2854"/>
      <c r="BD46" s="2854"/>
      <c r="BE46" s="2854"/>
      <c r="BF46" s="2854"/>
      <c r="BG46" s="2854"/>
      <c r="BH46" s="2854"/>
      <c r="BI46" s="2854"/>
      <c r="BJ46" s="2854"/>
      <c r="BK46" s="2857"/>
      <c r="BL46" s="2857"/>
      <c r="BM46" s="2860"/>
      <c r="BN46" s="2854"/>
      <c r="BO46" s="2839"/>
      <c r="BP46" s="2842"/>
      <c r="BQ46" s="2845"/>
      <c r="BR46" s="2848"/>
      <c r="BS46" s="2845"/>
      <c r="BT46" s="2851"/>
      <c r="BU46" s="2819"/>
      <c r="BV46" s="25"/>
      <c r="BW46" s="25"/>
    </row>
    <row r="47" spans="1:75" s="24" customFormat="1" ht="36.75" customHeight="1" x14ac:dyDescent="0.25">
      <c r="A47" s="197"/>
      <c r="B47" s="198"/>
      <c r="C47" s="199"/>
      <c r="D47" s="198"/>
      <c r="E47" s="207"/>
      <c r="F47" s="86"/>
      <c r="G47" s="2550"/>
      <c r="H47" s="2814"/>
      <c r="I47" s="2873"/>
      <c r="J47" s="2883"/>
      <c r="K47" s="2873"/>
      <c r="L47" s="2772"/>
      <c r="M47" s="2873"/>
      <c r="N47" s="2772"/>
      <c r="O47" s="2837"/>
      <c r="P47" s="2567"/>
      <c r="Q47" s="2770"/>
      <c r="R47" s="2772"/>
      <c r="S47" s="2867"/>
      <c r="T47" s="2870"/>
      <c r="U47" s="2531"/>
      <c r="V47" s="2531"/>
      <c r="W47" s="2531"/>
      <c r="X47" s="208">
        <v>11428600</v>
      </c>
      <c r="Y47" s="212">
        <v>7809543</v>
      </c>
      <c r="Z47" s="212">
        <v>7809543</v>
      </c>
      <c r="AA47" s="211" t="s">
        <v>194</v>
      </c>
      <c r="AB47" s="210">
        <v>20</v>
      </c>
      <c r="AC47" s="213" t="s">
        <v>1</v>
      </c>
      <c r="AD47" s="2864"/>
      <c r="AE47" s="2864"/>
      <c r="AF47" s="2864"/>
      <c r="AG47" s="2864"/>
      <c r="AH47" s="2864"/>
      <c r="AI47" s="2855"/>
      <c r="AJ47" s="2855"/>
      <c r="AK47" s="2855"/>
      <c r="AL47" s="2855"/>
      <c r="AM47" s="2855"/>
      <c r="AN47" s="2855"/>
      <c r="AO47" s="2855"/>
      <c r="AP47" s="2855"/>
      <c r="AQ47" s="2855"/>
      <c r="AR47" s="2855"/>
      <c r="AS47" s="2855"/>
      <c r="AT47" s="2855"/>
      <c r="AU47" s="2855"/>
      <c r="AV47" s="2855"/>
      <c r="AW47" s="2855"/>
      <c r="AX47" s="2855"/>
      <c r="AY47" s="2855"/>
      <c r="AZ47" s="2855"/>
      <c r="BA47" s="2855"/>
      <c r="BB47" s="2855"/>
      <c r="BC47" s="2855"/>
      <c r="BD47" s="2855"/>
      <c r="BE47" s="2855"/>
      <c r="BF47" s="2855"/>
      <c r="BG47" s="2855"/>
      <c r="BH47" s="2855"/>
      <c r="BI47" s="2855"/>
      <c r="BJ47" s="2855"/>
      <c r="BK47" s="2858"/>
      <c r="BL47" s="2858"/>
      <c r="BM47" s="2861"/>
      <c r="BN47" s="2855"/>
      <c r="BO47" s="2840"/>
      <c r="BP47" s="2843"/>
      <c r="BQ47" s="2846"/>
      <c r="BR47" s="2849"/>
      <c r="BS47" s="2846"/>
      <c r="BT47" s="2852"/>
      <c r="BU47" s="2820"/>
      <c r="BV47" s="25"/>
      <c r="BW47" s="25"/>
    </row>
    <row r="48" spans="1:75" s="24" customFormat="1" ht="62.25" customHeight="1" x14ac:dyDescent="0.25">
      <c r="A48" s="197"/>
      <c r="B48" s="198"/>
      <c r="C48" s="199"/>
      <c r="D48" s="198"/>
      <c r="E48" s="207"/>
      <c r="F48" s="214"/>
      <c r="G48" s="2821" t="s">
        <v>20</v>
      </c>
      <c r="H48" s="2824" t="s">
        <v>195</v>
      </c>
      <c r="I48" s="2821">
        <v>4599002</v>
      </c>
      <c r="J48" s="2827" t="s">
        <v>196</v>
      </c>
      <c r="K48" s="2829" t="s">
        <v>20</v>
      </c>
      <c r="L48" s="2832" t="s">
        <v>197</v>
      </c>
      <c r="M48" s="2829">
        <v>459900200</v>
      </c>
      <c r="N48" s="2835" t="s">
        <v>45</v>
      </c>
      <c r="O48" s="2837">
        <v>1</v>
      </c>
      <c r="P48" s="2566">
        <v>1</v>
      </c>
      <c r="Q48" s="2550" t="s">
        <v>198</v>
      </c>
      <c r="R48" s="2814" t="s">
        <v>199</v>
      </c>
      <c r="S48" s="2815">
        <f>SUM(X48:X51)/T48</f>
        <v>1</v>
      </c>
      <c r="T48" s="2816">
        <f>SUM(X48:X51)</f>
        <v>316000000</v>
      </c>
      <c r="U48" s="2813" t="s">
        <v>200</v>
      </c>
      <c r="V48" s="2507" t="s">
        <v>201</v>
      </c>
      <c r="W48" s="2813" t="s">
        <v>202</v>
      </c>
      <c r="X48" s="215">
        <v>270000000</v>
      </c>
      <c r="Y48" s="212">
        <v>260028499</v>
      </c>
      <c r="Z48" s="212">
        <v>260028499</v>
      </c>
      <c r="AA48" s="204" t="s">
        <v>203</v>
      </c>
      <c r="AB48" s="210">
        <v>20</v>
      </c>
      <c r="AC48" s="213" t="s">
        <v>1</v>
      </c>
      <c r="AD48" s="2559">
        <v>295972</v>
      </c>
      <c r="AE48" s="2559">
        <v>295972</v>
      </c>
      <c r="AF48" s="2559">
        <v>285580</v>
      </c>
      <c r="AG48" s="2559">
        <v>285580</v>
      </c>
      <c r="AH48" s="2559">
        <v>135545</v>
      </c>
      <c r="AI48" s="2559">
        <v>135545</v>
      </c>
      <c r="AJ48" s="2559">
        <v>44254</v>
      </c>
      <c r="AK48" s="2559">
        <v>44254</v>
      </c>
      <c r="AL48" s="2810">
        <v>309146</v>
      </c>
      <c r="AM48" s="2559">
        <v>309146</v>
      </c>
      <c r="AN48" s="2559">
        <v>92607</v>
      </c>
      <c r="AO48" s="2559">
        <v>92607</v>
      </c>
      <c r="AP48" s="2559">
        <v>2145</v>
      </c>
      <c r="AQ48" s="2559">
        <v>2145</v>
      </c>
      <c r="AR48" s="2559">
        <v>12718</v>
      </c>
      <c r="AS48" s="2559">
        <v>12718</v>
      </c>
      <c r="AT48" s="2559">
        <v>26</v>
      </c>
      <c r="AU48" s="2559">
        <v>26</v>
      </c>
      <c r="AV48" s="2559">
        <v>37</v>
      </c>
      <c r="AW48" s="2559">
        <v>37</v>
      </c>
      <c r="AX48" s="2559" t="s">
        <v>153</v>
      </c>
      <c r="AY48" s="2559"/>
      <c r="AZ48" s="2559" t="s">
        <v>153</v>
      </c>
      <c r="BA48" s="2559"/>
      <c r="BB48" s="2559">
        <v>44350</v>
      </c>
      <c r="BC48" s="2559">
        <v>44350</v>
      </c>
      <c r="BD48" s="2559">
        <v>21944</v>
      </c>
      <c r="BE48" s="2559">
        <v>21944</v>
      </c>
      <c r="BF48" s="2559">
        <v>75687</v>
      </c>
      <c r="BG48" s="2559">
        <v>75687</v>
      </c>
      <c r="BH48" s="2559">
        <v>581552</v>
      </c>
      <c r="BI48" s="2559">
        <v>581552</v>
      </c>
      <c r="BJ48" s="2809">
        <v>29</v>
      </c>
      <c r="BK48" s="2804">
        <f>+Y48+Y49+Y51</f>
        <v>305180000</v>
      </c>
      <c r="BL48" s="2804">
        <f>+Z48+Z49+Z51</f>
        <v>305180000</v>
      </c>
      <c r="BM48" s="2805">
        <f>+BL48/BK48</f>
        <v>1</v>
      </c>
      <c r="BN48" s="2559" t="s">
        <v>11</v>
      </c>
      <c r="BO48" s="2806" t="s">
        <v>10</v>
      </c>
      <c r="BP48" s="2807" t="s">
        <v>204</v>
      </c>
      <c r="BQ48" s="2800">
        <v>44201</v>
      </c>
      <c r="BR48" s="2797">
        <v>44215</v>
      </c>
      <c r="BS48" s="2800">
        <v>44560</v>
      </c>
      <c r="BT48" s="2801">
        <v>44558</v>
      </c>
      <c r="BU48" s="2560" t="s">
        <v>205</v>
      </c>
      <c r="BV48" s="25"/>
      <c r="BW48" s="25"/>
    </row>
    <row r="49" spans="1:75" s="24" customFormat="1" ht="49.5" customHeight="1" x14ac:dyDescent="0.25">
      <c r="A49" s="197"/>
      <c r="B49" s="198"/>
      <c r="C49" s="199"/>
      <c r="D49" s="198"/>
      <c r="E49" s="207"/>
      <c r="F49" s="214"/>
      <c r="G49" s="2822"/>
      <c r="H49" s="2825"/>
      <c r="I49" s="2822"/>
      <c r="J49" s="2827"/>
      <c r="K49" s="2830"/>
      <c r="L49" s="2833"/>
      <c r="M49" s="2830"/>
      <c r="N49" s="2836"/>
      <c r="O49" s="2560"/>
      <c r="P49" s="2566"/>
      <c r="Q49" s="2550"/>
      <c r="R49" s="2814"/>
      <c r="S49" s="2815"/>
      <c r="T49" s="2817"/>
      <c r="U49" s="2507"/>
      <c r="V49" s="2507"/>
      <c r="W49" s="2507"/>
      <c r="X49" s="216">
        <v>2000000</v>
      </c>
      <c r="Y49" s="203">
        <v>2000000</v>
      </c>
      <c r="Z49" s="203">
        <v>2000000</v>
      </c>
      <c r="AA49" s="204" t="s">
        <v>206</v>
      </c>
      <c r="AB49" s="205">
        <v>20</v>
      </c>
      <c r="AC49" s="213" t="s">
        <v>1</v>
      </c>
      <c r="AD49" s="2559"/>
      <c r="AE49" s="2559"/>
      <c r="AF49" s="2559"/>
      <c r="AG49" s="2559"/>
      <c r="AH49" s="2559"/>
      <c r="AI49" s="2559"/>
      <c r="AJ49" s="2559"/>
      <c r="AK49" s="2559"/>
      <c r="AL49" s="2811"/>
      <c r="AM49" s="2559"/>
      <c r="AN49" s="2559"/>
      <c r="AO49" s="2559"/>
      <c r="AP49" s="2559"/>
      <c r="AQ49" s="2559"/>
      <c r="AR49" s="2559"/>
      <c r="AS49" s="2559"/>
      <c r="AT49" s="2559"/>
      <c r="AU49" s="2559"/>
      <c r="AV49" s="2559"/>
      <c r="AW49" s="2559"/>
      <c r="AX49" s="2559"/>
      <c r="AY49" s="2559"/>
      <c r="AZ49" s="2559"/>
      <c r="BA49" s="2559"/>
      <c r="BB49" s="2559"/>
      <c r="BC49" s="2559"/>
      <c r="BD49" s="2559"/>
      <c r="BE49" s="2559"/>
      <c r="BF49" s="2559"/>
      <c r="BG49" s="2559"/>
      <c r="BH49" s="2559"/>
      <c r="BI49" s="2559"/>
      <c r="BJ49" s="2809"/>
      <c r="BK49" s="2804"/>
      <c r="BL49" s="2804"/>
      <c r="BM49" s="2805"/>
      <c r="BN49" s="2559"/>
      <c r="BO49" s="2806"/>
      <c r="BP49" s="2808"/>
      <c r="BQ49" s="2800"/>
      <c r="BR49" s="2798"/>
      <c r="BS49" s="2800"/>
      <c r="BT49" s="2802"/>
      <c r="BU49" s="2560"/>
      <c r="BV49" s="25"/>
      <c r="BW49" s="25"/>
    </row>
    <row r="50" spans="1:75" s="24" customFormat="1" ht="49.5" customHeight="1" x14ac:dyDescent="0.25">
      <c r="A50" s="197"/>
      <c r="B50" s="198"/>
      <c r="C50" s="199"/>
      <c r="D50" s="198"/>
      <c r="E50" s="207"/>
      <c r="F50" s="214"/>
      <c r="G50" s="2823"/>
      <c r="H50" s="2826"/>
      <c r="I50" s="2823"/>
      <c r="J50" s="2827"/>
      <c r="K50" s="2831"/>
      <c r="L50" s="2834"/>
      <c r="M50" s="2831"/>
      <c r="N50" s="2836"/>
      <c r="O50" s="2560"/>
      <c r="P50" s="2566"/>
      <c r="Q50" s="2550"/>
      <c r="R50" s="2814"/>
      <c r="S50" s="2815"/>
      <c r="T50" s="2817"/>
      <c r="U50" s="2507"/>
      <c r="V50" s="2507"/>
      <c r="W50" s="2507"/>
      <c r="X50" s="216">
        <v>0</v>
      </c>
      <c r="Y50" s="203">
        <v>0</v>
      </c>
      <c r="Z50" s="203">
        <v>0</v>
      </c>
      <c r="AA50" s="217" t="s">
        <v>207</v>
      </c>
      <c r="AB50" s="205">
        <v>20</v>
      </c>
      <c r="AC50" s="213" t="s">
        <v>1</v>
      </c>
      <c r="AD50" s="2559"/>
      <c r="AE50" s="2559"/>
      <c r="AF50" s="2559"/>
      <c r="AG50" s="2559"/>
      <c r="AH50" s="2559"/>
      <c r="AI50" s="2559"/>
      <c r="AJ50" s="2559"/>
      <c r="AK50" s="2559"/>
      <c r="AL50" s="2811"/>
      <c r="AM50" s="2559"/>
      <c r="AN50" s="2559"/>
      <c r="AO50" s="2559"/>
      <c r="AP50" s="2559"/>
      <c r="AQ50" s="2559"/>
      <c r="AR50" s="2559"/>
      <c r="AS50" s="2559"/>
      <c r="AT50" s="2559"/>
      <c r="AU50" s="2559"/>
      <c r="AV50" s="2559"/>
      <c r="AW50" s="2559"/>
      <c r="AX50" s="2559"/>
      <c r="AY50" s="2559"/>
      <c r="AZ50" s="2559"/>
      <c r="BA50" s="2559"/>
      <c r="BB50" s="2559"/>
      <c r="BC50" s="2559"/>
      <c r="BD50" s="2559"/>
      <c r="BE50" s="2559"/>
      <c r="BF50" s="2559"/>
      <c r="BG50" s="2559"/>
      <c r="BH50" s="2559"/>
      <c r="BI50" s="2559"/>
      <c r="BJ50" s="2809"/>
      <c r="BK50" s="2804"/>
      <c r="BL50" s="2804"/>
      <c r="BM50" s="2805"/>
      <c r="BN50" s="2559"/>
      <c r="BO50" s="2806"/>
      <c r="BP50" s="2808"/>
      <c r="BQ50" s="2800"/>
      <c r="BR50" s="2798"/>
      <c r="BS50" s="2800"/>
      <c r="BT50" s="2802"/>
      <c r="BU50" s="2560"/>
      <c r="BV50" s="25"/>
      <c r="BW50" s="25"/>
    </row>
    <row r="51" spans="1:75" s="24" customFormat="1" ht="43.5" customHeight="1" x14ac:dyDescent="0.25">
      <c r="A51" s="197"/>
      <c r="B51" s="198"/>
      <c r="C51" s="199"/>
      <c r="D51" s="198"/>
      <c r="E51" s="207"/>
      <c r="F51" s="214"/>
      <c r="G51" s="2823"/>
      <c r="H51" s="2826"/>
      <c r="I51" s="2823"/>
      <c r="J51" s="2828"/>
      <c r="K51" s="2831"/>
      <c r="L51" s="2834"/>
      <c r="M51" s="2831"/>
      <c r="N51" s="2836"/>
      <c r="O51" s="2560"/>
      <c r="P51" s="2567"/>
      <c r="Q51" s="2550"/>
      <c r="R51" s="2814"/>
      <c r="S51" s="2815"/>
      <c r="T51" s="2817"/>
      <c r="U51" s="2507"/>
      <c r="V51" s="2507"/>
      <c r="W51" s="2507"/>
      <c r="X51" s="216">
        <v>44000000</v>
      </c>
      <c r="Y51" s="203">
        <v>43151501</v>
      </c>
      <c r="Z51" s="203">
        <v>43151501</v>
      </c>
      <c r="AA51" s="218" t="s">
        <v>208</v>
      </c>
      <c r="AB51" s="210">
        <v>88</v>
      </c>
      <c r="AC51" s="219" t="s">
        <v>5</v>
      </c>
      <c r="AD51" s="2559"/>
      <c r="AE51" s="2559"/>
      <c r="AF51" s="2559"/>
      <c r="AG51" s="2559"/>
      <c r="AH51" s="2559"/>
      <c r="AI51" s="2559"/>
      <c r="AJ51" s="2559"/>
      <c r="AK51" s="2559"/>
      <c r="AL51" s="2812"/>
      <c r="AM51" s="2559"/>
      <c r="AN51" s="2559"/>
      <c r="AO51" s="2559"/>
      <c r="AP51" s="2559"/>
      <c r="AQ51" s="2559"/>
      <c r="AR51" s="2559"/>
      <c r="AS51" s="2559"/>
      <c r="AT51" s="2559"/>
      <c r="AU51" s="2559"/>
      <c r="AV51" s="2559"/>
      <c r="AW51" s="2559"/>
      <c r="AX51" s="2559"/>
      <c r="AY51" s="2559"/>
      <c r="AZ51" s="2559"/>
      <c r="BA51" s="2559"/>
      <c r="BB51" s="2559"/>
      <c r="BC51" s="2559"/>
      <c r="BD51" s="2559"/>
      <c r="BE51" s="2559"/>
      <c r="BF51" s="2559"/>
      <c r="BG51" s="2559"/>
      <c r="BH51" s="2559"/>
      <c r="BI51" s="2559"/>
      <c r="BJ51" s="2809"/>
      <c r="BK51" s="2804"/>
      <c r="BL51" s="2804"/>
      <c r="BM51" s="2805"/>
      <c r="BN51" s="2559"/>
      <c r="BO51" s="2806"/>
      <c r="BP51" s="2808"/>
      <c r="BQ51" s="2800"/>
      <c r="BR51" s="2799"/>
      <c r="BS51" s="2800"/>
      <c r="BT51" s="2803"/>
      <c r="BU51" s="2560"/>
      <c r="BV51" s="25"/>
      <c r="BW51" s="25"/>
    </row>
    <row r="52" spans="1:75" s="24" customFormat="1" ht="15.75" x14ac:dyDescent="0.25">
      <c r="A52" s="137"/>
      <c r="B52" s="136"/>
      <c r="C52" s="136"/>
      <c r="D52" s="136"/>
      <c r="E52" s="220"/>
      <c r="F52" s="221"/>
      <c r="G52" s="222"/>
      <c r="H52" s="223"/>
      <c r="I52" s="222"/>
      <c r="J52" s="223"/>
      <c r="K52" s="222"/>
      <c r="L52" s="223"/>
      <c r="M52" s="222"/>
      <c r="N52" s="223"/>
      <c r="O52" s="26"/>
      <c r="P52" s="26"/>
      <c r="Q52" s="26"/>
      <c r="R52" s="224"/>
      <c r="S52" s="34"/>
      <c r="T52" s="225">
        <f>SUM(T13:T51)</f>
        <v>2801625342.8400002</v>
      </c>
      <c r="U52" s="33"/>
      <c r="V52" s="33"/>
      <c r="W52" s="32" t="s">
        <v>0</v>
      </c>
      <c r="X52" s="28">
        <f>SUM(X13:X51)</f>
        <v>2801625342.8400002</v>
      </c>
      <c r="Y52" s="28">
        <f>SUM(Y13:Y51)</f>
        <v>2189284618.6799998</v>
      </c>
      <c r="Z52" s="28">
        <f t="shared" ref="Z52" si="0">SUM(Z13:Z51)</f>
        <v>2189284618.6799998</v>
      </c>
      <c r="AA52" s="226"/>
      <c r="AB52" s="30"/>
      <c r="AC52" s="33"/>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8">
        <f>SUM(BK13:BK51)</f>
        <v>2189284618.6799998</v>
      </c>
      <c r="BL52" s="28">
        <f>SUM(BL13:BL51)</f>
        <v>2189284618.6799998</v>
      </c>
      <c r="BM52" s="26"/>
      <c r="BN52" s="26"/>
      <c r="BO52" s="26"/>
      <c r="BP52" s="26"/>
      <c r="BQ52" s="27"/>
      <c r="BR52" s="27"/>
      <c r="BS52" s="27"/>
      <c r="BT52" s="26"/>
      <c r="BU52" s="26"/>
      <c r="BV52" s="25"/>
      <c r="BW52" s="25"/>
    </row>
    <row r="53" spans="1:75" ht="15" x14ac:dyDescent="0.25">
      <c r="X53" s="1"/>
      <c r="Y53" s="1"/>
      <c r="Z53" s="1"/>
      <c r="AA53" s="11"/>
      <c r="AB53" s="1"/>
    </row>
    <row r="54" spans="1:75" ht="15.75" x14ac:dyDescent="0.25">
      <c r="T54" s="228">
        <v>2801625342.8400002</v>
      </c>
      <c r="X54" s="228">
        <v>2801625342.8400002</v>
      </c>
      <c r="Y54" s="229">
        <v>2189284618.6799998</v>
      </c>
      <c r="Z54" s="229">
        <v>2189284618.6799998</v>
      </c>
      <c r="AA54" s="11"/>
      <c r="AB54" s="1"/>
      <c r="BK54" s="228">
        <v>2189284618.6799998</v>
      </c>
      <c r="BL54" s="228">
        <v>2189284618.6799998</v>
      </c>
    </row>
    <row r="55" spans="1:75" ht="18" x14ac:dyDescent="0.25">
      <c r="X55" s="230"/>
      <c r="Y55" s="231"/>
      <c r="Z55" s="231"/>
    </row>
    <row r="56" spans="1:75" ht="15.75" x14ac:dyDescent="0.25">
      <c r="E56" s="232"/>
      <c r="F56" s="232"/>
      <c r="G56" s="232"/>
      <c r="H56" s="233"/>
      <c r="I56" s="232"/>
      <c r="J56" s="233"/>
      <c r="K56" s="232"/>
      <c r="Q56" s="2487"/>
      <c r="R56" s="2487"/>
      <c r="S56" s="2487"/>
      <c r="T56" s="2487"/>
      <c r="U56" s="2487"/>
    </row>
    <row r="57" spans="1:75" ht="15.75" x14ac:dyDescent="0.25">
      <c r="E57" s="2487" t="s">
        <v>209</v>
      </c>
      <c r="F57" s="2487"/>
      <c r="G57" s="2487"/>
      <c r="H57" s="2487"/>
      <c r="I57" s="2487"/>
      <c r="J57" s="2487"/>
      <c r="K57" s="2487"/>
      <c r="Q57" s="2487"/>
      <c r="R57" s="2487"/>
      <c r="S57" s="2487"/>
      <c r="T57" s="2487"/>
      <c r="U57" s="2487"/>
    </row>
    <row r="58" spans="1:75" ht="15.75" x14ac:dyDescent="0.25">
      <c r="E58" s="2487" t="s">
        <v>210</v>
      </c>
      <c r="F58" s="2487"/>
      <c r="G58" s="2487"/>
      <c r="H58" s="2487"/>
      <c r="I58" s="2487"/>
      <c r="J58" s="2487"/>
      <c r="K58" s="2487"/>
    </row>
    <row r="59" spans="1:75" ht="15" x14ac:dyDescent="0.25">
      <c r="E59" s="4"/>
      <c r="F59" s="4"/>
      <c r="G59" s="4"/>
      <c r="H59" s="234"/>
      <c r="I59" s="9"/>
      <c r="J59" s="234"/>
      <c r="K59" s="6"/>
    </row>
  </sheetData>
  <mergeCells count="196">
    <mergeCell ref="A1:BS4"/>
    <mergeCell ref="A5:P6"/>
    <mergeCell ref="Q5:BU5"/>
    <mergeCell ref="AD6:BF6"/>
    <mergeCell ref="A7:B7"/>
    <mergeCell ref="C7:D7"/>
    <mergeCell ref="E7:F7"/>
    <mergeCell ref="G7:J7"/>
    <mergeCell ref="K7:N7"/>
    <mergeCell ref="O7:X7"/>
    <mergeCell ref="BJ7:BP7"/>
    <mergeCell ref="BQ7:BR8"/>
    <mergeCell ref="BS7:BT8"/>
    <mergeCell ref="BU7:BU9"/>
    <mergeCell ref="A8:A9"/>
    <mergeCell ref="B8:B9"/>
    <mergeCell ref="C8:C9"/>
    <mergeCell ref="D8:D9"/>
    <mergeCell ref="E8:E9"/>
    <mergeCell ref="F8:F9"/>
    <mergeCell ref="AA7:AC7"/>
    <mergeCell ref="AD7:AG7"/>
    <mergeCell ref="AH7:AO7"/>
    <mergeCell ref="AP7:BA7"/>
    <mergeCell ref="BB7:BG7"/>
    <mergeCell ref="BH7:BI8"/>
    <mergeCell ref="AB8:AB9"/>
    <mergeCell ref="AC8:AC9"/>
    <mergeCell ref="AD8:AE8"/>
    <mergeCell ref="AF8:AG8"/>
    <mergeCell ref="M8:M9"/>
    <mergeCell ref="N8:N9"/>
    <mergeCell ref="O8:P8"/>
    <mergeCell ref="Q8:Q9"/>
    <mergeCell ref="R8:R9"/>
    <mergeCell ref="S8:S9"/>
    <mergeCell ref="AR8:AS8"/>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P8:BP9"/>
    <mergeCell ref="B10:I10"/>
    <mergeCell ref="D11:J11"/>
    <mergeCell ref="F12:N12"/>
    <mergeCell ref="G13:G47"/>
    <mergeCell ref="H13:H47"/>
    <mergeCell ref="I13:I47"/>
    <mergeCell ref="J13:J47"/>
    <mergeCell ref="K13:K47"/>
    <mergeCell ref="L13:L47"/>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S13:S47"/>
    <mergeCell ref="T13:T47"/>
    <mergeCell ref="U13:U47"/>
    <mergeCell ref="V13:V47"/>
    <mergeCell ref="W13:W47"/>
    <mergeCell ref="AD13:AD47"/>
    <mergeCell ref="M13:M47"/>
    <mergeCell ref="N13:N47"/>
    <mergeCell ref="O13:O47"/>
    <mergeCell ref="P13:P47"/>
    <mergeCell ref="Q13:Q47"/>
    <mergeCell ref="R13:R47"/>
    <mergeCell ref="AK13:AK47"/>
    <mergeCell ref="AL13:AL47"/>
    <mergeCell ref="AM13:AM47"/>
    <mergeCell ref="AN13:AN47"/>
    <mergeCell ref="AO13:AO47"/>
    <mergeCell ref="AP13:AP47"/>
    <mergeCell ref="AE13:AE47"/>
    <mergeCell ref="AF13:AF47"/>
    <mergeCell ref="AG13:AG47"/>
    <mergeCell ref="AH13:AH47"/>
    <mergeCell ref="AI13:AI47"/>
    <mergeCell ref="AJ13:AJ47"/>
    <mergeCell ref="AW13:AW47"/>
    <mergeCell ref="AX13:AX47"/>
    <mergeCell ref="AY13:AY47"/>
    <mergeCell ref="AZ13:AZ47"/>
    <mergeCell ref="BA13:BA47"/>
    <mergeCell ref="BB13:BB47"/>
    <mergeCell ref="AQ13:AQ47"/>
    <mergeCell ref="AR13:AR47"/>
    <mergeCell ref="AS13:AS47"/>
    <mergeCell ref="AT13:AT47"/>
    <mergeCell ref="AU13:AU47"/>
    <mergeCell ref="AV13:AV47"/>
    <mergeCell ref="BK13:BK47"/>
    <mergeCell ref="BL13:BL47"/>
    <mergeCell ref="BM13:BM47"/>
    <mergeCell ref="BN13:BN47"/>
    <mergeCell ref="BC13:BC47"/>
    <mergeCell ref="BD13:BD47"/>
    <mergeCell ref="BE13:BE47"/>
    <mergeCell ref="BF13:BF47"/>
    <mergeCell ref="BG13:BG47"/>
    <mergeCell ref="BH13:BH47"/>
    <mergeCell ref="P48:P51"/>
    <mergeCell ref="Q48:Q51"/>
    <mergeCell ref="R48:R51"/>
    <mergeCell ref="S48:S51"/>
    <mergeCell ref="T48:T51"/>
    <mergeCell ref="U48:U51"/>
    <mergeCell ref="BU13:BU47"/>
    <mergeCell ref="G48:G51"/>
    <mergeCell ref="H48:H51"/>
    <mergeCell ref="I48:I51"/>
    <mergeCell ref="J48:J51"/>
    <mergeCell ref="K48:K51"/>
    <mergeCell ref="L48:L51"/>
    <mergeCell ref="M48:M51"/>
    <mergeCell ref="N48:N51"/>
    <mergeCell ref="O48:O51"/>
    <mergeCell ref="BO13:BO47"/>
    <mergeCell ref="BP13:BP47"/>
    <mergeCell ref="BQ13:BQ47"/>
    <mergeCell ref="BR13:BR47"/>
    <mergeCell ref="BS13:BS47"/>
    <mergeCell ref="BT13:BT47"/>
    <mergeCell ref="BI13:BI47"/>
    <mergeCell ref="BJ13:BJ47"/>
    <mergeCell ref="AH48:AH51"/>
    <mergeCell ref="AI48:AI51"/>
    <mergeCell ref="AJ48:AJ51"/>
    <mergeCell ref="AK48:AK51"/>
    <mergeCell ref="AL48:AL51"/>
    <mergeCell ref="AM48:AM51"/>
    <mergeCell ref="V48:V51"/>
    <mergeCell ref="W48:W51"/>
    <mergeCell ref="AD48:AD51"/>
    <mergeCell ref="AE48:AE51"/>
    <mergeCell ref="AF48:AF51"/>
    <mergeCell ref="AG48:AG51"/>
    <mergeCell ref="BD48:BD51"/>
    <mergeCell ref="BE48:BE51"/>
    <mergeCell ref="AT48:AT51"/>
    <mergeCell ref="AU48:AU51"/>
    <mergeCell ref="AV48:AV51"/>
    <mergeCell ref="AW48:AW51"/>
    <mergeCell ref="AX48:AX51"/>
    <mergeCell ref="AY48:AY51"/>
    <mergeCell ref="AN48:AN51"/>
    <mergeCell ref="AO48:AO51"/>
    <mergeCell ref="AP48:AP51"/>
    <mergeCell ref="AQ48:AQ51"/>
    <mergeCell ref="AR48:AR51"/>
    <mergeCell ref="AS48:AS51"/>
    <mergeCell ref="E58:K58"/>
    <mergeCell ref="BR48:BR51"/>
    <mergeCell ref="BS48:BS51"/>
    <mergeCell ref="BT48:BT51"/>
    <mergeCell ref="BU48:BU51"/>
    <mergeCell ref="Q56:U56"/>
    <mergeCell ref="E57:K57"/>
    <mergeCell ref="Q57:U57"/>
    <mergeCell ref="BL48:BL51"/>
    <mergeCell ref="BM48:BM51"/>
    <mergeCell ref="BN48:BN51"/>
    <mergeCell ref="BO48:BO51"/>
    <mergeCell ref="BP48:BP51"/>
    <mergeCell ref="BQ48:BQ51"/>
    <mergeCell ref="BF48:BF51"/>
    <mergeCell ref="BG48:BG51"/>
    <mergeCell ref="BH48:BH51"/>
    <mergeCell ref="BI48:BI51"/>
    <mergeCell ref="BJ48:BJ51"/>
    <mergeCell ref="BK48:BK51"/>
    <mergeCell ref="AZ48:AZ51"/>
    <mergeCell ref="BA48:BA51"/>
    <mergeCell ref="BB48:BB51"/>
    <mergeCell ref="BC48:BC5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2060"/>
  </sheetPr>
  <dimension ref="A1:CO186"/>
  <sheetViews>
    <sheetView showGridLines="0" topLeftCell="M30" zoomScale="70" zoomScaleNormal="70" workbookViewId="0">
      <selection activeCell="P41" sqref="P41"/>
    </sheetView>
  </sheetViews>
  <sheetFormatPr baseColWidth="10" defaultColWidth="9.140625" defaultRowHeight="27" customHeight="1" x14ac:dyDescent="0.25"/>
  <cols>
    <col min="1" max="1" width="12.42578125" style="12" customWidth="1"/>
    <col min="2" max="2" width="15.42578125" style="1" customWidth="1"/>
    <col min="3" max="3" width="12.85546875" style="1" customWidth="1"/>
    <col min="4" max="4" width="13.28515625" style="1" customWidth="1"/>
    <col min="5" max="5" width="14" style="1" customWidth="1"/>
    <col min="6" max="6" width="42.5703125" style="1" customWidth="1"/>
    <col min="7" max="7" width="15.5703125" style="1" customWidth="1"/>
    <col min="8" max="8" width="53.42578125" style="7" customWidth="1"/>
    <col min="9" max="9" width="28.140625" style="4" customWidth="1"/>
    <col min="10" max="10" width="49.140625" style="7" customWidth="1"/>
    <col min="11" max="11" width="17.5703125" style="4" customWidth="1"/>
    <col min="12" max="12" width="42.140625" style="7" customWidth="1"/>
    <col min="13" max="13" width="23.140625" style="4" customWidth="1"/>
    <col min="14" max="14" width="42" style="7" customWidth="1"/>
    <col min="15" max="15" width="10.28515625" style="4" customWidth="1"/>
    <col min="16" max="16" width="14" style="4" customWidth="1"/>
    <col min="17" max="17" width="25.7109375" style="4" customWidth="1"/>
    <col min="18" max="18" width="45.28515625" style="7" customWidth="1"/>
    <col min="19" max="19" width="14.28515625" style="9" bestFit="1" customWidth="1"/>
    <col min="20" max="20" width="31.5703125" style="6" customWidth="1"/>
    <col min="21" max="21" width="46.28515625" style="7" customWidth="1"/>
    <col min="22" max="22" width="36.140625" style="7" customWidth="1"/>
    <col min="23" max="23" width="47.28515625" style="7" customWidth="1"/>
    <col min="24" max="24" width="31.85546875" style="6" customWidth="1"/>
    <col min="25" max="25" width="32.140625" style="6" customWidth="1"/>
    <col min="26" max="26" width="31.7109375" style="6" customWidth="1"/>
    <col min="27" max="27" width="49.42578125" style="6" customWidth="1"/>
    <col min="28" max="28" width="14.28515625" style="5" customWidth="1"/>
    <col min="29" max="29" width="37.28515625" style="7" customWidth="1"/>
    <col min="30" max="61" width="12.85546875" style="1" customWidth="1"/>
    <col min="62" max="62" width="12.85546875" style="4" customWidth="1"/>
    <col min="63" max="63" width="32.85546875" style="1" customWidth="1"/>
    <col min="64" max="64" width="34.7109375" style="1" bestFit="1" customWidth="1"/>
    <col min="65" max="65" width="14.140625" style="662" bestFit="1" customWidth="1"/>
    <col min="66" max="66" width="18.7109375" style="1" bestFit="1" customWidth="1"/>
    <col min="67" max="67" width="49.7109375" style="11" bestFit="1" customWidth="1"/>
    <col min="68" max="68" width="29.85546875" style="11" bestFit="1" customWidth="1"/>
    <col min="69" max="69" width="16" style="3" customWidth="1"/>
    <col min="70" max="70" width="16" style="663" customWidth="1"/>
    <col min="71" max="71" width="16" style="2" customWidth="1"/>
    <col min="72" max="72" width="14.5703125" style="663" bestFit="1" customWidth="1"/>
    <col min="73" max="73" width="36.28515625" style="11" bestFit="1" customWidth="1"/>
    <col min="74" max="16384" width="9.140625" style="1"/>
  </cols>
  <sheetData>
    <row r="1" spans="1:93" ht="19.5" customHeight="1" x14ac:dyDescent="0.25">
      <c r="A1" s="2602" t="s">
        <v>407</v>
      </c>
      <c r="B1" s="2602"/>
      <c r="C1" s="2602"/>
      <c r="D1" s="2602"/>
      <c r="E1" s="2602"/>
      <c r="F1" s="2602"/>
      <c r="G1" s="2602"/>
      <c r="H1" s="2602"/>
      <c r="I1" s="2602"/>
      <c r="J1" s="2602"/>
      <c r="K1" s="2602"/>
      <c r="L1" s="2602"/>
      <c r="M1" s="2602"/>
      <c r="N1" s="2602"/>
      <c r="O1" s="2602"/>
      <c r="P1" s="2602"/>
      <c r="Q1" s="2602"/>
      <c r="R1" s="2602"/>
      <c r="S1" s="2602"/>
      <c r="T1" s="2602"/>
      <c r="U1" s="2602"/>
      <c r="V1" s="2602"/>
      <c r="W1" s="2602"/>
      <c r="X1" s="2602"/>
      <c r="Y1" s="2602"/>
      <c r="Z1" s="2602"/>
      <c r="AA1" s="2602"/>
      <c r="AB1" s="2602"/>
      <c r="AC1" s="2602"/>
      <c r="AD1" s="2602"/>
      <c r="AE1" s="2602"/>
      <c r="AF1" s="2602"/>
      <c r="AG1" s="2602"/>
      <c r="AH1" s="2602"/>
      <c r="AI1" s="2602"/>
      <c r="AJ1" s="2602"/>
      <c r="AK1" s="2602"/>
      <c r="AL1" s="2602"/>
      <c r="AM1" s="2602"/>
      <c r="AN1" s="2602"/>
      <c r="AO1" s="2602"/>
      <c r="AP1" s="2602"/>
      <c r="AQ1" s="2602"/>
      <c r="AR1" s="2602"/>
      <c r="AS1" s="2602"/>
      <c r="AT1" s="2602"/>
      <c r="AU1" s="2602"/>
      <c r="AV1" s="2602"/>
      <c r="AW1" s="2602"/>
      <c r="AX1" s="2602"/>
      <c r="AY1" s="2602"/>
      <c r="AZ1" s="2602"/>
      <c r="BA1" s="2602"/>
      <c r="BB1" s="2602"/>
      <c r="BC1" s="2602"/>
      <c r="BD1" s="2602"/>
      <c r="BE1" s="2602"/>
      <c r="BF1" s="2602"/>
      <c r="BG1" s="2602"/>
      <c r="BH1" s="2602"/>
      <c r="BI1" s="2602"/>
      <c r="BJ1" s="2602"/>
      <c r="BK1" s="2602"/>
      <c r="BL1" s="2602"/>
      <c r="BM1" s="2602"/>
      <c r="BN1" s="2602"/>
      <c r="BO1" s="2602"/>
      <c r="BP1" s="2602"/>
      <c r="BQ1" s="2602"/>
      <c r="BR1" s="445"/>
      <c r="BT1" s="460" t="s">
        <v>138</v>
      </c>
      <c r="BU1" s="148" t="s">
        <v>137</v>
      </c>
      <c r="BV1" s="4"/>
      <c r="BW1" s="4"/>
      <c r="BX1" s="4"/>
      <c r="BY1" s="4"/>
      <c r="BZ1" s="4"/>
      <c r="CA1" s="4"/>
      <c r="CB1" s="4"/>
      <c r="CC1" s="4"/>
      <c r="CD1" s="4"/>
      <c r="CE1" s="4"/>
      <c r="CF1" s="4"/>
      <c r="CG1" s="4"/>
      <c r="CH1" s="4"/>
      <c r="CI1" s="4"/>
      <c r="CJ1" s="4"/>
      <c r="CK1" s="4"/>
      <c r="CL1" s="4"/>
      <c r="CM1" s="4"/>
      <c r="CN1" s="4"/>
      <c r="CO1" s="4"/>
    </row>
    <row r="2" spans="1:93" ht="19.5" customHeight="1" x14ac:dyDescent="0.25">
      <c r="A2" s="2602"/>
      <c r="B2" s="2602"/>
      <c r="C2" s="2602"/>
      <c r="D2" s="2602"/>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c r="BD2" s="2602"/>
      <c r="BE2" s="2602"/>
      <c r="BF2" s="2602"/>
      <c r="BG2" s="2602"/>
      <c r="BH2" s="2602"/>
      <c r="BI2" s="2602"/>
      <c r="BJ2" s="2602"/>
      <c r="BK2" s="2602"/>
      <c r="BL2" s="2602"/>
      <c r="BM2" s="2602"/>
      <c r="BN2" s="2602"/>
      <c r="BO2" s="2602"/>
      <c r="BP2" s="2602"/>
      <c r="BQ2" s="2602"/>
      <c r="BR2" s="445"/>
      <c r="BT2" s="460" t="s">
        <v>136</v>
      </c>
      <c r="BU2" s="150" t="s">
        <v>135</v>
      </c>
      <c r="BV2" s="4"/>
      <c r="BW2" s="4"/>
      <c r="BX2" s="4"/>
      <c r="BY2" s="4"/>
      <c r="BZ2" s="4"/>
      <c r="CA2" s="4"/>
      <c r="CB2" s="4"/>
      <c r="CC2" s="4"/>
      <c r="CD2" s="4"/>
      <c r="CE2" s="4"/>
      <c r="CF2" s="4"/>
      <c r="CG2" s="4"/>
      <c r="CH2" s="4"/>
      <c r="CI2" s="4"/>
      <c r="CJ2" s="4"/>
      <c r="CK2" s="4"/>
      <c r="CL2" s="4"/>
      <c r="CM2" s="4"/>
      <c r="CN2" s="4"/>
      <c r="CO2" s="4"/>
    </row>
    <row r="3" spans="1:93" ht="19.5" customHeight="1" x14ac:dyDescent="0.25">
      <c r="A3" s="2602"/>
      <c r="B3" s="2602"/>
      <c r="C3" s="2602"/>
      <c r="D3" s="2602"/>
      <c r="E3" s="2602"/>
      <c r="F3" s="2602"/>
      <c r="G3" s="2602"/>
      <c r="H3" s="2602"/>
      <c r="I3" s="2602"/>
      <c r="J3" s="2602"/>
      <c r="K3" s="2602"/>
      <c r="L3" s="2602"/>
      <c r="M3" s="2602"/>
      <c r="N3" s="2602"/>
      <c r="O3" s="2602"/>
      <c r="P3" s="2602"/>
      <c r="Q3" s="2602"/>
      <c r="R3" s="2602"/>
      <c r="S3" s="2602"/>
      <c r="T3" s="2602"/>
      <c r="U3" s="2602"/>
      <c r="V3" s="2602"/>
      <c r="W3" s="2602"/>
      <c r="X3" s="2602"/>
      <c r="Y3" s="2602"/>
      <c r="Z3" s="2602"/>
      <c r="AA3" s="2602"/>
      <c r="AB3" s="2602"/>
      <c r="AC3" s="2602"/>
      <c r="AD3" s="2602"/>
      <c r="AE3" s="2602"/>
      <c r="AF3" s="2602"/>
      <c r="AG3" s="2602"/>
      <c r="AH3" s="2602"/>
      <c r="AI3" s="2602"/>
      <c r="AJ3" s="2602"/>
      <c r="AK3" s="2602"/>
      <c r="AL3" s="2602"/>
      <c r="AM3" s="2602"/>
      <c r="AN3" s="2602"/>
      <c r="AO3" s="2602"/>
      <c r="AP3" s="2602"/>
      <c r="AQ3" s="2602"/>
      <c r="AR3" s="2602"/>
      <c r="AS3" s="2602"/>
      <c r="AT3" s="2602"/>
      <c r="AU3" s="2602"/>
      <c r="AV3" s="2602"/>
      <c r="AW3" s="2602"/>
      <c r="AX3" s="2602"/>
      <c r="AY3" s="2602"/>
      <c r="AZ3" s="2602"/>
      <c r="BA3" s="2602"/>
      <c r="BB3" s="2602"/>
      <c r="BC3" s="2602"/>
      <c r="BD3" s="2602"/>
      <c r="BE3" s="2602"/>
      <c r="BF3" s="2602"/>
      <c r="BG3" s="2602"/>
      <c r="BH3" s="2602"/>
      <c r="BI3" s="2602"/>
      <c r="BJ3" s="2602"/>
      <c r="BK3" s="2602"/>
      <c r="BL3" s="2602"/>
      <c r="BM3" s="2602"/>
      <c r="BN3" s="2602"/>
      <c r="BO3" s="2602"/>
      <c r="BP3" s="2602"/>
      <c r="BQ3" s="2602"/>
      <c r="BR3" s="445"/>
      <c r="BT3" s="460" t="s">
        <v>134</v>
      </c>
      <c r="BU3" s="149">
        <v>44266</v>
      </c>
      <c r="BV3" s="4"/>
      <c r="BW3" s="4"/>
      <c r="BX3" s="4"/>
      <c r="BY3" s="4"/>
      <c r="BZ3" s="4"/>
      <c r="CA3" s="4"/>
      <c r="CB3" s="4"/>
      <c r="CC3" s="4"/>
      <c r="CD3" s="4"/>
      <c r="CE3" s="4"/>
      <c r="CF3" s="4"/>
      <c r="CG3" s="4"/>
      <c r="CH3" s="4"/>
      <c r="CI3" s="4"/>
      <c r="CJ3" s="4"/>
      <c r="CK3" s="4"/>
      <c r="CL3" s="4"/>
      <c r="CM3" s="4"/>
      <c r="CN3" s="4"/>
      <c r="CO3" s="4"/>
    </row>
    <row r="4" spans="1:93" ht="19.5" customHeight="1" x14ac:dyDescent="0.25">
      <c r="A4" s="2602"/>
      <c r="B4" s="2602"/>
      <c r="C4" s="2602"/>
      <c r="D4" s="2602"/>
      <c r="E4" s="2602"/>
      <c r="F4" s="2602"/>
      <c r="G4" s="2602"/>
      <c r="H4" s="2602"/>
      <c r="I4" s="2602"/>
      <c r="J4" s="2602"/>
      <c r="K4" s="2602"/>
      <c r="L4" s="2602"/>
      <c r="M4" s="2602"/>
      <c r="N4" s="2602"/>
      <c r="O4" s="2602"/>
      <c r="P4" s="2602"/>
      <c r="Q4" s="2602"/>
      <c r="R4" s="2602"/>
      <c r="S4" s="2602"/>
      <c r="T4" s="2602"/>
      <c r="U4" s="2602"/>
      <c r="V4" s="2602"/>
      <c r="W4" s="2602"/>
      <c r="X4" s="2602"/>
      <c r="Y4" s="2602"/>
      <c r="Z4" s="2602"/>
      <c r="AA4" s="2602"/>
      <c r="AB4" s="2602"/>
      <c r="AC4" s="2602"/>
      <c r="AD4" s="2602"/>
      <c r="AE4" s="2602"/>
      <c r="AF4" s="2602"/>
      <c r="AG4" s="2602"/>
      <c r="AH4" s="2602"/>
      <c r="AI4" s="2602"/>
      <c r="AJ4" s="2602"/>
      <c r="AK4" s="2602"/>
      <c r="AL4" s="2602"/>
      <c r="AM4" s="2602"/>
      <c r="AN4" s="2602"/>
      <c r="AO4" s="2602"/>
      <c r="AP4" s="2602"/>
      <c r="AQ4" s="2602"/>
      <c r="AR4" s="2602"/>
      <c r="AS4" s="2602"/>
      <c r="AT4" s="2602"/>
      <c r="AU4" s="2602"/>
      <c r="AV4" s="2602"/>
      <c r="AW4" s="2602"/>
      <c r="AX4" s="2602"/>
      <c r="AY4" s="2602"/>
      <c r="AZ4" s="2602"/>
      <c r="BA4" s="2602"/>
      <c r="BB4" s="2602"/>
      <c r="BC4" s="2602"/>
      <c r="BD4" s="2602"/>
      <c r="BE4" s="2602"/>
      <c r="BF4" s="2602"/>
      <c r="BG4" s="2602"/>
      <c r="BH4" s="2602"/>
      <c r="BI4" s="2602"/>
      <c r="BJ4" s="2602"/>
      <c r="BK4" s="2602"/>
      <c r="BL4" s="2602"/>
      <c r="BM4" s="2602"/>
      <c r="BN4" s="2602"/>
      <c r="BO4" s="2602"/>
      <c r="BP4" s="2602"/>
      <c r="BQ4" s="2602"/>
      <c r="BR4" s="445"/>
      <c r="BT4" s="460" t="s">
        <v>133</v>
      </c>
      <c r="BU4" s="147" t="s">
        <v>132</v>
      </c>
      <c r="BV4" s="4"/>
      <c r="BW4" s="4"/>
      <c r="BX4" s="4"/>
      <c r="BY4" s="4"/>
      <c r="BZ4" s="4"/>
      <c r="CA4" s="4"/>
      <c r="CB4" s="4"/>
      <c r="CC4" s="4"/>
      <c r="CD4" s="4"/>
      <c r="CE4" s="4"/>
      <c r="CF4" s="4"/>
      <c r="CG4" s="4"/>
      <c r="CH4" s="4"/>
      <c r="CI4" s="4"/>
      <c r="CJ4" s="4"/>
      <c r="CK4" s="4"/>
      <c r="CL4" s="4"/>
      <c r="CM4" s="4"/>
      <c r="CN4" s="4"/>
      <c r="CO4" s="4"/>
    </row>
    <row r="5" spans="1:93" ht="18.75" customHeight="1" x14ac:dyDescent="0.25">
      <c r="A5" s="2606" t="s">
        <v>408</v>
      </c>
      <c r="B5" s="2606"/>
      <c r="C5" s="2606"/>
      <c r="D5" s="2606"/>
      <c r="E5" s="2606"/>
      <c r="F5" s="2606"/>
      <c r="G5" s="2606"/>
      <c r="H5" s="2606"/>
      <c r="I5" s="2606"/>
      <c r="J5" s="2606"/>
      <c r="K5" s="2606"/>
      <c r="L5" s="2606"/>
      <c r="M5" s="2606"/>
      <c r="N5" s="2606"/>
      <c r="O5" s="2606"/>
      <c r="P5" s="461"/>
      <c r="Q5" s="2608"/>
      <c r="R5" s="2608"/>
      <c r="S5" s="2608"/>
      <c r="T5" s="2608"/>
      <c r="U5" s="2608"/>
      <c r="V5" s="2608"/>
      <c r="W5" s="2608"/>
      <c r="X5" s="2608"/>
      <c r="Y5" s="2608"/>
      <c r="Z5" s="2608"/>
      <c r="AA5" s="2608"/>
      <c r="AB5" s="2608"/>
      <c r="AC5" s="2608"/>
      <c r="AD5" s="2608"/>
      <c r="AE5" s="2608"/>
      <c r="AF5" s="2608"/>
      <c r="AG5" s="2608"/>
      <c r="AH5" s="2608"/>
      <c r="AI5" s="2608"/>
      <c r="AJ5" s="2608"/>
      <c r="AK5" s="2608"/>
      <c r="AL5" s="2608"/>
      <c r="AM5" s="2608"/>
      <c r="AN5" s="2608"/>
      <c r="AO5" s="2608"/>
      <c r="AP5" s="2608"/>
      <c r="AQ5" s="2608"/>
      <c r="AR5" s="2608"/>
      <c r="AS5" s="2608"/>
      <c r="AT5" s="2608"/>
      <c r="AU5" s="2608"/>
      <c r="AV5" s="2608"/>
      <c r="AW5" s="2608"/>
      <c r="AX5" s="2608"/>
      <c r="AY5" s="2608"/>
      <c r="AZ5" s="2608"/>
      <c r="BA5" s="2608"/>
      <c r="BB5" s="2608"/>
      <c r="BC5" s="2608"/>
      <c r="BD5" s="2608"/>
      <c r="BE5" s="2608"/>
      <c r="BF5" s="2608"/>
      <c r="BG5" s="2608"/>
      <c r="BH5" s="2608"/>
      <c r="BI5" s="2608"/>
      <c r="BJ5" s="2608"/>
      <c r="BK5" s="2608"/>
      <c r="BL5" s="2608"/>
      <c r="BM5" s="2608"/>
      <c r="BN5" s="2608"/>
      <c r="BO5" s="2608"/>
      <c r="BP5" s="2608"/>
      <c r="BQ5" s="2608"/>
      <c r="BR5" s="2608"/>
      <c r="BS5" s="2608"/>
      <c r="BT5" s="2608"/>
      <c r="BU5" s="2608"/>
      <c r="BV5" s="4"/>
      <c r="BW5" s="4"/>
      <c r="BX5" s="4"/>
      <c r="BY5" s="4"/>
      <c r="BZ5" s="4"/>
      <c r="CA5" s="4"/>
      <c r="CB5" s="4"/>
      <c r="CC5" s="4"/>
      <c r="CD5" s="4"/>
      <c r="CE5" s="4"/>
      <c r="CF5" s="4"/>
      <c r="CG5" s="4"/>
      <c r="CH5" s="4"/>
      <c r="CI5" s="4"/>
      <c r="CJ5" s="4"/>
      <c r="CK5" s="4"/>
      <c r="CL5" s="4"/>
      <c r="CM5" s="4"/>
      <c r="CN5" s="4"/>
      <c r="CO5" s="4"/>
    </row>
    <row r="6" spans="1:93" ht="18.75" customHeight="1" thickBot="1" x14ac:dyDescent="0.3">
      <c r="A6" s="2606"/>
      <c r="B6" s="2606"/>
      <c r="C6" s="2606"/>
      <c r="D6" s="2606"/>
      <c r="E6" s="2606"/>
      <c r="F6" s="2606"/>
      <c r="G6" s="2606"/>
      <c r="H6" s="2606"/>
      <c r="I6" s="2606"/>
      <c r="J6" s="2606"/>
      <c r="K6" s="2606"/>
      <c r="L6" s="2606"/>
      <c r="M6" s="2606"/>
      <c r="N6" s="2606"/>
      <c r="O6" s="2606"/>
      <c r="P6" s="445"/>
      <c r="Q6" s="433"/>
      <c r="R6" s="143"/>
      <c r="S6" s="433"/>
      <c r="T6" s="433"/>
      <c r="U6" s="143"/>
      <c r="V6" s="143"/>
      <c r="W6" s="143"/>
      <c r="X6" s="433"/>
      <c r="Y6" s="433"/>
      <c r="Z6" s="433"/>
      <c r="AA6" s="433"/>
      <c r="AB6" s="433"/>
      <c r="AC6" s="143"/>
      <c r="AD6" s="2635" t="s">
        <v>130</v>
      </c>
      <c r="AE6" s="2635"/>
      <c r="AF6" s="2635"/>
      <c r="AG6" s="2635"/>
      <c r="AH6" s="2635"/>
      <c r="AI6" s="2635"/>
      <c r="AJ6" s="2635"/>
      <c r="AK6" s="2635"/>
      <c r="AL6" s="2635"/>
      <c r="AM6" s="2635"/>
      <c r="AN6" s="2635"/>
      <c r="AO6" s="2635"/>
      <c r="AP6" s="2635"/>
      <c r="AQ6" s="2635"/>
      <c r="AR6" s="2635"/>
      <c r="AS6" s="2635"/>
      <c r="AT6" s="2635"/>
      <c r="AU6" s="2635"/>
      <c r="AV6" s="2635"/>
      <c r="AW6" s="2635"/>
      <c r="AX6" s="2635"/>
      <c r="AY6" s="2635"/>
      <c r="AZ6" s="2635"/>
      <c r="BA6" s="2635"/>
      <c r="BB6" s="2635"/>
      <c r="BC6" s="2635"/>
      <c r="BD6" s="2635"/>
      <c r="BE6" s="2635"/>
      <c r="BF6" s="2635"/>
      <c r="BG6" s="434"/>
      <c r="BH6" s="434"/>
      <c r="BI6" s="434"/>
      <c r="BJ6" s="462"/>
      <c r="BK6" s="434"/>
      <c r="BL6" s="434"/>
      <c r="BM6" s="463"/>
      <c r="BN6" s="434"/>
      <c r="BO6" s="464"/>
      <c r="BP6" s="464"/>
      <c r="BQ6" s="434"/>
      <c r="BR6" s="462"/>
      <c r="BS6" s="434"/>
      <c r="BT6" s="462"/>
      <c r="BU6" s="465"/>
      <c r="BV6" s="4"/>
      <c r="BW6" s="4"/>
      <c r="BX6" s="4"/>
      <c r="BY6" s="4"/>
      <c r="BZ6" s="4"/>
      <c r="CA6" s="4"/>
      <c r="CB6" s="4"/>
      <c r="CC6" s="4"/>
      <c r="CD6" s="4"/>
      <c r="CE6" s="4"/>
      <c r="CF6" s="4"/>
      <c r="CG6" s="4"/>
      <c r="CH6" s="4"/>
      <c r="CI6" s="4"/>
      <c r="CJ6" s="4"/>
      <c r="CK6" s="4"/>
      <c r="CL6" s="4"/>
      <c r="CM6" s="4"/>
      <c r="CN6" s="4"/>
      <c r="CO6" s="4"/>
    </row>
    <row r="7" spans="1:93" ht="36.75" customHeight="1" x14ac:dyDescent="0.25">
      <c r="A7" s="2610" t="s">
        <v>129</v>
      </c>
      <c r="B7" s="2610"/>
      <c r="C7" s="2610" t="s">
        <v>128</v>
      </c>
      <c r="D7" s="2610"/>
      <c r="E7" s="2610" t="s">
        <v>127</v>
      </c>
      <c r="F7" s="2610"/>
      <c r="G7" s="2610" t="s">
        <v>126</v>
      </c>
      <c r="H7" s="2610"/>
      <c r="I7" s="2610"/>
      <c r="J7" s="2610"/>
      <c r="K7" s="2610" t="s">
        <v>125</v>
      </c>
      <c r="L7" s="2610"/>
      <c r="M7" s="2610"/>
      <c r="N7" s="2610"/>
      <c r="O7" s="2888" t="s">
        <v>124</v>
      </c>
      <c r="P7" s="2888"/>
      <c r="Q7" s="2888"/>
      <c r="R7" s="2888"/>
      <c r="S7" s="2888"/>
      <c r="T7" s="2888"/>
      <c r="U7" s="2888"/>
      <c r="V7" s="2888"/>
      <c r="W7" s="2888"/>
      <c r="X7" s="2888"/>
      <c r="Y7" s="446"/>
      <c r="Z7" s="446"/>
      <c r="AA7" s="2610" t="s">
        <v>123</v>
      </c>
      <c r="AB7" s="2610"/>
      <c r="AC7" s="2610"/>
      <c r="AD7" s="2611" t="s">
        <v>122</v>
      </c>
      <c r="AE7" s="2612"/>
      <c r="AF7" s="2612"/>
      <c r="AG7" s="2613"/>
      <c r="AH7" s="2614" t="s">
        <v>121</v>
      </c>
      <c r="AI7" s="2615"/>
      <c r="AJ7" s="2615"/>
      <c r="AK7" s="2615"/>
      <c r="AL7" s="2615"/>
      <c r="AM7" s="2615"/>
      <c r="AN7" s="2615"/>
      <c r="AO7" s="2616"/>
      <c r="AP7" s="2660" t="s">
        <v>120</v>
      </c>
      <c r="AQ7" s="2661"/>
      <c r="AR7" s="2661"/>
      <c r="AS7" s="2661"/>
      <c r="AT7" s="2661"/>
      <c r="AU7" s="2661"/>
      <c r="AV7" s="2661"/>
      <c r="AW7" s="2661"/>
      <c r="AX7" s="2661"/>
      <c r="AY7" s="2661"/>
      <c r="AZ7" s="2661"/>
      <c r="BA7" s="2662"/>
      <c r="BB7" s="2614" t="s">
        <v>119</v>
      </c>
      <c r="BC7" s="2615"/>
      <c r="BD7" s="2615"/>
      <c r="BE7" s="2615"/>
      <c r="BF7" s="2615"/>
      <c r="BG7" s="2616"/>
      <c r="BH7" s="2893" t="s">
        <v>118</v>
      </c>
      <c r="BI7" s="2653"/>
      <c r="BJ7" s="2622" t="s">
        <v>117</v>
      </c>
      <c r="BK7" s="2623"/>
      <c r="BL7" s="2623"/>
      <c r="BM7" s="2623"/>
      <c r="BN7" s="2623"/>
      <c r="BO7" s="2623"/>
      <c r="BP7" s="2624"/>
      <c r="BQ7" s="2893" t="s">
        <v>116</v>
      </c>
      <c r="BR7" s="2653"/>
      <c r="BS7" s="2893" t="s">
        <v>115</v>
      </c>
      <c r="BT7" s="2653"/>
      <c r="BU7" s="2895" t="s">
        <v>114</v>
      </c>
      <c r="BV7" s="4"/>
      <c r="BW7" s="4"/>
      <c r="BX7" s="4"/>
      <c r="BY7" s="4"/>
      <c r="BZ7" s="4"/>
      <c r="CA7" s="4"/>
      <c r="CB7" s="4"/>
      <c r="CC7" s="4"/>
      <c r="CD7" s="4"/>
      <c r="CE7" s="4"/>
      <c r="CF7" s="4"/>
      <c r="CG7" s="4"/>
      <c r="CH7" s="4"/>
      <c r="CI7" s="4"/>
      <c r="CJ7" s="4"/>
      <c r="CK7" s="4"/>
      <c r="CL7" s="4"/>
      <c r="CM7" s="4"/>
      <c r="CN7" s="4"/>
      <c r="CO7" s="4"/>
    </row>
    <row r="8" spans="1:93" ht="138.75" customHeight="1" x14ac:dyDescent="0.25">
      <c r="A8" s="2593" t="s">
        <v>71</v>
      </c>
      <c r="B8" s="2593" t="s">
        <v>70</v>
      </c>
      <c r="C8" s="2593" t="s">
        <v>71</v>
      </c>
      <c r="D8" s="2593" t="s">
        <v>70</v>
      </c>
      <c r="E8" s="2593" t="s">
        <v>71</v>
      </c>
      <c r="F8" s="2593" t="s">
        <v>70</v>
      </c>
      <c r="G8" s="2593" t="s">
        <v>110</v>
      </c>
      <c r="H8" s="2593" t="s">
        <v>113</v>
      </c>
      <c r="I8" s="2593" t="s">
        <v>112</v>
      </c>
      <c r="J8" s="2593" t="s">
        <v>142</v>
      </c>
      <c r="K8" s="2593" t="s">
        <v>110</v>
      </c>
      <c r="L8" s="2593" t="s">
        <v>109</v>
      </c>
      <c r="M8" s="2593" t="s">
        <v>108</v>
      </c>
      <c r="N8" s="2593" t="s">
        <v>107</v>
      </c>
      <c r="O8" s="2599" t="s">
        <v>106</v>
      </c>
      <c r="P8" s="2600"/>
      <c r="Q8" s="2593" t="s">
        <v>105</v>
      </c>
      <c r="R8" s="2884" t="s">
        <v>104</v>
      </c>
      <c r="S8" s="2593" t="s">
        <v>103</v>
      </c>
      <c r="T8" s="2593" t="s">
        <v>102</v>
      </c>
      <c r="U8" s="2884" t="s">
        <v>101</v>
      </c>
      <c r="V8" s="2884" t="s">
        <v>100</v>
      </c>
      <c r="W8" s="2884" t="s">
        <v>99</v>
      </c>
      <c r="X8" s="2594" t="s">
        <v>98</v>
      </c>
      <c r="Y8" s="2594"/>
      <c r="Z8" s="2594"/>
      <c r="AA8" s="2593" t="s">
        <v>97</v>
      </c>
      <c r="AB8" s="2593" t="s">
        <v>96</v>
      </c>
      <c r="AC8" s="2884" t="s">
        <v>70</v>
      </c>
      <c r="AD8" s="2620" t="s">
        <v>95</v>
      </c>
      <c r="AE8" s="2621"/>
      <c r="AF8" s="2597" t="s">
        <v>94</v>
      </c>
      <c r="AG8" s="2598"/>
      <c r="AH8" s="2597" t="s">
        <v>93</v>
      </c>
      <c r="AI8" s="2598"/>
      <c r="AJ8" s="2597" t="s">
        <v>92</v>
      </c>
      <c r="AK8" s="2598"/>
      <c r="AL8" s="2597" t="s">
        <v>91</v>
      </c>
      <c r="AM8" s="2598"/>
      <c r="AN8" s="2597" t="s">
        <v>90</v>
      </c>
      <c r="AO8" s="2598"/>
      <c r="AP8" s="2592" t="s">
        <v>89</v>
      </c>
      <c r="AQ8" s="2592"/>
      <c r="AR8" s="2592" t="s">
        <v>88</v>
      </c>
      <c r="AS8" s="2592"/>
      <c r="AT8" s="2592" t="s">
        <v>87</v>
      </c>
      <c r="AU8" s="2592"/>
      <c r="AV8" s="2592" t="s">
        <v>86</v>
      </c>
      <c r="AW8" s="2592"/>
      <c r="AX8" s="2592" t="s">
        <v>85</v>
      </c>
      <c r="AY8" s="2592"/>
      <c r="AZ8" s="2592" t="s">
        <v>84</v>
      </c>
      <c r="BA8" s="2592"/>
      <c r="BB8" s="2592" t="s">
        <v>83</v>
      </c>
      <c r="BC8" s="2592"/>
      <c r="BD8" s="2592" t="s">
        <v>82</v>
      </c>
      <c r="BE8" s="2592"/>
      <c r="BF8" s="2592" t="s">
        <v>81</v>
      </c>
      <c r="BG8" s="2592"/>
      <c r="BH8" s="2894"/>
      <c r="BI8" s="2654"/>
      <c r="BJ8" s="2923" t="s">
        <v>80</v>
      </c>
      <c r="BK8" s="2583" t="s">
        <v>79</v>
      </c>
      <c r="BL8" s="2584" t="s">
        <v>78</v>
      </c>
      <c r="BM8" s="2924" t="s">
        <v>77</v>
      </c>
      <c r="BN8" s="2925" t="s">
        <v>76</v>
      </c>
      <c r="BO8" s="2926"/>
      <c r="BP8" s="2898" t="s">
        <v>75</v>
      </c>
      <c r="BQ8" s="2894"/>
      <c r="BR8" s="2654"/>
      <c r="BS8" s="2894"/>
      <c r="BT8" s="2654"/>
      <c r="BU8" s="2896"/>
      <c r="BV8" s="4"/>
      <c r="BW8" s="4"/>
      <c r="BX8" s="4"/>
      <c r="BY8" s="4"/>
      <c r="BZ8" s="4"/>
      <c r="CA8" s="4"/>
      <c r="CB8" s="4"/>
      <c r="CC8" s="4"/>
      <c r="CD8" s="4"/>
      <c r="CE8" s="4"/>
      <c r="CF8" s="4"/>
      <c r="CG8" s="4"/>
      <c r="CH8" s="4"/>
      <c r="CI8" s="4"/>
      <c r="CJ8" s="4"/>
      <c r="CK8" s="4"/>
      <c r="CL8" s="4"/>
      <c r="CM8" s="4"/>
      <c r="CN8" s="4"/>
      <c r="CO8" s="4"/>
    </row>
    <row r="9" spans="1:93" ht="35.25" customHeight="1" x14ac:dyDescent="0.25">
      <c r="A9" s="2593"/>
      <c r="B9" s="2593"/>
      <c r="C9" s="2593"/>
      <c r="D9" s="2593"/>
      <c r="E9" s="2593"/>
      <c r="F9" s="2593"/>
      <c r="G9" s="2593"/>
      <c r="H9" s="2593"/>
      <c r="I9" s="2593"/>
      <c r="J9" s="2593"/>
      <c r="K9" s="2593"/>
      <c r="L9" s="2593"/>
      <c r="M9" s="2593"/>
      <c r="N9" s="2593"/>
      <c r="O9" s="131" t="s">
        <v>69</v>
      </c>
      <c r="P9" s="131" t="s">
        <v>68</v>
      </c>
      <c r="Q9" s="2593"/>
      <c r="R9" s="2884"/>
      <c r="S9" s="2593"/>
      <c r="T9" s="2593"/>
      <c r="U9" s="2884"/>
      <c r="V9" s="2884"/>
      <c r="W9" s="2884"/>
      <c r="X9" s="163" t="s">
        <v>74</v>
      </c>
      <c r="Y9" s="163" t="s">
        <v>73</v>
      </c>
      <c r="Z9" s="163" t="s">
        <v>72</v>
      </c>
      <c r="AA9" s="2593"/>
      <c r="AB9" s="2593"/>
      <c r="AC9" s="2884"/>
      <c r="AD9" s="131" t="s">
        <v>69</v>
      </c>
      <c r="AE9" s="131" t="s">
        <v>68</v>
      </c>
      <c r="AF9" s="131" t="s">
        <v>69</v>
      </c>
      <c r="AG9" s="131" t="s">
        <v>68</v>
      </c>
      <c r="AH9" s="131" t="s">
        <v>69</v>
      </c>
      <c r="AI9" s="131" t="s">
        <v>68</v>
      </c>
      <c r="AJ9" s="131" t="s">
        <v>69</v>
      </c>
      <c r="AK9" s="131" t="s">
        <v>68</v>
      </c>
      <c r="AL9" s="131" t="s">
        <v>69</v>
      </c>
      <c r="AM9" s="131" t="s">
        <v>68</v>
      </c>
      <c r="AN9" s="131" t="s">
        <v>69</v>
      </c>
      <c r="AO9" s="131" t="s">
        <v>68</v>
      </c>
      <c r="AP9" s="131" t="s">
        <v>69</v>
      </c>
      <c r="AQ9" s="131" t="s">
        <v>68</v>
      </c>
      <c r="AR9" s="131" t="s">
        <v>69</v>
      </c>
      <c r="AS9" s="131" t="s">
        <v>68</v>
      </c>
      <c r="AT9" s="131" t="s">
        <v>69</v>
      </c>
      <c r="AU9" s="131" t="s">
        <v>68</v>
      </c>
      <c r="AV9" s="131" t="s">
        <v>69</v>
      </c>
      <c r="AW9" s="131" t="s">
        <v>68</v>
      </c>
      <c r="AX9" s="131" t="s">
        <v>69</v>
      </c>
      <c r="AY9" s="131" t="s">
        <v>68</v>
      </c>
      <c r="AZ9" s="131" t="s">
        <v>69</v>
      </c>
      <c r="BA9" s="131" t="s">
        <v>68</v>
      </c>
      <c r="BB9" s="131" t="s">
        <v>69</v>
      </c>
      <c r="BC9" s="131" t="s">
        <v>68</v>
      </c>
      <c r="BD9" s="131" t="s">
        <v>69</v>
      </c>
      <c r="BE9" s="131" t="s">
        <v>68</v>
      </c>
      <c r="BF9" s="131" t="s">
        <v>69</v>
      </c>
      <c r="BG9" s="131" t="s">
        <v>68</v>
      </c>
      <c r="BH9" s="131" t="s">
        <v>69</v>
      </c>
      <c r="BI9" s="131" t="s">
        <v>68</v>
      </c>
      <c r="BJ9" s="2923"/>
      <c r="BK9" s="2583"/>
      <c r="BL9" s="2584"/>
      <c r="BM9" s="2924"/>
      <c r="BN9" s="435" t="s">
        <v>71</v>
      </c>
      <c r="BO9" s="466" t="s">
        <v>70</v>
      </c>
      <c r="BP9" s="2899"/>
      <c r="BQ9" s="447" t="s">
        <v>69</v>
      </c>
      <c r="BR9" s="447" t="s">
        <v>68</v>
      </c>
      <c r="BS9" s="447" t="s">
        <v>69</v>
      </c>
      <c r="BT9" s="447" t="s">
        <v>68</v>
      </c>
      <c r="BU9" s="2897"/>
      <c r="BV9" s="4"/>
      <c r="BW9" s="4"/>
      <c r="BX9" s="4"/>
      <c r="BY9" s="4"/>
      <c r="BZ9" s="4"/>
      <c r="CA9" s="4"/>
      <c r="CB9" s="4"/>
      <c r="CC9" s="4"/>
      <c r="CD9" s="4"/>
      <c r="CE9" s="4"/>
      <c r="CF9" s="4"/>
      <c r="CG9" s="4"/>
      <c r="CH9" s="4"/>
      <c r="CI9" s="4"/>
      <c r="CJ9" s="4"/>
      <c r="CK9" s="4"/>
      <c r="CL9" s="4"/>
      <c r="CM9" s="4"/>
      <c r="CN9" s="4"/>
      <c r="CO9" s="4"/>
    </row>
    <row r="10" spans="1:93" s="14" customFormat="1" ht="27" customHeight="1" x14ac:dyDescent="0.25">
      <c r="A10" s="467">
        <v>1</v>
      </c>
      <c r="B10" s="2900" t="s">
        <v>409</v>
      </c>
      <c r="C10" s="2900"/>
      <c r="D10" s="2900"/>
      <c r="E10" s="2900"/>
      <c r="F10" s="2900"/>
      <c r="G10" s="2900"/>
      <c r="H10" s="2900"/>
      <c r="I10" s="2900"/>
      <c r="J10" s="165"/>
      <c r="K10" s="166"/>
      <c r="L10" s="165"/>
      <c r="M10" s="166"/>
      <c r="N10" s="165"/>
      <c r="O10" s="166"/>
      <c r="P10" s="166"/>
      <c r="Q10" s="166"/>
      <c r="R10" s="165"/>
      <c r="S10" s="169"/>
      <c r="T10" s="171"/>
      <c r="U10" s="165"/>
      <c r="V10" s="165"/>
      <c r="W10" s="165"/>
      <c r="X10" s="171"/>
      <c r="Y10" s="171"/>
      <c r="Z10" s="171"/>
      <c r="AA10" s="166"/>
      <c r="AB10" s="468"/>
      <c r="AC10" s="165"/>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469"/>
      <c r="BN10" s="166"/>
      <c r="BO10" s="165"/>
      <c r="BP10" s="165"/>
      <c r="BQ10" s="173"/>
      <c r="BR10" s="173"/>
      <c r="BS10" s="173"/>
      <c r="BT10" s="173"/>
      <c r="BU10" s="165"/>
      <c r="BV10" s="4"/>
      <c r="BW10" s="4"/>
      <c r="BX10" s="4"/>
      <c r="BY10" s="4"/>
      <c r="BZ10" s="4"/>
      <c r="CA10" s="4"/>
      <c r="CB10" s="4"/>
      <c r="CC10" s="4"/>
      <c r="CD10" s="4"/>
      <c r="CE10" s="4"/>
      <c r="CF10" s="4"/>
      <c r="CG10" s="4"/>
      <c r="CH10" s="4"/>
      <c r="CI10" s="4"/>
      <c r="CJ10" s="4"/>
      <c r="CK10" s="4"/>
      <c r="CL10" s="4"/>
      <c r="CM10" s="4"/>
      <c r="CN10" s="4"/>
      <c r="CO10" s="4"/>
    </row>
    <row r="11" spans="1:93" s="25" customFormat="1" ht="27" customHeight="1" x14ac:dyDescent="0.25">
      <c r="A11" s="2901"/>
      <c r="B11" s="2902"/>
      <c r="C11" s="176">
        <v>12</v>
      </c>
      <c r="D11" s="2905" t="s">
        <v>410</v>
      </c>
      <c r="E11" s="2906"/>
      <c r="F11" s="2906"/>
      <c r="G11" s="2906"/>
      <c r="H11" s="2906"/>
      <c r="I11" s="2906"/>
      <c r="J11" s="2906"/>
      <c r="K11" s="2906"/>
      <c r="L11" s="2906"/>
      <c r="M11" s="177"/>
      <c r="N11" s="178"/>
      <c r="O11" s="177"/>
      <c r="P11" s="177"/>
      <c r="Q11" s="177"/>
      <c r="R11" s="178"/>
      <c r="S11" s="470"/>
      <c r="T11" s="471"/>
      <c r="U11" s="178"/>
      <c r="V11" s="178"/>
      <c r="W11" s="178"/>
      <c r="X11" s="471"/>
      <c r="Y11" s="471"/>
      <c r="Z11" s="471"/>
      <c r="AA11" s="177"/>
      <c r="AB11" s="472"/>
      <c r="AC11" s="178"/>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473"/>
      <c r="BN11" s="177"/>
      <c r="BO11" s="178"/>
      <c r="BP11" s="178"/>
      <c r="BQ11" s="474"/>
      <c r="BR11" s="474"/>
      <c r="BS11" s="474"/>
      <c r="BT11" s="474"/>
      <c r="BU11" s="475"/>
      <c r="BV11" s="24"/>
      <c r="BW11" s="24"/>
      <c r="BX11" s="24"/>
      <c r="BY11" s="24"/>
      <c r="BZ11" s="24"/>
      <c r="CA11" s="24"/>
      <c r="CB11" s="24"/>
      <c r="CC11" s="24"/>
      <c r="CD11" s="24"/>
      <c r="CE11" s="24"/>
      <c r="CF11" s="24"/>
      <c r="CG11" s="24"/>
      <c r="CH11" s="24"/>
      <c r="CI11" s="24"/>
      <c r="CJ11" s="24"/>
      <c r="CK11" s="24"/>
      <c r="CL11" s="24"/>
      <c r="CM11" s="24"/>
      <c r="CN11" s="24"/>
      <c r="CO11" s="24"/>
    </row>
    <row r="12" spans="1:93" s="4" customFormat="1" ht="27" customHeight="1" x14ac:dyDescent="0.25">
      <c r="A12" s="2903"/>
      <c r="B12" s="2904"/>
      <c r="C12" s="2907"/>
      <c r="D12" s="2908"/>
      <c r="E12" s="88">
        <v>1202</v>
      </c>
      <c r="F12" s="2913" t="s">
        <v>411</v>
      </c>
      <c r="G12" s="2914"/>
      <c r="H12" s="2914"/>
      <c r="I12" s="2914"/>
      <c r="J12" s="2914"/>
      <c r="K12" s="2914"/>
      <c r="L12" s="2914"/>
      <c r="M12" s="2914"/>
      <c r="N12" s="93"/>
      <c r="O12" s="90"/>
      <c r="P12" s="90"/>
      <c r="Q12" s="90"/>
      <c r="R12" s="93"/>
      <c r="S12" s="94"/>
      <c r="T12" s="92"/>
      <c r="U12" s="93"/>
      <c r="V12" s="93"/>
      <c r="W12" s="93"/>
      <c r="X12" s="92"/>
      <c r="Y12" s="92"/>
      <c r="Z12" s="92"/>
      <c r="AA12" s="90"/>
      <c r="AB12" s="91"/>
      <c r="AC12" s="93"/>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476"/>
      <c r="BN12" s="90"/>
      <c r="BO12" s="93"/>
      <c r="BP12" s="93"/>
      <c r="BQ12" s="89"/>
      <c r="BR12" s="89"/>
      <c r="BS12" s="89"/>
      <c r="BT12" s="89"/>
      <c r="BU12" s="477"/>
    </row>
    <row r="13" spans="1:93" s="4" customFormat="1" ht="100.5" customHeight="1" x14ac:dyDescent="0.25">
      <c r="A13" s="2903"/>
      <c r="B13" s="2904"/>
      <c r="C13" s="2909"/>
      <c r="D13" s="2910"/>
      <c r="E13" s="2915"/>
      <c r="F13" s="2916"/>
      <c r="G13" s="2921" t="s">
        <v>20</v>
      </c>
      <c r="H13" s="2922" t="s">
        <v>412</v>
      </c>
      <c r="I13" s="2921">
        <v>1202019</v>
      </c>
      <c r="J13" s="2922" t="s">
        <v>413</v>
      </c>
      <c r="K13" s="2932" t="s">
        <v>20</v>
      </c>
      <c r="L13" s="2922" t="s">
        <v>414</v>
      </c>
      <c r="M13" s="2932">
        <v>120201900</v>
      </c>
      <c r="N13" s="2922" t="s">
        <v>415</v>
      </c>
      <c r="O13" s="2783">
        <v>3</v>
      </c>
      <c r="P13" s="2927">
        <v>3</v>
      </c>
      <c r="Q13" s="2783" t="s">
        <v>416</v>
      </c>
      <c r="R13" s="2930" t="s">
        <v>417</v>
      </c>
      <c r="S13" s="2505">
        <f>SUM(X13:X15)/T13</f>
        <v>1</v>
      </c>
      <c r="T13" s="2931">
        <f>SUM(X13:X15)</f>
        <v>24750000</v>
      </c>
      <c r="U13" s="2930" t="s">
        <v>418</v>
      </c>
      <c r="V13" s="2936" t="s">
        <v>419</v>
      </c>
      <c r="W13" s="415" t="s">
        <v>420</v>
      </c>
      <c r="X13" s="478">
        <v>20750000</v>
      </c>
      <c r="Y13" s="84">
        <f>21616827-Y14</f>
        <v>18684827</v>
      </c>
      <c r="Z13" s="84">
        <f>21616827-Z14</f>
        <v>18684827</v>
      </c>
      <c r="AA13" s="479" t="s">
        <v>421</v>
      </c>
      <c r="AB13" s="2937">
        <v>20</v>
      </c>
      <c r="AC13" s="2938" t="s">
        <v>422</v>
      </c>
      <c r="AD13" s="2940">
        <f>'[1]formato población'!C9</f>
        <v>295972</v>
      </c>
      <c r="AE13" s="2933">
        <v>295972</v>
      </c>
      <c r="AF13" s="2933">
        <f>'[1]formato población'!D9</f>
        <v>285580</v>
      </c>
      <c r="AG13" s="2933">
        <v>285580</v>
      </c>
      <c r="AH13" s="2933">
        <f>'[1]formato población'!E9</f>
        <v>135545</v>
      </c>
      <c r="AI13" s="2933">
        <v>135545</v>
      </c>
      <c r="AJ13" s="2933">
        <f>'[1]formato población'!F9</f>
        <v>44254</v>
      </c>
      <c r="AK13" s="2933">
        <v>44254</v>
      </c>
      <c r="AL13" s="2933">
        <f>'[1]formato población'!G9</f>
        <v>309146</v>
      </c>
      <c r="AM13" s="2933">
        <v>309146</v>
      </c>
      <c r="AN13" s="2933">
        <f>'[1]formato población'!H9</f>
        <v>92607</v>
      </c>
      <c r="AO13" s="2933">
        <v>92607</v>
      </c>
      <c r="AP13" s="2933">
        <f>'[1]formato población'!I9</f>
        <v>2145</v>
      </c>
      <c r="AQ13" s="2933">
        <v>2145</v>
      </c>
      <c r="AR13" s="2933">
        <f>'[1]formato población'!J9</f>
        <v>12718</v>
      </c>
      <c r="AS13" s="2933">
        <v>12718</v>
      </c>
      <c r="AT13" s="2933">
        <v>26</v>
      </c>
      <c r="AU13" s="2933">
        <v>26</v>
      </c>
      <c r="AV13" s="2933">
        <f>'[1]formato población'!L9</f>
        <v>37</v>
      </c>
      <c r="AW13" s="2933">
        <v>37</v>
      </c>
      <c r="AX13" s="2933">
        <f>'[1]formato población'!M9</f>
        <v>0</v>
      </c>
      <c r="AY13" s="2933">
        <v>0</v>
      </c>
      <c r="AZ13" s="2933">
        <f>'[1]formato población'!N9</f>
        <v>0</v>
      </c>
      <c r="BA13" s="2933">
        <v>0</v>
      </c>
      <c r="BB13" s="2933">
        <f>'[1]formato población'!O9</f>
        <v>44350</v>
      </c>
      <c r="BC13" s="2933">
        <v>44350</v>
      </c>
      <c r="BD13" s="2933">
        <f>'[1]formato población'!P9</f>
        <v>21944</v>
      </c>
      <c r="BE13" s="2933">
        <v>21944</v>
      </c>
      <c r="BF13" s="2933">
        <f>'[1]formato población'!Q9</f>
        <v>75687</v>
      </c>
      <c r="BG13" s="2933">
        <v>75687</v>
      </c>
      <c r="BH13" s="2933">
        <f>'[1]formato población'!R9</f>
        <v>581552</v>
      </c>
      <c r="BI13" s="2933">
        <v>581552</v>
      </c>
      <c r="BJ13" s="2951">
        <v>4</v>
      </c>
      <c r="BK13" s="2944">
        <f>SUM(Y13:Y15)</f>
        <v>22616827</v>
      </c>
      <c r="BL13" s="2944">
        <f>SUM(Z13:Z15)</f>
        <v>22616827</v>
      </c>
      <c r="BM13" s="2742">
        <f>+BL13/BK13</f>
        <v>1</v>
      </c>
      <c r="BN13" s="2746">
        <v>20</v>
      </c>
      <c r="BO13" s="2947" t="s">
        <v>423</v>
      </c>
      <c r="BP13" s="2948" t="s">
        <v>424</v>
      </c>
      <c r="BQ13" s="2941">
        <v>44197</v>
      </c>
      <c r="BR13" s="2942">
        <v>44235</v>
      </c>
      <c r="BS13" s="2941">
        <v>44561</v>
      </c>
      <c r="BT13" s="2942">
        <v>44551</v>
      </c>
      <c r="BU13" s="2936" t="s">
        <v>425</v>
      </c>
    </row>
    <row r="14" spans="1:93" s="4" customFormat="1" ht="95.25" customHeight="1" x14ac:dyDescent="0.25">
      <c r="A14" s="2903"/>
      <c r="B14" s="2904"/>
      <c r="C14" s="2909"/>
      <c r="D14" s="2910"/>
      <c r="E14" s="2917"/>
      <c r="F14" s="2918"/>
      <c r="G14" s="2921"/>
      <c r="H14" s="2922"/>
      <c r="I14" s="2921"/>
      <c r="J14" s="2922"/>
      <c r="K14" s="2932"/>
      <c r="L14" s="2922"/>
      <c r="M14" s="2932"/>
      <c r="N14" s="2922"/>
      <c r="O14" s="2783"/>
      <c r="P14" s="2928"/>
      <c r="Q14" s="2783"/>
      <c r="R14" s="2930"/>
      <c r="S14" s="2505"/>
      <c r="T14" s="2931"/>
      <c r="U14" s="2930"/>
      <c r="V14" s="2936"/>
      <c r="W14" s="480" t="s">
        <v>426</v>
      </c>
      <c r="X14" s="481">
        <v>3000000</v>
      </c>
      <c r="Y14" s="51">
        <v>2932000</v>
      </c>
      <c r="Z14" s="51">
        <v>2932000</v>
      </c>
      <c r="AA14" s="479" t="s">
        <v>421</v>
      </c>
      <c r="AB14" s="2937"/>
      <c r="AC14" s="2939"/>
      <c r="AD14" s="2940"/>
      <c r="AE14" s="2934"/>
      <c r="AF14" s="2934"/>
      <c r="AG14" s="2934"/>
      <c r="AH14" s="2934"/>
      <c r="AI14" s="2934"/>
      <c r="AJ14" s="2934"/>
      <c r="AK14" s="2934"/>
      <c r="AL14" s="2934"/>
      <c r="AM14" s="2934"/>
      <c r="AN14" s="2934"/>
      <c r="AO14" s="2934"/>
      <c r="AP14" s="2934"/>
      <c r="AQ14" s="2934"/>
      <c r="AR14" s="2934"/>
      <c r="AS14" s="2934"/>
      <c r="AT14" s="2934"/>
      <c r="AU14" s="2934"/>
      <c r="AV14" s="2934"/>
      <c r="AW14" s="2934"/>
      <c r="AX14" s="2934"/>
      <c r="AY14" s="2934"/>
      <c r="AZ14" s="2934"/>
      <c r="BA14" s="2934"/>
      <c r="BB14" s="2934"/>
      <c r="BC14" s="2934"/>
      <c r="BD14" s="2934"/>
      <c r="BE14" s="2934"/>
      <c r="BF14" s="2934"/>
      <c r="BG14" s="2934"/>
      <c r="BH14" s="2934"/>
      <c r="BI14" s="2934"/>
      <c r="BJ14" s="2952"/>
      <c r="BK14" s="2945"/>
      <c r="BL14" s="2945"/>
      <c r="BM14" s="2743"/>
      <c r="BN14" s="2746"/>
      <c r="BO14" s="2947"/>
      <c r="BP14" s="2949"/>
      <c r="BQ14" s="2941"/>
      <c r="BR14" s="2942"/>
      <c r="BS14" s="2941"/>
      <c r="BT14" s="2942"/>
      <c r="BU14" s="2936"/>
    </row>
    <row r="15" spans="1:93" s="4" customFormat="1" ht="59.25" customHeight="1" x14ac:dyDescent="0.25">
      <c r="A15" s="2903"/>
      <c r="B15" s="2904"/>
      <c r="C15" s="2911"/>
      <c r="D15" s="2912"/>
      <c r="E15" s="2919"/>
      <c r="F15" s="2920"/>
      <c r="G15" s="2921"/>
      <c r="H15" s="2922"/>
      <c r="I15" s="2921"/>
      <c r="J15" s="2922"/>
      <c r="K15" s="2932"/>
      <c r="L15" s="2922"/>
      <c r="M15" s="2932"/>
      <c r="N15" s="2922"/>
      <c r="O15" s="2783"/>
      <c r="P15" s="2929"/>
      <c r="Q15" s="2783"/>
      <c r="R15" s="2930"/>
      <c r="S15" s="2505"/>
      <c r="T15" s="2931"/>
      <c r="U15" s="2930"/>
      <c r="V15" s="2936"/>
      <c r="W15" s="480" t="s">
        <v>427</v>
      </c>
      <c r="X15" s="481">
        <v>1000000</v>
      </c>
      <c r="Y15" s="51">
        <v>1000000</v>
      </c>
      <c r="Z15" s="51">
        <v>1000000</v>
      </c>
      <c r="AA15" s="479" t="s">
        <v>428</v>
      </c>
      <c r="AB15" s="352">
        <v>88</v>
      </c>
      <c r="AC15" s="415" t="s">
        <v>5</v>
      </c>
      <c r="AD15" s="2940"/>
      <c r="AE15" s="2935"/>
      <c r="AF15" s="2935"/>
      <c r="AG15" s="2935"/>
      <c r="AH15" s="2935"/>
      <c r="AI15" s="2935"/>
      <c r="AJ15" s="2935"/>
      <c r="AK15" s="2935"/>
      <c r="AL15" s="2935"/>
      <c r="AM15" s="2935"/>
      <c r="AN15" s="2935"/>
      <c r="AO15" s="2935"/>
      <c r="AP15" s="2935"/>
      <c r="AQ15" s="2935"/>
      <c r="AR15" s="2935"/>
      <c r="AS15" s="2935"/>
      <c r="AT15" s="2935"/>
      <c r="AU15" s="2935"/>
      <c r="AV15" s="2935"/>
      <c r="AW15" s="2935"/>
      <c r="AX15" s="2935"/>
      <c r="AY15" s="2935"/>
      <c r="AZ15" s="2935"/>
      <c r="BA15" s="2935"/>
      <c r="BB15" s="2935"/>
      <c r="BC15" s="2935"/>
      <c r="BD15" s="2935"/>
      <c r="BE15" s="2935"/>
      <c r="BF15" s="2935"/>
      <c r="BG15" s="2935"/>
      <c r="BH15" s="2935"/>
      <c r="BI15" s="2935"/>
      <c r="BJ15" s="2953"/>
      <c r="BK15" s="2946"/>
      <c r="BL15" s="2946"/>
      <c r="BM15" s="2744"/>
      <c r="BN15" s="482">
        <v>88</v>
      </c>
      <c r="BO15" s="457" t="str">
        <f>AC15</f>
        <v>Superávit Recurso Ordinario</v>
      </c>
      <c r="BP15" s="2950"/>
      <c r="BQ15" s="2941"/>
      <c r="BR15" s="2942"/>
      <c r="BS15" s="2941"/>
      <c r="BT15" s="2942"/>
      <c r="BU15" s="2936"/>
    </row>
    <row r="16" spans="1:93" s="4" customFormat="1" ht="27.75" customHeight="1" x14ac:dyDescent="0.25">
      <c r="A16" s="2903"/>
      <c r="B16" s="2904"/>
      <c r="C16" s="483">
        <v>19</v>
      </c>
      <c r="D16" s="2943" t="s">
        <v>429</v>
      </c>
      <c r="E16" s="2943"/>
      <c r="F16" s="2943"/>
      <c r="G16" s="2943"/>
      <c r="H16" s="2943"/>
      <c r="I16" s="2943"/>
      <c r="J16" s="2943"/>
      <c r="K16" s="2943"/>
      <c r="L16" s="2943"/>
      <c r="M16" s="484"/>
      <c r="N16" s="485"/>
      <c r="O16" s="486"/>
      <c r="P16" s="487"/>
      <c r="Q16" s="486"/>
      <c r="R16" s="488"/>
      <c r="S16" s="489"/>
      <c r="T16" s="490"/>
      <c r="U16" s="488"/>
      <c r="V16" s="491"/>
      <c r="W16" s="492"/>
      <c r="X16" s="493"/>
      <c r="Y16" s="493"/>
      <c r="Z16" s="493"/>
      <c r="AA16" s="494"/>
      <c r="AB16" s="495"/>
      <c r="AC16" s="488"/>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496"/>
      <c r="BB16" s="496"/>
      <c r="BC16" s="496"/>
      <c r="BD16" s="496"/>
      <c r="BE16" s="496"/>
      <c r="BF16" s="496"/>
      <c r="BG16" s="496"/>
      <c r="BH16" s="496"/>
      <c r="BI16" s="496"/>
      <c r="BJ16" s="496"/>
      <c r="BK16" s="496"/>
      <c r="BL16" s="496"/>
      <c r="BM16" s="497"/>
      <c r="BN16" s="496"/>
      <c r="BO16" s="498"/>
      <c r="BP16" s="498"/>
      <c r="BQ16" s="499"/>
      <c r="BR16" s="499"/>
      <c r="BS16" s="499"/>
      <c r="BT16" s="499"/>
      <c r="BU16" s="491"/>
    </row>
    <row r="17" spans="1:73" s="4" customFormat="1" ht="15.75" x14ac:dyDescent="0.25">
      <c r="A17" s="2903"/>
      <c r="B17" s="2904"/>
      <c r="C17" s="2907"/>
      <c r="D17" s="2908"/>
      <c r="E17" s="190">
        <v>1906</v>
      </c>
      <c r="F17" s="2955" t="s">
        <v>430</v>
      </c>
      <c r="G17" s="2955"/>
      <c r="H17" s="2955"/>
      <c r="I17" s="2955"/>
      <c r="J17" s="2955"/>
      <c r="K17" s="2955"/>
      <c r="L17" s="2955"/>
      <c r="M17" s="2955"/>
      <c r="N17" s="194"/>
      <c r="O17" s="190"/>
      <c r="P17" s="500"/>
      <c r="Q17" s="190"/>
      <c r="R17" s="194"/>
      <c r="S17" s="192"/>
      <c r="T17" s="193"/>
      <c r="U17" s="194"/>
      <c r="V17" s="194"/>
      <c r="W17" s="194"/>
      <c r="X17" s="501"/>
      <c r="Y17" s="501"/>
      <c r="Z17" s="501"/>
      <c r="AA17" s="90"/>
      <c r="AB17" s="195"/>
      <c r="AC17" s="194"/>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502"/>
      <c r="BN17" s="190"/>
      <c r="BO17" s="194"/>
      <c r="BP17" s="194"/>
      <c r="BQ17" s="190"/>
      <c r="BR17" s="190"/>
      <c r="BS17" s="190"/>
      <c r="BT17" s="190"/>
      <c r="BU17" s="194"/>
    </row>
    <row r="18" spans="1:73" ht="75" x14ac:dyDescent="0.25">
      <c r="A18" s="2903"/>
      <c r="B18" s="2904"/>
      <c r="C18" s="2909"/>
      <c r="D18" s="2910"/>
      <c r="E18" s="2956"/>
      <c r="F18" s="2957"/>
      <c r="G18" s="2921" t="s">
        <v>20</v>
      </c>
      <c r="H18" s="2922" t="s">
        <v>431</v>
      </c>
      <c r="I18" s="2921">
        <v>1906015</v>
      </c>
      <c r="J18" s="2962" t="s">
        <v>432</v>
      </c>
      <c r="K18" s="2921" t="s">
        <v>20</v>
      </c>
      <c r="L18" s="2954" t="s">
        <v>433</v>
      </c>
      <c r="M18" s="2963">
        <v>190601500</v>
      </c>
      <c r="N18" s="2954" t="s">
        <v>432</v>
      </c>
      <c r="O18" s="2783">
        <v>1</v>
      </c>
      <c r="P18" s="2927">
        <v>0.8</v>
      </c>
      <c r="Q18" s="2783" t="s">
        <v>434</v>
      </c>
      <c r="R18" s="2930" t="s">
        <v>435</v>
      </c>
      <c r="S18" s="2785">
        <f>SUM(X18:X21)/T18</f>
        <v>1</v>
      </c>
      <c r="T18" s="2964">
        <f>SUM(X18:X21)</f>
        <v>459746979</v>
      </c>
      <c r="U18" s="2930" t="s">
        <v>436</v>
      </c>
      <c r="V18" s="2930" t="s">
        <v>437</v>
      </c>
      <c r="W18" s="480" t="s">
        <v>438</v>
      </c>
      <c r="X18" s="51">
        <v>2000000</v>
      </c>
      <c r="Y18" s="51">
        <v>400000</v>
      </c>
      <c r="Z18" s="51">
        <v>400000</v>
      </c>
      <c r="AA18" s="479" t="s">
        <v>439</v>
      </c>
      <c r="AB18" s="2965" t="s">
        <v>440</v>
      </c>
      <c r="AC18" s="2930" t="s">
        <v>441</v>
      </c>
      <c r="AD18" s="2546">
        <v>295972</v>
      </c>
      <c r="AE18" s="2546">
        <v>295972</v>
      </c>
      <c r="AF18" s="2546">
        <v>285580</v>
      </c>
      <c r="AG18" s="2546">
        <v>285580</v>
      </c>
      <c r="AH18" s="2546">
        <v>135545</v>
      </c>
      <c r="AI18" s="2546">
        <v>13545</v>
      </c>
      <c r="AJ18" s="2546">
        <v>44254</v>
      </c>
      <c r="AK18" s="2546">
        <v>44354</v>
      </c>
      <c r="AL18" s="2546">
        <v>309146</v>
      </c>
      <c r="AM18" s="2546">
        <v>309146</v>
      </c>
      <c r="AN18" s="2546">
        <v>92607</v>
      </c>
      <c r="AO18" s="2546">
        <v>96207</v>
      </c>
      <c r="AP18" s="2546">
        <v>2145</v>
      </c>
      <c r="AQ18" s="2546">
        <v>2145</v>
      </c>
      <c r="AR18" s="2546">
        <v>12718</v>
      </c>
      <c r="AS18" s="2546">
        <v>12718</v>
      </c>
      <c r="AT18" s="2546">
        <v>26</v>
      </c>
      <c r="AU18" s="2546">
        <v>26</v>
      </c>
      <c r="AV18" s="2546">
        <v>37</v>
      </c>
      <c r="AW18" s="2546">
        <v>37</v>
      </c>
      <c r="AX18" s="2546">
        <v>0</v>
      </c>
      <c r="AY18" s="2546">
        <v>0</v>
      </c>
      <c r="AZ18" s="2546">
        <v>0</v>
      </c>
      <c r="BA18" s="2546">
        <v>0</v>
      </c>
      <c r="BB18" s="2546">
        <v>44350</v>
      </c>
      <c r="BC18" s="2546">
        <v>44350</v>
      </c>
      <c r="BD18" s="2546">
        <v>21944</v>
      </c>
      <c r="BE18" s="2546">
        <v>21944</v>
      </c>
      <c r="BF18" s="2546">
        <v>75687</v>
      </c>
      <c r="BG18" s="2546">
        <v>75687</v>
      </c>
      <c r="BH18" s="2546">
        <v>581552</v>
      </c>
      <c r="BI18" s="2546">
        <v>581552</v>
      </c>
      <c r="BJ18" s="2783">
        <v>6</v>
      </c>
      <c r="BK18" s="2973">
        <f>SUM(Y18:Y21)</f>
        <v>6880000</v>
      </c>
      <c r="BL18" s="2973">
        <f>SUM(Z18:Z21)</f>
        <v>6880000</v>
      </c>
      <c r="BM18" s="2974">
        <f>+BL18/BK18</f>
        <v>1</v>
      </c>
      <c r="BN18" s="2546" t="s">
        <v>440</v>
      </c>
      <c r="BO18" s="2543" t="s">
        <v>441</v>
      </c>
      <c r="BP18" s="2948" t="s">
        <v>424</v>
      </c>
      <c r="BQ18" s="2941">
        <v>44197</v>
      </c>
      <c r="BR18" s="2942">
        <v>44235</v>
      </c>
      <c r="BS18" s="2941">
        <v>44561</v>
      </c>
      <c r="BT18" s="2942">
        <v>44467</v>
      </c>
      <c r="BU18" s="2936" t="s">
        <v>425</v>
      </c>
    </row>
    <row r="19" spans="1:73" ht="51.75" customHeight="1" x14ac:dyDescent="0.25">
      <c r="A19" s="2903"/>
      <c r="B19" s="2904"/>
      <c r="C19" s="2909"/>
      <c r="D19" s="2910"/>
      <c r="E19" s="2958"/>
      <c r="F19" s="2959"/>
      <c r="G19" s="2921"/>
      <c r="H19" s="2922"/>
      <c r="I19" s="2921"/>
      <c r="J19" s="2962"/>
      <c r="K19" s="2921"/>
      <c r="L19" s="2954"/>
      <c r="M19" s="2963"/>
      <c r="N19" s="2954"/>
      <c r="O19" s="2783"/>
      <c r="P19" s="2928"/>
      <c r="Q19" s="2783"/>
      <c r="R19" s="2930"/>
      <c r="S19" s="2785"/>
      <c r="T19" s="2964"/>
      <c r="U19" s="2930"/>
      <c r="V19" s="2930"/>
      <c r="W19" s="2966" t="s">
        <v>442</v>
      </c>
      <c r="X19" s="51">
        <v>158179133</v>
      </c>
      <c r="Y19" s="51"/>
      <c r="Z19" s="51"/>
      <c r="AA19" s="479" t="s">
        <v>439</v>
      </c>
      <c r="AB19" s="2965"/>
      <c r="AC19" s="2930"/>
      <c r="AD19" s="2546"/>
      <c r="AE19" s="2546"/>
      <c r="AF19" s="2546"/>
      <c r="AG19" s="2546"/>
      <c r="AH19" s="2546"/>
      <c r="AI19" s="2546"/>
      <c r="AJ19" s="2546"/>
      <c r="AK19" s="2546"/>
      <c r="AL19" s="2546"/>
      <c r="AM19" s="2546"/>
      <c r="AN19" s="2546"/>
      <c r="AO19" s="2546"/>
      <c r="AP19" s="2546"/>
      <c r="AQ19" s="2546"/>
      <c r="AR19" s="2546"/>
      <c r="AS19" s="2546"/>
      <c r="AT19" s="2546"/>
      <c r="AU19" s="2546"/>
      <c r="AV19" s="2546"/>
      <c r="AW19" s="2546"/>
      <c r="AX19" s="2546"/>
      <c r="AY19" s="2546"/>
      <c r="AZ19" s="2546"/>
      <c r="BA19" s="2546"/>
      <c r="BB19" s="2546"/>
      <c r="BC19" s="2546"/>
      <c r="BD19" s="2546"/>
      <c r="BE19" s="2546"/>
      <c r="BF19" s="2546"/>
      <c r="BG19" s="2546"/>
      <c r="BH19" s="2546"/>
      <c r="BI19" s="2546"/>
      <c r="BJ19" s="2783"/>
      <c r="BK19" s="2973"/>
      <c r="BL19" s="2973"/>
      <c r="BM19" s="2974"/>
      <c r="BN19" s="2546"/>
      <c r="BO19" s="2543"/>
      <c r="BP19" s="2949"/>
      <c r="BQ19" s="2941"/>
      <c r="BR19" s="2942"/>
      <c r="BS19" s="2941"/>
      <c r="BT19" s="2942"/>
      <c r="BU19" s="2936"/>
    </row>
    <row r="20" spans="1:73" ht="39.75" customHeight="1" x14ac:dyDescent="0.25">
      <c r="A20" s="2903"/>
      <c r="B20" s="2904"/>
      <c r="C20" s="2909"/>
      <c r="D20" s="2910"/>
      <c r="E20" s="2958"/>
      <c r="F20" s="2959"/>
      <c r="G20" s="2921"/>
      <c r="H20" s="2922"/>
      <c r="I20" s="2921"/>
      <c r="J20" s="2962"/>
      <c r="K20" s="2921"/>
      <c r="L20" s="2954"/>
      <c r="M20" s="2963"/>
      <c r="N20" s="2954"/>
      <c r="O20" s="2783"/>
      <c r="P20" s="2928"/>
      <c r="Q20" s="2783"/>
      <c r="R20" s="2930"/>
      <c r="S20" s="2785"/>
      <c r="T20" s="2964"/>
      <c r="U20" s="2930"/>
      <c r="V20" s="2930"/>
      <c r="W20" s="2967"/>
      <c r="X20" s="51">
        <v>292567846</v>
      </c>
      <c r="Y20" s="51"/>
      <c r="Z20" s="51"/>
      <c r="AA20" s="479" t="s">
        <v>443</v>
      </c>
      <c r="AB20" s="2965"/>
      <c r="AC20" s="2930"/>
      <c r="AD20" s="2546"/>
      <c r="AE20" s="2546"/>
      <c r="AF20" s="2546"/>
      <c r="AG20" s="2546"/>
      <c r="AH20" s="2546"/>
      <c r="AI20" s="2546"/>
      <c r="AJ20" s="2546"/>
      <c r="AK20" s="2546"/>
      <c r="AL20" s="2546"/>
      <c r="AM20" s="2546"/>
      <c r="AN20" s="2546"/>
      <c r="AO20" s="2546"/>
      <c r="AP20" s="2546"/>
      <c r="AQ20" s="2546"/>
      <c r="AR20" s="2546"/>
      <c r="AS20" s="2546"/>
      <c r="AT20" s="2546"/>
      <c r="AU20" s="2546"/>
      <c r="AV20" s="2546"/>
      <c r="AW20" s="2546"/>
      <c r="AX20" s="2546"/>
      <c r="AY20" s="2546"/>
      <c r="AZ20" s="2546"/>
      <c r="BA20" s="2546"/>
      <c r="BB20" s="2546"/>
      <c r="BC20" s="2546"/>
      <c r="BD20" s="2546"/>
      <c r="BE20" s="2546"/>
      <c r="BF20" s="2546"/>
      <c r="BG20" s="2546"/>
      <c r="BH20" s="2546"/>
      <c r="BI20" s="2546"/>
      <c r="BJ20" s="2783"/>
      <c r="BK20" s="2973"/>
      <c r="BL20" s="2973"/>
      <c r="BM20" s="2974"/>
      <c r="BN20" s="2546"/>
      <c r="BO20" s="2543"/>
      <c r="BP20" s="2949"/>
      <c r="BQ20" s="2941"/>
      <c r="BR20" s="2942"/>
      <c r="BS20" s="2941"/>
      <c r="BT20" s="2942"/>
      <c r="BU20" s="2936"/>
    </row>
    <row r="21" spans="1:73" ht="79.900000000000006" customHeight="1" x14ac:dyDescent="0.25">
      <c r="A21" s="2903"/>
      <c r="B21" s="2904"/>
      <c r="C21" s="2911"/>
      <c r="D21" s="2912"/>
      <c r="E21" s="2960"/>
      <c r="F21" s="2961"/>
      <c r="G21" s="2921"/>
      <c r="H21" s="2922"/>
      <c r="I21" s="2921"/>
      <c r="J21" s="2962"/>
      <c r="K21" s="2921"/>
      <c r="L21" s="2954"/>
      <c r="M21" s="2963"/>
      <c r="N21" s="2954"/>
      <c r="O21" s="2783"/>
      <c r="P21" s="2929"/>
      <c r="Q21" s="2783"/>
      <c r="R21" s="2930"/>
      <c r="S21" s="2785"/>
      <c r="T21" s="2964"/>
      <c r="U21" s="2930"/>
      <c r="V21" s="2930"/>
      <c r="W21" s="503" t="s">
        <v>426</v>
      </c>
      <c r="X21" s="51">
        <v>7000000</v>
      </c>
      <c r="Y21" s="51">
        <v>6480000</v>
      </c>
      <c r="Z21" s="51">
        <v>6480000</v>
      </c>
      <c r="AA21" s="479" t="s">
        <v>439</v>
      </c>
      <c r="AB21" s="2965"/>
      <c r="AC21" s="2930"/>
      <c r="AD21" s="2546"/>
      <c r="AE21" s="2546"/>
      <c r="AF21" s="2546"/>
      <c r="AG21" s="2546"/>
      <c r="AH21" s="2546"/>
      <c r="AI21" s="2546"/>
      <c r="AJ21" s="2546"/>
      <c r="AK21" s="2546"/>
      <c r="AL21" s="2546"/>
      <c r="AM21" s="2546"/>
      <c r="AN21" s="2546"/>
      <c r="AO21" s="2546"/>
      <c r="AP21" s="2546"/>
      <c r="AQ21" s="2546"/>
      <c r="AR21" s="2546"/>
      <c r="AS21" s="2546"/>
      <c r="AT21" s="2546"/>
      <c r="AU21" s="2546"/>
      <c r="AV21" s="2546"/>
      <c r="AW21" s="2546"/>
      <c r="AX21" s="2546"/>
      <c r="AY21" s="2546"/>
      <c r="AZ21" s="2546"/>
      <c r="BA21" s="2546"/>
      <c r="BB21" s="2546"/>
      <c r="BC21" s="2546"/>
      <c r="BD21" s="2546"/>
      <c r="BE21" s="2546"/>
      <c r="BF21" s="2546"/>
      <c r="BG21" s="2546"/>
      <c r="BH21" s="2546"/>
      <c r="BI21" s="2546"/>
      <c r="BJ21" s="2783"/>
      <c r="BK21" s="2973"/>
      <c r="BL21" s="2973"/>
      <c r="BM21" s="2974"/>
      <c r="BN21" s="2546"/>
      <c r="BO21" s="2543"/>
      <c r="BP21" s="2950"/>
      <c r="BQ21" s="2941"/>
      <c r="BR21" s="2942"/>
      <c r="BS21" s="2941"/>
      <c r="BT21" s="2942"/>
      <c r="BU21" s="2936"/>
    </row>
    <row r="22" spans="1:73" ht="15.75" x14ac:dyDescent="0.25">
      <c r="A22" s="2903"/>
      <c r="B22" s="2904"/>
      <c r="C22" s="483">
        <v>22</v>
      </c>
      <c r="D22" s="2943" t="s">
        <v>444</v>
      </c>
      <c r="E22" s="2943"/>
      <c r="F22" s="2943"/>
      <c r="G22" s="2943"/>
      <c r="H22" s="2943"/>
      <c r="I22" s="2943"/>
      <c r="J22" s="2943"/>
      <c r="K22" s="504"/>
      <c r="L22" s="505"/>
      <c r="M22" s="506"/>
      <c r="N22" s="505"/>
      <c r="O22" s="486"/>
      <c r="P22" s="487"/>
      <c r="Q22" s="486"/>
      <c r="R22" s="488"/>
      <c r="S22" s="497"/>
      <c r="T22" s="507"/>
      <c r="U22" s="488"/>
      <c r="V22" s="488"/>
      <c r="W22" s="492"/>
      <c r="X22" s="493"/>
      <c r="Y22" s="493"/>
      <c r="Z22" s="493"/>
      <c r="AA22" s="494"/>
      <c r="AB22" s="495"/>
      <c r="AC22" s="488"/>
      <c r="AD22" s="486"/>
      <c r="AE22" s="486"/>
      <c r="AF22" s="486"/>
      <c r="AG22" s="486"/>
      <c r="AH22" s="486"/>
      <c r="AI22" s="486"/>
      <c r="AJ22" s="486"/>
      <c r="AK22" s="486"/>
      <c r="AL22" s="486"/>
      <c r="AM22" s="486"/>
      <c r="AN22" s="486"/>
      <c r="AO22" s="486"/>
      <c r="AP22" s="486"/>
      <c r="AQ22" s="486"/>
      <c r="AR22" s="486"/>
      <c r="AS22" s="486"/>
      <c r="AT22" s="486"/>
      <c r="AU22" s="486"/>
      <c r="AV22" s="486"/>
      <c r="AW22" s="486"/>
      <c r="AX22" s="486"/>
      <c r="AY22" s="486"/>
      <c r="AZ22" s="486"/>
      <c r="BA22" s="486"/>
      <c r="BB22" s="486"/>
      <c r="BC22" s="486"/>
      <c r="BD22" s="486"/>
      <c r="BE22" s="486"/>
      <c r="BF22" s="486"/>
      <c r="BG22" s="486"/>
      <c r="BH22" s="486"/>
      <c r="BI22" s="486"/>
      <c r="BJ22" s="486"/>
      <c r="BK22" s="486"/>
      <c r="BL22" s="486"/>
      <c r="BM22" s="489"/>
      <c r="BN22" s="486"/>
      <c r="BO22" s="488"/>
      <c r="BP22" s="488"/>
      <c r="BQ22" s="499"/>
      <c r="BR22" s="499"/>
      <c r="BS22" s="499"/>
      <c r="BT22" s="499"/>
      <c r="BU22" s="508"/>
    </row>
    <row r="23" spans="1:73" s="4" customFormat="1" ht="15.75" x14ac:dyDescent="0.25">
      <c r="A23" s="2903"/>
      <c r="B23" s="2904"/>
      <c r="C23" s="2968"/>
      <c r="D23" s="2969"/>
      <c r="E23" s="190">
        <v>2201</v>
      </c>
      <c r="F23" s="509" t="s">
        <v>445</v>
      </c>
      <c r="G23" s="509"/>
      <c r="H23" s="194"/>
      <c r="I23" s="509"/>
      <c r="J23" s="194"/>
      <c r="K23" s="509"/>
      <c r="L23" s="194"/>
      <c r="M23" s="509"/>
      <c r="N23" s="194"/>
      <c r="O23" s="509"/>
      <c r="P23" s="510"/>
      <c r="Q23" s="190"/>
      <c r="R23" s="194"/>
      <c r="S23" s="192"/>
      <c r="T23" s="193"/>
      <c r="U23" s="194"/>
      <c r="V23" s="194"/>
      <c r="W23" s="194"/>
      <c r="X23" s="501"/>
      <c r="Y23" s="501"/>
      <c r="Z23" s="501"/>
      <c r="AA23" s="90"/>
      <c r="AB23" s="195"/>
      <c r="AC23" s="194"/>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502"/>
      <c r="BN23" s="190"/>
      <c r="BO23" s="194"/>
      <c r="BP23" s="194"/>
      <c r="BQ23" s="190"/>
      <c r="BR23" s="190"/>
      <c r="BS23" s="190"/>
      <c r="BT23" s="190"/>
      <c r="BU23" s="194"/>
    </row>
    <row r="24" spans="1:73" ht="49.5" customHeight="1" x14ac:dyDescent="0.25">
      <c r="A24" s="2903"/>
      <c r="B24" s="2904"/>
      <c r="C24" s="2795"/>
      <c r="D24" s="2498"/>
      <c r="E24" s="2968"/>
      <c r="F24" s="2969"/>
      <c r="G24" s="2971" t="s">
        <v>20</v>
      </c>
      <c r="H24" s="2972" t="s">
        <v>446</v>
      </c>
      <c r="I24" s="2971">
        <v>2201062</v>
      </c>
      <c r="J24" s="2972" t="s">
        <v>447</v>
      </c>
      <c r="K24" s="2971" t="s">
        <v>20</v>
      </c>
      <c r="L24" s="2680" t="s">
        <v>448</v>
      </c>
      <c r="M24" s="2971">
        <v>220106200</v>
      </c>
      <c r="N24" s="2680" t="s">
        <v>449</v>
      </c>
      <c r="O24" s="2783">
        <v>15</v>
      </c>
      <c r="P24" s="2977">
        <v>5</v>
      </c>
      <c r="Q24" s="2783" t="s">
        <v>450</v>
      </c>
      <c r="R24" s="2930" t="s">
        <v>451</v>
      </c>
      <c r="S24" s="2785">
        <f>SUM(X24:X40)/T24</f>
        <v>1</v>
      </c>
      <c r="T24" s="2973">
        <f>SUM(X24:X40)</f>
        <v>1765974462.4000001</v>
      </c>
      <c r="U24" s="2930" t="s">
        <v>452</v>
      </c>
      <c r="V24" s="2930" t="s">
        <v>453</v>
      </c>
      <c r="W24" s="2975" t="s">
        <v>454</v>
      </c>
      <c r="X24" s="51">
        <v>23532000</v>
      </c>
      <c r="Y24" s="51">
        <v>23532000</v>
      </c>
      <c r="Z24" s="51">
        <v>23532000</v>
      </c>
      <c r="AA24" s="479" t="s">
        <v>455</v>
      </c>
      <c r="AB24" s="2980" t="s">
        <v>456</v>
      </c>
      <c r="AC24" s="2543" t="s">
        <v>457</v>
      </c>
      <c r="AD24" s="2546">
        <v>295972</v>
      </c>
      <c r="AE24" s="2546">
        <v>295972</v>
      </c>
      <c r="AF24" s="2546">
        <v>285580</v>
      </c>
      <c r="AG24" s="2546">
        <v>285580</v>
      </c>
      <c r="AH24" s="2546">
        <v>135545</v>
      </c>
      <c r="AI24" s="2546">
        <v>135545</v>
      </c>
      <c r="AJ24" s="2546">
        <v>44254</v>
      </c>
      <c r="AK24" s="2546">
        <v>44254</v>
      </c>
      <c r="AL24" s="2546">
        <v>309146</v>
      </c>
      <c r="AM24" s="2546">
        <v>309146</v>
      </c>
      <c r="AN24" s="2546">
        <v>92607</v>
      </c>
      <c r="AO24" s="2546">
        <v>92607</v>
      </c>
      <c r="AP24" s="2546">
        <v>2145</v>
      </c>
      <c r="AQ24" s="2546">
        <v>2145</v>
      </c>
      <c r="AR24" s="2546">
        <v>12718</v>
      </c>
      <c r="AS24" s="2546">
        <v>12718</v>
      </c>
      <c r="AT24" s="2546">
        <v>26</v>
      </c>
      <c r="AU24" s="2546">
        <v>26</v>
      </c>
      <c r="AV24" s="2546">
        <v>37</v>
      </c>
      <c r="AW24" s="2546">
        <v>37</v>
      </c>
      <c r="AX24" s="2546">
        <v>0</v>
      </c>
      <c r="AY24" s="2546">
        <v>0</v>
      </c>
      <c r="AZ24" s="2546">
        <v>0</v>
      </c>
      <c r="BA24" s="2546">
        <v>0</v>
      </c>
      <c r="BB24" s="2546">
        <v>44350</v>
      </c>
      <c r="BC24" s="2546">
        <v>44350</v>
      </c>
      <c r="BD24" s="2546">
        <v>21944</v>
      </c>
      <c r="BE24" s="2546">
        <v>21944</v>
      </c>
      <c r="BF24" s="2546">
        <v>75687</v>
      </c>
      <c r="BG24" s="2546">
        <v>75687</v>
      </c>
      <c r="BH24" s="2546">
        <v>581552</v>
      </c>
      <c r="BI24" s="2546">
        <v>581552</v>
      </c>
      <c r="BJ24" s="2783">
        <v>56</v>
      </c>
      <c r="BK24" s="2973">
        <f>SUM(Y24:Y40)</f>
        <v>298522254</v>
      </c>
      <c r="BL24" s="2973">
        <f>SUM(Z24:Z40)</f>
        <v>298522254</v>
      </c>
      <c r="BM24" s="2505">
        <f>+BL24/BK24</f>
        <v>1</v>
      </c>
      <c r="BN24" s="2980" t="s">
        <v>456</v>
      </c>
      <c r="BO24" s="2930" t="s">
        <v>458</v>
      </c>
      <c r="BP24" s="2930" t="s">
        <v>424</v>
      </c>
      <c r="BQ24" s="2942">
        <v>44197</v>
      </c>
      <c r="BR24" s="2942">
        <v>44228</v>
      </c>
      <c r="BS24" s="2941">
        <v>44561</v>
      </c>
      <c r="BT24" s="2942">
        <v>44551</v>
      </c>
      <c r="BU24" s="2981" t="s">
        <v>425</v>
      </c>
    </row>
    <row r="25" spans="1:73" ht="74.25" customHeight="1" x14ac:dyDescent="0.25">
      <c r="A25" s="2903"/>
      <c r="B25" s="2904"/>
      <c r="C25" s="2795"/>
      <c r="D25" s="2498"/>
      <c r="E25" s="2795"/>
      <c r="F25" s="2498"/>
      <c r="G25" s="2971"/>
      <c r="H25" s="2972"/>
      <c r="I25" s="2971"/>
      <c r="J25" s="2972"/>
      <c r="K25" s="2971"/>
      <c r="L25" s="2680"/>
      <c r="M25" s="2971"/>
      <c r="N25" s="2680"/>
      <c r="O25" s="2783"/>
      <c r="P25" s="2978"/>
      <c r="Q25" s="2783"/>
      <c r="R25" s="2930"/>
      <c r="S25" s="2785"/>
      <c r="T25" s="2973"/>
      <c r="U25" s="2930"/>
      <c r="V25" s="2930"/>
      <c r="W25" s="2976"/>
      <c r="X25" s="51">
        <v>21160000</v>
      </c>
      <c r="Y25" s="51">
        <v>21160000</v>
      </c>
      <c r="Z25" s="51">
        <v>21160000</v>
      </c>
      <c r="AA25" s="479" t="s">
        <v>459</v>
      </c>
      <c r="AB25" s="2980"/>
      <c r="AC25" s="2543"/>
      <c r="AD25" s="2546"/>
      <c r="AE25" s="2546"/>
      <c r="AF25" s="2546"/>
      <c r="AG25" s="2546"/>
      <c r="AH25" s="2546"/>
      <c r="AI25" s="2546"/>
      <c r="AJ25" s="2546"/>
      <c r="AK25" s="2546"/>
      <c r="AL25" s="2546"/>
      <c r="AM25" s="2546"/>
      <c r="AN25" s="2546"/>
      <c r="AO25" s="2546"/>
      <c r="AP25" s="2546"/>
      <c r="AQ25" s="2546"/>
      <c r="AR25" s="2546"/>
      <c r="AS25" s="2546"/>
      <c r="AT25" s="2546"/>
      <c r="AU25" s="2546"/>
      <c r="AV25" s="2546"/>
      <c r="AW25" s="2546"/>
      <c r="AX25" s="2546"/>
      <c r="AY25" s="2546"/>
      <c r="AZ25" s="2546"/>
      <c r="BA25" s="2546"/>
      <c r="BB25" s="2546"/>
      <c r="BC25" s="2546"/>
      <c r="BD25" s="2546"/>
      <c r="BE25" s="2546"/>
      <c r="BF25" s="2546"/>
      <c r="BG25" s="2546"/>
      <c r="BH25" s="2546"/>
      <c r="BI25" s="2546"/>
      <c r="BJ25" s="2783"/>
      <c r="BK25" s="2973"/>
      <c r="BL25" s="2973"/>
      <c r="BM25" s="2505"/>
      <c r="BN25" s="2980"/>
      <c r="BO25" s="2930"/>
      <c r="BP25" s="2930"/>
      <c r="BQ25" s="2942"/>
      <c r="BR25" s="2942"/>
      <c r="BS25" s="2941"/>
      <c r="BT25" s="2942"/>
      <c r="BU25" s="2982"/>
    </row>
    <row r="26" spans="1:73" ht="42.75" customHeight="1" x14ac:dyDescent="0.25">
      <c r="A26" s="2903"/>
      <c r="B26" s="2904"/>
      <c r="C26" s="2795"/>
      <c r="D26" s="2498"/>
      <c r="E26" s="2795"/>
      <c r="F26" s="2498"/>
      <c r="G26" s="2971"/>
      <c r="H26" s="2972"/>
      <c r="I26" s="2971"/>
      <c r="J26" s="2972"/>
      <c r="K26" s="2971"/>
      <c r="L26" s="2680"/>
      <c r="M26" s="2971"/>
      <c r="N26" s="2680"/>
      <c r="O26" s="2783"/>
      <c r="P26" s="2978"/>
      <c r="Q26" s="2783"/>
      <c r="R26" s="2930"/>
      <c r="S26" s="2785"/>
      <c r="T26" s="2973"/>
      <c r="U26" s="2930"/>
      <c r="V26" s="2930"/>
      <c r="W26" s="2549" t="s">
        <v>460</v>
      </c>
      <c r="X26" s="51">
        <v>11600000</v>
      </c>
      <c r="Y26" s="51">
        <v>11600000</v>
      </c>
      <c r="Z26" s="51">
        <v>11600000</v>
      </c>
      <c r="AA26" s="479" t="s">
        <v>455</v>
      </c>
      <c r="AB26" s="2980"/>
      <c r="AC26" s="2543"/>
      <c r="AD26" s="2546"/>
      <c r="AE26" s="2546"/>
      <c r="AF26" s="2546"/>
      <c r="AG26" s="2546"/>
      <c r="AH26" s="2546"/>
      <c r="AI26" s="2546"/>
      <c r="AJ26" s="2546"/>
      <c r="AK26" s="2546"/>
      <c r="AL26" s="2546"/>
      <c r="AM26" s="2546"/>
      <c r="AN26" s="2546"/>
      <c r="AO26" s="2546"/>
      <c r="AP26" s="2546"/>
      <c r="AQ26" s="2546"/>
      <c r="AR26" s="2546"/>
      <c r="AS26" s="2546"/>
      <c r="AT26" s="2546"/>
      <c r="AU26" s="2546"/>
      <c r="AV26" s="2546"/>
      <c r="AW26" s="2546"/>
      <c r="AX26" s="2546"/>
      <c r="AY26" s="2546"/>
      <c r="AZ26" s="2546"/>
      <c r="BA26" s="2546"/>
      <c r="BB26" s="2546"/>
      <c r="BC26" s="2546"/>
      <c r="BD26" s="2546"/>
      <c r="BE26" s="2546"/>
      <c r="BF26" s="2546"/>
      <c r="BG26" s="2546"/>
      <c r="BH26" s="2546"/>
      <c r="BI26" s="2546"/>
      <c r="BJ26" s="2783"/>
      <c r="BK26" s="2973"/>
      <c r="BL26" s="2973"/>
      <c r="BM26" s="2505"/>
      <c r="BN26" s="2980"/>
      <c r="BO26" s="2930"/>
      <c r="BP26" s="2930"/>
      <c r="BQ26" s="2942"/>
      <c r="BR26" s="2942"/>
      <c r="BS26" s="2941"/>
      <c r="BT26" s="2942"/>
      <c r="BU26" s="2982"/>
    </row>
    <row r="27" spans="1:73" ht="60" customHeight="1" x14ac:dyDescent="0.25">
      <c r="A27" s="2903"/>
      <c r="B27" s="2904"/>
      <c r="C27" s="2795"/>
      <c r="D27" s="2498"/>
      <c r="E27" s="2795"/>
      <c r="F27" s="2498"/>
      <c r="G27" s="2971"/>
      <c r="H27" s="2972"/>
      <c r="I27" s="2971"/>
      <c r="J27" s="2972"/>
      <c r="K27" s="2971"/>
      <c r="L27" s="2680"/>
      <c r="M27" s="2971"/>
      <c r="N27" s="2680"/>
      <c r="O27" s="2783"/>
      <c r="P27" s="2978"/>
      <c r="Q27" s="2783"/>
      <c r="R27" s="2930"/>
      <c r="S27" s="2785"/>
      <c r="T27" s="2973"/>
      <c r="U27" s="2930"/>
      <c r="V27" s="2930"/>
      <c r="W27" s="2678"/>
      <c r="X27" s="51">
        <v>15400000</v>
      </c>
      <c r="Y27" s="51">
        <v>15400000</v>
      </c>
      <c r="Z27" s="51">
        <v>15400000</v>
      </c>
      <c r="AA27" s="479" t="s">
        <v>459</v>
      </c>
      <c r="AB27" s="2980"/>
      <c r="AC27" s="2543"/>
      <c r="AD27" s="2546"/>
      <c r="AE27" s="2546"/>
      <c r="AF27" s="2546"/>
      <c r="AG27" s="2546"/>
      <c r="AH27" s="2546"/>
      <c r="AI27" s="2546"/>
      <c r="AJ27" s="2546"/>
      <c r="AK27" s="2546"/>
      <c r="AL27" s="2546"/>
      <c r="AM27" s="2546"/>
      <c r="AN27" s="2546"/>
      <c r="AO27" s="2546"/>
      <c r="AP27" s="2546"/>
      <c r="AQ27" s="2546"/>
      <c r="AR27" s="2546"/>
      <c r="AS27" s="2546"/>
      <c r="AT27" s="2546"/>
      <c r="AU27" s="2546"/>
      <c r="AV27" s="2546"/>
      <c r="AW27" s="2546"/>
      <c r="AX27" s="2546"/>
      <c r="AY27" s="2546"/>
      <c r="AZ27" s="2546"/>
      <c r="BA27" s="2546"/>
      <c r="BB27" s="2546"/>
      <c r="BC27" s="2546"/>
      <c r="BD27" s="2546"/>
      <c r="BE27" s="2546"/>
      <c r="BF27" s="2546"/>
      <c r="BG27" s="2546"/>
      <c r="BH27" s="2546"/>
      <c r="BI27" s="2546"/>
      <c r="BJ27" s="2783"/>
      <c r="BK27" s="2973"/>
      <c r="BL27" s="2973"/>
      <c r="BM27" s="2505"/>
      <c r="BN27" s="2980"/>
      <c r="BO27" s="2930"/>
      <c r="BP27" s="2930"/>
      <c r="BQ27" s="2942"/>
      <c r="BR27" s="2942"/>
      <c r="BS27" s="2941"/>
      <c r="BT27" s="2942"/>
      <c r="BU27" s="2982"/>
    </row>
    <row r="28" spans="1:73" ht="120" customHeight="1" x14ac:dyDescent="0.25">
      <c r="A28" s="2903"/>
      <c r="B28" s="2904"/>
      <c r="C28" s="2795"/>
      <c r="D28" s="2498"/>
      <c r="E28" s="2795"/>
      <c r="F28" s="2498"/>
      <c r="G28" s="2971"/>
      <c r="H28" s="2972"/>
      <c r="I28" s="2971"/>
      <c r="J28" s="2972"/>
      <c r="K28" s="2971"/>
      <c r="L28" s="2680"/>
      <c r="M28" s="2971"/>
      <c r="N28" s="2680"/>
      <c r="O28" s="2783"/>
      <c r="P28" s="2978"/>
      <c r="Q28" s="2783"/>
      <c r="R28" s="2930"/>
      <c r="S28" s="2785"/>
      <c r="T28" s="2973"/>
      <c r="U28" s="2930"/>
      <c r="V28" s="2930"/>
      <c r="W28" s="2549" t="s">
        <v>461</v>
      </c>
      <c r="X28" s="51">
        <v>26350000</v>
      </c>
      <c r="Y28" s="51">
        <v>26350000</v>
      </c>
      <c r="Z28" s="51">
        <v>26350000</v>
      </c>
      <c r="AA28" s="479" t="s">
        <v>455</v>
      </c>
      <c r="AB28" s="2980"/>
      <c r="AC28" s="2543"/>
      <c r="AD28" s="2546"/>
      <c r="AE28" s="2546"/>
      <c r="AF28" s="2546"/>
      <c r="AG28" s="2546"/>
      <c r="AH28" s="2546"/>
      <c r="AI28" s="2546"/>
      <c r="AJ28" s="2546"/>
      <c r="AK28" s="2546"/>
      <c r="AL28" s="2546"/>
      <c r="AM28" s="2546"/>
      <c r="AN28" s="2546"/>
      <c r="AO28" s="2546"/>
      <c r="AP28" s="2546"/>
      <c r="AQ28" s="2546"/>
      <c r="AR28" s="2546"/>
      <c r="AS28" s="2546"/>
      <c r="AT28" s="2546"/>
      <c r="AU28" s="2546"/>
      <c r="AV28" s="2546"/>
      <c r="AW28" s="2546"/>
      <c r="AX28" s="2546"/>
      <c r="AY28" s="2546"/>
      <c r="AZ28" s="2546"/>
      <c r="BA28" s="2546"/>
      <c r="BB28" s="2546"/>
      <c r="BC28" s="2546"/>
      <c r="BD28" s="2546"/>
      <c r="BE28" s="2546"/>
      <c r="BF28" s="2546"/>
      <c r="BG28" s="2546"/>
      <c r="BH28" s="2546"/>
      <c r="BI28" s="2546"/>
      <c r="BJ28" s="2783"/>
      <c r="BK28" s="2973"/>
      <c r="BL28" s="2973"/>
      <c r="BM28" s="2505"/>
      <c r="BN28" s="2980"/>
      <c r="BO28" s="2930"/>
      <c r="BP28" s="2930"/>
      <c r="BQ28" s="2942"/>
      <c r="BR28" s="2942"/>
      <c r="BS28" s="2941"/>
      <c r="BT28" s="2942"/>
      <c r="BU28" s="2982"/>
    </row>
    <row r="29" spans="1:73" ht="62.25" customHeight="1" x14ac:dyDescent="0.25">
      <c r="A29" s="2903"/>
      <c r="B29" s="2904"/>
      <c r="C29" s="2795"/>
      <c r="D29" s="2498"/>
      <c r="E29" s="2795"/>
      <c r="F29" s="2498"/>
      <c r="G29" s="2971"/>
      <c r="H29" s="2972"/>
      <c r="I29" s="2971"/>
      <c r="J29" s="2972"/>
      <c r="K29" s="2971"/>
      <c r="L29" s="2680"/>
      <c r="M29" s="2971"/>
      <c r="N29" s="2680"/>
      <c r="O29" s="2783"/>
      <c r="P29" s="2978"/>
      <c r="Q29" s="2783"/>
      <c r="R29" s="2930"/>
      <c r="S29" s="2785"/>
      <c r="T29" s="2973"/>
      <c r="U29" s="2930"/>
      <c r="V29" s="2930"/>
      <c r="W29" s="2678"/>
      <c r="X29" s="51">
        <v>20268391.170000002</v>
      </c>
      <c r="Y29" s="51">
        <v>20250000</v>
      </c>
      <c r="Z29" s="51">
        <v>20250000</v>
      </c>
      <c r="AA29" s="479" t="s">
        <v>459</v>
      </c>
      <c r="AB29" s="2980"/>
      <c r="AC29" s="2543"/>
      <c r="AD29" s="2546"/>
      <c r="AE29" s="2546"/>
      <c r="AF29" s="2546"/>
      <c r="AG29" s="2546"/>
      <c r="AH29" s="2546"/>
      <c r="AI29" s="2546"/>
      <c r="AJ29" s="2546"/>
      <c r="AK29" s="2546"/>
      <c r="AL29" s="2546"/>
      <c r="AM29" s="2546"/>
      <c r="AN29" s="2546"/>
      <c r="AO29" s="2546"/>
      <c r="AP29" s="2546"/>
      <c r="AQ29" s="2546"/>
      <c r="AR29" s="2546"/>
      <c r="AS29" s="2546"/>
      <c r="AT29" s="2546"/>
      <c r="AU29" s="2546"/>
      <c r="AV29" s="2546"/>
      <c r="AW29" s="2546"/>
      <c r="AX29" s="2546"/>
      <c r="AY29" s="2546"/>
      <c r="AZ29" s="2546"/>
      <c r="BA29" s="2546"/>
      <c r="BB29" s="2546"/>
      <c r="BC29" s="2546"/>
      <c r="BD29" s="2546"/>
      <c r="BE29" s="2546"/>
      <c r="BF29" s="2546"/>
      <c r="BG29" s="2546"/>
      <c r="BH29" s="2546"/>
      <c r="BI29" s="2546"/>
      <c r="BJ29" s="2783"/>
      <c r="BK29" s="2973"/>
      <c r="BL29" s="2973"/>
      <c r="BM29" s="2505"/>
      <c r="BN29" s="2980"/>
      <c r="BO29" s="2930"/>
      <c r="BP29" s="2930"/>
      <c r="BQ29" s="2942"/>
      <c r="BR29" s="2942"/>
      <c r="BS29" s="2941"/>
      <c r="BT29" s="2942"/>
      <c r="BU29" s="2982"/>
    </row>
    <row r="30" spans="1:73" ht="60" x14ac:dyDescent="0.25">
      <c r="A30" s="2903"/>
      <c r="B30" s="2904"/>
      <c r="C30" s="2795"/>
      <c r="D30" s="2498"/>
      <c r="E30" s="2795"/>
      <c r="F30" s="2498"/>
      <c r="G30" s="2971"/>
      <c r="H30" s="2972"/>
      <c r="I30" s="2971"/>
      <c r="J30" s="2972"/>
      <c r="K30" s="2971"/>
      <c r="L30" s="2680"/>
      <c r="M30" s="2971"/>
      <c r="N30" s="2680"/>
      <c r="O30" s="2783"/>
      <c r="P30" s="2978"/>
      <c r="Q30" s="2783"/>
      <c r="R30" s="2930"/>
      <c r="S30" s="2785"/>
      <c r="T30" s="2973"/>
      <c r="U30" s="2930"/>
      <c r="V30" s="2930"/>
      <c r="W30" s="437" t="s">
        <v>462</v>
      </c>
      <c r="X30" s="51">
        <v>100867000</v>
      </c>
      <c r="Y30" s="51">
        <v>95202000</v>
      </c>
      <c r="Z30" s="51">
        <v>95202000</v>
      </c>
      <c r="AA30" s="479" t="s">
        <v>455</v>
      </c>
      <c r="AB30" s="2980"/>
      <c r="AC30" s="2543"/>
      <c r="AD30" s="2546"/>
      <c r="AE30" s="2546"/>
      <c r="AF30" s="2546"/>
      <c r="AG30" s="2546"/>
      <c r="AH30" s="2546"/>
      <c r="AI30" s="2546"/>
      <c r="AJ30" s="2546"/>
      <c r="AK30" s="2546"/>
      <c r="AL30" s="2546"/>
      <c r="AM30" s="2546"/>
      <c r="AN30" s="2546"/>
      <c r="AO30" s="2546"/>
      <c r="AP30" s="2546"/>
      <c r="AQ30" s="2546"/>
      <c r="AR30" s="2546"/>
      <c r="AS30" s="2546"/>
      <c r="AT30" s="2546"/>
      <c r="AU30" s="2546"/>
      <c r="AV30" s="2546"/>
      <c r="AW30" s="2546"/>
      <c r="AX30" s="2546"/>
      <c r="AY30" s="2546"/>
      <c r="AZ30" s="2546"/>
      <c r="BA30" s="2546"/>
      <c r="BB30" s="2546"/>
      <c r="BC30" s="2546"/>
      <c r="BD30" s="2546"/>
      <c r="BE30" s="2546"/>
      <c r="BF30" s="2546"/>
      <c r="BG30" s="2546"/>
      <c r="BH30" s="2546"/>
      <c r="BI30" s="2546"/>
      <c r="BJ30" s="2783"/>
      <c r="BK30" s="2973"/>
      <c r="BL30" s="2973"/>
      <c r="BM30" s="2505"/>
      <c r="BN30" s="2980"/>
      <c r="BO30" s="2930"/>
      <c r="BP30" s="2930"/>
      <c r="BQ30" s="2942"/>
      <c r="BR30" s="2942"/>
      <c r="BS30" s="2941"/>
      <c r="BT30" s="2942"/>
      <c r="BU30" s="2982"/>
    </row>
    <row r="31" spans="1:73" ht="60" x14ac:dyDescent="0.25">
      <c r="A31" s="2903"/>
      <c r="B31" s="2904"/>
      <c r="C31" s="2795"/>
      <c r="D31" s="2498"/>
      <c r="E31" s="2795"/>
      <c r="F31" s="2498"/>
      <c r="G31" s="2971"/>
      <c r="H31" s="2972"/>
      <c r="I31" s="2971"/>
      <c r="J31" s="2972"/>
      <c r="K31" s="2971"/>
      <c r="L31" s="2680"/>
      <c r="M31" s="2971"/>
      <c r="N31" s="2680"/>
      <c r="O31" s="2783"/>
      <c r="P31" s="2978"/>
      <c r="Q31" s="2783"/>
      <c r="R31" s="2930"/>
      <c r="S31" s="2785"/>
      <c r="T31" s="2973"/>
      <c r="U31" s="2930"/>
      <c r="V31" s="2930"/>
      <c r="W31" s="437" t="s">
        <v>463</v>
      </c>
      <c r="X31" s="51">
        <v>44129167</v>
      </c>
      <c r="Y31" s="51">
        <v>43289167</v>
      </c>
      <c r="Z31" s="51">
        <v>43289167</v>
      </c>
      <c r="AA31" s="479" t="s">
        <v>455</v>
      </c>
      <c r="AB31" s="2980"/>
      <c r="AC31" s="2543"/>
      <c r="AD31" s="2546"/>
      <c r="AE31" s="2546"/>
      <c r="AF31" s="2546"/>
      <c r="AG31" s="2546"/>
      <c r="AH31" s="2546"/>
      <c r="AI31" s="2546"/>
      <c r="AJ31" s="2546"/>
      <c r="AK31" s="2546"/>
      <c r="AL31" s="2546"/>
      <c r="AM31" s="2546"/>
      <c r="AN31" s="2546"/>
      <c r="AO31" s="2546"/>
      <c r="AP31" s="2546"/>
      <c r="AQ31" s="2546"/>
      <c r="AR31" s="2546"/>
      <c r="AS31" s="2546"/>
      <c r="AT31" s="2546"/>
      <c r="AU31" s="2546"/>
      <c r="AV31" s="2546"/>
      <c r="AW31" s="2546"/>
      <c r="AX31" s="2546"/>
      <c r="AY31" s="2546"/>
      <c r="AZ31" s="2546"/>
      <c r="BA31" s="2546"/>
      <c r="BB31" s="2546"/>
      <c r="BC31" s="2546"/>
      <c r="BD31" s="2546"/>
      <c r="BE31" s="2546"/>
      <c r="BF31" s="2546"/>
      <c r="BG31" s="2546"/>
      <c r="BH31" s="2546"/>
      <c r="BI31" s="2546"/>
      <c r="BJ31" s="2783"/>
      <c r="BK31" s="2973"/>
      <c r="BL31" s="2973"/>
      <c r="BM31" s="2505"/>
      <c r="BN31" s="2980"/>
      <c r="BO31" s="2930"/>
      <c r="BP31" s="2930"/>
      <c r="BQ31" s="2942"/>
      <c r="BR31" s="2942"/>
      <c r="BS31" s="2941"/>
      <c r="BT31" s="2942"/>
      <c r="BU31" s="2982"/>
    </row>
    <row r="32" spans="1:73" ht="75" x14ac:dyDescent="0.25">
      <c r="A32" s="2903"/>
      <c r="B32" s="2904"/>
      <c r="C32" s="2795"/>
      <c r="D32" s="2498"/>
      <c r="E32" s="2795"/>
      <c r="F32" s="2498"/>
      <c r="G32" s="2971"/>
      <c r="H32" s="2972"/>
      <c r="I32" s="2971"/>
      <c r="J32" s="2972"/>
      <c r="K32" s="2971"/>
      <c r="L32" s="2680"/>
      <c r="M32" s="2971"/>
      <c r="N32" s="2680"/>
      <c r="O32" s="2783"/>
      <c r="P32" s="2978"/>
      <c r="Q32" s="2783"/>
      <c r="R32" s="2930"/>
      <c r="S32" s="2785"/>
      <c r="T32" s="2973"/>
      <c r="U32" s="2930"/>
      <c r="V32" s="2930"/>
      <c r="W32" s="437" t="s">
        <v>464</v>
      </c>
      <c r="X32" s="51">
        <v>4200000</v>
      </c>
      <c r="Y32" s="51">
        <v>4200000</v>
      </c>
      <c r="Z32" s="51">
        <v>4200000</v>
      </c>
      <c r="AA32" s="479" t="s">
        <v>455</v>
      </c>
      <c r="AB32" s="2980"/>
      <c r="AC32" s="2543"/>
      <c r="AD32" s="2546"/>
      <c r="AE32" s="2546"/>
      <c r="AF32" s="2546"/>
      <c r="AG32" s="2546"/>
      <c r="AH32" s="2546"/>
      <c r="AI32" s="2546"/>
      <c r="AJ32" s="2546"/>
      <c r="AK32" s="2546"/>
      <c r="AL32" s="2546"/>
      <c r="AM32" s="2546"/>
      <c r="AN32" s="2546"/>
      <c r="AO32" s="2546"/>
      <c r="AP32" s="2546"/>
      <c r="AQ32" s="2546"/>
      <c r="AR32" s="2546"/>
      <c r="AS32" s="2546"/>
      <c r="AT32" s="2546"/>
      <c r="AU32" s="2546"/>
      <c r="AV32" s="2546"/>
      <c r="AW32" s="2546"/>
      <c r="AX32" s="2546"/>
      <c r="AY32" s="2546"/>
      <c r="AZ32" s="2546"/>
      <c r="BA32" s="2546"/>
      <c r="BB32" s="2546"/>
      <c r="BC32" s="2546"/>
      <c r="BD32" s="2546"/>
      <c r="BE32" s="2546"/>
      <c r="BF32" s="2546"/>
      <c r="BG32" s="2546"/>
      <c r="BH32" s="2546"/>
      <c r="BI32" s="2546"/>
      <c r="BJ32" s="2783"/>
      <c r="BK32" s="2973"/>
      <c r="BL32" s="2973"/>
      <c r="BM32" s="2505"/>
      <c r="BN32" s="2980"/>
      <c r="BO32" s="2930"/>
      <c r="BP32" s="2930"/>
      <c r="BQ32" s="2942"/>
      <c r="BR32" s="2942"/>
      <c r="BS32" s="2941"/>
      <c r="BT32" s="2942"/>
      <c r="BU32" s="2982"/>
    </row>
    <row r="33" spans="1:73" ht="75" customHeight="1" x14ac:dyDescent="0.25">
      <c r="A33" s="2903"/>
      <c r="B33" s="2904"/>
      <c r="C33" s="2795"/>
      <c r="D33" s="2498"/>
      <c r="E33" s="2795"/>
      <c r="F33" s="2498"/>
      <c r="G33" s="2971"/>
      <c r="H33" s="2972"/>
      <c r="I33" s="2971"/>
      <c r="J33" s="2972"/>
      <c r="K33" s="2971"/>
      <c r="L33" s="2680"/>
      <c r="M33" s="2971"/>
      <c r="N33" s="2680"/>
      <c r="O33" s="2783"/>
      <c r="P33" s="2978"/>
      <c r="Q33" s="2783"/>
      <c r="R33" s="2930"/>
      <c r="S33" s="2785"/>
      <c r="T33" s="2973"/>
      <c r="U33" s="2930"/>
      <c r="V33" s="2930"/>
      <c r="W33" s="2549" t="s">
        <v>465</v>
      </c>
      <c r="X33" s="51">
        <v>10000000</v>
      </c>
      <c r="Y33" s="51">
        <v>0</v>
      </c>
      <c r="Z33" s="51"/>
      <c r="AA33" s="479" t="s">
        <v>466</v>
      </c>
      <c r="AB33" s="2980"/>
      <c r="AC33" s="2543"/>
      <c r="AD33" s="2546"/>
      <c r="AE33" s="2546"/>
      <c r="AF33" s="2546"/>
      <c r="AG33" s="2546"/>
      <c r="AH33" s="2546"/>
      <c r="AI33" s="2546"/>
      <c r="AJ33" s="2546"/>
      <c r="AK33" s="2546"/>
      <c r="AL33" s="2546"/>
      <c r="AM33" s="2546"/>
      <c r="AN33" s="2546"/>
      <c r="AO33" s="2546"/>
      <c r="AP33" s="2546"/>
      <c r="AQ33" s="2546"/>
      <c r="AR33" s="2546"/>
      <c r="AS33" s="2546"/>
      <c r="AT33" s="2546"/>
      <c r="AU33" s="2546"/>
      <c r="AV33" s="2546"/>
      <c r="AW33" s="2546"/>
      <c r="AX33" s="2546"/>
      <c r="AY33" s="2546"/>
      <c r="AZ33" s="2546"/>
      <c r="BA33" s="2546"/>
      <c r="BB33" s="2546"/>
      <c r="BC33" s="2546"/>
      <c r="BD33" s="2546"/>
      <c r="BE33" s="2546"/>
      <c r="BF33" s="2546"/>
      <c r="BG33" s="2546"/>
      <c r="BH33" s="2546"/>
      <c r="BI33" s="2546"/>
      <c r="BJ33" s="2783"/>
      <c r="BK33" s="2973"/>
      <c r="BL33" s="2973"/>
      <c r="BM33" s="2505"/>
      <c r="BN33" s="2980"/>
      <c r="BO33" s="2930"/>
      <c r="BP33" s="2930"/>
      <c r="BQ33" s="2942"/>
      <c r="BR33" s="2942"/>
      <c r="BS33" s="2941"/>
      <c r="BT33" s="2942"/>
      <c r="BU33" s="2982"/>
    </row>
    <row r="34" spans="1:73" ht="45.75" customHeight="1" x14ac:dyDescent="0.25">
      <c r="A34" s="2903"/>
      <c r="B34" s="2904"/>
      <c r="C34" s="2795"/>
      <c r="D34" s="2498"/>
      <c r="E34" s="2795"/>
      <c r="F34" s="2498"/>
      <c r="G34" s="2971"/>
      <c r="H34" s="2972"/>
      <c r="I34" s="2971"/>
      <c r="J34" s="2972"/>
      <c r="K34" s="2971"/>
      <c r="L34" s="2680"/>
      <c r="M34" s="2971"/>
      <c r="N34" s="2680"/>
      <c r="O34" s="2783"/>
      <c r="P34" s="2978"/>
      <c r="Q34" s="2783"/>
      <c r="R34" s="2930"/>
      <c r="S34" s="2785"/>
      <c r="T34" s="2973"/>
      <c r="U34" s="2930"/>
      <c r="V34" s="2930"/>
      <c r="W34" s="2984"/>
      <c r="X34" s="51">
        <v>50000000</v>
      </c>
      <c r="Y34" s="51"/>
      <c r="Z34" s="51"/>
      <c r="AA34" s="479" t="s">
        <v>467</v>
      </c>
      <c r="AB34" s="2980"/>
      <c r="AC34" s="2543"/>
      <c r="AD34" s="2546"/>
      <c r="AE34" s="2546"/>
      <c r="AF34" s="2546"/>
      <c r="AG34" s="2546"/>
      <c r="AH34" s="2546"/>
      <c r="AI34" s="2546"/>
      <c r="AJ34" s="2546"/>
      <c r="AK34" s="2546"/>
      <c r="AL34" s="2546"/>
      <c r="AM34" s="2546"/>
      <c r="AN34" s="2546"/>
      <c r="AO34" s="2546"/>
      <c r="AP34" s="2546"/>
      <c r="AQ34" s="2546"/>
      <c r="AR34" s="2546"/>
      <c r="AS34" s="2546"/>
      <c r="AT34" s="2546"/>
      <c r="AU34" s="2546"/>
      <c r="AV34" s="2546"/>
      <c r="AW34" s="2546"/>
      <c r="AX34" s="2546"/>
      <c r="AY34" s="2546"/>
      <c r="AZ34" s="2546"/>
      <c r="BA34" s="2546"/>
      <c r="BB34" s="2546"/>
      <c r="BC34" s="2546"/>
      <c r="BD34" s="2546"/>
      <c r="BE34" s="2546"/>
      <c r="BF34" s="2546"/>
      <c r="BG34" s="2546"/>
      <c r="BH34" s="2546"/>
      <c r="BI34" s="2546"/>
      <c r="BJ34" s="2783"/>
      <c r="BK34" s="2973"/>
      <c r="BL34" s="2973"/>
      <c r="BM34" s="2505"/>
      <c r="BN34" s="2980"/>
      <c r="BO34" s="2930"/>
      <c r="BP34" s="2930"/>
      <c r="BQ34" s="2942"/>
      <c r="BR34" s="2942"/>
      <c r="BS34" s="2941"/>
      <c r="BT34" s="2942"/>
      <c r="BU34" s="2982"/>
    </row>
    <row r="35" spans="1:73" ht="27.75" customHeight="1" x14ac:dyDescent="0.25">
      <c r="A35" s="2903"/>
      <c r="B35" s="2904"/>
      <c r="C35" s="2795"/>
      <c r="D35" s="2498"/>
      <c r="E35" s="2795"/>
      <c r="F35" s="2498"/>
      <c r="G35" s="2971"/>
      <c r="H35" s="2972"/>
      <c r="I35" s="2971"/>
      <c r="J35" s="2972"/>
      <c r="K35" s="2971"/>
      <c r="L35" s="2680"/>
      <c r="M35" s="2971"/>
      <c r="N35" s="2680"/>
      <c r="O35" s="2783"/>
      <c r="P35" s="2978"/>
      <c r="Q35" s="2783"/>
      <c r="R35" s="2930"/>
      <c r="S35" s="2785"/>
      <c r="T35" s="2973"/>
      <c r="U35" s="2930"/>
      <c r="V35" s="2930"/>
      <c r="W35" s="2984"/>
      <c r="X35" s="51">
        <v>40000000</v>
      </c>
      <c r="Y35" s="51"/>
      <c r="Z35" s="51"/>
      <c r="AA35" s="479" t="s">
        <v>468</v>
      </c>
      <c r="AB35" s="2980"/>
      <c r="AC35" s="2543"/>
      <c r="AD35" s="2546"/>
      <c r="AE35" s="2546"/>
      <c r="AF35" s="2546"/>
      <c r="AG35" s="2546"/>
      <c r="AH35" s="2546"/>
      <c r="AI35" s="2546"/>
      <c r="AJ35" s="2546"/>
      <c r="AK35" s="2546"/>
      <c r="AL35" s="2546"/>
      <c r="AM35" s="2546"/>
      <c r="AN35" s="2546"/>
      <c r="AO35" s="2546"/>
      <c r="AP35" s="2546"/>
      <c r="AQ35" s="2546"/>
      <c r="AR35" s="2546"/>
      <c r="AS35" s="2546"/>
      <c r="AT35" s="2546"/>
      <c r="AU35" s="2546"/>
      <c r="AV35" s="2546"/>
      <c r="AW35" s="2546"/>
      <c r="AX35" s="2546"/>
      <c r="AY35" s="2546"/>
      <c r="AZ35" s="2546"/>
      <c r="BA35" s="2546"/>
      <c r="BB35" s="2546"/>
      <c r="BC35" s="2546"/>
      <c r="BD35" s="2546"/>
      <c r="BE35" s="2546"/>
      <c r="BF35" s="2546"/>
      <c r="BG35" s="2546"/>
      <c r="BH35" s="2546"/>
      <c r="BI35" s="2546"/>
      <c r="BJ35" s="2783"/>
      <c r="BK35" s="2973"/>
      <c r="BL35" s="2973"/>
      <c r="BM35" s="2505"/>
      <c r="BN35" s="2980"/>
      <c r="BO35" s="2930"/>
      <c r="BP35" s="2930"/>
      <c r="BQ35" s="2942"/>
      <c r="BR35" s="2942"/>
      <c r="BS35" s="2941"/>
      <c r="BT35" s="2942"/>
      <c r="BU35" s="2982"/>
    </row>
    <row r="36" spans="1:73" ht="32.25" customHeight="1" x14ac:dyDescent="0.25">
      <c r="A36" s="2903"/>
      <c r="B36" s="2904"/>
      <c r="C36" s="2795"/>
      <c r="D36" s="2498"/>
      <c r="E36" s="2795"/>
      <c r="F36" s="2498"/>
      <c r="G36" s="2971"/>
      <c r="H36" s="2972"/>
      <c r="I36" s="2971"/>
      <c r="J36" s="2972"/>
      <c r="K36" s="2971"/>
      <c r="L36" s="2680"/>
      <c r="M36" s="2971"/>
      <c r="N36" s="2680"/>
      <c r="O36" s="2783"/>
      <c r="P36" s="2978"/>
      <c r="Q36" s="2783"/>
      <c r="R36" s="2930"/>
      <c r="S36" s="2785"/>
      <c r="T36" s="2973"/>
      <c r="U36" s="2930"/>
      <c r="V36" s="2930"/>
      <c r="W36" s="2985"/>
      <c r="X36" s="51">
        <v>50000000</v>
      </c>
      <c r="Y36" s="51"/>
      <c r="Z36" s="51"/>
      <c r="AA36" s="479" t="s">
        <v>469</v>
      </c>
      <c r="AB36" s="2980"/>
      <c r="AC36" s="2543"/>
      <c r="AD36" s="2546"/>
      <c r="AE36" s="2546"/>
      <c r="AF36" s="2546"/>
      <c r="AG36" s="2546"/>
      <c r="AH36" s="2546"/>
      <c r="AI36" s="2546"/>
      <c r="AJ36" s="2546"/>
      <c r="AK36" s="2546"/>
      <c r="AL36" s="2546"/>
      <c r="AM36" s="2546"/>
      <c r="AN36" s="2546"/>
      <c r="AO36" s="2546"/>
      <c r="AP36" s="2546"/>
      <c r="AQ36" s="2546"/>
      <c r="AR36" s="2546"/>
      <c r="AS36" s="2546"/>
      <c r="AT36" s="2546"/>
      <c r="AU36" s="2546"/>
      <c r="AV36" s="2546"/>
      <c r="AW36" s="2546"/>
      <c r="AX36" s="2546"/>
      <c r="AY36" s="2546"/>
      <c r="AZ36" s="2546"/>
      <c r="BA36" s="2546"/>
      <c r="BB36" s="2546"/>
      <c r="BC36" s="2546"/>
      <c r="BD36" s="2546"/>
      <c r="BE36" s="2546"/>
      <c r="BF36" s="2546"/>
      <c r="BG36" s="2546"/>
      <c r="BH36" s="2546"/>
      <c r="BI36" s="2546"/>
      <c r="BJ36" s="2783"/>
      <c r="BK36" s="2973"/>
      <c r="BL36" s="2973"/>
      <c r="BM36" s="2505"/>
      <c r="BN36" s="2980"/>
      <c r="BO36" s="2930"/>
      <c r="BP36" s="2930"/>
      <c r="BQ36" s="2942"/>
      <c r="BR36" s="2942"/>
      <c r="BS36" s="2941"/>
      <c r="BT36" s="2942"/>
      <c r="BU36" s="2982"/>
    </row>
    <row r="37" spans="1:73" ht="45" customHeight="1" x14ac:dyDescent="0.25">
      <c r="A37" s="2903"/>
      <c r="B37" s="2904"/>
      <c r="C37" s="2795"/>
      <c r="D37" s="2498"/>
      <c r="E37" s="2795"/>
      <c r="F37" s="2498"/>
      <c r="G37" s="2971"/>
      <c r="H37" s="2972"/>
      <c r="I37" s="2971"/>
      <c r="J37" s="2972"/>
      <c r="K37" s="2971"/>
      <c r="L37" s="2680"/>
      <c r="M37" s="2971"/>
      <c r="N37" s="2680"/>
      <c r="O37" s="2783"/>
      <c r="P37" s="2978"/>
      <c r="Q37" s="2783"/>
      <c r="R37" s="2930"/>
      <c r="S37" s="2785"/>
      <c r="T37" s="2973"/>
      <c r="U37" s="2930"/>
      <c r="V37" s="2930"/>
      <c r="W37" s="511" t="s">
        <v>470</v>
      </c>
      <c r="X37" s="51">
        <v>14619114</v>
      </c>
      <c r="Y37" s="51">
        <v>14619087</v>
      </c>
      <c r="Z37" s="51">
        <v>14619087</v>
      </c>
      <c r="AA37" s="479" t="s">
        <v>471</v>
      </c>
      <c r="AB37" s="2980"/>
      <c r="AC37" s="2543"/>
      <c r="AD37" s="2546"/>
      <c r="AE37" s="2546"/>
      <c r="AF37" s="2546"/>
      <c r="AG37" s="2546"/>
      <c r="AH37" s="2546"/>
      <c r="AI37" s="2546"/>
      <c r="AJ37" s="2546"/>
      <c r="AK37" s="2546"/>
      <c r="AL37" s="2546"/>
      <c r="AM37" s="2546"/>
      <c r="AN37" s="2546"/>
      <c r="AO37" s="2546"/>
      <c r="AP37" s="2546"/>
      <c r="AQ37" s="2546"/>
      <c r="AR37" s="2546"/>
      <c r="AS37" s="2546"/>
      <c r="AT37" s="2546"/>
      <c r="AU37" s="2546"/>
      <c r="AV37" s="2546"/>
      <c r="AW37" s="2546"/>
      <c r="AX37" s="2546"/>
      <c r="AY37" s="2546"/>
      <c r="AZ37" s="2546"/>
      <c r="BA37" s="2546"/>
      <c r="BB37" s="2546"/>
      <c r="BC37" s="2546"/>
      <c r="BD37" s="2546"/>
      <c r="BE37" s="2546"/>
      <c r="BF37" s="2546"/>
      <c r="BG37" s="2546"/>
      <c r="BH37" s="2546"/>
      <c r="BI37" s="2546"/>
      <c r="BJ37" s="2783"/>
      <c r="BK37" s="2973"/>
      <c r="BL37" s="2973"/>
      <c r="BM37" s="2505"/>
      <c r="BN37" s="2980"/>
      <c r="BO37" s="2930"/>
      <c r="BP37" s="2930"/>
      <c r="BQ37" s="2942"/>
      <c r="BR37" s="2942"/>
      <c r="BS37" s="2941"/>
      <c r="BT37" s="2942"/>
      <c r="BU37" s="2982"/>
    </row>
    <row r="38" spans="1:73" ht="75" customHeight="1" x14ac:dyDescent="0.25">
      <c r="A38" s="2903"/>
      <c r="B38" s="2904"/>
      <c r="C38" s="2795"/>
      <c r="D38" s="2498"/>
      <c r="E38" s="2795"/>
      <c r="F38" s="2498"/>
      <c r="G38" s="2971"/>
      <c r="H38" s="2972"/>
      <c r="I38" s="2971"/>
      <c r="J38" s="2972"/>
      <c r="K38" s="2971"/>
      <c r="L38" s="2680"/>
      <c r="M38" s="2971"/>
      <c r="N38" s="2680"/>
      <c r="O38" s="2783"/>
      <c r="P38" s="2978"/>
      <c r="Q38" s="2783"/>
      <c r="R38" s="2930"/>
      <c r="S38" s="2785"/>
      <c r="T38" s="2973"/>
      <c r="U38" s="2930"/>
      <c r="V38" s="2930"/>
      <c r="W38" s="511" t="s">
        <v>472</v>
      </c>
      <c r="X38" s="51">
        <v>1164348790.23</v>
      </c>
      <c r="Y38" s="51"/>
      <c r="Z38" s="51"/>
      <c r="AA38" s="479" t="s">
        <v>455</v>
      </c>
      <c r="AB38" s="2980"/>
      <c r="AC38" s="2543"/>
      <c r="AD38" s="2546"/>
      <c r="AE38" s="2546"/>
      <c r="AF38" s="2546"/>
      <c r="AG38" s="2546"/>
      <c r="AH38" s="2546"/>
      <c r="AI38" s="2546"/>
      <c r="AJ38" s="2546"/>
      <c r="AK38" s="2546"/>
      <c r="AL38" s="2546"/>
      <c r="AM38" s="2546"/>
      <c r="AN38" s="2546"/>
      <c r="AO38" s="2546"/>
      <c r="AP38" s="2546"/>
      <c r="AQ38" s="2546"/>
      <c r="AR38" s="2546"/>
      <c r="AS38" s="2546"/>
      <c r="AT38" s="2546"/>
      <c r="AU38" s="2546"/>
      <c r="AV38" s="2546"/>
      <c r="AW38" s="2546"/>
      <c r="AX38" s="2546"/>
      <c r="AY38" s="2546"/>
      <c r="AZ38" s="2546"/>
      <c r="BA38" s="2546"/>
      <c r="BB38" s="2546"/>
      <c r="BC38" s="2546"/>
      <c r="BD38" s="2546"/>
      <c r="BE38" s="2546"/>
      <c r="BF38" s="2546"/>
      <c r="BG38" s="2546"/>
      <c r="BH38" s="2546"/>
      <c r="BI38" s="2546"/>
      <c r="BJ38" s="2783"/>
      <c r="BK38" s="2973"/>
      <c r="BL38" s="2973"/>
      <c r="BM38" s="2505"/>
      <c r="BN38" s="2980"/>
      <c r="BO38" s="2930"/>
      <c r="BP38" s="2930"/>
      <c r="BQ38" s="2942"/>
      <c r="BR38" s="2942"/>
      <c r="BS38" s="2941"/>
      <c r="BT38" s="2942"/>
      <c r="BU38" s="2982"/>
    </row>
    <row r="39" spans="1:73" ht="30" x14ac:dyDescent="0.25">
      <c r="A39" s="2903"/>
      <c r="B39" s="2904"/>
      <c r="C39" s="2795"/>
      <c r="D39" s="2498"/>
      <c r="E39" s="2795"/>
      <c r="F39" s="2498"/>
      <c r="G39" s="2971"/>
      <c r="H39" s="2972"/>
      <c r="I39" s="2971"/>
      <c r="J39" s="2972"/>
      <c r="K39" s="2971"/>
      <c r="L39" s="2680"/>
      <c r="M39" s="2971"/>
      <c r="N39" s="2680"/>
      <c r="O39" s="2783"/>
      <c r="P39" s="2978"/>
      <c r="Q39" s="2783"/>
      <c r="R39" s="2930"/>
      <c r="S39" s="2785"/>
      <c r="T39" s="2973"/>
      <c r="U39" s="2930"/>
      <c r="V39" s="2930"/>
      <c r="W39" s="444" t="s">
        <v>473</v>
      </c>
      <c r="X39" s="51">
        <v>140000000</v>
      </c>
      <c r="Y39" s="51"/>
      <c r="Z39" s="51"/>
      <c r="AA39" s="479" t="s">
        <v>455</v>
      </c>
      <c r="AB39" s="2980"/>
      <c r="AC39" s="2543"/>
      <c r="AD39" s="2546"/>
      <c r="AE39" s="2546"/>
      <c r="AF39" s="2546"/>
      <c r="AG39" s="2546"/>
      <c r="AH39" s="2546"/>
      <c r="AI39" s="2546"/>
      <c r="AJ39" s="2546"/>
      <c r="AK39" s="2546"/>
      <c r="AL39" s="2546"/>
      <c r="AM39" s="2546"/>
      <c r="AN39" s="2546"/>
      <c r="AO39" s="2546"/>
      <c r="AP39" s="2546"/>
      <c r="AQ39" s="2546"/>
      <c r="AR39" s="2546"/>
      <c r="AS39" s="2546"/>
      <c r="AT39" s="2546"/>
      <c r="AU39" s="2546"/>
      <c r="AV39" s="2546"/>
      <c r="AW39" s="2546"/>
      <c r="AX39" s="2546"/>
      <c r="AY39" s="2546"/>
      <c r="AZ39" s="2546"/>
      <c r="BA39" s="2546"/>
      <c r="BB39" s="2546"/>
      <c r="BC39" s="2546"/>
      <c r="BD39" s="2546"/>
      <c r="BE39" s="2546"/>
      <c r="BF39" s="2546"/>
      <c r="BG39" s="2546"/>
      <c r="BH39" s="2546"/>
      <c r="BI39" s="2546"/>
      <c r="BJ39" s="2783"/>
      <c r="BK39" s="2973"/>
      <c r="BL39" s="2973"/>
      <c r="BM39" s="2505"/>
      <c r="BN39" s="2980"/>
      <c r="BO39" s="2930"/>
      <c r="BP39" s="2930"/>
      <c r="BQ39" s="2942"/>
      <c r="BR39" s="2942"/>
      <c r="BS39" s="2941"/>
      <c r="BT39" s="2942"/>
      <c r="BU39" s="2982"/>
    </row>
    <row r="40" spans="1:73" ht="45" x14ac:dyDescent="0.25">
      <c r="A40" s="2903"/>
      <c r="B40" s="2904"/>
      <c r="C40" s="2796"/>
      <c r="D40" s="2970"/>
      <c r="E40" s="2796"/>
      <c r="F40" s="2970"/>
      <c r="G40" s="2971"/>
      <c r="H40" s="2972"/>
      <c r="I40" s="2971"/>
      <c r="J40" s="2972"/>
      <c r="K40" s="2971"/>
      <c r="L40" s="2680"/>
      <c r="M40" s="2971"/>
      <c r="N40" s="2680"/>
      <c r="O40" s="2783"/>
      <c r="P40" s="2979"/>
      <c r="Q40" s="2783"/>
      <c r="R40" s="2930"/>
      <c r="S40" s="2785"/>
      <c r="T40" s="2973"/>
      <c r="U40" s="2930"/>
      <c r="V40" s="2930"/>
      <c r="W40" s="437" t="s">
        <v>474</v>
      </c>
      <c r="X40" s="51">
        <v>29500000</v>
      </c>
      <c r="Y40" s="51">
        <v>22920000</v>
      </c>
      <c r="Z40" s="51">
        <v>22920000</v>
      </c>
      <c r="AA40" s="479" t="s">
        <v>455</v>
      </c>
      <c r="AB40" s="2980"/>
      <c r="AC40" s="2543"/>
      <c r="AD40" s="2546"/>
      <c r="AE40" s="2546"/>
      <c r="AF40" s="2546"/>
      <c r="AG40" s="2546"/>
      <c r="AH40" s="2546"/>
      <c r="AI40" s="2546"/>
      <c r="AJ40" s="2546"/>
      <c r="AK40" s="2546"/>
      <c r="AL40" s="2546"/>
      <c r="AM40" s="2546"/>
      <c r="AN40" s="2546"/>
      <c r="AO40" s="2546"/>
      <c r="AP40" s="2546"/>
      <c r="AQ40" s="2546"/>
      <c r="AR40" s="2546"/>
      <c r="AS40" s="2546"/>
      <c r="AT40" s="2546"/>
      <c r="AU40" s="2546"/>
      <c r="AV40" s="2546"/>
      <c r="AW40" s="2546"/>
      <c r="AX40" s="2546"/>
      <c r="AY40" s="2546"/>
      <c r="AZ40" s="2546"/>
      <c r="BA40" s="2546"/>
      <c r="BB40" s="2546"/>
      <c r="BC40" s="2546"/>
      <c r="BD40" s="2546"/>
      <c r="BE40" s="2546"/>
      <c r="BF40" s="2546"/>
      <c r="BG40" s="2546"/>
      <c r="BH40" s="2546"/>
      <c r="BI40" s="2546"/>
      <c r="BJ40" s="2783"/>
      <c r="BK40" s="2973"/>
      <c r="BL40" s="2973"/>
      <c r="BM40" s="2505"/>
      <c r="BN40" s="2980"/>
      <c r="BO40" s="2930"/>
      <c r="BP40" s="2930"/>
      <c r="BQ40" s="2942"/>
      <c r="BR40" s="2942"/>
      <c r="BS40" s="2941"/>
      <c r="BT40" s="2942"/>
      <c r="BU40" s="2983"/>
    </row>
    <row r="41" spans="1:73" ht="15.75" x14ac:dyDescent="0.25">
      <c r="A41" s="2903"/>
      <c r="B41" s="2904"/>
      <c r="C41" s="483">
        <v>33</v>
      </c>
      <c r="D41" s="2943" t="s">
        <v>274</v>
      </c>
      <c r="E41" s="2943"/>
      <c r="F41" s="2943"/>
      <c r="G41" s="2943"/>
      <c r="H41" s="2943"/>
      <c r="I41" s="2943"/>
      <c r="J41" s="2943"/>
      <c r="K41" s="2943"/>
      <c r="L41" s="2943"/>
      <c r="M41" s="2943"/>
      <c r="N41" s="2943"/>
      <c r="O41" s="486"/>
      <c r="P41" s="487"/>
      <c r="Q41" s="486"/>
      <c r="R41" s="488"/>
      <c r="S41" s="497"/>
      <c r="T41" s="507"/>
      <c r="U41" s="488"/>
      <c r="V41" s="488"/>
      <c r="W41" s="512"/>
      <c r="X41" s="493"/>
      <c r="Y41" s="493"/>
      <c r="Z41" s="493"/>
      <c r="AA41" s="494"/>
      <c r="AB41" s="495"/>
      <c r="AC41" s="488"/>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6"/>
      <c r="BD41" s="486"/>
      <c r="BE41" s="486"/>
      <c r="BF41" s="486"/>
      <c r="BG41" s="486"/>
      <c r="BH41" s="486"/>
      <c r="BI41" s="486"/>
      <c r="BJ41" s="486"/>
      <c r="BK41" s="486"/>
      <c r="BL41" s="486"/>
      <c r="BM41" s="489"/>
      <c r="BN41" s="486"/>
      <c r="BO41" s="488"/>
      <c r="BP41" s="488"/>
      <c r="BQ41" s="499"/>
      <c r="BR41" s="499"/>
      <c r="BS41" s="499"/>
      <c r="BT41" s="499"/>
      <c r="BU41" s="513"/>
    </row>
    <row r="42" spans="1:73" s="4" customFormat="1" ht="15.75" x14ac:dyDescent="0.25">
      <c r="A42" s="2903"/>
      <c r="B42" s="2904"/>
      <c r="C42" s="2968"/>
      <c r="D42" s="2995"/>
      <c r="E42" s="190">
        <v>3301</v>
      </c>
      <c r="F42" s="2955" t="s">
        <v>275</v>
      </c>
      <c r="G42" s="2955"/>
      <c r="H42" s="2955"/>
      <c r="I42" s="2955"/>
      <c r="J42" s="2955"/>
      <c r="K42" s="2955"/>
      <c r="L42" s="2955"/>
      <c r="M42" s="2955"/>
      <c r="N42" s="194"/>
      <c r="O42" s="190"/>
      <c r="P42" s="500"/>
      <c r="Q42" s="190"/>
      <c r="R42" s="194"/>
      <c r="S42" s="192"/>
      <c r="T42" s="193"/>
      <c r="U42" s="194"/>
      <c r="V42" s="194"/>
      <c r="W42" s="194"/>
      <c r="X42" s="501"/>
      <c r="Y42" s="501"/>
      <c r="Z42" s="501"/>
      <c r="AA42" s="90"/>
      <c r="AB42" s="195"/>
      <c r="AC42" s="194"/>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502"/>
      <c r="BN42" s="190"/>
      <c r="BO42" s="194"/>
      <c r="BP42" s="194"/>
      <c r="BQ42" s="190"/>
      <c r="BR42" s="190"/>
      <c r="BS42" s="190"/>
      <c r="BT42" s="190"/>
      <c r="BU42" s="194"/>
    </row>
    <row r="43" spans="1:73" ht="135" customHeight="1" x14ac:dyDescent="0.25">
      <c r="A43" s="2903"/>
      <c r="B43" s="2904"/>
      <c r="C43" s="2795"/>
      <c r="D43" s="2996"/>
      <c r="E43" s="2998"/>
      <c r="F43" s="2999"/>
      <c r="G43" s="3004" t="s">
        <v>475</v>
      </c>
      <c r="H43" s="3005" t="s">
        <v>476</v>
      </c>
      <c r="I43" s="3004" t="s">
        <v>475</v>
      </c>
      <c r="J43" s="3006" t="s">
        <v>476</v>
      </c>
      <c r="K43" s="2986" t="s">
        <v>477</v>
      </c>
      <c r="L43" s="2989" t="s">
        <v>478</v>
      </c>
      <c r="M43" s="2986" t="s">
        <v>477</v>
      </c>
      <c r="N43" s="2989" t="s">
        <v>478</v>
      </c>
      <c r="O43" s="2752">
        <v>2</v>
      </c>
      <c r="P43" s="2927">
        <v>3</v>
      </c>
      <c r="Q43" s="2752" t="s">
        <v>479</v>
      </c>
      <c r="R43" s="2992" t="s">
        <v>480</v>
      </c>
      <c r="S43" s="2760">
        <f>SUM(X43:X49)/T43</f>
        <v>1</v>
      </c>
      <c r="T43" s="3009">
        <f>SUM(X43:X49)</f>
        <v>110104790</v>
      </c>
      <c r="U43" s="2992" t="s">
        <v>481</v>
      </c>
      <c r="V43" s="3012" t="s">
        <v>482</v>
      </c>
      <c r="W43" s="439" t="s">
        <v>483</v>
      </c>
      <c r="X43" s="51">
        <v>10000000</v>
      </c>
      <c r="Y43" s="51">
        <v>7200000</v>
      </c>
      <c r="Z43" s="51">
        <v>7200000</v>
      </c>
      <c r="AA43" s="479" t="s">
        <v>484</v>
      </c>
      <c r="AB43" s="3015" t="s">
        <v>440</v>
      </c>
      <c r="AC43" s="2752" t="s">
        <v>441</v>
      </c>
      <c r="AD43" s="2547">
        <v>295972</v>
      </c>
      <c r="AE43" s="2547">
        <v>295972</v>
      </c>
      <c r="AF43" s="2547">
        <v>285580</v>
      </c>
      <c r="AG43" s="2547">
        <v>285580</v>
      </c>
      <c r="AH43" s="2547">
        <v>135545</v>
      </c>
      <c r="AI43" s="2547">
        <v>135545</v>
      </c>
      <c r="AJ43" s="2547">
        <v>44254</v>
      </c>
      <c r="AK43" s="2547">
        <v>44254</v>
      </c>
      <c r="AL43" s="2547">
        <v>309146</v>
      </c>
      <c r="AM43" s="2547">
        <v>309146</v>
      </c>
      <c r="AN43" s="2547">
        <v>92607</v>
      </c>
      <c r="AO43" s="2547">
        <v>92607</v>
      </c>
      <c r="AP43" s="2547">
        <v>2145</v>
      </c>
      <c r="AQ43" s="2547">
        <v>2145</v>
      </c>
      <c r="AR43" s="2547">
        <v>12718</v>
      </c>
      <c r="AS43" s="2547">
        <v>12718</v>
      </c>
      <c r="AT43" s="2547">
        <v>26</v>
      </c>
      <c r="AU43" s="2547">
        <v>26</v>
      </c>
      <c r="AV43" s="2547">
        <v>37</v>
      </c>
      <c r="AW43" s="2547">
        <v>37</v>
      </c>
      <c r="AX43" s="2547">
        <v>0</v>
      </c>
      <c r="AY43" s="2547">
        <v>0</v>
      </c>
      <c r="AZ43" s="2547">
        <v>0</v>
      </c>
      <c r="BA43" s="2547">
        <v>0</v>
      </c>
      <c r="BB43" s="2547">
        <v>44350</v>
      </c>
      <c r="BC43" s="2547">
        <v>44350</v>
      </c>
      <c r="BD43" s="2547">
        <v>21944</v>
      </c>
      <c r="BE43" s="2547">
        <v>21944</v>
      </c>
      <c r="BF43" s="2547">
        <v>75687</v>
      </c>
      <c r="BG43" s="2547">
        <v>75687</v>
      </c>
      <c r="BH43" s="2547">
        <v>581552</v>
      </c>
      <c r="BI43" s="2547">
        <v>581552</v>
      </c>
      <c r="BJ43" s="2752">
        <v>11</v>
      </c>
      <c r="BK43" s="3009">
        <f>SUM(Y43:Y49)</f>
        <v>52387068</v>
      </c>
      <c r="BL43" s="3009">
        <f>SUM(Z43:Z49)</f>
        <v>52387068</v>
      </c>
      <c r="BM43" s="3039">
        <f>+BL43/BK43</f>
        <v>1</v>
      </c>
      <c r="BN43" s="3015" t="s">
        <v>440</v>
      </c>
      <c r="BO43" s="2992" t="s">
        <v>441</v>
      </c>
      <c r="BP43" s="2948" t="s">
        <v>424</v>
      </c>
      <c r="BQ43" s="3036">
        <v>44197</v>
      </c>
      <c r="BR43" s="3018">
        <v>44242</v>
      </c>
      <c r="BS43" s="3036">
        <v>44561</v>
      </c>
      <c r="BT43" s="3018">
        <v>44551</v>
      </c>
      <c r="BU43" s="3021" t="s">
        <v>425</v>
      </c>
    </row>
    <row r="44" spans="1:73" ht="92.25" customHeight="1" x14ac:dyDescent="0.25">
      <c r="A44" s="2903"/>
      <c r="B44" s="2904"/>
      <c r="C44" s="2795"/>
      <c r="D44" s="2996"/>
      <c r="E44" s="3000"/>
      <c r="F44" s="3001"/>
      <c r="G44" s="3004"/>
      <c r="H44" s="3005"/>
      <c r="I44" s="3004"/>
      <c r="J44" s="3007"/>
      <c r="K44" s="2987"/>
      <c r="L44" s="2990"/>
      <c r="M44" s="2987"/>
      <c r="N44" s="2990"/>
      <c r="O44" s="2755"/>
      <c r="P44" s="2928"/>
      <c r="Q44" s="2755"/>
      <c r="R44" s="2993"/>
      <c r="S44" s="2761"/>
      <c r="T44" s="3010"/>
      <c r="U44" s="2993"/>
      <c r="V44" s="3013"/>
      <c r="W44" s="454" t="s">
        <v>485</v>
      </c>
      <c r="X44" s="51">
        <v>10000000</v>
      </c>
      <c r="Y44" s="51">
        <v>8600000</v>
      </c>
      <c r="Z44" s="51">
        <v>8600000</v>
      </c>
      <c r="AA44" s="479" t="s">
        <v>484</v>
      </c>
      <c r="AB44" s="3016"/>
      <c r="AC44" s="2755"/>
      <c r="AD44" s="2716"/>
      <c r="AE44" s="2716"/>
      <c r="AF44" s="2716"/>
      <c r="AG44" s="2716"/>
      <c r="AH44" s="2716"/>
      <c r="AI44" s="2716"/>
      <c r="AJ44" s="2716"/>
      <c r="AK44" s="2716"/>
      <c r="AL44" s="2716"/>
      <c r="AM44" s="2716"/>
      <c r="AN44" s="2716"/>
      <c r="AO44" s="2716"/>
      <c r="AP44" s="2716"/>
      <c r="AQ44" s="2716"/>
      <c r="AR44" s="2716"/>
      <c r="AS44" s="2716"/>
      <c r="AT44" s="2716"/>
      <c r="AU44" s="2716"/>
      <c r="AV44" s="2716"/>
      <c r="AW44" s="2716"/>
      <c r="AX44" s="2716"/>
      <c r="AY44" s="2716"/>
      <c r="AZ44" s="2716"/>
      <c r="BA44" s="2716"/>
      <c r="BB44" s="2716"/>
      <c r="BC44" s="2716"/>
      <c r="BD44" s="2716"/>
      <c r="BE44" s="2716"/>
      <c r="BF44" s="2716"/>
      <c r="BG44" s="2716"/>
      <c r="BH44" s="2716"/>
      <c r="BI44" s="2716"/>
      <c r="BJ44" s="2755"/>
      <c r="BK44" s="3010"/>
      <c r="BL44" s="3010"/>
      <c r="BM44" s="3040"/>
      <c r="BN44" s="3016"/>
      <c r="BO44" s="2993"/>
      <c r="BP44" s="2949"/>
      <c r="BQ44" s="3037"/>
      <c r="BR44" s="3019"/>
      <c r="BS44" s="3037"/>
      <c r="BT44" s="3019"/>
      <c r="BU44" s="3022"/>
    </row>
    <row r="45" spans="1:73" ht="60" customHeight="1" x14ac:dyDescent="0.25">
      <c r="A45" s="2903"/>
      <c r="B45" s="2904"/>
      <c r="C45" s="2795"/>
      <c r="D45" s="2996"/>
      <c r="E45" s="3000"/>
      <c r="F45" s="3001"/>
      <c r="G45" s="3004"/>
      <c r="H45" s="3005"/>
      <c r="I45" s="3004"/>
      <c r="J45" s="3007"/>
      <c r="K45" s="2987"/>
      <c r="L45" s="2990"/>
      <c r="M45" s="2987"/>
      <c r="N45" s="2990"/>
      <c r="O45" s="2755"/>
      <c r="P45" s="2928"/>
      <c r="Q45" s="2755"/>
      <c r="R45" s="2993"/>
      <c r="S45" s="2761"/>
      <c r="T45" s="3010"/>
      <c r="U45" s="2993"/>
      <c r="V45" s="3013"/>
      <c r="W45" s="3024" t="s">
        <v>486</v>
      </c>
      <c r="X45" s="51">
        <v>3000000</v>
      </c>
      <c r="Y45" s="51"/>
      <c r="Z45" s="51"/>
      <c r="AA45" s="479" t="s">
        <v>487</v>
      </c>
      <c r="AB45" s="3016"/>
      <c r="AC45" s="2755"/>
      <c r="AD45" s="2716"/>
      <c r="AE45" s="2716"/>
      <c r="AF45" s="2716"/>
      <c r="AG45" s="2716"/>
      <c r="AH45" s="2716"/>
      <c r="AI45" s="2716"/>
      <c r="AJ45" s="2716"/>
      <c r="AK45" s="2716"/>
      <c r="AL45" s="2716"/>
      <c r="AM45" s="2716"/>
      <c r="AN45" s="2716"/>
      <c r="AO45" s="2716"/>
      <c r="AP45" s="2716"/>
      <c r="AQ45" s="2716"/>
      <c r="AR45" s="2716"/>
      <c r="AS45" s="2716"/>
      <c r="AT45" s="2716"/>
      <c r="AU45" s="2716"/>
      <c r="AV45" s="2716"/>
      <c r="AW45" s="2716"/>
      <c r="AX45" s="2716"/>
      <c r="AY45" s="2716"/>
      <c r="AZ45" s="2716"/>
      <c r="BA45" s="2716"/>
      <c r="BB45" s="2716"/>
      <c r="BC45" s="2716"/>
      <c r="BD45" s="2716"/>
      <c r="BE45" s="2716"/>
      <c r="BF45" s="2716"/>
      <c r="BG45" s="2716"/>
      <c r="BH45" s="2716"/>
      <c r="BI45" s="2716"/>
      <c r="BJ45" s="2755"/>
      <c r="BK45" s="3010"/>
      <c r="BL45" s="3010"/>
      <c r="BM45" s="3040"/>
      <c r="BN45" s="3016"/>
      <c r="BO45" s="2993"/>
      <c r="BP45" s="2949"/>
      <c r="BQ45" s="3037"/>
      <c r="BR45" s="3019"/>
      <c r="BS45" s="3037"/>
      <c r="BT45" s="3019"/>
      <c r="BU45" s="3022"/>
    </row>
    <row r="46" spans="1:73" ht="30.75" customHeight="1" x14ac:dyDescent="0.25">
      <c r="A46" s="2903"/>
      <c r="B46" s="2904"/>
      <c r="C46" s="2795"/>
      <c r="D46" s="2996"/>
      <c r="E46" s="3000"/>
      <c r="F46" s="3001"/>
      <c r="G46" s="3004"/>
      <c r="H46" s="3005"/>
      <c r="I46" s="3004"/>
      <c r="J46" s="3007"/>
      <c r="K46" s="2987"/>
      <c r="L46" s="2990"/>
      <c r="M46" s="2987"/>
      <c r="N46" s="2990"/>
      <c r="O46" s="2755"/>
      <c r="P46" s="2928"/>
      <c r="Q46" s="2755"/>
      <c r="R46" s="2993"/>
      <c r="S46" s="2761"/>
      <c r="T46" s="3010"/>
      <c r="U46" s="2993"/>
      <c r="V46" s="3013"/>
      <c r="W46" s="3025"/>
      <c r="X46" s="51">
        <v>5000000</v>
      </c>
      <c r="Y46" s="51"/>
      <c r="Z46" s="51"/>
      <c r="AA46" s="479" t="s">
        <v>488</v>
      </c>
      <c r="AB46" s="3016"/>
      <c r="AC46" s="2755"/>
      <c r="AD46" s="2716"/>
      <c r="AE46" s="2716"/>
      <c r="AF46" s="2716"/>
      <c r="AG46" s="2716"/>
      <c r="AH46" s="2716"/>
      <c r="AI46" s="2716"/>
      <c r="AJ46" s="2716"/>
      <c r="AK46" s="2716"/>
      <c r="AL46" s="2716"/>
      <c r="AM46" s="2716"/>
      <c r="AN46" s="2716"/>
      <c r="AO46" s="2716"/>
      <c r="AP46" s="2716"/>
      <c r="AQ46" s="2716"/>
      <c r="AR46" s="2716"/>
      <c r="AS46" s="2716"/>
      <c r="AT46" s="2716"/>
      <c r="AU46" s="2716"/>
      <c r="AV46" s="2716"/>
      <c r="AW46" s="2716"/>
      <c r="AX46" s="2716"/>
      <c r="AY46" s="2716"/>
      <c r="AZ46" s="2716"/>
      <c r="BA46" s="2716"/>
      <c r="BB46" s="2716"/>
      <c r="BC46" s="2716"/>
      <c r="BD46" s="2716"/>
      <c r="BE46" s="2716"/>
      <c r="BF46" s="2716"/>
      <c r="BG46" s="2716"/>
      <c r="BH46" s="2716"/>
      <c r="BI46" s="2716"/>
      <c r="BJ46" s="2755"/>
      <c r="BK46" s="3010"/>
      <c r="BL46" s="3010"/>
      <c r="BM46" s="3040"/>
      <c r="BN46" s="3016"/>
      <c r="BO46" s="2993"/>
      <c r="BP46" s="2949"/>
      <c r="BQ46" s="3037"/>
      <c r="BR46" s="3019"/>
      <c r="BS46" s="3037"/>
      <c r="BT46" s="3019"/>
      <c r="BU46" s="3022"/>
    </row>
    <row r="47" spans="1:73" ht="29.25" customHeight="1" x14ac:dyDescent="0.25">
      <c r="A47" s="2903"/>
      <c r="B47" s="2904"/>
      <c r="C47" s="2795"/>
      <c r="D47" s="2996"/>
      <c r="E47" s="3000"/>
      <c r="F47" s="3001"/>
      <c r="G47" s="3004"/>
      <c r="H47" s="3005"/>
      <c r="I47" s="3004"/>
      <c r="J47" s="3007"/>
      <c r="K47" s="2987"/>
      <c r="L47" s="2990"/>
      <c r="M47" s="2987"/>
      <c r="N47" s="2990"/>
      <c r="O47" s="2755"/>
      <c r="P47" s="2928"/>
      <c r="Q47" s="2755"/>
      <c r="R47" s="2993"/>
      <c r="S47" s="2761"/>
      <c r="T47" s="3010"/>
      <c r="U47" s="2993"/>
      <c r="V47" s="3013"/>
      <c r="W47" s="3025"/>
      <c r="X47" s="51">
        <v>1500000</v>
      </c>
      <c r="Y47" s="51"/>
      <c r="Z47" s="51"/>
      <c r="AA47" s="479" t="s">
        <v>489</v>
      </c>
      <c r="AB47" s="3016"/>
      <c r="AC47" s="2755"/>
      <c r="AD47" s="2716"/>
      <c r="AE47" s="2716"/>
      <c r="AF47" s="2716"/>
      <c r="AG47" s="2716"/>
      <c r="AH47" s="2716"/>
      <c r="AI47" s="2716"/>
      <c r="AJ47" s="2716"/>
      <c r="AK47" s="2716"/>
      <c r="AL47" s="2716"/>
      <c r="AM47" s="2716"/>
      <c r="AN47" s="2716"/>
      <c r="AO47" s="2716"/>
      <c r="AP47" s="2716"/>
      <c r="AQ47" s="2716"/>
      <c r="AR47" s="2716"/>
      <c r="AS47" s="2716"/>
      <c r="AT47" s="2716"/>
      <c r="AU47" s="2716"/>
      <c r="AV47" s="2716"/>
      <c r="AW47" s="2716"/>
      <c r="AX47" s="2716"/>
      <c r="AY47" s="2716"/>
      <c r="AZ47" s="2716"/>
      <c r="BA47" s="2716"/>
      <c r="BB47" s="2716"/>
      <c r="BC47" s="2716"/>
      <c r="BD47" s="2716"/>
      <c r="BE47" s="2716"/>
      <c r="BF47" s="2716"/>
      <c r="BG47" s="2716"/>
      <c r="BH47" s="2716"/>
      <c r="BI47" s="2716"/>
      <c r="BJ47" s="2755"/>
      <c r="BK47" s="3010"/>
      <c r="BL47" s="3010"/>
      <c r="BM47" s="3040"/>
      <c r="BN47" s="3016"/>
      <c r="BO47" s="2993"/>
      <c r="BP47" s="2949"/>
      <c r="BQ47" s="3037"/>
      <c r="BR47" s="3019"/>
      <c r="BS47" s="3037"/>
      <c r="BT47" s="3019"/>
      <c r="BU47" s="3022"/>
    </row>
    <row r="48" spans="1:73" ht="30" customHeight="1" x14ac:dyDescent="0.25">
      <c r="A48" s="2903"/>
      <c r="B48" s="2904"/>
      <c r="C48" s="2795"/>
      <c r="D48" s="2996"/>
      <c r="E48" s="3000"/>
      <c r="F48" s="3001"/>
      <c r="G48" s="3004"/>
      <c r="H48" s="3005"/>
      <c r="I48" s="3004"/>
      <c r="J48" s="3007"/>
      <c r="K48" s="2987"/>
      <c r="L48" s="2990"/>
      <c r="M48" s="2987"/>
      <c r="N48" s="2990"/>
      <c r="O48" s="2755"/>
      <c r="P48" s="2928"/>
      <c r="Q48" s="2755"/>
      <c r="R48" s="2993"/>
      <c r="S48" s="2761"/>
      <c r="T48" s="3010"/>
      <c r="U48" s="2993"/>
      <c r="V48" s="3013"/>
      <c r="W48" s="3026"/>
      <c r="X48" s="51">
        <v>500000</v>
      </c>
      <c r="Y48" s="51"/>
      <c r="Z48" s="51"/>
      <c r="AA48" s="479" t="s">
        <v>490</v>
      </c>
      <c r="AB48" s="3016"/>
      <c r="AC48" s="2755"/>
      <c r="AD48" s="2716"/>
      <c r="AE48" s="2716"/>
      <c r="AF48" s="2716"/>
      <c r="AG48" s="2716"/>
      <c r="AH48" s="2716"/>
      <c r="AI48" s="2716"/>
      <c r="AJ48" s="2716"/>
      <c r="AK48" s="2716"/>
      <c r="AL48" s="2716"/>
      <c r="AM48" s="2716"/>
      <c r="AN48" s="2716"/>
      <c r="AO48" s="2716"/>
      <c r="AP48" s="2716"/>
      <c r="AQ48" s="2716"/>
      <c r="AR48" s="2716"/>
      <c r="AS48" s="2716"/>
      <c r="AT48" s="2716"/>
      <c r="AU48" s="2716"/>
      <c r="AV48" s="2716"/>
      <c r="AW48" s="2716"/>
      <c r="AX48" s="2716"/>
      <c r="AY48" s="2716"/>
      <c r="AZ48" s="2716"/>
      <c r="BA48" s="2716"/>
      <c r="BB48" s="2716"/>
      <c r="BC48" s="2716"/>
      <c r="BD48" s="2716"/>
      <c r="BE48" s="2716"/>
      <c r="BF48" s="2716"/>
      <c r="BG48" s="2716"/>
      <c r="BH48" s="2716"/>
      <c r="BI48" s="2716"/>
      <c r="BJ48" s="2755"/>
      <c r="BK48" s="3010"/>
      <c r="BL48" s="3010"/>
      <c r="BM48" s="3040"/>
      <c r="BN48" s="3016"/>
      <c r="BO48" s="2993"/>
      <c r="BP48" s="2949"/>
      <c r="BQ48" s="3037"/>
      <c r="BR48" s="3019"/>
      <c r="BS48" s="3037"/>
      <c r="BT48" s="3019"/>
      <c r="BU48" s="3022"/>
    </row>
    <row r="49" spans="1:73" ht="45" x14ac:dyDescent="0.25">
      <c r="A49" s="2903"/>
      <c r="B49" s="2904"/>
      <c r="C49" s="2796"/>
      <c r="D49" s="2997"/>
      <c r="E49" s="3002"/>
      <c r="F49" s="3003"/>
      <c r="G49" s="3004"/>
      <c r="H49" s="3005"/>
      <c r="I49" s="3004"/>
      <c r="J49" s="3008"/>
      <c r="K49" s="2988"/>
      <c r="L49" s="2991"/>
      <c r="M49" s="2988"/>
      <c r="N49" s="2991"/>
      <c r="O49" s="2756"/>
      <c r="P49" s="2929"/>
      <c r="Q49" s="2756"/>
      <c r="R49" s="2994"/>
      <c r="S49" s="2762"/>
      <c r="T49" s="3011"/>
      <c r="U49" s="2994"/>
      <c r="V49" s="3014"/>
      <c r="W49" s="448" t="s">
        <v>491</v>
      </c>
      <c r="X49" s="51">
        <v>80104790</v>
      </c>
      <c r="Y49" s="51">
        <v>36587068</v>
      </c>
      <c r="Z49" s="51">
        <v>36587068</v>
      </c>
      <c r="AA49" s="479" t="s">
        <v>492</v>
      </c>
      <c r="AB49" s="3017"/>
      <c r="AC49" s="2756"/>
      <c r="AD49" s="2717"/>
      <c r="AE49" s="2717"/>
      <c r="AF49" s="2717"/>
      <c r="AG49" s="2717"/>
      <c r="AH49" s="2717"/>
      <c r="AI49" s="2717"/>
      <c r="AJ49" s="2717"/>
      <c r="AK49" s="2717"/>
      <c r="AL49" s="2717"/>
      <c r="AM49" s="2717"/>
      <c r="AN49" s="2717"/>
      <c r="AO49" s="2717"/>
      <c r="AP49" s="2717"/>
      <c r="AQ49" s="2717"/>
      <c r="AR49" s="2717"/>
      <c r="AS49" s="2717"/>
      <c r="AT49" s="2717"/>
      <c r="AU49" s="2717"/>
      <c r="AV49" s="2717"/>
      <c r="AW49" s="2717"/>
      <c r="AX49" s="2717"/>
      <c r="AY49" s="2717"/>
      <c r="AZ49" s="2717"/>
      <c r="BA49" s="2717"/>
      <c r="BB49" s="2717"/>
      <c r="BC49" s="2717"/>
      <c r="BD49" s="2717"/>
      <c r="BE49" s="2717"/>
      <c r="BF49" s="2717"/>
      <c r="BG49" s="2717"/>
      <c r="BH49" s="2717"/>
      <c r="BI49" s="2717"/>
      <c r="BJ49" s="2756"/>
      <c r="BK49" s="3011"/>
      <c r="BL49" s="3011"/>
      <c r="BM49" s="3041"/>
      <c r="BN49" s="3017"/>
      <c r="BO49" s="2994"/>
      <c r="BP49" s="2950"/>
      <c r="BQ49" s="3038"/>
      <c r="BR49" s="3020"/>
      <c r="BS49" s="3038"/>
      <c r="BT49" s="3020"/>
      <c r="BU49" s="3023"/>
    </row>
    <row r="50" spans="1:73" ht="15.75" x14ac:dyDescent="0.25">
      <c r="A50" s="2903"/>
      <c r="B50" s="2904"/>
      <c r="C50" s="483">
        <v>43</v>
      </c>
      <c r="D50" s="3027" t="s">
        <v>493</v>
      </c>
      <c r="E50" s="3028"/>
      <c r="F50" s="3028"/>
      <c r="G50" s="3028"/>
      <c r="H50" s="3028"/>
      <c r="I50" s="3028"/>
      <c r="J50" s="3028"/>
      <c r="K50" s="3029"/>
      <c r="L50" s="485"/>
      <c r="M50" s="484"/>
      <c r="N50" s="485"/>
      <c r="O50" s="486"/>
      <c r="P50" s="487"/>
      <c r="Q50" s="486"/>
      <c r="R50" s="488"/>
      <c r="S50" s="497"/>
      <c r="T50" s="507"/>
      <c r="U50" s="488"/>
      <c r="V50" s="488"/>
      <c r="W50" s="512"/>
      <c r="X50" s="493"/>
      <c r="Y50" s="493"/>
      <c r="Z50" s="493"/>
      <c r="AA50" s="494"/>
      <c r="AB50" s="495"/>
      <c r="AC50" s="488"/>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9"/>
      <c r="BN50" s="486"/>
      <c r="BO50" s="488"/>
      <c r="BP50" s="488"/>
      <c r="BQ50" s="499"/>
      <c r="BR50" s="499"/>
      <c r="BS50" s="499"/>
      <c r="BT50" s="499"/>
      <c r="BU50" s="491"/>
    </row>
    <row r="51" spans="1:73" s="4" customFormat="1" ht="15.75" x14ac:dyDescent="0.25">
      <c r="A51" s="2903"/>
      <c r="B51" s="2904"/>
      <c r="C51" s="2968"/>
      <c r="D51" s="2969"/>
      <c r="E51" s="190">
        <v>4301</v>
      </c>
      <c r="F51" s="514" t="s">
        <v>494</v>
      </c>
      <c r="G51" s="514"/>
      <c r="H51" s="194"/>
      <c r="I51" s="514"/>
      <c r="J51" s="194"/>
      <c r="K51" s="514"/>
      <c r="L51" s="194"/>
      <c r="M51" s="190"/>
      <c r="N51" s="194"/>
      <c r="O51" s="190"/>
      <c r="P51" s="500"/>
      <c r="Q51" s="190"/>
      <c r="R51" s="194"/>
      <c r="S51" s="192"/>
      <c r="T51" s="193"/>
      <c r="U51" s="194"/>
      <c r="V51" s="194"/>
      <c r="W51" s="194"/>
      <c r="X51" s="501"/>
      <c r="Y51" s="501"/>
      <c r="Z51" s="501"/>
      <c r="AA51" s="90"/>
      <c r="AB51" s="195"/>
      <c r="AC51" s="194"/>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502"/>
      <c r="BN51" s="190"/>
      <c r="BO51" s="194"/>
      <c r="BP51" s="194"/>
      <c r="BQ51" s="190"/>
      <c r="BR51" s="190"/>
      <c r="BS51" s="190"/>
      <c r="BT51" s="190"/>
      <c r="BU51" s="194"/>
    </row>
    <row r="52" spans="1:73" ht="36.75" customHeight="1" x14ac:dyDescent="0.25">
      <c r="A52" s="2903"/>
      <c r="B52" s="2904"/>
      <c r="C52" s="2795"/>
      <c r="D52" s="2498"/>
      <c r="E52" s="2968"/>
      <c r="F52" s="2969"/>
      <c r="G52" s="3030" t="s">
        <v>20</v>
      </c>
      <c r="H52" s="3033" t="s">
        <v>495</v>
      </c>
      <c r="I52" s="3030">
        <v>4301004</v>
      </c>
      <c r="J52" s="3033" t="s">
        <v>496</v>
      </c>
      <c r="K52" s="3044" t="s">
        <v>20</v>
      </c>
      <c r="L52" s="3033" t="s">
        <v>497</v>
      </c>
      <c r="M52" s="3030">
        <v>430100401</v>
      </c>
      <c r="N52" s="3033" t="s">
        <v>498</v>
      </c>
      <c r="O52" s="2752">
        <v>3</v>
      </c>
      <c r="P52" s="2927">
        <v>4</v>
      </c>
      <c r="Q52" s="2752" t="s">
        <v>499</v>
      </c>
      <c r="R52" s="2992" t="s">
        <v>500</v>
      </c>
      <c r="S52" s="2682">
        <f>SUM(X52:X73)/T52</f>
        <v>1</v>
      </c>
      <c r="T52" s="3009">
        <f>SUM(X52:X73)</f>
        <v>2760904177.1000004</v>
      </c>
      <c r="U52" s="2992" t="s">
        <v>501</v>
      </c>
      <c r="V52" s="3012" t="s">
        <v>502</v>
      </c>
      <c r="W52" s="3047" t="s">
        <v>470</v>
      </c>
      <c r="X52" s="84">
        <v>0</v>
      </c>
      <c r="Y52" s="43"/>
      <c r="Z52" s="43"/>
      <c r="AA52" s="479" t="s">
        <v>503</v>
      </c>
      <c r="AB52" s="3049" t="s">
        <v>504</v>
      </c>
      <c r="AC52" s="2547" t="s">
        <v>505</v>
      </c>
      <c r="AD52" s="2547">
        <v>295972</v>
      </c>
      <c r="AE52" s="2547">
        <v>295972</v>
      </c>
      <c r="AF52" s="2547">
        <v>285580</v>
      </c>
      <c r="AG52" s="2547">
        <v>285580</v>
      </c>
      <c r="AH52" s="2547">
        <v>135545</v>
      </c>
      <c r="AI52" s="2547">
        <v>135545</v>
      </c>
      <c r="AJ52" s="2547">
        <v>44254</v>
      </c>
      <c r="AK52" s="2547">
        <v>44254</v>
      </c>
      <c r="AL52" s="2547">
        <v>309146</v>
      </c>
      <c r="AM52" s="2547">
        <v>309146</v>
      </c>
      <c r="AN52" s="2547">
        <v>92607</v>
      </c>
      <c r="AO52" s="2547">
        <v>92607</v>
      </c>
      <c r="AP52" s="2547">
        <v>2145</v>
      </c>
      <c r="AQ52" s="2547">
        <v>2145</v>
      </c>
      <c r="AR52" s="2547">
        <v>12718</v>
      </c>
      <c r="AS52" s="2547">
        <v>12718</v>
      </c>
      <c r="AT52" s="2547">
        <v>26</v>
      </c>
      <c r="AU52" s="2547">
        <v>26</v>
      </c>
      <c r="AV52" s="2547">
        <v>37</v>
      </c>
      <c r="AW52" s="2547">
        <v>37</v>
      </c>
      <c r="AX52" s="2547">
        <v>0</v>
      </c>
      <c r="AY52" s="2547">
        <v>0</v>
      </c>
      <c r="AZ52" s="2547">
        <v>0</v>
      </c>
      <c r="BA52" s="2547">
        <v>0</v>
      </c>
      <c r="BB52" s="2547">
        <v>44350</v>
      </c>
      <c r="BC52" s="2547">
        <v>44350</v>
      </c>
      <c r="BD52" s="2547">
        <v>21944</v>
      </c>
      <c r="BE52" s="2547">
        <v>21944</v>
      </c>
      <c r="BF52" s="2547">
        <v>75687</v>
      </c>
      <c r="BG52" s="2547">
        <v>75687</v>
      </c>
      <c r="BH52" s="2547">
        <v>581552</v>
      </c>
      <c r="BI52" s="2547">
        <v>581552</v>
      </c>
      <c r="BJ52" s="2752">
        <v>70</v>
      </c>
      <c r="BK52" s="3009">
        <f>SUM(Y52:Y73)</f>
        <v>573180312.50999999</v>
      </c>
      <c r="BL52" s="3009">
        <f>SUM(Z52:Z73)</f>
        <v>573180312.50999999</v>
      </c>
      <c r="BM52" s="3039">
        <f>+BL52/BK52</f>
        <v>1</v>
      </c>
      <c r="BN52" s="3056" t="s">
        <v>504</v>
      </c>
      <c r="BO52" s="2545" t="s">
        <v>506</v>
      </c>
      <c r="BP52" s="2545" t="s">
        <v>424</v>
      </c>
      <c r="BQ52" s="3036">
        <v>44197</v>
      </c>
      <c r="BR52" s="3018">
        <v>44228</v>
      </c>
      <c r="BS52" s="3036">
        <v>44561</v>
      </c>
      <c r="BT52" s="3018">
        <v>44551</v>
      </c>
      <c r="BU52" s="3053" t="s">
        <v>425</v>
      </c>
    </row>
    <row r="53" spans="1:73" ht="34.5" customHeight="1" x14ac:dyDescent="0.25">
      <c r="A53" s="2903"/>
      <c r="B53" s="2904"/>
      <c r="C53" s="2795"/>
      <c r="D53" s="2498"/>
      <c r="E53" s="2795"/>
      <c r="F53" s="2498"/>
      <c r="G53" s="3031"/>
      <c r="H53" s="3034"/>
      <c r="I53" s="3031"/>
      <c r="J53" s="3034"/>
      <c r="K53" s="3045"/>
      <c r="L53" s="3034"/>
      <c r="M53" s="3031"/>
      <c r="N53" s="3034"/>
      <c r="O53" s="2755"/>
      <c r="P53" s="2928"/>
      <c r="Q53" s="2755"/>
      <c r="R53" s="2993"/>
      <c r="S53" s="3042"/>
      <c r="T53" s="3010"/>
      <c r="U53" s="2993"/>
      <c r="V53" s="3013"/>
      <c r="W53" s="3048"/>
      <c r="X53" s="84">
        <v>60000000</v>
      </c>
      <c r="Y53" s="43">
        <v>57143000</v>
      </c>
      <c r="Z53" s="43">
        <v>57143000</v>
      </c>
      <c r="AA53" s="479" t="s">
        <v>507</v>
      </c>
      <c r="AB53" s="3050"/>
      <c r="AC53" s="2716"/>
      <c r="AD53" s="2716"/>
      <c r="AE53" s="2716"/>
      <c r="AF53" s="2716"/>
      <c r="AG53" s="2716"/>
      <c r="AH53" s="2716"/>
      <c r="AI53" s="2716"/>
      <c r="AJ53" s="2716"/>
      <c r="AK53" s="2716"/>
      <c r="AL53" s="2716"/>
      <c r="AM53" s="2716"/>
      <c r="AN53" s="2716"/>
      <c r="AO53" s="2716"/>
      <c r="AP53" s="2716"/>
      <c r="AQ53" s="2716"/>
      <c r="AR53" s="2716"/>
      <c r="AS53" s="2716"/>
      <c r="AT53" s="2716"/>
      <c r="AU53" s="2716"/>
      <c r="AV53" s="2716"/>
      <c r="AW53" s="2716"/>
      <c r="AX53" s="2716"/>
      <c r="AY53" s="2716"/>
      <c r="AZ53" s="2716"/>
      <c r="BA53" s="2716"/>
      <c r="BB53" s="2716"/>
      <c r="BC53" s="2716"/>
      <c r="BD53" s="2716"/>
      <c r="BE53" s="2716"/>
      <c r="BF53" s="2716"/>
      <c r="BG53" s="2716"/>
      <c r="BH53" s="2716"/>
      <c r="BI53" s="2716"/>
      <c r="BJ53" s="2755"/>
      <c r="BK53" s="3010"/>
      <c r="BL53" s="3010"/>
      <c r="BM53" s="3040"/>
      <c r="BN53" s="3057"/>
      <c r="BO53" s="2781"/>
      <c r="BP53" s="2781"/>
      <c r="BQ53" s="3037"/>
      <c r="BR53" s="3019"/>
      <c r="BS53" s="3037"/>
      <c r="BT53" s="3019"/>
      <c r="BU53" s="3054"/>
    </row>
    <row r="54" spans="1:73" ht="34.5" customHeight="1" x14ac:dyDescent="0.25">
      <c r="A54" s="2903"/>
      <c r="B54" s="2904"/>
      <c r="C54" s="2795"/>
      <c r="D54" s="2498"/>
      <c r="E54" s="2795"/>
      <c r="F54" s="2498"/>
      <c r="G54" s="3031"/>
      <c r="H54" s="3034"/>
      <c r="I54" s="3031"/>
      <c r="J54" s="3034"/>
      <c r="K54" s="3045"/>
      <c r="L54" s="3034"/>
      <c r="M54" s="3031"/>
      <c r="N54" s="3034"/>
      <c r="O54" s="2755"/>
      <c r="P54" s="2928"/>
      <c r="Q54" s="2755"/>
      <c r="R54" s="2993"/>
      <c r="S54" s="3042"/>
      <c r="T54" s="3010"/>
      <c r="U54" s="2993"/>
      <c r="V54" s="3013"/>
      <c r="W54" s="2681" t="s">
        <v>508</v>
      </c>
      <c r="X54" s="51">
        <v>0</v>
      </c>
      <c r="Y54" s="43"/>
      <c r="Z54" s="43"/>
      <c r="AA54" s="479" t="s">
        <v>503</v>
      </c>
      <c r="AB54" s="3050"/>
      <c r="AC54" s="2716"/>
      <c r="AD54" s="2716"/>
      <c r="AE54" s="2716"/>
      <c r="AF54" s="2716"/>
      <c r="AG54" s="2716"/>
      <c r="AH54" s="2716"/>
      <c r="AI54" s="2716"/>
      <c r="AJ54" s="2716"/>
      <c r="AK54" s="2716"/>
      <c r="AL54" s="2716"/>
      <c r="AM54" s="2716"/>
      <c r="AN54" s="2716"/>
      <c r="AO54" s="2716"/>
      <c r="AP54" s="2716"/>
      <c r="AQ54" s="2716"/>
      <c r="AR54" s="2716"/>
      <c r="AS54" s="2716"/>
      <c r="AT54" s="2716"/>
      <c r="AU54" s="2716"/>
      <c r="AV54" s="2716"/>
      <c r="AW54" s="2716"/>
      <c r="AX54" s="2716"/>
      <c r="AY54" s="2716"/>
      <c r="AZ54" s="2716"/>
      <c r="BA54" s="2716"/>
      <c r="BB54" s="2716"/>
      <c r="BC54" s="2716"/>
      <c r="BD54" s="2716"/>
      <c r="BE54" s="2716"/>
      <c r="BF54" s="2716"/>
      <c r="BG54" s="2716"/>
      <c r="BH54" s="2716"/>
      <c r="BI54" s="2716"/>
      <c r="BJ54" s="2755"/>
      <c r="BK54" s="3010"/>
      <c r="BL54" s="3010"/>
      <c r="BM54" s="3040"/>
      <c r="BN54" s="3057"/>
      <c r="BO54" s="2781"/>
      <c r="BP54" s="2781"/>
      <c r="BQ54" s="3037"/>
      <c r="BR54" s="3019"/>
      <c r="BS54" s="3037"/>
      <c r="BT54" s="3019"/>
      <c r="BU54" s="3054"/>
    </row>
    <row r="55" spans="1:73" ht="38.25" customHeight="1" x14ac:dyDescent="0.25">
      <c r="A55" s="2903"/>
      <c r="B55" s="2904"/>
      <c r="C55" s="2795"/>
      <c r="D55" s="2498"/>
      <c r="E55" s="2795"/>
      <c r="F55" s="2498"/>
      <c r="G55" s="3031"/>
      <c r="H55" s="3034"/>
      <c r="I55" s="3031"/>
      <c r="J55" s="3034"/>
      <c r="K55" s="3045"/>
      <c r="L55" s="3034"/>
      <c r="M55" s="3031"/>
      <c r="N55" s="3034"/>
      <c r="O55" s="2755"/>
      <c r="P55" s="2928"/>
      <c r="Q55" s="2755"/>
      <c r="R55" s="2993"/>
      <c r="S55" s="3042"/>
      <c r="T55" s="3010"/>
      <c r="U55" s="2993"/>
      <c r="V55" s="3013"/>
      <c r="W55" s="2771"/>
      <c r="X55" s="51">
        <v>50000000</v>
      </c>
      <c r="Y55" s="43">
        <v>0</v>
      </c>
      <c r="Z55" s="43"/>
      <c r="AA55" s="479" t="s">
        <v>509</v>
      </c>
      <c r="AB55" s="3050"/>
      <c r="AC55" s="2716"/>
      <c r="AD55" s="2716"/>
      <c r="AE55" s="2716"/>
      <c r="AF55" s="2716"/>
      <c r="AG55" s="2716"/>
      <c r="AH55" s="2716"/>
      <c r="AI55" s="2716"/>
      <c r="AJ55" s="2716"/>
      <c r="AK55" s="2716"/>
      <c r="AL55" s="2716"/>
      <c r="AM55" s="2716"/>
      <c r="AN55" s="2716"/>
      <c r="AO55" s="2716"/>
      <c r="AP55" s="2716"/>
      <c r="AQ55" s="2716"/>
      <c r="AR55" s="2716"/>
      <c r="AS55" s="2716"/>
      <c r="AT55" s="2716"/>
      <c r="AU55" s="2716"/>
      <c r="AV55" s="2716"/>
      <c r="AW55" s="2716"/>
      <c r="AX55" s="2716"/>
      <c r="AY55" s="2716"/>
      <c r="AZ55" s="2716"/>
      <c r="BA55" s="2716"/>
      <c r="BB55" s="2716"/>
      <c r="BC55" s="2716"/>
      <c r="BD55" s="2716"/>
      <c r="BE55" s="2716"/>
      <c r="BF55" s="2716"/>
      <c r="BG55" s="2716"/>
      <c r="BH55" s="2716"/>
      <c r="BI55" s="2716"/>
      <c r="BJ55" s="2755"/>
      <c r="BK55" s="3010"/>
      <c r="BL55" s="3010"/>
      <c r="BM55" s="3040"/>
      <c r="BN55" s="3057"/>
      <c r="BO55" s="2781"/>
      <c r="BP55" s="2781"/>
      <c r="BQ55" s="3037"/>
      <c r="BR55" s="3019"/>
      <c r="BS55" s="3037"/>
      <c r="BT55" s="3019"/>
      <c r="BU55" s="3054"/>
    </row>
    <row r="56" spans="1:73" ht="38.25" customHeight="1" x14ac:dyDescent="0.25">
      <c r="A56" s="2903"/>
      <c r="B56" s="2904"/>
      <c r="C56" s="2795"/>
      <c r="D56" s="2498"/>
      <c r="E56" s="2795"/>
      <c r="F56" s="2498"/>
      <c r="G56" s="3031"/>
      <c r="H56" s="3034"/>
      <c r="I56" s="3031"/>
      <c r="J56" s="3034"/>
      <c r="K56" s="3045"/>
      <c r="L56" s="3034"/>
      <c r="M56" s="3031"/>
      <c r="N56" s="3034"/>
      <c r="O56" s="2755"/>
      <c r="P56" s="2928"/>
      <c r="Q56" s="2755"/>
      <c r="R56" s="2993"/>
      <c r="S56" s="3042"/>
      <c r="T56" s="3010"/>
      <c r="U56" s="2993"/>
      <c r="V56" s="3013"/>
      <c r="W56" s="2771"/>
      <c r="X56" s="51">
        <v>20000000</v>
      </c>
      <c r="Y56" s="43">
        <v>0</v>
      </c>
      <c r="Z56" s="43"/>
      <c r="AA56" s="479" t="s">
        <v>510</v>
      </c>
      <c r="AB56" s="3050"/>
      <c r="AC56" s="2716"/>
      <c r="AD56" s="2716"/>
      <c r="AE56" s="2716"/>
      <c r="AF56" s="2716"/>
      <c r="AG56" s="2716"/>
      <c r="AH56" s="2716"/>
      <c r="AI56" s="2716"/>
      <c r="AJ56" s="2716"/>
      <c r="AK56" s="2716"/>
      <c r="AL56" s="2716"/>
      <c r="AM56" s="2716"/>
      <c r="AN56" s="2716"/>
      <c r="AO56" s="2716"/>
      <c r="AP56" s="2716"/>
      <c r="AQ56" s="2716"/>
      <c r="AR56" s="2716"/>
      <c r="AS56" s="2716"/>
      <c r="AT56" s="2716"/>
      <c r="AU56" s="2716"/>
      <c r="AV56" s="2716"/>
      <c r="AW56" s="2716"/>
      <c r="AX56" s="2716"/>
      <c r="AY56" s="2716"/>
      <c r="AZ56" s="2716"/>
      <c r="BA56" s="2716"/>
      <c r="BB56" s="2716"/>
      <c r="BC56" s="2716"/>
      <c r="BD56" s="2716"/>
      <c r="BE56" s="2716"/>
      <c r="BF56" s="2716"/>
      <c r="BG56" s="2716"/>
      <c r="BH56" s="2716"/>
      <c r="BI56" s="2716"/>
      <c r="BJ56" s="2755"/>
      <c r="BK56" s="3010"/>
      <c r="BL56" s="3010"/>
      <c r="BM56" s="3040"/>
      <c r="BN56" s="3057"/>
      <c r="BO56" s="2781"/>
      <c r="BP56" s="2781"/>
      <c r="BQ56" s="3037"/>
      <c r="BR56" s="3019"/>
      <c r="BS56" s="3037"/>
      <c r="BT56" s="3019"/>
      <c r="BU56" s="3054"/>
    </row>
    <row r="57" spans="1:73" ht="38.25" customHeight="1" x14ac:dyDescent="0.25">
      <c r="A57" s="2903"/>
      <c r="B57" s="2904"/>
      <c r="C57" s="2795"/>
      <c r="D57" s="2498"/>
      <c r="E57" s="2795"/>
      <c r="F57" s="2498"/>
      <c r="G57" s="3031"/>
      <c r="H57" s="3034"/>
      <c r="I57" s="3031"/>
      <c r="J57" s="3034"/>
      <c r="K57" s="3045"/>
      <c r="L57" s="3034"/>
      <c r="M57" s="3031"/>
      <c r="N57" s="3034"/>
      <c r="O57" s="2755"/>
      <c r="P57" s="2928"/>
      <c r="Q57" s="2755"/>
      <c r="R57" s="2993"/>
      <c r="S57" s="3042"/>
      <c r="T57" s="3010"/>
      <c r="U57" s="2993"/>
      <c r="V57" s="3013"/>
      <c r="W57" s="2771"/>
      <c r="X57" s="51">
        <v>30000000</v>
      </c>
      <c r="Y57" s="43">
        <v>0</v>
      </c>
      <c r="Z57" s="43"/>
      <c r="AA57" s="479" t="s">
        <v>511</v>
      </c>
      <c r="AB57" s="3050"/>
      <c r="AC57" s="2716"/>
      <c r="AD57" s="2716"/>
      <c r="AE57" s="2716"/>
      <c r="AF57" s="2716"/>
      <c r="AG57" s="2716"/>
      <c r="AH57" s="2716"/>
      <c r="AI57" s="2716"/>
      <c r="AJ57" s="2716"/>
      <c r="AK57" s="2716"/>
      <c r="AL57" s="2716"/>
      <c r="AM57" s="2716"/>
      <c r="AN57" s="2716"/>
      <c r="AO57" s="2716"/>
      <c r="AP57" s="2716"/>
      <c r="AQ57" s="2716"/>
      <c r="AR57" s="2716"/>
      <c r="AS57" s="2716"/>
      <c r="AT57" s="2716"/>
      <c r="AU57" s="2716"/>
      <c r="AV57" s="2716"/>
      <c r="AW57" s="2716"/>
      <c r="AX57" s="2716"/>
      <c r="AY57" s="2716"/>
      <c r="AZ57" s="2716"/>
      <c r="BA57" s="2716"/>
      <c r="BB57" s="2716"/>
      <c r="BC57" s="2716"/>
      <c r="BD57" s="2716"/>
      <c r="BE57" s="2716"/>
      <c r="BF57" s="2716"/>
      <c r="BG57" s="2716"/>
      <c r="BH57" s="2716"/>
      <c r="BI57" s="2716"/>
      <c r="BJ57" s="2755"/>
      <c r="BK57" s="3010"/>
      <c r="BL57" s="3010"/>
      <c r="BM57" s="3040"/>
      <c r="BN57" s="3057"/>
      <c r="BO57" s="2781"/>
      <c r="BP57" s="2781"/>
      <c r="BQ57" s="3037"/>
      <c r="BR57" s="3019"/>
      <c r="BS57" s="3037"/>
      <c r="BT57" s="3019"/>
      <c r="BU57" s="3054"/>
    </row>
    <row r="58" spans="1:73" ht="38.25" customHeight="1" x14ac:dyDescent="0.25">
      <c r="A58" s="2903"/>
      <c r="B58" s="2904"/>
      <c r="C58" s="2795"/>
      <c r="D58" s="2498"/>
      <c r="E58" s="2795"/>
      <c r="F58" s="2498"/>
      <c r="G58" s="3031"/>
      <c r="H58" s="3034"/>
      <c r="I58" s="3031"/>
      <c r="J58" s="3034"/>
      <c r="K58" s="3045"/>
      <c r="L58" s="3034"/>
      <c r="M58" s="3031"/>
      <c r="N58" s="3034"/>
      <c r="O58" s="2755"/>
      <c r="P58" s="2928"/>
      <c r="Q58" s="2755"/>
      <c r="R58" s="2993"/>
      <c r="S58" s="3042"/>
      <c r="T58" s="3010"/>
      <c r="U58" s="2993"/>
      <c r="V58" s="3013"/>
      <c r="W58" s="2772"/>
      <c r="X58" s="51">
        <v>30000000</v>
      </c>
      <c r="Y58" s="43">
        <v>0</v>
      </c>
      <c r="Z58" s="43"/>
      <c r="AA58" s="479" t="s">
        <v>512</v>
      </c>
      <c r="AB58" s="3050"/>
      <c r="AC58" s="2716"/>
      <c r="AD58" s="2716"/>
      <c r="AE58" s="2716"/>
      <c r="AF58" s="2716"/>
      <c r="AG58" s="2716"/>
      <c r="AH58" s="2716"/>
      <c r="AI58" s="2716"/>
      <c r="AJ58" s="2716"/>
      <c r="AK58" s="2716"/>
      <c r="AL58" s="2716"/>
      <c r="AM58" s="2716"/>
      <c r="AN58" s="2716"/>
      <c r="AO58" s="2716"/>
      <c r="AP58" s="2716"/>
      <c r="AQ58" s="2716"/>
      <c r="AR58" s="2716"/>
      <c r="AS58" s="2716"/>
      <c r="AT58" s="2716"/>
      <c r="AU58" s="2716"/>
      <c r="AV58" s="2716"/>
      <c r="AW58" s="2716"/>
      <c r="AX58" s="2716"/>
      <c r="AY58" s="2716"/>
      <c r="AZ58" s="2716"/>
      <c r="BA58" s="2716"/>
      <c r="BB58" s="2716"/>
      <c r="BC58" s="2716"/>
      <c r="BD58" s="2716"/>
      <c r="BE58" s="2716"/>
      <c r="BF58" s="2716"/>
      <c r="BG58" s="2716"/>
      <c r="BH58" s="2716"/>
      <c r="BI58" s="2716"/>
      <c r="BJ58" s="2755"/>
      <c r="BK58" s="3010"/>
      <c r="BL58" s="3010"/>
      <c r="BM58" s="3040"/>
      <c r="BN58" s="3057"/>
      <c r="BO58" s="2781"/>
      <c r="BP58" s="2781"/>
      <c r="BQ58" s="3037"/>
      <c r="BR58" s="3019"/>
      <c r="BS58" s="3037"/>
      <c r="BT58" s="3019"/>
      <c r="BU58" s="3054"/>
    </row>
    <row r="59" spans="1:73" ht="52.5" customHeight="1" x14ac:dyDescent="0.25">
      <c r="A59" s="2903"/>
      <c r="B59" s="2904"/>
      <c r="C59" s="2795"/>
      <c r="D59" s="2498"/>
      <c r="E59" s="2795"/>
      <c r="F59" s="2498"/>
      <c r="G59" s="3031"/>
      <c r="H59" s="3034"/>
      <c r="I59" s="3031"/>
      <c r="J59" s="3034"/>
      <c r="K59" s="3045"/>
      <c r="L59" s="3034"/>
      <c r="M59" s="3031"/>
      <c r="N59" s="3034"/>
      <c r="O59" s="2755"/>
      <c r="P59" s="2928"/>
      <c r="Q59" s="2755"/>
      <c r="R59" s="2993"/>
      <c r="S59" s="3042"/>
      <c r="T59" s="3010"/>
      <c r="U59" s="2993"/>
      <c r="V59" s="3013"/>
      <c r="W59" s="2681" t="s">
        <v>513</v>
      </c>
      <c r="X59" s="84">
        <v>25600000</v>
      </c>
      <c r="Y59" s="43">
        <v>25600000</v>
      </c>
      <c r="Z59" s="43">
        <v>25600000</v>
      </c>
      <c r="AA59" s="479" t="s">
        <v>503</v>
      </c>
      <c r="AB59" s="3050"/>
      <c r="AC59" s="2716"/>
      <c r="AD59" s="2716"/>
      <c r="AE59" s="2716"/>
      <c r="AF59" s="2716"/>
      <c r="AG59" s="2716"/>
      <c r="AH59" s="2716"/>
      <c r="AI59" s="2716"/>
      <c r="AJ59" s="2716"/>
      <c r="AK59" s="2716"/>
      <c r="AL59" s="2716"/>
      <c r="AM59" s="2716"/>
      <c r="AN59" s="2716"/>
      <c r="AO59" s="2716"/>
      <c r="AP59" s="2716"/>
      <c r="AQ59" s="2716"/>
      <c r="AR59" s="2716"/>
      <c r="AS59" s="2716"/>
      <c r="AT59" s="2716"/>
      <c r="AU59" s="2716"/>
      <c r="AV59" s="2716"/>
      <c r="AW59" s="2716"/>
      <c r="AX59" s="2716"/>
      <c r="AY59" s="2716"/>
      <c r="AZ59" s="2716"/>
      <c r="BA59" s="2716"/>
      <c r="BB59" s="2716"/>
      <c r="BC59" s="2716"/>
      <c r="BD59" s="2716"/>
      <c r="BE59" s="2716"/>
      <c r="BF59" s="2716"/>
      <c r="BG59" s="2716"/>
      <c r="BH59" s="2716"/>
      <c r="BI59" s="2716"/>
      <c r="BJ59" s="2755"/>
      <c r="BK59" s="3010"/>
      <c r="BL59" s="3010"/>
      <c r="BM59" s="3040"/>
      <c r="BN59" s="3057"/>
      <c r="BO59" s="2781"/>
      <c r="BP59" s="2781"/>
      <c r="BQ59" s="3037"/>
      <c r="BR59" s="3019"/>
      <c r="BS59" s="3037"/>
      <c r="BT59" s="3019"/>
      <c r="BU59" s="3054"/>
    </row>
    <row r="60" spans="1:73" ht="36" customHeight="1" x14ac:dyDescent="0.25">
      <c r="A60" s="2903"/>
      <c r="B60" s="2904"/>
      <c r="C60" s="2795"/>
      <c r="D60" s="2498"/>
      <c r="E60" s="2795"/>
      <c r="F60" s="2498"/>
      <c r="G60" s="3031"/>
      <c r="H60" s="3034"/>
      <c r="I60" s="3031"/>
      <c r="J60" s="3034"/>
      <c r="K60" s="3045"/>
      <c r="L60" s="3034"/>
      <c r="M60" s="3031"/>
      <c r="N60" s="3034"/>
      <c r="O60" s="2755"/>
      <c r="P60" s="2928"/>
      <c r="Q60" s="2755"/>
      <c r="R60" s="2993"/>
      <c r="S60" s="3042"/>
      <c r="T60" s="3010"/>
      <c r="U60" s="2993"/>
      <c r="V60" s="3013"/>
      <c r="W60" s="2772"/>
      <c r="X60" s="84">
        <v>51773332</v>
      </c>
      <c r="Y60" s="43">
        <v>51653332</v>
      </c>
      <c r="Z60" s="43">
        <v>51653332</v>
      </c>
      <c r="AA60" s="479" t="s">
        <v>514</v>
      </c>
      <c r="AB60" s="3050"/>
      <c r="AC60" s="2716"/>
      <c r="AD60" s="2716"/>
      <c r="AE60" s="2716"/>
      <c r="AF60" s="2716"/>
      <c r="AG60" s="2716"/>
      <c r="AH60" s="2716"/>
      <c r="AI60" s="2716"/>
      <c r="AJ60" s="2716"/>
      <c r="AK60" s="2716"/>
      <c r="AL60" s="2716"/>
      <c r="AM60" s="2716"/>
      <c r="AN60" s="2716"/>
      <c r="AO60" s="2716"/>
      <c r="AP60" s="2716"/>
      <c r="AQ60" s="2716"/>
      <c r="AR60" s="2716"/>
      <c r="AS60" s="2716"/>
      <c r="AT60" s="2716"/>
      <c r="AU60" s="2716"/>
      <c r="AV60" s="2716"/>
      <c r="AW60" s="2716"/>
      <c r="AX60" s="2716"/>
      <c r="AY60" s="2716"/>
      <c r="AZ60" s="2716"/>
      <c r="BA60" s="2716"/>
      <c r="BB60" s="2716"/>
      <c r="BC60" s="2716"/>
      <c r="BD60" s="2716"/>
      <c r="BE60" s="2716"/>
      <c r="BF60" s="2716"/>
      <c r="BG60" s="2716"/>
      <c r="BH60" s="2716"/>
      <c r="BI60" s="2716"/>
      <c r="BJ60" s="2755"/>
      <c r="BK60" s="3010"/>
      <c r="BL60" s="3010"/>
      <c r="BM60" s="3040"/>
      <c r="BN60" s="3057"/>
      <c r="BO60" s="2781"/>
      <c r="BP60" s="2781"/>
      <c r="BQ60" s="3037"/>
      <c r="BR60" s="3019"/>
      <c r="BS60" s="3037"/>
      <c r="BT60" s="3019"/>
      <c r="BU60" s="3054"/>
    </row>
    <row r="61" spans="1:73" ht="38.25" customHeight="1" x14ac:dyDescent="0.25">
      <c r="A61" s="2903"/>
      <c r="B61" s="2904"/>
      <c r="C61" s="2795"/>
      <c r="D61" s="2498"/>
      <c r="E61" s="2795"/>
      <c r="F61" s="2498"/>
      <c r="G61" s="3031"/>
      <c r="H61" s="3034"/>
      <c r="I61" s="3031"/>
      <c r="J61" s="3034"/>
      <c r="K61" s="3045"/>
      <c r="L61" s="3034"/>
      <c r="M61" s="3031"/>
      <c r="N61" s="3034"/>
      <c r="O61" s="2755"/>
      <c r="P61" s="2928"/>
      <c r="Q61" s="2755"/>
      <c r="R61" s="2993"/>
      <c r="S61" s="3042"/>
      <c r="T61" s="3010"/>
      <c r="U61" s="2993"/>
      <c r="V61" s="3013"/>
      <c r="W61" s="2681" t="s">
        <v>515</v>
      </c>
      <c r="X61" s="84">
        <v>38250000</v>
      </c>
      <c r="Y61" s="43">
        <v>38250000</v>
      </c>
      <c r="Z61" s="43">
        <v>38250000</v>
      </c>
      <c r="AA61" s="479" t="s">
        <v>503</v>
      </c>
      <c r="AB61" s="3050"/>
      <c r="AC61" s="2716"/>
      <c r="AD61" s="2716"/>
      <c r="AE61" s="2716"/>
      <c r="AF61" s="2716"/>
      <c r="AG61" s="2716"/>
      <c r="AH61" s="2716"/>
      <c r="AI61" s="2716"/>
      <c r="AJ61" s="2716"/>
      <c r="AK61" s="2716"/>
      <c r="AL61" s="2716"/>
      <c r="AM61" s="2716"/>
      <c r="AN61" s="2716"/>
      <c r="AO61" s="2716"/>
      <c r="AP61" s="2716"/>
      <c r="AQ61" s="2716"/>
      <c r="AR61" s="2716"/>
      <c r="AS61" s="2716"/>
      <c r="AT61" s="2716"/>
      <c r="AU61" s="2716"/>
      <c r="AV61" s="2716"/>
      <c r="AW61" s="2716"/>
      <c r="AX61" s="2716"/>
      <c r="AY61" s="2716"/>
      <c r="AZ61" s="2716"/>
      <c r="BA61" s="2716"/>
      <c r="BB61" s="2716"/>
      <c r="BC61" s="2716"/>
      <c r="BD61" s="2716"/>
      <c r="BE61" s="2716"/>
      <c r="BF61" s="2716"/>
      <c r="BG61" s="2716"/>
      <c r="BH61" s="2716"/>
      <c r="BI61" s="2716"/>
      <c r="BJ61" s="2755"/>
      <c r="BK61" s="3010"/>
      <c r="BL61" s="3010"/>
      <c r="BM61" s="3040"/>
      <c r="BN61" s="3057"/>
      <c r="BO61" s="2781"/>
      <c r="BP61" s="2781"/>
      <c r="BQ61" s="3037"/>
      <c r="BR61" s="3019"/>
      <c r="BS61" s="3037"/>
      <c r="BT61" s="3019"/>
      <c r="BU61" s="3054"/>
    </row>
    <row r="62" spans="1:73" ht="47.25" customHeight="1" x14ac:dyDescent="0.25">
      <c r="A62" s="2903"/>
      <c r="B62" s="2904"/>
      <c r="C62" s="2795"/>
      <c r="D62" s="2498"/>
      <c r="E62" s="2795"/>
      <c r="F62" s="2498"/>
      <c r="G62" s="3031"/>
      <c r="H62" s="3034"/>
      <c r="I62" s="3031"/>
      <c r="J62" s="3034"/>
      <c r="K62" s="3045"/>
      <c r="L62" s="3034"/>
      <c r="M62" s="3031"/>
      <c r="N62" s="3034"/>
      <c r="O62" s="2755"/>
      <c r="P62" s="2928"/>
      <c r="Q62" s="2755"/>
      <c r="R62" s="2993"/>
      <c r="S62" s="3042"/>
      <c r="T62" s="3010"/>
      <c r="U62" s="2993"/>
      <c r="V62" s="3013"/>
      <c r="W62" s="2772"/>
      <c r="X62" s="84">
        <v>46228334</v>
      </c>
      <c r="Y62" s="43">
        <v>45513333</v>
      </c>
      <c r="Z62" s="43">
        <v>45513333</v>
      </c>
      <c r="AA62" s="479" t="s">
        <v>514</v>
      </c>
      <c r="AB62" s="3050"/>
      <c r="AC62" s="2716"/>
      <c r="AD62" s="2716"/>
      <c r="AE62" s="2716"/>
      <c r="AF62" s="2716"/>
      <c r="AG62" s="2716"/>
      <c r="AH62" s="2716"/>
      <c r="AI62" s="2716"/>
      <c r="AJ62" s="2716"/>
      <c r="AK62" s="2716"/>
      <c r="AL62" s="2716"/>
      <c r="AM62" s="2716"/>
      <c r="AN62" s="2716"/>
      <c r="AO62" s="2716"/>
      <c r="AP62" s="2716"/>
      <c r="AQ62" s="2716"/>
      <c r="AR62" s="2716"/>
      <c r="AS62" s="2716"/>
      <c r="AT62" s="2716"/>
      <c r="AU62" s="2716"/>
      <c r="AV62" s="2716"/>
      <c r="AW62" s="2716"/>
      <c r="AX62" s="2716"/>
      <c r="AY62" s="2716"/>
      <c r="AZ62" s="2716"/>
      <c r="BA62" s="2716"/>
      <c r="BB62" s="2716"/>
      <c r="BC62" s="2716"/>
      <c r="BD62" s="2716"/>
      <c r="BE62" s="2716"/>
      <c r="BF62" s="2716"/>
      <c r="BG62" s="2716"/>
      <c r="BH62" s="2716"/>
      <c r="BI62" s="2716"/>
      <c r="BJ62" s="2755"/>
      <c r="BK62" s="3010"/>
      <c r="BL62" s="3010"/>
      <c r="BM62" s="3040"/>
      <c r="BN62" s="3057"/>
      <c r="BO62" s="2781"/>
      <c r="BP62" s="2781"/>
      <c r="BQ62" s="3037"/>
      <c r="BR62" s="3019"/>
      <c r="BS62" s="3037"/>
      <c r="BT62" s="3019"/>
      <c r="BU62" s="3054"/>
    </row>
    <row r="63" spans="1:73" ht="40.5" customHeight="1" x14ac:dyDescent="0.25">
      <c r="A63" s="2903"/>
      <c r="B63" s="2904"/>
      <c r="C63" s="2795"/>
      <c r="D63" s="2498"/>
      <c r="E63" s="2795"/>
      <c r="F63" s="2498"/>
      <c r="G63" s="3031"/>
      <c r="H63" s="3034"/>
      <c r="I63" s="3031"/>
      <c r="J63" s="3034"/>
      <c r="K63" s="3045"/>
      <c r="L63" s="3034"/>
      <c r="M63" s="3031"/>
      <c r="N63" s="3034"/>
      <c r="O63" s="2755"/>
      <c r="P63" s="2928"/>
      <c r="Q63" s="2755"/>
      <c r="R63" s="2993"/>
      <c r="S63" s="3042"/>
      <c r="T63" s="3010"/>
      <c r="U63" s="2993"/>
      <c r="V63" s="3013"/>
      <c r="W63" s="3024" t="s">
        <v>463</v>
      </c>
      <c r="X63" s="84">
        <v>31300000</v>
      </c>
      <c r="Y63" s="43">
        <v>31300000</v>
      </c>
      <c r="Z63" s="43">
        <v>31300000</v>
      </c>
      <c r="AA63" s="479" t="s">
        <v>503</v>
      </c>
      <c r="AB63" s="3050"/>
      <c r="AC63" s="2716"/>
      <c r="AD63" s="2716"/>
      <c r="AE63" s="2716"/>
      <c r="AF63" s="2716"/>
      <c r="AG63" s="2716"/>
      <c r="AH63" s="2716"/>
      <c r="AI63" s="2716"/>
      <c r="AJ63" s="2716"/>
      <c r="AK63" s="2716"/>
      <c r="AL63" s="2716"/>
      <c r="AM63" s="2716"/>
      <c r="AN63" s="2716"/>
      <c r="AO63" s="2716"/>
      <c r="AP63" s="2716"/>
      <c r="AQ63" s="2716"/>
      <c r="AR63" s="2716"/>
      <c r="AS63" s="2716"/>
      <c r="AT63" s="2716"/>
      <c r="AU63" s="2716"/>
      <c r="AV63" s="2716"/>
      <c r="AW63" s="2716"/>
      <c r="AX63" s="2716"/>
      <c r="AY63" s="2716"/>
      <c r="AZ63" s="2716"/>
      <c r="BA63" s="2716"/>
      <c r="BB63" s="2716"/>
      <c r="BC63" s="2716"/>
      <c r="BD63" s="2716"/>
      <c r="BE63" s="2716"/>
      <c r="BF63" s="2716"/>
      <c r="BG63" s="2716"/>
      <c r="BH63" s="2716"/>
      <c r="BI63" s="2716"/>
      <c r="BJ63" s="2755"/>
      <c r="BK63" s="3010"/>
      <c r="BL63" s="3010"/>
      <c r="BM63" s="3040"/>
      <c r="BN63" s="3057"/>
      <c r="BO63" s="2781"/>
      <c r="BP63" s="2781"/>
      <c r="BQ63" s="3037"/>
      <c r="BR63" s="3019"/>
      <c r="BS63" s="3037"/>
      <c r="BT63" s="3019"/>
      <c r="BU63" s="3054"/>
    </row>
    <row r="64" spans="1:73" ht="45" customHeight="1" x14ac:dyDescent="0.25">
      <c r="A64" s="2903"/>
      <c r="B64" s="2904"/>
      <c r="C64" s="2795"/>
      <c r="D64" s="2498"/>
      <c r="E64" s="2795"/>
      <c r="F64" s="2498"/>
      <c r="G64" s="3031"/>
      <c r="H64" s="3034"/>
      <c r="I64" s="3031"/>
      <c r="J64" s="3034"/>
      <c r="K64" s="3045"/>
      <c r="L64" s="3034"/>
      <c r="M64" s="3031"/>
      <c r="N64" s="3034"/>
      <c r="O64" s="2755"/>
      <c r="P64" s="2928"/>
      <c r="Q64" s="2755"/>
      <c r="R64" s="2993"/>
      <c r="S64" s="3042"/>
      <c r="T64" s="3010"/>
      <c r="U64" s="2993"/>
      <c r="V64" s="3013"/>
      <c r="W64" s="3052"/>
      <c r="X64" s="84">
        <v>100000000</v>
      </c>
      <c r="Y64" s="43">
        <v>23632500</v>
      </c>
      <c r="Z64" s="43">
        <v>23632500</v>
      </c>
      <c r="AA64" s="479" t="s">
        <v>516</v>
      </c>
      <c r="AB64" s="3050"/>
      <c r="AC64" s="2716"/>
      <c r="AD64" s="2716"/>
      <c r="AE64" s="2716"/>
      <c r="AF64" s="2716"/>
      <c r="AG64" s="2716"/>
      <c r="AH64" s="2716"/>
      <c r="AI64" s="2716"/>
      <c r="AJ64" s="2716"/>
      <c r="AK64" s="2716"/>
      <c r="AL64" s="2716"/>
      <c r="AM64" s="2716"/>
      <c r="AN64" s="2716"/>
      <c r="AO64" s="2716"/>
      <c r="AP64" s="2716"/>
      <c r="AQ64" s="2716"/>
      <c r="AR64" s="2716"/>
      <c r="AS64" s="2716"/>
      <c r="AT64" s="2716"/>
      <c r="AU64" s="2716"/>
      <c r="AV64" s="2716"/>
      <c r="AW64" s="2716"/>
      <c r="AX64" s="2716"/>
      <c r="AY64" s="2716"/>
      <c r="AZ64" s="2716"/>
      <c r="BA64" s="2716"/>
      <c r="BB64" s="2716"/>
      <c r="BC64" s="2716"/>
      <c r="BD64" s="2716"/>
      <c r="BE64" s="2716"/>
      <c r="BF64" s="2716"/>
      <c r="BG64" s="2716"/>
      <c r="BH64" s="2716"/>
      <c r="BI64" s="2716"/>
      <c r="BJ64" s="2755"/>
      <c r="BK64" s="3010"/>
      <c r="BL64" s="3010"/>
      <c r="BM64" s="3040"/>
      <c r="BN64" s="3057"/>
      <c r="BO64" s="2781"/>
      <c r="BP64" s="2781"/>
      <c r="BQ64" s="3037"/>
      <c r="BR64" s="3019"/>
      <c r="BS64" s="3037"/>
      <c r="BT64" s="3019"/>
      <c r="BU64" s="3054"/>
    </row>
    <row r="65" spans="1:93" ht="55.5" customHeight="1" x14ac:dyDescent="0.25">
      <c r="A65" s="2903"/>
      <c r="B65" s="2904"/>
      <c r="C65" s="2795"/>
      <c r="D65" s="2498"/>
      <c r="E65" s="2795"/>
      <c r="F65" s="2498"/>
      <c r="G65" s="3031"/>
      <c r="H65" s="3034"/>
      <c r="I65" s="3031"/>
      <c r="J65" s="3034"/>
      <c r="K65" s="3045"/>
      <c r="L65" s="3034"/>
      <c r="M65" s="3031"/>
      <c r="N65" s="3034"/>
      <c r="O65" s="2755"/>
      <c r="P65" s="2928"/>
      <c r="Q65" s="2755"/>
      <c r="R65" s="2993"/>
      <c r="S65" s="3042"/>
      <c r="T65" s="3010"/>
      <c r="U65" s="2993"/>
      <c r="V65" s="3013"/>
      <c r="W65" s="2549" t="s">
        <v>517</v>
      </c>
      <c r="X65" s="84">
        <v>30600000</v>
      </c>
      <c r="Y65" s="43">
        <v>23600000</v>
      </c>
      <c r="Z65" s="43">
        <v>23600000</v>
      </c>
      <c r="AA65" s="479" t="s">
        <v>503</v>
      </c>
      <c r="AB65" s="3050"/>
      <c r="AC65" s="2716"/>
      <c r="AD65" s="2716"/>
      <c r="AE65" s="2716"/>
      <c r="AF65" s="2716"/>
      <c r="AG65" s="2716"/>
      <c r="AH65" s="2716"/>
      <c r="AI65" s="2716"/>
      <c r="AJ65" s="2716"/>
      <c r="AK65" s="2716"/>
      <c r="AL65" s="2716"/>
      <c r="AM65" s="2716"/>
      <c r="AN65" s="2716"/>
      <c r="AO65" s="2716"/>
      <c r="AP65" s="2716"/>
      <c r="AQ65" s="2716"/>
      <c r="AR65" s="2716"/>
      <c r="AS65" s="2716"/>
      <c r="AT65" s="2716"/>
      <c r="AU65" s="2716"/>
      <c r="AV65" s="2716"/>
      <c r="AW65" s="2716"/>
      <c r="AX65" s="2716"/>
      <c r="AY65" s="2716"/>
      <c r="AZ65" s="2716"/>
      <c r="BA65" s="2716"/>
      <c r="BB65" s="2716"/>
      <c r="BC65" s="2716"/>
      <c r="BD65" s="2716"/>
      <c r="BE65" s="2716"/>
      <c r="BF65" s="2716"/>
      <c r="BG65" s="2716"/>
      <c r="BH65" s="2716"/>
      <c r="BI65" s="2716"/>
      <c r="BJ65" s="2755"/>
      <c r="BK65" s="3010"/>
      <c r="BL65" s="3010"/>
      <c r="BM65" s="3040"/>
      <c r="BN65" s="3057"/>
      <c r="BO65" s="2781"/>
      <c r="BP65" s="2781"/>
      <c r="BQ65" s="3037"/>
      <c r="BR65" s="3019"/>
      <c r="BS65" s="3037"/>
      <c r="BT65" s="3019"/>
      <c r="BU65" s="3054"/>
    </row>
    <row r="66" spans="1:93" ht="74.25" customHeight="1" x14ac:dyDescent="0.25">
      <c r="A66" s="2903"/>
      <c r="B66" s="2904"/>
      <c r="C66" s="2795"/>
      <c r="D66" s="2498"/>
      <c r="E66" s="2795"/>
      <c r="F66" s="2498"/>
      <c r="G66" s="3031"/>
      <c r="H66" s="3034"/>
      <c r="I66" s="3031"/>
      <c r="J66" s="3034"/>
      <c r="K66" s="3045"/>
      <c r="L66" s="3034"/>
      <c r="M66" s="3031"/>
      <c r="N66" s="3034"/>
      <c r="O66" s="2755"/>
      <c r="P66" s="2928"/>
      <c r="Q66" s="2755"/>
      <c r="R66" s="2993"/>
      <c r="S66" s="3042"/>
      <c r="T66" s="3010"/>
      <c r="U66" s="2993"/>
      <c r="V66" s="3013"/>
      <c r="W66" s="2678"/>
      <c r="X66" s="84">
        <v>69709699.359999999</v>
      </c>
      <c r="Y66" s="43">
        <v>3420000</v>
      </c>
      <c r="Z66" s="43">
        <v>3420000</v>
      </c>
      <c r="AA66" s="479" t="s">
        <v>516</v>
      </c>
      <c r="AB66" s="3050"/>
      <c r="AC66" s="2716"/>
      <c r="AD66" s="2716"/>
      <c r="AE66" s="2716"/>
      <c r="AF66" s="2716"/>
      <c r="AG66" s="2716"/>
      <c r="AH66" s="2716"/>
      <c r="AI66" s="2716"/>
      <c r="AJ66" s="2716"/>
      <c r="AK66" s="2716"/>
      <c r="AL66" s="2716"/>
      <c r="AM66" s="2716"/>
      <c r="AN66" s="2716"/>
      <c r="AO66" s="2716"/>
      <c r="AP66" s="2716"/>
      <c r="AQ66" s="2716"/>
      <c r="AR66" s="2716"/>
      <c r="AS66" s="2716"/>
      <c r="AT66" s="2716"/>
      <c r="AU66" s="2716"/>
      <c r="AV66" s="2716"/>
      <c r="AW66" s="2716"/>
      <c r="AX66" s="2716"/>
      <c r="AY66" s="2716"/>
      <c r="AZ66" s="2716"/>
      <c r="BA66" s="2716"/>
      <c r="BB66" s="2716"/>
      <c r="BC66" s="2716"/>
      <c r="BD66" s="2716"/>
      <c r="BE66" s="2716"/>
      <c r="BF66" s="2716"/>
      <c r="BG66" s="2716"/>
      <c r="BH66" s="2716"/>
      <c r="BI66" s="2716"/>
      <c r="BJ66" s="2755"/>
      <c r="BK66" s="3010"/>
      <c r="BL66" s="3010"/>
      <c r="BM66" s="3040"/>
      <c r="BN66" s="3057"/>
      <c r="BO66" s="2781"/>
      <c r="BP66" s="2781"/>
      <c r="BQ66" s="3037"/>
      <c r="BR66" s="3019"/>
      <c r="BS66" s="3037"/>
      <c r="BT66" s="3019"/>
      <c r="BU66" s="3054"/>
    </row>
    <row r="67" spans="1:93" ht="75" customHeight="1" x14ac:dyDescent="0.25">
      <c r="A67" s="2903"/>
      <c r="B67" s="2904"/>
      <c r="C67" s="2795"/>
      <c r="D67" s="2498"/>
      <c r="E67" s="2795"/>
      <c r="F67" s="2498"/>
      <c r="G67" s="3031"/>
      <c r="H67" s="3034"/>
      <c r="I67" s="3031"/>
      <c r="J67" s="3034"/>
      <c r="K67" s="3045"/>
      <c r="L67" s="3034"/>
      <c r="M67" s="3031"/>
      <c r="N67" s="3034"/>
      <c r="O67" s="2755"/>
      <c r="P67" s="2928"/>
      <c r="Q67" s="2755"/>
      <c r="R67" s="2993"/>
      <c r="S67" s="3042"/>
      <c r="T67" s="3010"/>
      <c r="U67" s="2993"/>
      <c r="V67" s="3013"/>
      <c r="W67" s="2549" t="s">
        <v>426</v>
      </c>
      <c r="X67" s="84">
        <v>125530000</v>
      </c>
      <c r="Y67" s="43">
        <v>116356666</v>
      </c>
      <c r="Z67" s="43">
        <v>116356666</v>
      </c>
      <c r="AA67" s="479" t="s">
        <v>503</v>
      </c>
      <c r="AB67" s="3050"/>
      <c r="AC67" s="2716"/>
      <c r="AD67" s="2716"/>
      <c r="AE67" s="2716"/>
      <c r="AF67" s="2716"/>
      <c r="AG67" s="2716"/>
      <c r="AH67" s="2716"/>
      <c r="AI67" s="2716"/>
      <c r="AJ67" s="2716"/>
      <c r="AK67" s="2716"/>
      <c r="AL67" s="2716"/>
      <c r="AM67" s="2716"/>
      <c r="AN67" s="2716"/>
      <c r="AO67" s="2716"/>
      <c r="AP67" s="2716"/>
      <c r="AQ67" s="2716"/>
      <c r="AR67" s="2716"/>
      <c r="AS67" s="2716"/>
      <c r="AT67" s="2716"/>
      <c r="AU67" s="2716"/>
      <c r="AV67" s="2716"/>
      <c r="AW67" s="2716"/>
      <c r="AX67" s="2716"/>
      <c r="AY67" s="2716"/>
      <c r="AZ67" s="2716"/>
      <c r="BA67" s="2716"/>
      <c r="BB67" s="2716"/>
      <c r="BC67" s="2716"/>
      <c r="BD67" s="2716"/>
      <c r="BE67" s="2716"/>
      <c r="BF67" s="2716"/>
      <c r="BG67" s="2716"/>
      <c r="BH67" s="2716"/>
      <c r="BI67" s="2716"/>
      <c r="BJ67" s="2755"/>
      <c r="BK67" s="3010"/>
      <c r="BL67" s="3010"/>
      <c r="BM67" s="3040"/>
      <c r="BN67" s="3057"/>
      <c r="BO67" s="2781"/>
      <c r="BP67" s="2781"/>
      <c r="BQ67" s="3037"/>
      <c r="BR67" s="3019"/>
      <c r="BS67" s="3037"/>
      <c r="BT67" s="3019"/>
      <c r="BU67" s="3054"/>
    </row>
    <row r="68" spans="1:93" ht="65.25" customHeight="1" x14ac:dyDescent="0.25">
      <c r="A68" s="2903"/>
      <c r="B68" s="2904"/>
      <c r="C68" s="2795"/>
      <c r="D68" s="2498"/>
      <c r="E68" s="2795"/>
      <c r="F68" s="2498"/>
      <c r="G68" s="3031"/>
      <c r="H68" s="3034"/>
      <c r="I68" s="3031"/>
      <c r="J68" s="3034"/>
      <c r="K68" s="3045"/>
      <c r="L68" s="3034"/>
      <c r="M68" s="3031"/>
      <c r="N68" s="3034"/>
      <c r="O68" s="2755"/>
      <c r="P68" s="2928"/>
      <c r="Q68" s="2755"/>
      <c r="R68" s="2993"/>
      <c r="S68" s="3042"/>
      <c r="T68" s="3010"/>
      <c r="U68" s="2993"/>
      <c r="V68" s="3013"/>
      <c r="W68" s="2678"/>
      <c r="X68" s="84">
        <v>130000000</v>
      </c>
      <c r="Y68" s="43">
        <v>15293333</v>
      </c>
      <c r="Z68" s="43">
        <v>15293333</v>
      </c>
      <c r="AA68" s="479" t="s">
        <v>516</v>
      </c>
      <c r="AB68" s="3050"/>
      <c r="AC68" s="2716"/>
      <c r="AD68" s="2716"/>
      <c r="AE68" s="2716"/>
      <c r="AF68" s="2716"/>
      <c r="AG68" s="2716"/>
      <c r="AH68" s="2716"/>
      <c r="AI68" s="2716"/>
      <c r="AJ68" s="2716"/>
      <c r="AK68" s="2716"/>
      <c r="AL68" s="2716"/>
      <c r="AM68" s="2716"/>
      <c r="AN68" s="2716"/>
      <c r="AO68" s="2716"/>
      <c r="AP68" s="2716"/>
      <c r="AQ68" s="2716"/>
      <c r="AR68" s="2716"/>
      <c r="AS68" s="2716"/>
      <c r="AT68" s="2716"/>
      <c r="AU68" s="2716"/>
      <c r="AV68" s="2716"/>
      <c r="AW68" s="2716"/>
      <c r="AX68" s="2716"/>
      <c r="AY68" s="2716"/>
      <c r="AZ68" s="2716"/>
      <c r="BA68" s="2716"/>
      <c r="BB68" s="2716"/>
      <c r="BC68" s="2716"/>
      <c r="BD68" s="2716"/>
      <c r="BE68" s="2716"/>
      <c r="BF68" s="2716"/>
      <c r="BG68" s="2716"/>
      <c r="BH68" s="2716"/>
      <c r="BI68" s="2716"/>
      <c r="BJ68" s="2755"/>
      <c r="BK68" s="3010"/>
      <c r="BL68" s="3010"/>
      <c r="BM68" s="3040"/>
      <c r="BN68" s="3057"/>
      <c r="BO68" s="2781"/>
      <c r="BP68" s="2781"/>
      <c r="BQ68" s="3037"/>
      <c r="BR68" s="3019"/>
      <c r="BS68" s="3037"/>
      <c r="BT68" s="3019"/>
      <c r="BU68" s="3054"/>
    </row>
    <row r="69" spans="1:93" s="452" customFormat="1" ht="104.25" customHeight="1" x14ac:dyDescent="0.25">
      <c r="A69" s="2903"/>
      <c r="B69" s="2904"/>
      <c r="C69" s="2795"/>
      <c r="D69" s="2498"/>
      <c r="E69" s="2795"/>
      <c r="F69" s="2498"/>
      <c r="G69" s="3031"/>
      <c r="H69" s="3034"/>
      <c r="I69" s="3031"/>
      <c r="J69" s="3034"/>
      <c r="K69" s="3045"/>
      <c r="L69" s="3034"/>
      <c r="M69" s="3031"/>
      <c r="N69" s="3034"/>
      <c r="O69" s="2755"/>
      <c r="P69" s="2928"/>
      <c r="Q69" s="2755"/>
      <c r="R69" s="2993"/>
      <c r="S69" s="3042"/>
      <c r="T69" s="3010"/>
      <c r="U69" s="2993"/>
      <c r="V69" s="3013"/>
      <c r="W69" s="3024" t="s">
        <v>518</v>
      </c>
      <c r="X69" s="84">
        <v>1076358231.9200001</v>
      </c>
      <c r="Y69" s="43">
        <v>0</v>
      </c>
      <c r="Z69" s="43"/>
      <c r="AA69" s="515" t="s">
        <v>519</v>
      </c>
      <c r="AB69" s="3050"/>
      <c r="AC69" s="2716"/>
      <c r="AD69" s="2716"/>
      <c r="AE69" s="2716"/>
      <c r="AF69" s="2716"/>
      <c r="AG69" s="2716"/>
      <c r="AH69" s="2716"/>
      <c r="AI69" s="2716"/>
      <c r="AJ69" s="2716"/>
      <c r="AK69" s="2716"/>
      <c r="AL69" s="2716"/>
      <c r="AM69" s="2716"/>
      <c r="AN69" s="2716"/>
      <c r="AO69" s="2716"/>
      <c r="AP69" s="2716"/>
      <c r="AQ69" s="2716"/>
      <c r="AR69" s="2716"/>
      <c r="AS69" s="2716"/>
      <c r="AT69" s="2716"/>
      <c r="AU69" s="2716"/>
      <c r="AV69" s="2716"/>
      <c r="AW69" s="2716"/>
      <c r="AX69" s="2716"/>
      <c r="AY69" s="2716"/>
      <c r="AZ69" s="2716"/>
      <c r="BA69" s="2716"/>
      <c r="BB69" s="2716"/>
      <c r="BC69" s="2716"/>
      <c r="BD69" s="2716"/>
      <c r="BE69" s="2716"/>
      <c r="BF69" s="2716"/>
      <c r="BG69" s="2716"/>
      <c r="BH69" s="2716"/>
      <c r="BI69" s="2716"/>
      <c r="BJ69" s="2755"/>
      <c r="BK69" s="3010"/>
      <c r="BL69" s="3010"/>
      <c r="BM69" s="3040"/>
      <c r="BN69" s="3057"/>
      <c r="BO69" s="2781"/>
      <c r="BP69" s="2781"/>
      <c r="BQ69" s="3037"/>
      <c r="BR69" s="3019"/>
      <c r="BS69" s="3037"/>
      <c r="BT69" s="3019"/>
      <c r="BU69" s="3054"/>
    </row>
    <row r="70" spans="1:93" s="452" customFormat="1" ht="104.25" customHeight="1" x14ac:dyDescent="0.25">
      <c r="A70" s="2903"/>
      <c r="B70" s="2904"/>
      <c r="C70" s="2795"/>
      <c r="D70" s="2498"/>
      <c r="E70" s="2795"/>
      <c r="F70" s="2498"/>
      <c r="G70" s="3031"/>
      <c r="H70" s="3034"/>
      <c r="I70" s="3031"/>
      <c r="J70" s="3034"/>
      <c r="K70" s="3045"/>
      <c r="L70" s="3034"/>
      <c r="M70" s="3031"/>
      <c r="N70" s="3034"/>
      <c r="O70" s="2755"/>
      <c r="P70" s="2928"/>
      <c r="Q70" s="2755"/>
      <c r="R70" s="2993"/>
      <c r="S70" s="3042"/>
      <c r="T70" s="3010"/>
      <c r="U70" s="2993"/>
      <c r="V70" s="3013"/>
      <c r="W70" s="3052"/>
      <c r="X70" s="84">
        <v>480000000</v>
      </c>
      <c r="Y70" s="43">
        <v>0</v>
      </c>
      <c r="Z70" s="43"/>
      <c r="AA70" s="515" t="s">
        <v>520</v>
      </c>
      <c r="AB70" s="3050"/>
      <c r="AC70" s="2716"/>
      <c r="AD70" s="2716"/>
      <c r="AE70" s="2716"/>
      <c r="AF70" s="2716"/>
      <c r="AG70" s="2716"/>
      <c r="AH70" s="2716"/>
      <c r="AI70" s="2716"/>
      <c r="AJ70" s="2716"/>
      <c r="AK70" s="2716"/>
      <c r="AL70" s="2716"/>
      <c r="AM70" s="2716"/>
      <c r="AN70" s="2716"/>
      <c r="AO70" s="2716"/>
      <c r="AP70" s="2716"/>
      <c r="AQ70" s="2716"/>
      <c r="AR70" s="2716"/>
      <c r="AS70" s="2716"/>
      <c r="AT70" s="2716"/>
      <c r="AU70" s="2716"/>
      <c r="AV70" s="2716"/>
      <c r="AW70" s="2716"/>
      <c r="AX70" s="2716"/>
      <c r="AY70" s="2716"/>
      <c r="AZ70" s="2716"/>
      <c r="BA70" s="2716"/>
      <c r="BB70" s="2716"/>
      <c r="BC70" s="2716"/>
      <c r="BD70" s="2716"/>
      <c r="BE70" s="2716"/>
      <c r="BF70" s="2716"/>
      <c r="BG70" s="2716"/>
      <c r="BH70" s="2716"/>
      <c r="BI70" s="2716"/>
      <c r="BJ70" s="2755"/>
      <c r="BK70" s="3010"/>
      <c r="BL70" s="3010"/>
      <c r="BM70" s="3040"/>
      <c r="BN70" s="3057"/>
      <c r="BO70" s="2781"/>
      <c r="BP70" s="2781"/>
      <c r="BQ70" s="3037"/>
      <c r="BR70" s="3019"/>
      <c r="BS70" s="3037"/>
      <c r="BT70" s="3019"/>
      <c r="BU70" s="3054"/>
    </row>
    <row r="71" spans="1:93" s="452" customFormat="1" ht="59.25" customHeight="1" x14ac:dyDescent="0.25">
      <c r="A71" s="2903"/>
      <c r="B71" s="2904"/>
      <c r="C71" s="2795"/>
      <c r="D71" s="2498"/>
      <c r="E71" s="2795"/>
      <c r="F71" s="2498"/>
      <c r="G71" s="3031"/>
      <c r="H71" s="3034"/>
      <c r="I71" s="3031"/>
      <c r="J71" s="3034"/>
      <c r="K71" s="3045"/>
      <c r="L71" s="3034"/>
      <c r="M71" s="3031"/>
      <c r="N71" s="3034"/>
      <c r="O71" s="2755"/>
      <c r="P71" s="2928"/>
      <c r="Q71" s="2755"/>
      <c r="R71" s="2993"/>
      <c r="S71" s="3042"/>
      <c r="T71" s="3010"/>
      <c r="U71" s="2993"/>
      <c r="V71" s="3013"/>
      <c r="W71" s="3024" t="s">
        <v>521</v>
      </c>
      <c r="X71" s="84">
        <v>95554579.819999993</v>
      </c>
      <c r="Y71" s="43"/>
      <c r="Z71" s="43"/>
      <c r="AA71" s="479" t="s">
        <v>522</v>
      </c>
      <c r="AB71" s="3050"/>
      <c r="AC71" s="2716"/>
      <c r="AD71" s="2716"/>
      <c r="AE71" s="2716"/>
      <c r="AF71" s="2716"/>
      <c r="AG71" s="2716"/>
      <c r="AH71" s="2716"/>
      <c r="AI71" s="2716"/>
      <c r="AJ71" s="2716"/>
      <c r="AK71" s="2716"/>
      <c r="AL71" s="2716"/>
      <c r="AM71" s="2716"/>
      <c r="AN71" s="2716"/>
      <c r="AO71" s="2716"/>
      <c r="AP71" s="2716"/>
      <c r="AQ71" s="2716"/>
      <c r="AR71" s="2716"/>
      <c r="AS71" s="2716"/>
      <c r="AT71" s="2716"/>
      <c r="AU71" s="2716"/>
      <c r="AV71" s="2716"/>
      <c r="AW71" s="2716"/>
      <c r="AX71" s="2716"/>
      <c r="AY71" s="2716"/>
      <c r="AZ71" s="2716"/>
      <c r="BA71" s="2716"/>
      <c r="BB71" s="2716"/>
      <c r="BC71" s="2716"/>
      <c r="BD71" s="2716"/>
      <c r="BE71" s="2716"/>
      <c r="BF71" s="2716"/>
      <c r="BG71" s="2716"/>
      <c r="BH71" s="2716"/>
      <c r="BI71" s="2716"/>
      <c r="BJ71" s="2755"/>
      <c r="BK71" s="3010"/>
      <c r="BL71" s="3010"/>
      <c r="BM71" s="3040"/>
      <c r="BN71" s="3057"/>
      <c r="BO71" s="2781"/>
      <c r="BP71" s="2781"/>
      <c r="BQ71" s="3037"/>
      <c r="BR71" s="3019"/>
      <c r="BS71" s="3037"/>
      <c r="BT71" s="3019"/>
      <c r="BU71" s="3054"/>
    </row>
    <row r="72" spans="1:93" s="452" customFormat="1" ht="42" customHeight="1" x14ac:dyDescent="0.25">
      <c r="A72" s="2903"/>
      <c r="B72" s="2904"/>
      <c r="C72" s="2795"/>
      <c r="D72" s="2498"/>
      <c r="E72" s="2795"/>
      <c r="F72" s="2498"/>
      <c r="G72" s="3031"/>
      <c r="H72" s="3034"/>
      <c r="I72" s="3031"/>
      <c r="J72" s="3034"/>
      <c r="K72" s="3045"/>
      <c r="L72" s="3034"/>
      <c r="M72" s="3031"/>
      <c r="N72" s="3034"/>
      <c r="O72" s="2755"/>
      <c r="P72" s="2928"/>
      <c r="Q72" s="2755"/>
      <c r="R72" s="2993"/>
      <c r="S72" s="3042"/>
      <c r="T72" s="3010"/>
      <c r="U72" s="2993"/>
      <c r="V72" s="3013"/>
      <c r="W72" s="3026"/>
      <c r="X72" s="84">
        <v>150000000</v>
      </c>
      <c r="Y72" s="43">
        <v>141418148.50999999</v>
      </c>
      <c r="Z72" s="43">
        <v>141418148.50999999</v>
      </c>
      <c r="AA72" s="479" t="s">
        <v>516</v>
      </c>
      <c r="AB72" s="3050"/>
      <c r="AC72" s="2716"/>
      <c r="AD72" s="2716"/>
      <c r="AE72" s="2716"/>
      <c r="AF72" s="2716"/>
      <c r="AG72" s="2716"/>
      <c r="AH72" s="2716"/>
      <c r="AI72" s="2716"/>
      <c r="AJ72" s="2716"/>
      <c r="AK72" s="2716"/>
      <c r="AL72" s="2716"/>
      <c r="AM72" s="2716"/>
      <c r="AN72" s="2716"/>
      <c r="AO72" s="2716"/>
      <c r="AP72" s="2716"/>
      <c r="AQ72" s="2716"/>
      <c r="AR72" s="2716"/>
      <c r="AS72" s="2716"/>
      <c r="AT72" s="2716"/>
      <c r="AU72" s="2716"/>
      <c r="AV72" s="2716"/>
      <c r="AW72" s="2716"/>
      <c r="AX72" s="2716"/>
      <c r="AY72" s="2716"/>
      <c r="AZ72" s="2716"/>
      <c r="BA72" s="2716"/>
      <c r="BB72" s="2716"/>
      <c r="BC72" s="2716"/>
      <c r="BD72" s="2716"/>
      <c r="BE72" s="2716"/>
      <c r="BF72" s="2716"/>
      <c r="BG72" s="2716"/>
      <c r="BH72" s="2716"/>
      <c r="BI72" s="2716"/>
      <c r="BJ72" s="2755"/>
      <c r="BK72" s="3010"/>
      <c r="BL72" s="3010"/>
      <c r="BM72" s="3040"/>
      <c r="BN72" s="3057"/>
      <c r="BO72" s="2781"/>
      <c r="BP72" s="2781"/>
      <c r="BQ72" s="3037"/>
      <c r="BR72" s="3019"/>
      <c r="BS72" s="3037"/>
      <c r="BT72" s="3019"/>
      <c r="BU72" s="3054"/>
    </row>
    <row r="73" spans="1:93" s="452" customFormat="1" ht="42" customHeight="1" x14ac:dyDescent="0.25">
      <c r="A73" s="2903"/>
      <c r="B73" s="2904"/>
      <c r="C73" s="2796"/>
      <c r="D73" s="2970"/>
      <c r="E73" s="2796"/>
      <c r="F73" s="2970"/>
      <c r="G73" s="3032"/>
      <c r="H73" s="3035"/>
      <c r="I73" s="3032"/>
      <c r="J73" s="3035"/>
      <c r="K73" s="3046"/>
      <c r="L73" s="3035"/>
      <c r="M73" s="3032"/>
      <c r="N73" s="3035"/>
      <c r="O73" s="2756"/>
      <c r="P73" s="2929"/>
      <c r="Q73" s="2756"/>
      <c r="R73" s="2994"/>
      <c r="S73" s="3043"/>
      <c r="T73" s="3011"/>
      <c r="U73" s="2994"/>
      <c r="V73" s="3014"/>
      <c r="W73" s="516" t="s">
        <v>523</v>
      </c>
      <c r="X73" s="84">
        <v>120000000</v>
      </c>
      <c r="Y73" s="43"/>
      <c r="Z73" s="43"/>
      <c r="AA73" s="515" t="s">
        <v>520</v>
      </c>
      <c r="AB73" s="3051"/>
      <c r="AC73" s="2717"/>
      <c r="AD73" s="2717"/>
      <c r="AE73" s="2717"/>
      <c r="AF73" s="2717"/>
      <c r="AG73" s="2717"/>
      <c r="AH73" s="2717"/>
      <c r="AI73" s="2717"/>
      <c r="AJ73" s="2717"/>
      <c r="AK73" s="2717"/>
      <c r="AL73" s="2717"/>
      <c r="AM73" s="2717"/>
      <c r="AN73" s="2717"/>
      <c r="AO73" s="2717"/>
      <c r="AP73" s="2717"/>
      <c r="AQ73" s="2717"/>
      <c r="AR73" s="2717"/>
      <c r="AS73" s="2717"/>
      <c r="AT73" s="2717"/>
      <c r="AU73" s="2717"/>
      <c r="AV73" s="2717"/>
      <c r="AW73" s="2717"/>
      <c r="AX73" s="2717"/>
      <c r="AY73" s="2717"/>
      <c r="AZ73" s="2717"/>
      <c r="BA73" s="2717"/>
      <c r="BB73" s="2717"/>
      <c r="BC73" s="2717"/>
      <c r="BD73" s="2717"/>
      <c r="BE73" s="2717"/>
      <c r="BF73" s="2717"/>
      <c r="BG73" s="2717"/>
      <c r="BH73" s="2717"/>
      <c r="BI73" s="2717"/>
      <c r="BJ73" s="2756"/>
      <c r="BK73" s="3011"/>
      <c r="BL73" s="3011"/>
      <c r="BM73" s="3041"/>
      <c r="BN73" s="3058"/>
      <c r="BO73" s="2782"/>
      <c r="BP73" s="2782"/>
      <c r="BQ73" s="3038"/>
      <c r="BR73" s="3020"/>
      <c r="BS73" s="3038"/>
      <c r="BT73" s="3020"/>
      <c r="BU73" s="3055"/>
    </row>
    <row r="74" spans="1:93" s="14" customFormat="1" ht="24" customHeight="1" x14ac:dyDescent="0.25">
      <c r="A74" s="517">
        <v>3</v>
      </c>
      <c r="B74" s="3062" t="s">
        <v>524</v>
      </c>
      <c r="C74" s="2900"/>
      <c r="D74" s="2900"/>
      <c r="E74" s="2900"/>
      <c r="F74" s="2900"/>
      <c r="G74" s="2900"/>
      <c r="H74" s="2900"/>
      <c r="I74" s="166"/>
      <c r="J74" s="165"/>
      <c r="K74" s="166"/>
      <c r="L74" s="165"/>
      <c r="M74" s="166"/>
      <c r="N74" s="165"/>
      <c r="O74" s="166"/>
      <c r="P74" s="518"/>
      <c r="Q74" s="166"/>
      <c r="R74" s="165"/>
      <c r="S74" s="169"/>
      <c r="T74" s="519"/>
      <c r="U74" s="165"/>
      <c r="V74" s="165"/>
      <c r="W74" s="165"/>
      <c r="X74" s="520"/>
      <c r="Y74" s="520"/>
      <c r="Z74" s="520"/>
      <c r="AA74" s="120"/>
      <c r="AB74" s="468"/>
      <c r="AC74" s="165"/>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469"/>
      <c r="BN74" s="166"/>
      <c r="BO74" s="165"/>
      <c r="BP74" s="165"/>
      <c r="BQ74" s="166"/>
      <c r="BR74" s="166"/>
      <c r="BS74" s="166"/>
      <c r="BT74" s="166"/>
      <c r="BU74" s="165"/>
      <c r="BV74" s="4"/>
      <c r="BW74" s="4"/>
      <c r="BX74" s="4"/>
      <c r="BY74" s="4"/>
      <c r="BZ74" s="4"/>
      <c r="CA74" s="4"/>
      <c r="CB74" s="4"/>
      <c r="CC74" s="4"/>
      <c r="CD74" s="4"/>
      <c r="CE74" s="4"/>
      <c r="CF74" s="4"/>
      <c r="CG74" s="4"/>
      <c r="CH74" s="4"/>
      <c r="CI74" s="4"/>
      <c r="CJ74" s="4"/>
      <c r="CK74" s="4"/>
      <c r="CL74" s="4"/>
      <c r="CM74" s="4"/>
      <c r="CN74" s="4"/>
      <c r="CO74" s="4"/>
    </row>
    <row r="75" spans="1:93" s="25" customFormat="1" ht="20.25" customHeight="1" x14ac:dyDescent="0.25">
      <c r="A75" s="3063"/>
      <c r="B75" s="2902"/>
      <c r="C75" s="483">
        <v>24</v>
      </c>
      <c r="D75" s="2943" t="s">
        <v>525</v>
      </c>
      <c r="E75" s="2943"/>
      <c r="F75" s="2943"/>
      <c r="G75" s="2943"/>
      <c r="H75" s="2943"/>
      <c r="I75" s="2943"/>
      <c r="J75" s="2943"/>
      <c r="K75" s="2943"/>
      <c r="L75" s="2943"/>
      <c r="M75" s="2943"/>
      <c r="N75" s="180"/>
      <c r="O75" s="179"/>
      <c r="P75" s="521"/>
      <c r="Q75" s="179"/>
      <c r="R75" s="180"/>
      <c r="S75" s="182"/>
      <c r="T75" s="522"/>
      <c r="U75" s="180"/>
      <c r="V75" s="180"/>
      <c r="W75" s="180"/>
      <c r="X75" s="493"/>
      <c r="Y75" s="493"/>
      <c r="Z75" s="493"/>
      <c r="AA75" s="108"/>
      <c r="AB75" s="523"/>
      <c r="AC75" s="180"/>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524"/>
      <c r="BN75" s="179"/>
      <c r="BO75" s="180"/>
      <c r="BP75" s="180"/>
      <c r="BQ75" s="179"/>
      <c r="BR75" s="179"/>
      <c r="BS75" s="179"/>
      <c r="BT75" s="179"/>
      <c r="BU75" s="180"/>
      <c r="BV75" s="24"/>
      <c r="BW75" s="24"/>
      <c r="BX75" s="24"/>
      <c r="BY75" s="24"/>
      <c r="BZ75" s="24"/>
      <c r="CA75" s="24"/>
      <c r="CB75" s="24"/>
      <c r="CC75" s="24"/>
      <c r="CD75" s="24"/>
      <c r="CE75" s="24"/>
      <c r="CF75" s="24"/>
      <c r="CG75" s="24"/>
      <c r="CH75" s="24"/>
      <c r="CI75" s="24"/>
      <c r="CJ75" s="24"/>
      <c r="CK75" s="24"/>
      <c r="CL75" s="24"/>
      <c r="CM75" s="24"/>
      <c r="CN75" s="24"/>
      <c r="CO75" s="24"/>
    </row>
    <row r="76" spans="1:93" s="4" customFormat="1" ht="27" customHeight="1" x14ac:dyDescent="0.25">
      <c r="A76" s="3064"/>
      <c r="B76" s="2903"/>
      <c r="C76" s="525"/>
      <c r="D76" s="526"/>
      <c r="E76" s="527">
        <v>2402</v>
      </c>
      <c r="F76" s="2955" t="s">
        <v>526</v>
      </c>
      <c r="G76" s="2955"/>
      <c r="H76" s="2955"/>
      <c r="I76" s="2955"/>
      <c r="J76" s="2955"/>
      <c r="K76" s="2955"/>
      <c r="L76" s="2955"/>
      <c r="M76" s="190"/>
      <c r="N76" s="194"/>
      <c r="O76" s="190"/>
      <c r="P76" s="500"/>
      <c r="Q76" s="190"/>
      <c r="R76" s="194"/>
      <c r="S76" s="192"/>
      <c r="T76" s="528"/>
      <c r="U76" s="194"/>
      <c r="V76" s="194"/>
      <c r="W76" s="194"/>
      <c r="X76" s="501"/>
      <c r="Y76" s="501"/>
      <c r="Z76" s="501"/>
      <c r="AA76" s="90"/>
      <c r="AB76" s="195"/>
      <c r="AC76" s="194"/>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502"/>
      <c r="BN76" s="190"/>
      <c r="BO76" s="194"/>
      <c r="BP76" s="194"/>
      <c r="BQ76" s="190"/>
      <c r="BR76" s="190"/>
      <c r="BS76" s="190"/>
      <c r="BT76" s="190"/>
      <c r="BU76" s="194"/>
    </row>
    <row r="77" spans="1:93" ht="84.75" customHeight="1" x14ac:dyDescent="0.25">
      <c r="A77" s="3064"/>
      <c r="B77" s="2903"/>
      <c r="C77" s="529"/>
      <c r="D77" s="443"/>
      <c r="E77" s="530"/>
      <c r="F77" s="531"/>
      <c r="G77" s="3067" t="s">
        <v>20</v>
      </c>
      <c r="H77" s="3033" t="s">
        <v>527</v>
      </c>
      <c r="I77" s="3067">
        <v>2402022</v>
      </c>
      <c r="J77" s="3033" t="s">
        <v>528</v>
      </c>
      <c r="K77" s="3059" t="s">
        <v>20</v>
      </c>
      <c r="L77" s="3033" t="s">
        <v>529</v>
      </c>
      <c r="M77" s="3059">
        <v>240202200</v>
      </c>
      <c r="N77" s="3033" t="s">
        <v>530</v>
      </c>
      <c r="O77" s="2752">
        <v>1</v>
      </c>
      <c r="P77" s="2927">
        <v>1</v>
      </c>
      <c r="Q77" s="2752" t="s">
        <v>531</v>
      </c>
      <c r="R77" s="2992" t="s">
        <v>532</v>
      </c>
      <c r="S77" s="2682">
        <f>SUM(X77:X79)/T77</f>
        <v>9.0613104627483704E-3</v>
      </c>
      <c r="T77" s="3009">
        <f>SUM(X77:X109)</f>
        <v>8550607588</v>
      </c>
      <c r="U77" s="2992" t="s">
        <v>533</v>
      </c>
      <c r="V77" s="2992" t="s">
        <v>534</v>
      </c>
      <c r="W77" s="532" t="s">
        <v>535</v>
      </c>
      <c r="X77" s="438">
        <v>33500000</v>
      </c>
      <c r="Y77" s="438">
        <v>33500000</v>
      </c>
      <c r="Z77" s="438">
        <v>33500000</v>
      </c>
      <c r="AA77" s="533" t="s">
        <v>536</v>
      </c>
      <c r="AB77" s="2977" t="s">
        <v>537</v>
      </c>
      <c r="AC77" s="2977" t="s">
        <v>538</v>
      </c>
      <c r="AD77" s="2977">
        <v>295972</v>
      </c>
      <c r="AE77" s="2977">
        <v>295972</v>
      </c>
      <c r="AF77" s="2977">
        <v>285580</v>
      </c>
      <c r="AG77" s="2977">
        <v>285580</v>
      </c>
      <c r="AH77" s="2977">
        <v>135545</v>
      </c>
      <c r="AI77" s="2977">
        <v>135545</v>
      </c>
      <c r="AJ77" s="2977">
        <v>44254</v>
      </c>
      <c r="AK77" s="2977">
        <v>44254</v>
      </c>
      <c r="AL77" s="2977">
        <v>309146</v>
      </c>
      <c r="AM77" s="2977">
        <v>309146</v>
      </c>
      <c r="AN77" s="2977">
        <v>92607</v>
      </c>
      <c r="AO77" s="2977">
        <v>92607</v>
      </c>
      <c r="AP77" s="2977">
        <v>2145</v>
      </c>
      <c r="AQ77" s="2977">
        <v>2145</v>
      </c>
      <c r="AR77" s="2977">
        <v>12718</v>
      </c>
      <c r="AS77" s="2977">
        <v>12718</v>
      </c>
      <c r="AT77" s="2977">
        <v>26</v>
      </c>
      <c r="AU77" s="2977">
        <v>26</v>
      </c>
      <c r="AV77" s="2977">
        <v>37</v>
      </c>
      <c r="AW77" s="2977">
        <v>37</v>
      </c>
      <c r="AX77" s="2977">
        <v>0</v>
      </c>
      <c r="AY77" s="2977">
        <v>0</v>
      </c>
      <c r="AZ77" s="2977">
        <v>0</v>
      </c>
      <c r="BA77" s="2977">
        <v>0</v>
      </c>
      <c r="BB77" s="2977">
        <v>44350</v>
      </c>
      <c r="BC77" s="2977">
        <v>44350</v>
      </c>
      <c r="BD77" s="2977">
        <v>21944</v>
      </c>
      <c r="BE77" s="2977">
        <v>21944</v>
      </c>
      <c r="BF77" s="2977">
        <v>75687</v>
      </c>
      <c r="BG77" s="2977">
        <v>75687</v>
      </c>
      <c r="BH77" s="2977">
        <v>581552</v>
      </c>
      <c r="BI77" s="2977">
        <v>581552</v>
      </c>
      <c r="BJ77" s="2977">
        <v>67</v>
      </c>
      <c r="BK77" s="3080">
        <f>SUM(Y77:Y109)</f>
        <v>360431670</v>
      </c>
      <c r="BL77" s="3080">
        <f>SUM(Z77:Z109)</f>
        <v>360431670</v>
      </c>
      <c r="BM77" s="2682">
        <f>+BL77/BK77</f>
        <v>1</v>
      </c>
      <c r="BN77" s="2977" t="s">
        <v>537</v>
      </c>
      <c r="BO77" s="2977" t="s">
        <v>538</v>
      </c>
      <c r="BP77" s="2977" t="s">
        <v>539</v>
      </c>
      <c r="BQ77" s="3036">
        <v>44197</v>
      </c>
      <c r="BR77" s="3018">
        <v>44228</v>
      </c>
      <c r="BS77" s="3036">
        <v>44561</v>
      </c>
      <c r="BT77" s="3018">
        <v>44551</v>
      </c>
      <c r="BU77" s="3074" t="s">
        <v>425</v>
      </c>
    </row>
    <row r="78" spans="1:93" ht="65.45" customHeight="1" x14ac:dyDescent="0.25">
      <c r="A78" s="3064"/>
      <c r="B78" s="2903"/>
      <c r="C78" s="529"/>
      <c r="D78" s="443"/>
      <c r="E78" s="534"/>
      <c r="F78" s="535"/>
      <c r="G78" s="3068"/>
      <c r="H78" s="3034"/>
      <c r="I78" s="3068"/>
      <c r="J78" s="3034"/>
      <c r="K78" s="3060"/>
      <c r="L78" s="3034"/>
      <c r="M78" s="3060"/>
      <c r="N78" s="3034"/>
      <c r="O78" s="2755"/>
      <c r="P78" s="2928"/>
      <c r="Q78" s="2755"/>
      <c r="R78" s="2993"/>
      <c r="S78" s="3042"/>
      <c r="T78" s="3010"/>
      <c r="U78" s="2993"/>
      <c r="V78" s="2993"/>
      <c r="W78" s="532" t="s">
        <v>540</v>
      </c>
      <c r="X78" s="438">
        <v>32779710</v>
      </c>
      <c r="Y78" s="438">
        <v>32779701</v>
      </c>
      <c r="Z78" s="438">
        <v>32779701</v>
      </c>
      <c r="AA78" s="533" t="s">
        <v>536</v>
      </c>
      <c r="AB78" s="2978"/>
      <c r="AC78" s="2978"/>
      <c r="AD78" s="2978"/>
      <c r="AE78" s="2978"/>
      <c r="AF78" s="2978"/>
      <c r="AG78" s="2978"/>
      <c r="AH78" s="2978"/>
      <c r="AI78" s="2978"/>
      <c r="AJ78" s="2978"/>
      <c r="AK78" s="2978"/>
      <c r="AL78" s="2978"/>
      <c r="AM78" s="2978"/>
      <c r="AN78" s="2978"/>
      <c r="AO78" s="2978"/>
      <c r="AP78" s="2978"/>
      <c r="AQ78" s="2978"/>
      <c r="AR78" s="2978"/>
      <c r="AS78" s="2978"/>
      <c r="AT78" s="2978"/>
      <c r="AU78" s="2978"/>
      <c r="AV78" s="2978"/>
      <c r="AW78" s="2978"/>
      <c r="AX78" s="2978"/>
      <c r="AY78" s="2978"/>
      <c r="AZ78" s="2978"/>
      <c r="BA78" s="2978"/>
      <c r="BB78" s="2978"/>
      <c r="BC78" s="2978"/>
      <c r="BD78" s="2978"/>
      <c r="BE78" s="2978"/>
      <c r="BF78" s="2978"/>
      <c r="BG78" s="2978"/>
      <c r="BH78" s="2978"/>
      <c r="BI78" s="2978"/>
      <c r="BJ78" s="2978"/>
      <c r="BK78" s="3081"/>
      <c r="BL78" s="3081"/>
      <c r="BM78" s="3042"/>
      <c r="BN78" s="2978"/>
      <c r="BO78" s="2978"/>
      <c r="BP78" s="2978"/>
      <c r="BQ78" s="3037"/>
      <c r="BR78" s="3019"/>
      <c r="BS78" s="3037"/>
      <c r="BT78" s="3019"/>
      <c r="BU78" s="3075"/>
    </row>
    <row r="79" spans="1:93" ht="84" customHeight="1" x14ac:dyDescent="0.25">
      <c r="A79" s="3064"/>
      <c r="B79" s="2903"/>
      <c r="C79" s="529"/>
      <c r="D79" s="443"/>
      <c r="E79" s="534"/>
      <c r="F79" s="535"/>
      <c r="G79" s="3068"/>
      <c r="H79" s="3034"/>
      <c r="I79" s="3068"/>
      <c r="J79" s="3034"/>
      <c r="K79" s="3060"/>
      <c r="L79" s="3034"/>
      <c r="M79" s="3061"/>
      <c r="N79" s="3035"/>
      <c r="O79" s="2756"/>
      <c r="P79" s="2929"/>
      <c r="Q79" s="2755"/>
      <c r="R79" s="2993"/>
      <c r="S79" s="3043"/>
      <c r="T79" s="3010"/>
      <c r="U79" s="2993"/>
      <c r="V79" s="2993"/>
      <c r="W79" s="532" t="s">
        <v>541</v>
      </c>
      <c r="X79" s="438">
        <v>11200000</v>
      </c>
      <c r="Y79" s="438">
        <v>11200000</v>
      </c>
      <c r="Z79" s="438">
        <v>11200000</v>
      </c>
      <c r="AA79" s="533" t="s">
        <v>536</v>
      </c>
      <c r="AB79" s="2978"/>
      <c r="AC79" s="2978"/>
      <c r="AD79" s="2978"/>
      <c r="AE79" s="2978"/>
      <c r="AF79" s="2978"/>
      <c r="AG79" s="2978"/>
      <c r="AH79" s="2978"/>
      <c r="AI79" s="2978"/>
      <c r="AJ79" s="2978"/>
      <c r="AK79" s="2978"/>
      <c r="AL79" s="2978"/>
      <c r="AM79" s="2978"/>
      <c r="AN79" s="2978"/>
      <c r="AO79" s="2978"/>
      <c r="AP79" s="2978"/>
      <c r="AQ79" s="2978"/>
      <c r="AR79" s="2978"/>
      <c r="AS79" s="2978"/>
      <c r="AT79" s="2978"/>
      <c r="AU79" s="2978"/>
      <c r="AV79" s="2978"/>
      <c r="AW79" s="2978"/>
      <c r="AX79" s="2978"/>
      <c r="AY79" s="2978"/>
      <c r="AZ79" s="2978"/>
      <c r="BA79" s="2978"/>
      <c r="BB79" s="2978"/>
      <c r="BC79" s="2978"/>
      <c r="BD79" s="2978"/>
      <c r="BE79" s="2978"/>
      <c r="BF79" s="2978"/>
      <c r="BG79" s="2978"/>
      <c r="BH79" s="2978"/>
      <c r="BI79" s="2978"/>
      <c r="BJ79" s="2978"/>
      <c r="BK79" s="3081"/>
      <c r="BL79" s="3081"/>
      <c r="BM79" s="3042"/>
      <c r="BN79" s="2978"/>
      <c r="BO79" s="2978"/>
      <c r="BP79" s="2978"/>
      <c r="BQ79" s="3037"/>
      <c r="BR79" s="3019"/>
      <c r="BS79" s="3037"/>
      <c r="BT79" s="3019"/>
      <c r="BU79" s="3075"/>
    </row>
    <row r="80" spans="1:93" ht="42" customHeight="1" x14ac:dyDescent="0.25">
      <c r="A80" s="3064"/>
      <c r="B80" s="2903"/>
      <c r="C80" s="529"/>
      <c r="D80" s="443"/>
      <c r="E80" s="534"/>
      <c r="F80" s="535"/>
      <c r="G80" s="3077"/>
      <c r="H80" s="3078" t="s">
        <v>542</v>
      </c>
      <c r="I80" s="3079">
        <v>2402041</v>
      </c>
      <c r="J80" s="3078" t="s">
        <v>543</v>
      </c>
      <c r="K80" s="3077" t="s">
        <v>20</v>
      </c>
      <c r="L80" s="2922" t="s">
        <v>544</v>
      </c>
      <c r="M80" s="3077">
        <v>240204100</v>
      </c>
      <c r="N80" s="2922" t="s">
        <v>545</v>
      </c>
      <c r="O80" s="2783">
        <v>130</v>
      </c>
      <c r="P80" s="2927">
        <v>227.35</v>
      </c>
      <c r="Q80" s="2755"/>
      <c r="R80" s="2993"/>
      <c r="S80" s="2682">
        <f>SUM(X80:X109)/T77</f>
        <v>0.99093868953725162</v>
      </c>
      <c r="T80" s="3010"/>
      <c r="U80" s="2993"/>
      <c r="V80" s="2993"/>
      <c r="W80" s="3069" t="s">
        <v>546</v>
      </c>
      <c r="X80" s="438">
        <v>0</v>
      </c>
      <c r="Y80" s="438"/>
      <c r="Z80" s="438"/>
      <c r="AA80" s="533" t="s">
        <v>547</v>
      </c>
      <c r="AB80" s="2978"/>
      <c r="AC80" s="2978"/>
      <c r="AD80" s="2978"/>
      <c r="AE80" s="2978"/>
      <c r="AF80" s="2978"/>
      <c r="AG80" s="2978"/>
      <c r="AH80" s="2978"/>
      <c r="AI80" s="2978"/>
      <c r="AJ80" s="2978"/>
      <c r="AK80" s="2978"/>
      <c r="AL80" s="2978"/>
      <c r="AM80" s="2978"/>
      <c r="AN80" s="2978"/>
      <c r="AO80" s="2978"/>
      <c r="AP80" s="2978"/>
      <c r="AQ80" s="2978"/>
      <c r="AR80" s="2978"/>
      <c r="AS80" s="2978"/>
      <c r="AT80" s="2978"/>
      <c r="AU80" s="2978"/>
      <c r="AV80" s="2978"/>
      <c r="AW80" s="2978"/>
      <c r="AX80" s="2978"/>
      <c r="AY80" s="2978"/>
      <c r="AZ80" s="2978"/>
      <c r="BA80" s="2978"/>
      <c r="BB80" s="2978"/>
      <c r="BC80" s="2978"/>
      <c r="BD80" s="2978"/>
      <c r="BE80" s="2978"/>
      <c r="BF80" s="2978"/>
      <c r="BG80" s="2978"/>
      <c r="BH80" s="2978"/>
      <c r="BI80" s="2978"/>
      <c r="BJ80" s="2978"/>
      <c r="BK80" s="3081"/>
      <c r="BL80" s="3081"/>
      <c r="BM80" s="3042"/>
      <c r="BN80" s="2978"/>
      <c r="BO80" s="2978"/>
      <c r="BP80" s="2978"/>
      <c r="BQ80" s="3037"/>
      <c r="BR80" s="3019"/>
      <c r="BS80" s="3037"/>
      <c r="BT80" s="3019"/>
      <c r="BU80" s="3075"/>
    </row>
    <row r="81" spans="1:73" ht="42" customHeight="1" x14ac:dyDescent="0.25">
      <c r="A81" s="3064"/>
      <c r="B81" s="2903"/>
      <c r="C81" s="529"/>
      <c r="D81" s="443"/>
      <c r="E81" s="534"/>
      <c r="F81" s="535"/>
      <c r="G81" s="3077"/>
      <c r="H81" s="3078"/>
      <c r="I81" s="3079"/>
      <c r="J81" s="3078"/>
      <c r="K81" s="3077"/>
      <c r="L81" s="2922"/>
      <c r="M81" s="3077"/>
      <c r="N81" s="2922"/>
      <c r="O81" s="2783"/>
      <c r="P81" s="2928"/>
      <c r="Q81" s="2755"/>
      <c r="R81" s="2993"/>
      <c r="S81" s="3042"/>
      <c r="T81" s="3010"/>
      <c r="U81" s="2993"/>
      <c r="V81" s="2993"/>
      <c r="W81" s="3070"/>
      <c r="X81" s="438">
        <v>181762245</v>
      </c>
      <c r="Y81" s="438"/>
      <c r="Z81" s="438"/>
      <c r="AA81" s="536" t="s">
        <v>548</v>
      </c>
      <c r="AB81" s="2978"/>
      <c r="AC81" s="2978"/>
      <c r="AD81" s="2978"/>
      <c r="AE81" s="2978"/>
      <c r="AF81" s="2978"/>
      <c r="AG81" s="2978"/>
      <c r="AH81" s="2978"/>
      <c r="AI81" s="2978"/>
      <c r="AJ81" s="2978"/>
      <c r="AK81" s="2978"/>
      <c r="AL81" s="2978"/>
      <c r="AM81" s="2978"/>
      <c r="AN81" s="2978"/>
      <c r="AO81" s="2978"/>
      <c r="AP81" s="2978"/>
      <c r="AQ81" s="2978"/>
      <c r="AR81" s="2978"/>
      <c r="AS81" s="2978"/>
      <c r="AT81" s="2978"/>
      <c r="AU81" s="2978"/>
      <c r="AV81" s="2978"/>
      <c r="AW81" s="2978"/>
      <c r="AX81" s="2978"/>
      <c r="AY81" s="2978"/>
      <c r="AZ81" s="2978"/>
      <c r="BA81" s="2978"/>
      <c r="BB81" s="2978"/>
      <c r="BC81" s="2978"/>
      <c r="BD81" s="2978"/>
      <c r="BE81" s="2978"/>
      <c r="BF81" s="2978"/>
      <c r="BG81" s="2978"/>
      <c r="BH81" s="2978"/>
      <c r="BI81" s="2978"/>
      <c r="BJ81" s="2978"/>
      <c r="BK81" s="3081"/>
      <c r="BL81" s="3081"/>
      <c r="BM81" s="3042"/>
      <c r="BN81" s="2978"/>
      <c r="BO81" s="2978"/>
      <c r="BP81" s="2978"/>
      <c r="BQ81" s="3037"/>
      <c r="BR81" s="3019"/>
      <c r="BS81" s="3037"/>
      <c r="BT81" s="3019"/>
      <c r="BU81" s="3075"/>
    </row>
    <row r="82" spans="1:73" ht="42" customHeight="1" x14ac:dyDescent="0.25">
      <c r="A82" s="3064"/>
      <c r="B82" s="2903"/>
      <c r="C82" s="529"/>
      <c r="D82" s="443"/>
      <c r="E82" s="534"/>
      <c r="F82" s="535"/>
      <c r="G82" s="3077"/>
      <c r="H82" s="3078"/>
      <c r="I82" s="3079"/>
      <c r="J82" s="3078"/>
      <c r="K82" s="3077"/>
      <c r="L82" s="2922"/>
      <c r="M82" s="3077"/>
      <c r="N82" s="2922"/>
      <c r="O82" s="2783"/>
      <c r="P82" s="2928"/>
      <c r="Q82" s="2755"/>
      <c r="R82" s="2993"/>
      <c r="S82" s="3042"/>
      <c r="T82" s="3010"/>
      <c r="U82" s="2993"/>
      <c r="V82" s="2993"/>
      <c r="W82" s="3070"/>
      <c r="X82" s="438">
        <v>1609419084</v>
      </c>
      <c r="Y82" s="438"/>
      <c r="Z82" s="438"/>
      <c r="AA82" s="536" t="s">
        <v>549</v>
      </c>
      <c r="AB82" s="2978"/>
      <c r="AC82" s="2978"/>
      <c r="AD82" s="2978"/>
      <c r="AE82" s="2978"/>
      <c r="AF82" s="2978"/>
      <c r="AG82" s="2978"/>
      <c r="AH82" s="2978"/>
      <c r="AI82" s="2978"/>
      <c r="AJ82" s="2978"/>
      <c r="AK82" s="2978"/>
      <c r="AL82" s="2978"/>
      <c r="AM82" s="2978"/>
      <c r="AN82" s="2978"/>
      <c r="AO82" s="2978"/>
      <c r="AP82" s="2978"/>
      <c r="AQ82" s="2978"/>
      <c r="AR82" s="2978"/>
      <c r="AS82" s="2978"/>
      <c r="AT82" s="2978"/>
      <c r="AU82" s="2978"/>
      <c r="AV82" s="2978"/>
      <c r="AW82" s="2978"/>
      <c r="AX82" s="2978"/>
      <c r="AY82" s="2978"/>
      <c r="AZ82" s="2978"/>
      <c r="BA82" s="2978"/>
      <c r="BB82" s="2978"/>
      <c r="BC82" s="2978"/>
      <c r="BD82" s="2978"/>
      <c r="BE82" s="2978"/>
      <c r="BF82" s="2978"/>
      <c r="BG82" s="2978"/>
      <c r="BH82" s="2978"/>
      <c r="BI82" s="2978"/>
      <c r="BJ82" s="2978"/>
      <c r="BK82" s="3081"/>
      <c r="BL82" s="3081"/>
      <c r="BM82" s="3042"/>
      <c r="BN82" s="2978"/>
      <c r="BO82" s="2978"/>
      <c r="BP82" s="2978"/>
      <c r="BQ82" s="3037"/>
      <c r="BR82" s="3019"/>
      <c r="BS82" s="3037"/>
      <c r="BT82" s="3019"/>
      <c r="BU82" s="3075"/>
    </row>
    <row r="83" spans="1:73" ht="42" customHeight="1" x14ac:dyDescent="0.25">
      <c r="A83" s="3064"/>
      <c r="B83" s="2903"/>
      <c r="C83" s="529"/>
      <c r="D83" s="443"/>
      <c r="E83" s="534"/>
      <c r="F83" s="535"/>
      <c r="G83" s="3077"/>
      <c r="H83" s="3078"/>
      <c r="I83" s="3079"/>
      <c r="J83" s="3078"/>
      <c r="K83" s="3077"/>
      <c r="L83" s="2922"/>
      <c r="M83" s="3077"/>
      <c r="N83" s="2922"/>
      <c r="O83" s="2783"/>
      <c r="P83" s="2928"/>
      <c r="Q83" s="2755"/>
      <c r="R83" s="2993"/>
      <c r="S83" s="3042"/>
      <c r="T83" s="3010"/>
      <c r="U83" s="2993"/>
      <c r="V83" s="2993"/>
      <c r="W83" s="3070"/>
      <c r="X83" s="438">
        <v>15000000</v>
      </c>
      <c r="Y83" s="438"/>
      <c r="Z83" s="438"/>
      <c r="AA83" s="533" t="s">
        <v>550</v>
      </c>
      <c r="AB83" s="2978"/>
      <c r="AC83" s="2978"/>
      <c r="AD83" s="2978"/>
      <c r="AE83" s="2978"/>
      <c r="AF83" s="2978"/>
      <c r="AG83" s="2978"/>
      <c r="AH83" s="2978"/>
      <c r="AI83" s="2978"/>
      <c r="AJ83" s="2978"/>
      <c r="AK83" s="2978"/>
      <c r="AL83" s="2978"/>
      <c r="AM83" s="2978"/>
      <c r="AN83" s="2978"/>
      <c r="AO83" s="2978"/>
      <c r="AP83" s="2978"/>
      <c r="AQ83" s="2978"/>
      <c r="AR83" s="2978"/>
      <c r="AS83" s="2978"/>
      <c r="AT83" s="2978"/>
      <c r="AU83" s="2978"/>
      <c r="AV83" s="2978"/>
      <c r="AW83" s="2978"/>
      <c r="AX83" s="2978"/>
      <c r="AY83" s="2978"/>
      <c r="AZ83" s="2978"/>
      <c r="BA83" s="2978"/>
      <c r="BB83" s="2978"/>
      <c r="BC83" s="2978"/>
      <c r="BD83" s="2978"/>
      <c r="BE83" s="2978"/>
      <c r="BF83" s="2978"/>
      <c r="BG83" s="2978"/>
      <c r="BH83" s="2978"/>
      <c r="BI83" s="2978"/>
      <c r="BJ83" s="2978"/>
      <c r="BK83" s="3081"/>
      <c r="BL83" s="3081"/>
      <c r="BM83" s="3042"/>
      <c r="BN83" s="2978"/>
      <c r="BO83" s="2978"/>
      <c r="BP83" s="2978"/>
      <c r="BQ83" s="3037"/>
      <c r="BR83" s="3019"/>
      <c r="BS83" s="3037"/>
      <c r="BT83" s="3019"/>
      <c r="BU83" s="3075"/>
    </row>
    <row r="84" spans="1:73" ht="45" customHeight="1" x14ac:dyDescent="0.25">
      <c r="A84" s="3064"/>
      <c r="B84" s="2903"/>
      <c r="C84" s="529"/>
      <c r="D84" s="443"/>
      <c r="E84" s="534"/>
      <c r="F84" s="535"/>
      <c r="G84" s="3077"/>
      <c r="H84" s="3078"/>
      <c r="I84" s="3079"/>
      <c r="J84" s="3078"/>
      <c r="K84" s="3077"/>
      <c r="L84" s="2922"/>
      <c r="M84" s="3077"/>
      <c r="N84" s="2922"/>
      <c r="O84" s="2783"/>
      <c r="P84" s="2928"/>
      <c r="Q84" s="2755"/>
      <c r="R84" s="2993"/>
      <c r="S84" s="3042"/>
      <c r="T84" s="3010"/>
      <c r="U84" s="2993"/>
      <c r="V84" s="2993"/>
      <c r="W84" s="3070"/>
      <c r="X84" s="438">
        <v>2000000</v>
      </c>
      <c r="Y84" s="438"/>
      <c r="Z84" s="438"/>
      <c r="AA84" s="533" t="s">
        <v>551</v>
      </c>
      <c r="AB84" s="2978"/>
      <c r="AC84" s="2978"/>
      <c r="AD84" s="2978"/>
      <c r="AE84" s="2978"/>
      <c r="AF84" s="2978"/>
      <c r="AG84" s="2978"/>
      <c r="AH84" s="2978"/>
      <c r="AI84" s="2978"/>
      <c r="AJ84" s="2978"/>
      <c r="AK84" s="2978"/>
      <c r="AL84" s="2978"/>
      <c r="AM84" s="2978"/>
      <c r="AN84" s="2978"/>
      <c r="AO84" s="2978"/>
      <c r="AP84" s="2978"/>
      <c r="AQ84" s="2978"/>
      <c r="AR84" s="2978"/>
      <c r="AS84" s="2978"/>
      <c r="AT84" s="2978"/>
      <c r="AU84" s="2978"/>
      <c r="AV84" s="2978"/>
      <c r="AW84" s="2978"/>
      <c r="AX84" s="2978"/>
      <c r="AY84" s="2978"/>
      <c r="AZ84" s="2978"/>
      <c r="BA84" s="2978"/>
      <c r="BB84" s="2978"/>
      <c r="BC84" s="2978"/>
      <c r="BD84" s="2978"/>
      <c r="BE84" s="2978"/>
      <c r="BF84" s="2978"/>
      <c r="BG84" s="2978"/>
      <c r="BH84" s="2978"/>
      <c r="BI84" s="2978"/>
      <c r="BJ84" s="2978"/>
      <c r="BK84" s="3081"/>
      <c r="BL84" s="3081"/>
      <c r="BM84" s="3042"/>
      <c r="BN84" s="2978"/>
      <c r="BO84" s="2978"/>
      <c r="BP84" s="2978"/>
      <c r="BQ84" s="3037"/>
      <c r="BR84" s="3019"/>
      <c r="BS84" s="3037"/>
      <c r="BT84" s="3019"/>
      <c r="BU84" s="3075"/>
    </row>
    <row r="85" spans="1:73" ht="42" customHeight="1" x14ac:dyDescent="0.25">
      <c r="A85" s="3064"/>
      <c r="B85" s="2903"/>
      <c r="C85" s="529"/>
      <c r="D85" s="443"/>
      <c r="E85" s="534"/>
      <c r="F85" s="535"/>
      <c r="G85" s="3077"/>
      <c r="H85" s="3078"/>
      <c r="I85" s="3079"/>
      <c r="J85" s="3078"/>
      <c r="K85" s="3077"/>
      <c r="L85" s="2922"/>
      <c r="M85" s="3077"/>
      <c r="N85" s="2922"/>
      <c r="O85" s="2783"/>
      <c r="P85" s="2928"/>
      <c r="Q85" s="2755"/>
      <c r="R85" s="2993"/>
      <c r="S85" s="3042"/>
      <c r="T85" s="3010"/>
      <c r="U85" s="2993"/>
      <c r="V85" s="2993"/>
      <c r="W85" s="3070"/>
      <c r="X85" s="438">
        <v>2000000</v>
      </c>
      <c r="Y85" s="438"/>
      <c r="Z85" s="438"/>
      <c r="AA85" s="533" t="s">
        <v>552</v>
      </c>
      <c r="AB85" s="2978"/>
      <c r="AC85" s="2978"/>
      <c r="AD85" s="2978"/>
      <c r="AE85" s="2978"/>
      <c r="AF85" s="2978"/>
      <c r="AG85" s="2978"/>
      <c r="AH85" s="2978"/>
      <c r="AI85" s="2978"/>
      <c r="AJ85" s="2978"/>
      <c r="AK85" s="2978"/>
      <c r="AL85" s="2978"/>
      <c r="AM85" s="2978"/>
      <c r="AN85" s="2978"/>
      <c r="AO85" s="2978"/>
      <c r="AP85" s="2978"/>
      <c r="AQ85" s="2978"/>
      <c r="AR85" s="2978"/>
      <c r="AS85" s="2978"/>
      <c r="AT85" s="2978"/>
      <c r="AU85" s="2978"/>
      <c r="AV85" s="2978"/>
      <c r="AW85" s="2978"/>
      <c r="AX85" s="2978"/>
      <c r="AY85" s="2978"/>
      <c r="AZ85" s="2978"/>
      <c r="BA85" s="2978"/>
      <c r="BB85" s="2978"/>
      <c r="BC85" s="2978"/>
      <c r="BD85" s="2978"/>
      <c r="BE85" s="2978"/>
      <c r="BF85" s="2978"/>
      <c r="BG85" s="2978"/>
      <c r="BH85" s="2978"/>
      <c r="BI85" s="2978"/>
      <c r="BJ85" s="2978"/>
      <c r="BK85" s="3081"/>
      <c r="BL85" s="3081"/>
      <c r="BM85" s="3042"/>
      <c r="BN85" s="2978"/>
      <c r="BO85" s="2978"/>
      <c r="BP85" s="2978"/>
      <c r="BQ85" s="3037"/>
      <c r="BR85" s="3019"/>
      <c r="BS85" s="3037"/>
      <c r="BT85" s="3019"/>
      <c r="BU85" s="3075"/>
    </row>
    <row r="86" spans="1:73" ht="42" customHeight="1" x14ac:dyDescent="0.25">
      <c r="A86" s="3064"/>
      <c r="B86" s="2903"/>
      <c r="C86" s="529"/>
      <c r="D86" s="443"/>
      <c r="E86" s="534"/>
      <c r="F86" s="535"/>
      <c r="G86" s="3077"/>
      <c r="H86" s="3078"/>
      <c r="I86" s="3079"/>
      <c r="J86" s="3078"/>
      <c r="K86" s="3077"/>
      <c r="L86" s="2922"/>
      <c r="M86" s="3077"/>
      <c r="N86" s="2922"/>
      <c r="O86" s="2783"/>
      <c r="P86" s="2928"/>
      <c r="Q86" s="2755"/>
      <c r="R86" s="2993"/>
      <c r="S86" s="3042"/>
      <c r="T86" s="3010"/>
      <c r="U86" s="2993"/>
      <c r="V86" s="2993"/>
      <c r="W86" s="3071"/>
      <c r="X86" s="438">
        <v>1000000</v>
      </c>
      <c r="Y86" s="438"/>
      <c r="Z86" s="438"/>
      <c r="AA86" s="533" t="s">
        <v>553</v>
      </c>
      <c r="AB86" s="2978"/>
      <c r="AC86" s="2978"/>
      <c r="AD86" s="2978"/>
      <c r="AE86" s="2978"/>
      <c r="AF86" s="2978"/>
      <c r="AG86" s="2978"/>
      <c r="AH86" s="2978"/>
      <c r="AI86" s="2978"/>
      <c r="AJ86" s="2978"/>
      <c r="AK86" s="2978"/>
      <c r="AL86" s="2978"/>
      <c r="AM86" s="2978"/>
      <c r="AN86" s="2978"/>
      <c r="AO86" s="2978"/>
      <c r="AP86" s="2978"/>
      <c r="AQ86" s="2978"/>
      <c r="AR86" s="2978"/>
      <c r="AS86" s="2978"/>
      <c r="AT86" s="2978"/>
      <c r="AU86" s="2978"/>
      <c r="AV86" s="2978"/>
      <c r="AW86" s="2978"/>
      <c r="AX86" s="2978"/>
      <c r="AY86" s="2978"/>
      <c r="AZ86" s="2978"/>
      <c r="BA86" s="2978"/>
      <c r="BB86" s="2978"/>
      <c r="BC86" s="2978"/>
      <c r="BD86" s="2978"/>
      <c r="BE86" s="2978"/>
      <c r="BF86" s="2978"/>
      <c r="BG86" s="2978"/>
      <c r="BH86" s="2978"/>
      <c r="BI86" s="2978"/>
      <c r="BJ86" s="2978"/>
      <c r="BK86" s="3081"/>
      <c r="BL86" s="3081"/>
      <c r="BM86" s="3042"/>
      <c r="BN86" s="2978"/>
      <c r="BO86" s="2978"/>
      <c r="BP86" s="2978"/>
      <c r="BQ86" s="3037"/>
      <c r="BR86" s="3019"/>
      <c r="BS86" s="3037"/>
      <c r="BT86" s="3019"/>
      <c r="BU86" s="3075"/>
    </row>
    <row r="87" spans="1:73" ht="69.75" customHeight="1" x14ac:dyDescent="0.25">
      <c r="A87" s="3064"/>
      <c r="B87" s="2903"/>
      <c r="C87" s="529"/>
      <c r="D87" s="443"/>
      <c r="E87" s="534"/>
      <c r="F87" s="535"/>
      <c r="G87" s="3077"/>
      <c r="H87" s="3078"/>
      <c r="I87" s="3079"/>
      <c r="J87" s="3078"/>
      <c r="K87" s="3077"/>
      <c r="L87" s="2922"/>
      <c r="M87" s="3077"/>
      <c r="N87" s="2922"/>
      <c r="O87" s="2783"/>
      <c r="P87" s="2928"/>
      <c r="Q87" s="2755"/>
      <c r="R87" s="2993"/>
      <c r="S87" s="3042"/>
      <c r="T87" s="3010"/>
      <c r="U87" s="2993"/>
      <c r="V87" s="2993"/>
      <c r="W87" s="532" t="s">
        <v>554</v>
      </c>
      <c r="X87" s="438">
        <v>15000000</v>
      </c>
      <c r="Y87" s="438">
        <v>15000000</v>
      </c>
      <c r="Z87" s="438">
        <v>15000000</v>
      </c>
      <c r="AA87" s="533" t="s">
        <v>547</v>
      </c>
      <c r="AB87" s="2978"/>
      <c r="AC87" s="2978"/>
      <c r="AD87" s="2978"/>
      <c r="AE87" s="2978"/>
      <c r="AF87" s="2978"/>
      <c r="AG87" s="2978"/>
      <c r="AH87" s="2978"/>
      <c r="AI87" s="2978"/>
      <c r="AJ87" s="2978"/>
      <c r="AK87" s="2978"/>
      <c r="AL87" s="2978"/>
      <c r="AM87" s="2978"/>
      <c r="AN87" s="2978"/>
      <c r="AO87" s="2978"/>
      <c r="AP87" s="2978"/>
      <c r="AQ87" s="2978"/>
      <c r="AR87" s="2978"/>
      <c r="AS87" s="2978"/>
      <c r="AT87" s="2978"/>
      <c r="AU87" s="2978"/>
      <c r="AV87" s="2978"/>
      <c r="AW87" s="2978"/>
      <c r="AX87" s="2978"/>
      <c r="AY87" s="2978"/>
      <c r="AZ87" s="2978"/>
      <c r="BA87" s="2978"/>
      <c r="BB87" s="2978"/>
      <c r="BC87" s="2978"/>
      <c r="BD87" s="2978"/>
      <c r="BE87" s="2978"/>
      <c r="BF87" s="2978"/>
      <c r="BG87" s="2978"/>
      <c r="BH87" s="2978"/>
      <c r="BI87" s="2978"/>
      <c r="BJ87" s="2978"/>
      <c r="BK87" s="3081"/>
      <c r="BL87" s="3081"/>
      <c r="BM87" s="3042"/>
      <c r="BN87" s="2978"/>
      <c r="BO87" s="2978"/>
      <c r="BP87" s="2978"/>
      <c r="BQ87" s="3037"/>
      <c r="BR87" s="3019"/>
      <c r="BS87" s="3037"/>
      <c r="BT87" s="3019"/>
      <c r="BU87" s="3075"/>
    </row>
    <row r="88" spans="1:73" ht="105" customHeight="1" x14ac:dyDescent="0.25">
      <c r="A88" s="3064"/>
      <c r="B88" s="2903"/>
      <c r="C88" s="529"/>
      <c r="D88" s="443"/>
      <c r="E88" s="534"/>
      <c r="F88" s="535"/>
      <c r="G88" s="3077"/>
      <c r="H88" s="3078"/>
      <c r="I88" s="3079"/>
      <c r="J88" s="3078"/>
      <c r="K88" s="3077"/>
      <c r="L88" s="2922"/>
      <c r="M88" s="3077"/>
      <c r="N88" s="2922"/>
      <c r="O88" s="2783"/>
      <c r="P88" s="2928"/>
      <c r="Q88" s="2755"/>
      <c r="R88" s="2993"/>
      <c r="S88" s="3042"/>
      <c r="T88" s="3010"/>
      <c r="U88" s="2993"/>
      <c r="V88" s="2993"/>
      <c r="W88" s="3069" t="s">
        <v>555</v>
      </c>
      <c r="X88" s="438">
        <v>7200000</v>
      </c>
      <c r="Y88" s="438">
        <v>7200000</v>
      </c>
      <c r="Z88" s="438">
        <v>7200000</v>
      </c>
      <c r="AA88" s="533" t="s">
        <v>547</v>
      </c>
      <c r="AB88" s="2978"/>
      <c r="AC88" s="2978"/>
      <c r="AD88" s="2978"/>
      <c r="AE88" s="2978"/>
      <c r="AF88" s="2978"/>
      <c r="AG88" s="2978"/>
      <c r="AH88" s="2978"/>
      <c r="AI88" s="2978"/>
      <c r="AJ88" s="2978"/>
      <c r="AK88" s="2978"/>
      <c r="AL88" s="2978"/>
      <c r="AM88" s="2978"/>
      <c r="AN88" s="2978"/>
      <c r="AO88" s="2978"/>
      <c r="AP88" s="2978"/>
      <c r="AQ88" s="2978"/>
      <c r="AR88" s="2978"/>
      <c r="AS88" s="2978"/>
      <c r="AT88" s="2978"/>
      <c r="AU88" s="2978"/>
      <c r="AV88" s="2978"/>
      <c r="AW88" s="2978"/>
      <c r="AX88" s="2978"/>
      <c r="AY88" s="2978"/>
      <c r="AZ88" s="2978"/>
      <c r="BA88" s="2978"/>
      <c r="BB88" s="2978"/>
      <c r="BC88" s="2978"/>
      <c r="BD88" s="2978"/>
      <c r="BE88" s="2978"/>
      <c r="BF88" s="2978"/>
      <c r="BG88" s="2978"/>
      <c r="BH88" s="2978"/>
      <c r="BI88" s="2978"/>
      <c r="BJ88" s="2978"/>
      <c r="BK88" s="3081"/>
      <c r="BL88" s="3081"/>
      <c r="BM88" s="3042"/>
      <c r="BN88" s="2978"/>
      <c r="BO88" s="2978"/>
      <c r="BP88" s="2978"/>
      <c r="BQ88" s="3037"/>
      <c r="BR88" s="3019"/>
      <c r="BS88" s="3037"/>
      <c r="BT88" s="3019"/>
      <c r="BU88" s="3075"/>
    </row>
    <row r="89" spans="1:73" ht="39" customHeight="1" x14ac:dyDescent="0.25">
      <c r="A89" s="3064"/>
      <c r="B89" s="2903"/>
      <c r="C89" s="529"/>
      <c r="D89" s="443"/>
      <c r="E89" s="534"/>
      <c r="F89" s="535"/>
      <c r="G89" s="3077"/>
      <c r="H89" s="3078"/>
      <c r="I89" s="3079"/>
      <c r="J89" s="3078"/>
      <c r="K89" s="3077"/>
      <c r="L89" s="2922"/>
      <c r="M89" s="3077"/>
      <c r="N89" s="2922"/>
      <c r="O89" s="2783"/>
      <c r="P89" s="2928"/>
      <c r="Q89" s="2755"/>
      <c r="R89" s="2993"/>
      <c r="S89" s="3042"/>
      <c r="T89" s="3010"/>
      <c r="U89" s="2993"/>
      <c r="V89" s="2993"/>
      <c r="W89" s="3071"/>
      <c r="X89" s="438">
        <v>5100000</v>
      </c>
      <c r="Y89" s="438">
        <v>3960000</v>
      </c>
      <c r="Z89" s="438">
        <v>3960000</v>
      </c>
      <c r="AA89" s="533" t="s">
        <v>556</v>
      </c>
      <c r="AB89" s="2978"/>
      <c r="AC89" s="2978"/>
      <c r="AD89" s="2978"/>
      <c r="AE89" s="2978"/>
      <c r="AF89" s="2978"/>
      <c r="AG89" s="2978"/>
      <c r="AH89" s="2978"/>
      <c r="AI89" s="2978"/>
      <c r="AJ89" s="2978"/>
      <c r="AK89" s="2978"/>
      <c r="AL89" s="2978"/>
      <c r="AM89" s="2978"/>
      <c r="AN89" s="2978"/>
      <c r="AO89" s="2978"/>
      <c r="AP89" s="2978"/>
      <c r="AQ89" s="2978"/>
      <c r="AR89" s="2978"/>
      <c r="AS89" s="2978"/>
      <c r="AT89" s="2978"/>
      <c r="AU89" s="2978"/>
      <c r="AV89" s="2978"/>
      <c r="AW89" s="2978"/>
      <c r="AX89" s="2978"/>
      <c r="AY89" s="2978"/>
      <c r="AZ89" s="2978"/>
      <c r="BA89" s="2978"/>
      <c r="BB89" s="2978"/>
      <c r="BC89" s="2978"/>
      <c r="BD89" s="2978"/>
      <c r="BE89" s="2978"/>
      <c r="BF89" s="2978"/>
      <c r="BG89" s="2978"/>
      <c r="BH89" s="2978"/>
      <c r="BI89" s="2978"/>
      <c r="BJ89" s="2978"/>
      <c r="BK89" s="3081"/>
      <c r="BL89" s="3081"/>
      <c r="BM89" s="3042"/>
      <c r="BN89" s="2978"/>
      <c r="BO89" s="2978"/>
      <c r="BP89" s="2978"/>
      <c r="BQ89" s="3037"/>
      <c r="BR89" s="3019"/>
      <c r="BS89" s="3037"/>
      <c r="BT89" s="3019"/>
      <c r="BU89" s="3075"/>
    </row>
    <row r="90" spans="1:73" ht="50.25" customHeight="1" x14ac:dyDescent="0.25">
      <c r="A90" s="3064"/>
      <c r="B90" s="2903"/>
      <c r="C90" s="529"/>
      <c r="D90" s="443"/>
      <c r="E90" s="534"/>
      <c r="F90" s="535"/>
      <c r="G90" s="3077"/>
      <c r="H90" s="3078"/>
      <c r="I90" s="3079"/>
      <c r="J90" s="3078"/>
      <c r="K90" s="3077"/>
      <c r="L90" s="2922"/>
      <c r="M90" s="3077"/>
      <c r="N90" s="2922"/>
      <c r="O90" s="2783"/>
      <c r="P90" s="2928"/>
      <c r="Q90" s="2755"/>
      <c r="R90" s="2993"/>
      <c r="S90" s="3042"/>
      <c r="T90" s="3010"/>
      <c r="U90" s="2993"/>
      <c r="V90" s="2993"/>
      <c r="W90" s="3072" t="s">
        <v>557</v>
      </c>
      <c r="X90" s="438">
        <v>10800000</v>
      </c>
      <c r="Y90" s="438">
        <v>10800000</v>
      </c>
      <c r="Z90" s="438">
        <v>10800000</v>
      </c>
      <c r="AA90" s="533" t="s">
        <v>547</v>
      </c>
      <c r="AB90" s="2978"/>
      <c r="AC90" s="2978"/>
      <c r="AD90" s="2978"/>
      <c r="AE90" s="2978"/>
      <c r="AF90" s="2978"/>
      <c r="AG90" s="2978"/>
      <c r="AH90" s="2978"/>
      <c r="AI90" s="2978"/>
      <c r="AJ90" s="2978"/>
      <c r="AK90" s="2978"/>
      <c r="AL90" s="2978"/>
      <c r="AM90" s="2978"/>
      <c r="AN90" s="2978"/>
      <c r="AO90" s="2978"/>
      <c r="AP90" s="2978"/>
      <c r="AQ90" s="2978"/>
      <c r="AR90" s="2978"/>
      <c r="AS90" s="2978"/>
      <c r="AT90" s="2978"/>
      <c r="AU90" s="2978"/>
      <c r="AV90" s="2978"/>
      <c r="AW90" s="2978"/>
      <c r="AX90" s="2978"/>
      <c r="AY90" s="2978"/>
      <c r="AZ90" s="2978"/>
      <c r="BA90" s="2978"/>
      <c r="BB90" s="2978"/>
      <c r="BC90" s="2978"/>
      <c r="BD90" s="2978"/>
      <c r="BE90" s="2978"/>
      <c r="BF90" s="2978"/>
      <c r="BG90" s="2978"/>
      <c r="BH90" s="2978"/>
      <c r="BI90" s="2978"/>
      <c r="BJ90" s="2978"/>
      <c r="BK90" s="3081"/>
      <c r="BL90" s="3081"/>
      <c r="BM90" s="3042"/>
      <c r="BN90" s="2978"/>
      <c r="BO90" s="2978"/>
      <c r="BP90" s="2978"/>
      <c r="BQ90" s="3037"/>
      <c r="BR90" s="3019"/>
      <c r="BS90" s="3037"/>
      <c r="BT90" s="3019"/>
      <c r="BU90" s="3075"/>
    </row>
    <row r="91" spans="1:73" ht="91.5" customHeight="1" x14ac:dyDescent="0.25">
      <c r="A91" s="3064"/>
      <c r="B91" s="2903"/>
      <c r="C91" s="529"/>
      <c r="D91" s="443"/>
      <c r="E91" s="534"/>
      <c r="F91" s="535"/>
      <c r="G91" s="3077"/>
      <c r="H91" s="3078"/>
      <c r="I91" s="3079"/>
      <c r="J91" s="3078"/>
      <c r="K91" s="3077"/>
      <c r="L91" s="2922"/>
      <c r="M91" s="3077"/>
      <c r="N91" s="2922"/>
      <c r="O91" s="2783"/>
      <c r="P91" s="2928"/>
      <c r="Q91" s="2755"/>
      <c r="R91" s="2993"/>
      <c r="S91" s="3042"/>
      <c r="T91" s="3010"/>
      <c r="U91" s="2993"/>
      <c r="V91" s="2993"/>
      <c r="W91" s="3073"/>
      <c r="X91" s="438">
        <v>3100000</v>
      </c>
      <c r="Y91" s="438">
        <v>3100000</v>
      </c>
      <c r="Z91" s="438">
        <v>3100000</v>
      </c>
      <c r="AA91" s="533" t="s">
        <v>556</v>
      </c>
      <c r="AB91" s="2978"/>
      <c r="AC91" s="2978"/>
      <c r="AD91" s="2978"/>
      <c r="AE91" s="2978"/>
      <c r="AF91" s="2978"/>
      <c r="AG91" s="2978"/>
      <c r="AH91" s="2978"/>
      <c r="AI91" s="2978"/>
      <c r="AJ91" s="2978"/>
      <c r="AK91" s="2978"/>
      <c r="AL91" s="2978"/>
      <c r="AM91" s="2978"/>
      <c r="AN91" s="2978"/>
      <c r="AO91" s="2978"/>
      <c r="AP91" s="2978"/>
      <c r="AQ91" s="2978"/>
      <c r="AR91" s="2978"/>
      <c r="AS91" s="2978"/>
      <c r="AT91" s="2978"/>
      <c r="AU91" s="2978"/>
      <c r="AV91" s="2978"/>
      <c r="AW91" s="2978"/>
      <c r="AX91" s="2978"/>
      <c r="AY91" s="2978"/>
      <c r="AZ91" s="2978"/>
      <c r="BA91" s="2978"/>
      <c r="BB91" s="2978"/>
      <c r="BC91" s="2978"/>
      <c r="BD91" s="2978"/>
      <c r="BE91" s="2978"/>
      <c r="BF91" s="2978"/>
      <c r="BG91" s="2978"/>
      <c r="BH91" s="2978"/>
      <c r="BI91" s="2978"/>
      <c r="BJ91" s="2978"/>
      <c r="BK91" s="3081"/>
      <c r="BL91" s="3081"/>
      <c r="BM91" s="3042"/>
      <c r="BN91" s="2978"/>
      <c r="BO91" s="2978"/>
      <c r="BP91" s="2978"/>
      <c r="BQ91" s="3037"/>
      <c r="BR91" s="3019"/>
      <c r="BS91" s="3037"/>
      <c r="BT91" s="3019"/>
      <c r="BU91" s="3075"/>
    </row>
    <row r="92" spans="1:73" ht="67.5" customHeight="1" x14ac:dyDescent="0.25">
      <c r="A92" s="3064"/>
      <c r="B92" s="2903"/>
      <c r="C92" s="529"/>
      <c r="D92" s="443"/>
      <c r="E92" s="534"/>
      <c r="F92" s="535"/>
      <c r="G92" s="3077"/>
      <c r="H92" s="3078"/>
      <c r="I92" s="3079"/>
      <c r="J92" s="3078"/>
      <c r="K92" s="3077"/>
      <c r="L92" s="2922"/>
      <c r="M92" s="3077"/>
      <c r="N92" s="2922"/>
      <c r="O92" s="2783"/>
      <c r="P92" s="2928"/>
      <c r="Q92" s="2755"/>
      <c r="R92" s="2993"/>
      <c r="S92" s="3042"/>
      <c r="T92" s="3010"/>
      <c r="U92" s="2993"/>
      <c r="V92" s="2993"/>
      <c r="W92" s="3072" t="s">
        <v>558</v>
      </c>
      <c r="X92" s="438">
        <v>40173333</v>
      </c>
      <c r="Y92" s="438">
        <v>39323333</v>
      </c>
      <c r="Z92" s="438">
        <v>39323333</v>
      </c>
      <c r="AA92" s="533" t="s">
        <v>547</v>
      </c>
      <c r="AB92" s="2978"/>
      <c r="AC92" s="2978"/>
      <c r="AD92" s="2978"/>
      <c r="AE92" s="2978"/>
      <c r="AF92" s="2978"/>
      <c r="AG92" s="2978"/>
      <c r="AH92" s="2978"/>
      <c r="AI92" s="2978"/>
      <c r="AJ92" s="2978"/>
      <c r="AK92" s="2978"/>
      <c r="AL92" s="2978"/>
      <c r="AM92" s="2978"/>
      <c r="AN92" s="2978"/>
      <c r="AO92" s="2978"/>
      <c r="AP92" s="2978"/>
      <c r="AQ92" s="2978"/>
      <c r="AR92" s="2978"/>
      <c r="AS92" s="2978"/>
      <c r="AT92" s="2978"/>
      <c r="AU92" s="2978"/>
      <c r="AV92" s="2978"/>
      <c r="AW92" s="2978"/>
      <c r="AX92" s="2978"/>
      <c r="AY92" s="2978"/>
      <c r="AZ92" s="2978"/>
      <c r="BA92" s="2978"/>
      <c r="BB92" s="2978"/>
      <c r="BC92" s="2978"/>
      <c r="BD92" s="2978"/>
      <c r="BE92" s="2978"/>
      <c r="BF92" s="2978"/>
      <c r="BG92" s="2978"/>
      <c r="BH92" s="2978"/>
      <c r="BI92" s="2978"/>
      <c r="BJ92" s="2978"/>
      <c r="BK92" s="3081"/>
      <c r="BL92" s="3081"/>
      <c r="BM92" s="3042"/>
      <c r="BN92" s="2978"/>
      <c r="BO92" s="2978"/>
      <c r="BP92" s="2978"/>
      <c r="BQ92" s="3037"/>
      <c r="BR92" s="3019"/>
      <c r="BS92" s="3037"/>
      <c r="BT92" s="3019"/>
      <c r="BU92" s="3075"/>
    </row>
    <row r="93" spans="1:73" ht="66" customHeight="1" x14ac:dyDescent="0.25">
      <c r="A93" s="3064"/>
      <c r="B93" s="2903"/>
      <c r="C93" s="529"/>
      <c r="D93" s="443"/>
      <c r="E93" s="534"/>
      <c r="F93" s="535"/>
      <c r="G93" s="3077"/>
      <c r="H93" s="3078"/>
      <c r="I93" s="3079"/>
      <c r="J93" s="3078"/>
      <c r="K93" s="3077"/>
      <c r="L93" s="2922"/>
      <c r="M93" s="3077"/>
      <c r="N93" s="2922"/>
      <c r="O93" s="2783"/>
      <c r="P93" s="2928"/>
      <c r="Q93" s="2755"/>
      <c r="R93" s="2993"/>
      <c r="S93" s="3042"/>
      <c r="T93" s="3010"/>
      <c r="U93" s="2993"/>
      <c r="V93" s="2993"/>
      <c r="W93" s="3073"/>
      <c r="X93" s="438">
        <v>0</v>
      </c>
      <c r="Y93" s="438"/>
      <c r="Z93" s="438"/>
      <c r="AA93" s="536" t="s">
        <v>559</v>
      </c>
      <c r="AB93" s="2978"/>
      <c r="AC93" s="2978"/>
      <c r="AD93" s="2978"/>
      <c r="AE93" s="2978"/>
      <c r="AF93" s="2978"/>
      <c r="AG93" s="2978"/>
      <c r="AH93" s="2978"/>
      <c r="AI93" s="2978"/>
      <c r="AJ93" s="2978"/>
      <c r="AK93" s="2978"/>
      <c r="AL93" s="2978"/>
      <c r="AM93" s="2978"/>
      <c r="AN93" s="2978"/>
      <c r="AO93" s="2978"/>
      <c r="AP93" s="2978"/>
      <c r="AQ93" s="2978"/>
      <c r="AR93" s="2978"/>
      <c r="AS93" s="2978"/>
      <c r="AT93" s="2978"/>
      <c r="AU93" s="2978"/>
      <c r="AV93" s="2978"/>
      <c r="AW93" s="2978"/>
      <c r="AX93" s="2978"/>
      <c r="AY93" s="2978"/>
      <c r="AZ93" s="2978"/>
      <c r="BA93" s="2978"/>
      <c r="BB93" s="2978"/>
      <c r="BC93" s="2978"/>
      <c r="BD93" s="2978"/>
      <c r="BE93" s="2978"/>
      <c r="BF93" s="2978"/>
      <c r="BG93" s="2978"/>
      <c r="BH93" s="2978"/>
      <c r="BI93" s="2978"/>
      <c r="BJ93" s="2978"/>
      <c r="BK93" s="3081"/>
      <c r="BL93" s="3081"/>
      <c r="BM93" s="3042"/>
      <c r="BN93" s="2978"/>
      <c r="BO93" s="2978"/>
      <c r="BP93" s="2978"/>
      <c r="BQ93" s="3037"/>
      <c r="BR93" s="3019"/>
      <c r="BS93" s="3037"/>
      <c r="BT93" s="3019"/>
      <c r="BU93" s="3075"/>
    </row>
    <row r="94" spans="1:73" ht="80.25" customHeight="1" x14ac:dyDescent="0.25">
      <c r="A94" s="3064"/>
      <c r="B94" s="2903"/>
      <c r="C94" s="529"/>
      <c r="D94" s="443"/>
      <c r="E94" s="534"/>
      <c r="F94" s="535"/>
      <c r="G94" s="3077"/>
      <c r="H94" s="3078"/>
      <c r="I94" s="3079"/>
      <c r="J94" s="3078"/>
      <c r="K94" s="3077"/>
      <c r="L94" s="2922"/>
      <c r="M94" s="3077"/>
      <c r="N94" s="2922"/>
      <c r="O94" s="2783"/>
      <c r="P94" s="2928"/>
      <c r="Q94" s="2755"/>
      <c r="R94" s="2993"/>
      <c r="S94" s="3042"/>
      <c r="T94" s="3010"/>
      <c r="U94" s="2993"/>
      <c r="V94" s="2993"/>
      <c r="W94" s="3069" t="s">
        <v>560</v>
      </c>
      <c r="X94" s="438">
        <v>17200000</v>
      </c>
      <c r="Y94" s="438">
        <v>17200000</v>
      </c>
      <c r="Z94" s="438">
        <v>17200000</v>
      </c>
      <c r="AA94" s="533" t="s">
        <v>547</v>
      </c>
      <c r="AB94" s="2978"/>
      <c r="AC94" s="2978"/>
      <c r="AD94" s="2978"/>
      <c r="AE94" s="2978"/>
      <c r="AF94" s="2978"/>
      <c r="AG94" s="2978"/>
      <c r="AH94" s="2978"/>
      <c r="AI94" s="2978"/>
      <c r="AJ94" s="2978"/>
      <c r="AK94" s="2978"/>
      <c r="AL94" s="2978"/>
      <c r="AM94" s="2978"/>
      <c r="AN94" s="2978"/>
      <c r="AO94" s="2978"/>
      <c r="AP94" s="2978"/>
      <c r="AQ94" s="2978"/>
      <c r="AR94" s="2978"/>
      <c r="AS94" s="2978"/>
      <c r="AT94" s="2978"/>
      <c r="AU94" s="2978"/>
      <c r="AV94" s="2978"/>
      <c r="AW94" s="2978"/>
      <c r="AX94" s="2978"/>
      <c r="AY94" s="2978"/>
      <c r="AZ94" s="2978"/>
      <c r="BA94" s="2978"/>
      <c r="BB94" s="2978"/>
      <c r="BC94" s="2978"/>
      <c r="BD94" s="2978"/>
      <c r="BE94" s="2978"/>
      <c r="BF94" s="2978"/>
      <c r="BG94" s="2978"/>
      <c r="BH94" s="2978"/>
      <c r="BI94" s="2978"/>
      <c r="BJ94" s="2978"/>
      <c r="BK94" s="3081"/>
      <c r="BL94" s="3081"/>
      <c r="BM94" s="3042"/>
      <c r="BN94" s="2978"/>
      <c r="BO94" s="2978"/>
      <c r="BP94" s="2978"/>
      <c r="BQ94" s="3037"/>
      <c r="BR94" s="3019"/>
      <c r="BS94" s="3037"/>
      <c r="BT94" s="3019"/>
      <c r="BU94" s="3075"/>
    </row>
    <row r="95" spans="1:73" ht="50.25" customHeight="1" x14ac:dyDescent="0.25">
      <c r="A95" s="3064"/>
      <c r="B95" s="2903"/>
      <c r="C95" s="529"/>
      <c r="D95" s="443"/>
      <c r="E95" s="534"/>
      <c r="F95" s="535"/>
      <c r="G95" s="3077"/>
      <c r="H95" s="3078"/>
      <c r="I95" s="3079"/>
      <c r="J95" s="3078"/>
      <c r="K95" s="3077"/>
      <c r="L95" s="2922"/>
      <c r="M95" s="3077"/>
      <c r="N95" s="2922"/>
      <c r="O95" s="2783"/>
      <c r="P95" s="2928"/>
      <c r="Q95" s="2755"/>
      <c r="R95" s="2993"/>
      <c r="S95" s="3042"/>
      <c r="T95" s="3010"/>
      <c r="U95" s="2993"/>
      <c r="V95" s="2993"/>
      <c r="W95" s="3071"/>
      <c r="X95" s="438">
        <v>800000</v>
      </c>
      <c r="Y95" s="438">
        <v>600000</v>
      </c>
      <c r="Z95" s="438">
        <v>600000</v>
      </c>
      <c r="AA95" s="533" t="s">
        <v>556</v>
      </c>
      <c r="AB95" s="2978"/>
      <c r="AC95" s="2978"/>
      <c r="AD95" s="2978"/>
      <c r="AE95" s="2978"/>
      <c r="AF95" s="2978"/>
      <c r="AG95" s="2978"/>
      <c r="AH95" s="2978"/>
      <c r="AI95" s="2978"/>
      <c r="AJ95" s="2978"/>
      <c r="AK95" s="2978"/>
      <c r="AL95" s="2978"/>
      <c r="AM95" s="2978"/>
      <c r="AN95" s="2978"/>
      <c r="AO95" s="2978"/>
      <c r="AP95" s="2978"/>
      <c r="AQ95" s="2978"/>
      <c r="AR95" s="2978"/>
      <c r="AS95" s="2978"/>
      <c r="AT95" s="2978"/>
      <c r="AU95" s="2978"/>
      <c r="AV95" s="2978"/>
      <c r="AW95" s="2978"/>
      <c r="AX95" s="2978"/>
      <c r="AY95" s="2978"/>
      <c r="AZ95" s="2978"/>
      <c r="BA95" s="2978"/>
      <c r="BB95" s="2978"/>
      <c r="BC95" s="2978"/>
      <c r="BD95" s="2978"/>
      <c r="BE95" s="2978"/>
      <c r="BF95" s="2978"/>
      <c r="BG95" s="2978"/>
      <c r="BH95" s="2978"/>
      <c r="BI95" s="2978"/>
      <c r="BJ95" s="2978"/>
      <c r="BK95" s="3081"/>
      <c r="BL95" s="3081"/>
      <c r="BM95" s="3042"/>
      <c r="BN95" s="2978"/>
      <c r="BO95" s="2978"/>
      <c r="BP95" s="2978"/>
      <c r="BQ95" s="3037"/>
      <c r="BR95" s="3019"/>
      <c r="BS95" s="3037"/>
      <c r="BT95" s="3019"/>
      <c r="BU95" s="3075"/>
    </row>
    <row r="96" spans="1:73" ht="72.75" customHeight="1" x14ac:dyDescent="0.25">
      <c r="A96" s="3064"/>
      <c r="B96" s="2903"/>
      <c r="C96" s="529"/>
      <c r="D96" s="443"/>
      <c r="E96" s="534"/>
      <c r="F96" s="535"/>
      <c r="G96" s="3077"/>
      <c r="H96" s="3078"/>
      <c r="I96" s="3079"/>
      <c r="J96" s="3078"/>
      <c r="K96" s="3077"/>
      <c r="L96" s="2922"/>
      <c r="M96" s="3077"/>
      <c r="N96" s="2922"/>
      <c r="O96" s="2783"/>
      <c r="P96" s="2928"/>
      <c r="Q96" s="2755"/>
      <c r="R96" s="2993"/>
      <c r="S96" s="3042"/>
      <c r="T96" s="3010"/>
      <c r="U96" s="2993"/>
      <c r="V96" s="2993"/>
      <c r="W96" s="3069" t="s">
        <v>561</v>
      </c>
      <c r="X96" s="438">
        <v>45402290</v>
      </c>
      <c r="Y96" s="438">
        <v>44870802</v>
      </c>
      <c r="Z96" s="438">
        <v>44870802</v>
      </c>
      <c r="AA96" s="533" t="s">
        <v>547</v>
      </c>
      <c r="AB96" s="2978"/>
      <c r="AC96" s="2978"/>
      <c r="AD96" s="2978"/>
      <c r="AE96" s="2978"/>
      <c r="AF96" s="2978"/>
      <c r="AG96" s="2978"/>
      <c r="AH96" s="2978"/>
      <c r="AI96" s="2978"/>
      <c r="AJ96" s="2978"/>
      <c r="AK96" s="2978"/>
      <c r="AL96" s="2978"/>
      <c r="AM96" s="2978"/>
      <c r="AN96" s="2978"/>
      <c r="AO96" s="2978"/>
      <c r="AP96" s="2978"/>
      <c r="AQ96" s="2978"/>
      <c r="AR96" s="2978"/>
      <c r="AS96" s="2978"/>
      <c r="AT96" s="2978"/>
      <c r="AU96" s="2978"/>
      <c r="AV96" s="2978"/>
      <c r="AW96" s="2978"/>
      <c r="AX96" s="2978"/>
      <c r="AY96" s="2978"/>
      <c r="AZ96" s="2978"/>
      <c r="BA96" s="2978"/>
      <c r="BB96" s="2978"/>
      <c r="BC96" s="2978"/>
      <c r="BD96" s="2978"/>
      <c r="BE96" s="2978"/>
      <c r="BF96" s="2978"/>
      <c r="BG96" s="2978"/>
      <c r="BH96" s="2978"/>
      <c r="BI96" s="2978"/>
      <c r="BJ96" s="2978"/>
      <c r="BK96" s="3081"/>
      <c r="BL96" s="3081"/>
      <c r="BM96" s="3042"/>
      <c r="BN96" s="2978"/>
      <c r="BO96" s="2978"/>
      <c r="BP96" s="2978"/>
      <c r="BQ96" s="3037"/>
      <c r="BR96" s="3019"/>
      <c r="BS96" s="3037"/>
      <c r="BT96" s="3019"/>
      <c r="BU96" s="3075"/>
    </row>
    <row r="97" spans="1:73" ht="58.5" customHeight="1" x14ac:dyDescent="0.25">
      <c r="A97" s="3064"/>
      <c r="B97" s="2903"/>
      <c r="C97" s="529"/>
      <c r="D97" s="443"/>
      <c r="E97" s="534"/>
      <c r="F97" s="535"/>
      <c r="G97" s="3077"/>
      <c r="H97" s="3078"/>
      <c r="I97" s="3079"/>
      <c r="J97" s="3078"/>
      <c r="K97" s="3077"/>
      <c r="L97" s="2922"/>
      <c r="M97" s="3077"/>
      <c r="N97" s="2922"/>
      <c r="O97" s="2783"/>
      <c r="P97" s="2928"/>
      <c r="Q97" s="2755"/>
      <c r="R97" s="2993"/>
      <c r="S97" s="3042"/>
      <c r="T97" s="3010"/>
      <c r="U97" s="2993"/>
      <c r="V97" s="2993"/>
      <c r="W97" s="3071"/>
      <c r="X97" s="438">
        <v>4380517429</v>
      </c>
      <c r="Y97" s="438"/>
      <c r="Z97" s="438"/>
      <c r="AA97" s="536" t="s">
        <v>559</v>
      </c>
      <c r="AB97" s="2978"/>
      <c r="AC97" s="2978"/>
      <c r="AD97" s="2978"/>
      <c r="AE97" s="2978"/>
      <c r="AF97" s="2978"/>
      <c r="AG97" s="2978"/>
      <c r="AH97" s="2978"/>
      <c r="AI97" s="2978"/>
      <c r="AJ97" s="2978"/>
      <c r="AK97" s="2978"/>
      <c r="AL97" s="2978"/>
      <c r="AM97" s="2978"/>
      <c r="AN97" s="2978"/>
      <c r="AO97" s="2978"/>
      <c r="AP97" s="2978"/>
      <c r="AQ97" s="2978"/>
      <c r="AR97" s="2978"/>
      <c r="AS97" s="2978"/>
      <c r="AT97" s="2978"/>
      <c r="AU97" s="2978"/>
      <c r="AV97" s="2978"/>
      <c r="AW97" s="2978"/>
      <c r="AX97" s="2978"/>
      <c r="AY97" s="2978"/>
      <c r="AZ97" s="2978"/>
      <c r="BA97" s="2978"/>
      <c r="BB97" s="2978"/>
      <c r="BC97" s="2978"/>
      <c r="BD97" s="2978"/>
      <c r="BE97" s="2978"/>
      <c r="BF97" s="2978"/>
      <c r="BG97" s="2978"/>
      <c r="BH97" s="2978"/>
      <c r="BI97" s="2978"/>
      <c r="BJ97" s="2978"/>
      <c r="BK97" s="3081"/>
      <c r="BL97" s="3081"/>
      <c r="BM97" s="3042"/>
      <c r="BN97" s="2978"/>
      <c r="BO97" s="2978"/>
      <c r="BP97" s="2978"/>
      <c r="BQ97" s="3037"/>
      <c r="BR97" s="3019"/>
      <c r="BS97" s="3037"/>
      <c r="BT97" s="3019"/>
      <c r="BU97" s="3075"/>
    </row>
    <row r="98" spans="1:73" ht="48.75" customHeight="1" x14ac:dyDescent="0.25">
      <c r="A98" s="3064"/>
      <c r="B98" s="2903"/>
      <c r="C98" s="529"/>
      <c r="D98" s="443"/>
      <c r="E98" s="534"/>
      <c r="F98" s="535"/>
      <c r="G98" s="3077"/>
      <c r="H98" s="3078"/>
      <c r="I98" s="3079"/>
      <c r="J98" s="3078"/>
      <c r="K98" s="3077"/>
      <c r="L98" s="2922"/>
      <c r="M98" s="3077"/>
      <c r="N98" s="2922"/>
      <c r="O98" s="2783"/>
      <c r="P98" s="2928"/>
      <c r="Q98" s="2755"/>
      <c r="R98" s="2993"/>
      <c r="S98" s="3042"/>
      <c r="T98" s="3010"/>
      <c r="U98" s="2993"/>
      <c r="V98" s="2993"/>
      <c r="W98" s="3069" t="s">
        <v>541</v>
      </c>
      <c r="X98" s="438">
        <v>33000000</v>
      </c>
      <c r="Y98" s="438">
        <v>32825000</v>
      </c>
      <c r="Z98" s="438">
        <v>32825000</v>
      </c>
      <c r="AA98" s="533" t="s">
        <v>547</v>
      </c>
      <c r="AB98" s="2978"/>
      <c r="AC98" s="2978"/>
      <c r="AD98" s="2978"/>
      <c r="AE98" s="2978"/>
      <c r="AF98" s="2978"/>
      <c r="AG98" s="2978"/>
      <c r="AH98" s="2978"/>
      <c r="AI98" s="2978"/>
      <c r="AJ98" s="2978"/>
      <c r="AK98" s="2978"/>
      <c r="AL98" s="2978"/>
      <c r="AM98" s="2978"/>
      <c r="AN98" s="2978"/>
      <c r="AO98" s="2978"/>
      <c r="AP98" s="2978"/>
      <c r="AQ98" s="2978"/>
      <c r="AR98" s="2978"/>
      <c r="AS98" s="2978"/>
      <c r="AT98" s="2978"/>
      <c r="AU98" s="2978"/>
      <c r="AV98" s="2978"/>
      <c r="AW98" s="2978"/>
      <c r="AX98" s="2978"/>
      <c r="AY98" s="2978"/>
      <c r="AZ98" s="2978"/>
      <c r="BA98" s="2978"/>
      <c r="BB98" s="2978"/>
      <c r="BC98" s="2978"/>
      <c r="BD98" s="2978"/>
      <c r="BE98" s="2978"/>
      <c r="BF98" s="2978"/>
      <c r="BG98" s="2978"/>
      <c r="BH98" s="2978"/>
      <c r="BI98" s="2978"/>
      <c r="BJ98" s="2978"/>
      <c r="BK98" s="3081"/>
      <c r="BL98" s="3081"/>
      <c r="BM98" s="3042"/>
      <c r="BN98" s="2978"/>
      <c r="BO98" s="2978"/>
      <c r="BP98" s="2978"/>
      <c r="BQ98" s="3037"/>
      <c r="BR98" s="3019"/>
      <c r="BS98" s="3037"/>
      <c r="BT98" s="3019"/>
      <c r="BU98" s="3075"/>
    </row>
    <row r="99" spans="1:73" ht="36" customHeight="1" x14ac:dyDescent="0.25">
      <c r="A99" s="3064"/>
      <c r="B99" s="2903"/>
      <c r="C99" s="529"/>
      <c r="D99" s="443"/>
      <c r="E99" s="534"/>
      <c r="F99" s="535"/>
      <c r="G99" s="3077"/>
      <c r="H99" s="3078"/>
      <c r="I99" s="3079"/>
      <c r="J99" s="3078"/>
      <c r="K99" s="3077"/>
      <c r="L99" s="2922"/>
      <c r="M99" s="3077"/>
      <c r="N99" s="2922"/>
      <c r="O99" s="2783"/>
      <c r="P99" s="2928"/>
      <c r="Q99" s="2755"/>
      <c r="R99" s="2993"/>
      <c r="S99" s="3042"/>
      <c r="T99" s="3010"/>
      <c r="U99" s="2993"/>
      <c r="V99" s="2993"/>
      <c r="W99" s="3071"/>
      <c r="X99" s="438">
        <v>50500000</v>
      </c>
      <c r="Y99" s="438">
        <v>30006667</v>
      </c>
      <c r="Z99" s="438">
        <v>30006667</v>
      </c>
      <c r="AA99" s="536" t="s">
        <v>559</v>
      </c>
      <c r="AB99" s="2978"/>
      <c r="AC99" s="2978"/>
      <c r="AD99" s="2978"/>
      <c r="AE99" s="2978"/>
      <c r="AF99" s="2978"/>
      <c r="AG99" s="2978"/>
      <c r="AH99" s="2978"/>
      <c r="AI99" s="2978"/>
      <c r="AJ99" s="2978"/>
      <c r="AK99" s="2978"/>
      <c r="AL99" s="2978"/>
      <c r="AM99" s="2978"/>
      <c r="AN99" s="2978"/>
      <c r="AO99" s="2978"/>
      <c r="AP99" s="2978"/>
      <c r="AQ99" s="2978"/>
      <c r="AR99" s="2978"/>
      <c r="AS99" s="2978"/>
      <c r="AT99" s="2978"/>
      <c r="AU99" s="2978"/>
      <c r="AV99" s="2978"/>
      <c r="AW99" s="2978"/>
      <c r="AX99" s="2978"/>
      <c r="AY99" s="2978"/>
      <c r="AZ99" s="2978"/>
      <c r="BA99" s="2978"/>
      <c r="BB99" s="2978"/>
      <c r="BC99" s="2978"/>
      <c r="BD99" s="2978"/>
      <c r="BE99" s="2978"/>
      <c r="BF99" s="2978"/>
      <c r="BG99" s="2978"/>
      <c r="BH99" s="2978"/>
      <c r="BI99" s="2978"/>
      <c r="BJ99" s="2978"/>
      <c r="BK99" s="3081"/>
      <c r="BL99" s="3081"/>
      <c r="BM99" s="3042"/>
      <c r="BN99" s="2978"/>
      <c r="BO99" s="2978"/>
      <c r="BP99" s="2978"/>
      <c r="BQ99" s="3037"/>
      <c r="BR99" s="3019"/>
      <c r="BS99" s="3037"/>
      <c r="BT99" s="3019"/>
      <c r="BU99" s="3075"/>
    </row>
    <row r="100" spans="1:73" ht="42" customHeight="1" x14ac:dyDescent="0.25">
      <c r="A100" s="3064"/>
      <c r="B100" s="2903"/>
      <c r="C100" s="529"/>
      <c r="D100" s="443"/>
      <c r="E100" s="534"/>
      <c r="F100" s="535"/>
      <c r="G100" s="3077"/>
      <c r="H100" s="3078"/>
      <c r="I100" s="3079"/>
      <c r="J100" s="3078"/>
      <c r="K100" s="3077"/>
      <c r="L100" s="2922"/>
      <c r="M100" s="3077"/>
      <c r="N100" s="2922"/>
      <c r="O100" s="2783"/>
      <c r="P100" s="2928"/>
      <c r="Q100" s="2755"/>
      <c r="R100" s="2993"/>
      <c r="S100" s="3042"/>
      <c r="T100" s="3010"/>
      <c r="U100" s="2993"/>
      <c r="V100" s="2993"/>
      <c r="W100" s="3069" t="s">
        <v>562</v>
      </c>
      <c r="X100" s="438">
        <v>27800000</v>
      </c>
      <c r="Y100" s="438">
        <v>27666167</v>
      </c>
      <c r="Z100" s="438">
        <v>27666167</v>
      </c>
      <c r="AA100" s="533" t="s">
        <v>547</v>
      </c>
      <c r="AB100" s="2978"/>
      <c r="AC100" s="2978"/>
      <c r="AD100" s="2978"/>
      <c r="AE100" s="2978"/>
      <c r="AF100" s="2978"/>
      <c r="AG100" s="2978"/>
      <c r="AH100" s="2978"/>
      <c r="AI100" s="2978"/>
      <c r="AJ100" s="2978"/>
      <c r="AK100" s="2978"/>
      <c r="AL100" s="2978"/>
      <c r="AM100" s="2978"/>
      <c r="AN100" s="2978"/>
      <c r="AO100" s="2978"/>
      <c r="AP100" s="2978"/>
      <c r="AQ100" s="2978"/>
      <c r="AR100" s="2978"/>
      <c r="AS100" s="2978"/>
      <c r="AT100" s="2978"/>
      <c r="AU100" s="2978"/>
      <c r="AV100" s="2978"/>
      <c r="AW100" s="2978"/>
      <c r="AX100" s="2978"/>
      <c r="AY100" s="2978"/>
      <c r="AZ100" s="2978"/>
      <c r="BA100" s="2978"/>
      <c r="BB100" s="2978"/>
      <c r="BC100" s="2978"/>
      <c r="BD100" s="2978"/>
      <c r="BE100" s="2978"/>
      <c r="BF100" s="2978"/>
      <c r="BG100" s="2978"/>
      <c r="BH100" s="2978"/>
      <c r="BI100" s="2978"/>
      <c r="BJ100" s="2978"/>
      <c r="BK100" s="3081"/>
      <c r="BL100" s="3081"/>
      <c r="BM100" s="3042"/>
      <c r="BN100" s="2978"/>
      <c r="BO100" s="2978"/>
      <c r="BP100" s="2978"/>
      <c r="BQ100" s="3037"/>
      <c r="BR100" s="3019"/>
      <c r="BS100" s="3037"/>
      <c r="BT100" s="3019"/>
      <c r="BU100" s="3075"/>
    </row>
    <row r="101" spans="1:73" ht="62.25" customHeight="1" x14ac:dyDescent="0.25">
      <c r="A101" s="3064"/>
      <c r="B101" s="2903"/>
      <c r="C101" s="529"/>
      <c r="D101" s="443"/>
      <c r="E101" s="534"/>
      <c r="F101" s="535"/>
      <c r="G101" s="3077"/>
      <c r="H101" s="3078"/>
      <c r="I101" s="3079"/>
      <c r="J101" s="3078"/>
      <c r="K101" s="3077"/>
      <c r="L101" s="2922"/>
      <c r="M101" s="3077"/>
      <c r="N101" s="2922"/>
      <c r="O101" s="2783"/>
      <c r="P101" s="2928"/>
      <c r="Q101" s="2755"/>
      <c r="R101" s="2993"/>
      <c r="S101" s="3042"/>
      <c r="T101" s="3010"/>
      <c r="U101" s="2993"/>
      <c r="V101" s="2993"/>
      <c r="W101" s="3071"/>
      <c r="X101" s="438">
        <v>40500000</v>
      </c>
      <c r="Y101" s="438">
        <v>14400000</v>
      </c>
      <c r="Z101" s="438">
        <v>14400000</v>
      </c>
      <c r="AA101" s="533" t="s">
        <v>559</v>
      </c>
      <c r="AB101" s="2978"/>
      <c r="AC101" s="2978"/>
      <c r="AD101" s="2978"/>
      <c r="AE101" s="2978"/>
      <c r="AF101" s="2978"/>
      <c r="AG101" s="2978"/>
      <c r="AH101" s="2978"/>
      <c r="AI101" s="2978"/>
      <c r="AJ101" s="2978"/>
      <c r="AK101" s="2978"/>
      <c r="AL101" s="2978"/>
      <c r="AM101" s="2978"/>
      <c r="AN101" s="2978"/>
      <c r="AO101" s="2978"/>
      <c r="AP101" s="2978"/>
      <c r="AQ101" s="2978"/>
      <c r="AR101" s="2978"/>
      <c r="AS101" s="2978"/>
      <c r="AT101" s="2978"/>
      <c r="AU101" s="2978"/>
      <c r="AV101" s="2978"/>
      <c r="AW101" s="2978"/>
      <c r="AX101" s="2978"/>
      <c r="AY101" s="2978"/>
      <c r="AZ101" s="2978"/>
      <c r="BA101" s="2978"/>
      <c r="BB101" s="2978"/>
      <c r="BC101" s="2978"/>
      <c r="BD101" s="2978"/>
      <c r="BE101" s="2978"/>
      <c r="BF101" s="2978"/>
      <c r="BG101" s="2978"/>
      <c r="BH101" s="2978"/>
      <c r="BI101" s="2978"/>
      <c r="BJ101" s="2978"/>
      <c r="BK101" s="3081"/>
      <c r="BL101" s="3081"/>
      <c r="BM101" s="3042"/>
      <c r="BN101" s="2978"/>
      <c r="BO101" s="2978"/>
      <c r="BP101" s="2978"/>
      <c r="BQ101" s="3037"/>
      <c r="BR101" s="3019"/>
      <c r="BS101" s="3037"/>
      <c r="BT101" s="3019"/>
      <c r="BU101" s="3075"/>
    </row>
    <row r="102" spans="1:73" ht="62.25" customHeight="1" x14ac:dyDescent="0.25">
      <c r="A102" s="3064"/>
      <c r="B102" s="2903"/>
      <c r="C102" s="529"/>
      <c r="D102" s="443"/>
      <c r="E102" s="534"/>
      <c r="F102" s="535"/>
      <c r="G102" s="3077"/>
      <c r="H102" s="3078"/>
      <c r="I102" s="3079"/>
      <c r="J102" s="3078"/>
      <c r="K102" s="3077"/>
      <c r="L102" s="2922"/>
      <c r="M102" s="3077"/>
      <c r="N102" s="2922"/>
      <c r="O102" s="2783"/>
      <c r="P102" s="2928"/>
      <c r="Q102" s="2755"/>
      <c r="R102" s="2993"/>
      <c r="S102" s="3042"/>
      <c r="T102" s="3010"/>
      <c r="U102" s="2993"/>
      <c r="V102" s="2993"/>
      <c r="W102" s="537" t="s">
        <v>563</v>
      </c>
      <c r="X102" s="438">
        <v>60433000</v>
      </c>
      <c r="Y102" s="438"/>
      <c r="Z102" s="438"/>
      <c r="AA102" s="533" t="s">
        <v>564</v>
      </c>
      <c r="AB102" s="2978"/>
      <c r="AC102" s="2978"/>
      <c r="AD102" s="2978"/>
      <c r="AE102" s="2978"/>
      <c r="AF102" s="2978"/>
      <c r="AG102" s="2978"/>
      <c r="AH102" s="2978"/>
      <c r="AI102" s="2978"/>
      <c r="AJ102" s="2978"/>
      <c r="AK102" s="2978"/>
      <c r="AL102" s="2978"/>
      <c r="AM102" s="2978"/>
      <c r="AN102" s="2978"/>
      <c r="AO102" s="2978"/>
      <c r="AP102" s="2978"/>
      <c r="AQ102" s="2978"/>
      <c r="AR102" s="2978"/>
      <c r="AS102" s="2978"/>
      <c r="AT102" s="2978"/>
      <c r="AU102" s="2978"/>
      <c r="AV102" s="2978"/>
      <c r="AW102" s="2978"/>
      <c r="AX102" s="2978"/>
      <c r="AY102" s="2978"/>
      <c r="AZ102" s="2978"/>
      <c r="BA102" s="2978"/>
      <c r="BB102" s="2978"/>
      <c r="BC102" s="2978"/>
      <c r="BD102" s="2978"/>
      <c r="BE102" s="2978"/>
      <c r="BF102" s="2978"/>
      <c r="BG102" s="2978"/>
      <c r="BH102" s="2978"/>
      <c r="BI102" s="2978"/>
      <c r="BJ102" s="2978"/>
      <c r="BK102" s="3081"/>
      <c r="BL102" s="3081"/>
      <c r="BM102" s="3042"/>
      <c r="BN102" s="2978"/>
      <c r="BO102" s="2978"/>
      <c r="BP102" s="2978"/>
      <c r="BQ102" s="3037"/>
      <c r="BR102" s="3019"/>
      <c r="BS102" s="3037"/>
      <c r="BT102" s="3019"/>
      <c r="BU102" s="3075"/>
    </row>
    <row r="103" spans="1:73" ht="38.25" customHeight="1" x14ac:dyDescent="0.25">
      <c r="A103" s="3064"/>
      <c r="B103" s="2903"/>
      <c r="C103" s="529"/>
      <c r="D103" s="443"/>
      <c r="E103" s="534"/>
      <c r="F103" s="535"/>
      <c r="G103" s="3077"/>
      <c r="H103" s="3078"/>
      <c r="I103" s="3079"/>
      <c r="J103" s="3078"/>
      <c r="K103" s="3077"/>
      <c r="L103" s="2922"/>
      <c r="M103" s="3077"/>
      <c r="N103" s="2922"/>
      <c r="O103" s="2783"/>
      <c r="P103" s="2928"/>
      <c r="Q103" s="2755"/>
      <c r="R103" s="2993"/>
      <c r="S103" s="3042"/>
      <c r="T103" s="3010"/>
      <c r="U103" s="2993"/>
      <c r="V103" s="2993"/>
      <c r="W103" s="3069" t="s">
        <v>565</v>
      </c>
      <c r="X103" s="438">
        <v>34539734</v>
      </c>
      <c r="Y103" s="438">
        <v>15000000</v>
      </c>
      <c r="Z103" s="438">
        <v>15000000</v>
      </c>
      <c r="AA103" s="533" t="s">
        <v>566</v>
      </c>
      <c r="AB103" s="2978"/>
      <c r="AC103" s="2978"/>
      <c r="AD103" s="2978"/>
      <c r="AE103" s="2978"/>
      <c r="AF103" s="2978"/>
      <c r="AG103" s="2978"/>
      <c r="AH103" s="2978"/>
      <c r="AI103" s="2978"/>
      <c r="AJ103" s="2978"/>
      <c r="AK103" s="2978"/>
      <c r="AL103" s="2978"/>
      <c r="AM103" s="2978"/>
      <c r="AN103" s="2978"/>
      <c r="AO103" s="2978"/>
      <c r="AP103" s="2978"/>
      <c r="AQ103" s="2978"/>
      <c r="AR103" s="2978"/>
      <c r="AS103" s="2978"/>
      <c r="AT103" s="2978"/>
      <c r="AU103" s="2978"/>
      <c r="AV103" s="2978"/>
      <c r="AW103" s="2978"/>
      <c r="AX103" s="2978"/>
      <c r="AY103" s="2978"/>
      <c r="AZ103" s="2978"/>
      <c r="BA103" s="2978"/>
      <c r="BB103" s="2978"/>
      <c r="BC103" s="2978"/>
      <c r="BD103" s="2978"/>
      <c r="BE103" s="2978"/>
      <c r="BF103" s="2978"/>
      <c r="BG103" s="2978"/>
      <c r="BH103" s="2978"/>
      <c r="BI103" s="2978"/>
      <c r="BJ103" s="2978"/>
      <c r="BK103" s="3081"/>
      <c r="BL103" s="3081"/>
      <c r="BM103" s="3042"/>
      <c r="BN103" s="2978"/>
      <c r="BO103" s="2978"/>
      <c r="BP103" s="2978"/>
      <c r="BQ103" s="3037"/>
      <c r="BR103" s="3019"/>
      <c r="BS103" s="3037"/>
      <c r="BT103" s="3019"/>
      <c r="BU103" s="3075"/>
    </row>
    <row r="104" spans="1:73" ht="53.25" customHeight="1" x14ac:dyDescent="0.25">
      <c r="A104" s="3064"/>
      <c r="B104" s="2903"/>
      <c r="C104" s="529"/>
      <c r="D104" s="443"/>
      <c r="E104" s="534"/>
      <c r="F104" s="535"/>
      <c r="G104" s="3077"/>
      <c r="H104" s="3078"/>
      <c r="I104" s="3079"/>
      <c r="J104" s="3078"/>
      <c r="K104" s="3077"/>
      <c r="L104" s="2922"/>
      <c r="M104" s="3077"/>
      <c r="N104" s="2922"/>
      <c r="O104" s="2783"/>
      <c r="P104" s="2928"/>
      <c r="Q104" s="2755"/>
      <c r="R104" s="2993"/>
      <c r="S104" s="3042"/>
      <c r="T104" s="3010"/>
      <c r="U104" s="2993"/>
      <c r="V104" s="2993"/>
      <c r="W104" s="3071"/>
      <c r="X104" s="438">
        <v>1191902494</v>
      </c>
      <c r="Y104" s="438">
        <v>0</v>
      </c>
      <c r="Z104" s="438"/>
      <c r="AA104" s="536" t="s">
        <v>567</v>
      </c>
      <c r="AB104" s="2978"/>
      <c r="AC104" s="2978"/>
      <c r="AD104" s="2978"/>
      <c r="AE104" s="2978"/>
      <c r="AF104" s="2978"/>
      <c r="AG104" s="2978"/>
      <c r="AH104" s="2978"/>
      <c r="AI104" s="2978"/>
      <c r="AJ104" s="2978"/>
      <c r="AK104" s="2978"/>
      <c r="AL104" s="2978"/>
      <c r="AM104" s="2978"/>
      <c r="AN104" s="2978"/>
      <c r="AO104" s="2978"/>
      <c r="AP104" s="2978"/>
      <c r="AQ104" s="2978"/>
      <c r="AR104" s="2978"/>
      <c r="AS104" s="2978"/>
      <c r="AT104" s="2978"/>
      <c r="AU104" s="2978"/>
      <c r="AV104" s="2978"/>
      <c r="AW104" s="2978"/>
      <c r="AX104" s="2978"/>
      <c r="AY104" s="2978"/>
      <c r="AZ104" s="2978"/>
      <c r="BA104" s="2978"/>
      <c r="BB104" s="2978"/>
      <c r="BC104" s="2978"/>
      <c r="BD104" s="2978"/>
      <c r="BE104" s="2978"/>
      <c r="BF104" s="2978"/>
      <c r="BG104" s="2978"/>
      <c r="BH104" s="2978"/>
      <c r="BI104" s="2978"/>
      <c r="BJ104" s="2978"/>
      <c r="BK104" s="3081"/>
      <c r="BL104" s="3081"/>
      <c r="BM104" s="3042"/>
      <c r="BN104" s="2978"/>
      <c r="BO104" s="2978"/>
      <c r="BP104" s="2978"/>
      <c r="BQ104" s="3037"/>
      <c r="BR104" s="3019"/>
      <c r="BS104" s="3037"/>
      <c r="BT104" s="3019"/>
      <c r="BU104" s="3075"/>
    </row>
    <row r="105" spans="1:73" ht="44.25" customHeight="1" x14ac:dyDescent="0.25">
      <c r="A105" s="3064"/>
      <c r="B105" s="2903"/>
      <c r="C105" s="529"/>
      <c r="D105" s="443"/>
      <c r="E105" s="534"/>
      <c r="F105" s="535"/>
      <c r="G105" s="3077"/>
      <c r="H105" s="3078"/>
      <c r="I105" s="3079"/>
      <c r="J105" s="3078"/>
      <c r="K105" s="3077"/>
      <c r="L105" s="2922"/>
      <c r="M105" s="3077"/>
      <c r="N105" s="2922"/>
      <c r="O105" s="2783"/>
      <c r="P105" s="2928"/>
      <c r="Q105" s="2755"/>
      <c r="R105" s="2993"/>
      <c r="S105" s="3042"/>
      <c r="T105" s="3010"/>
      <c r="U105" s="2993"/>
      <c r="V105" s="2993"/>
      <c r="W105" s="3069" t="s">
        <v>568</v>
      </c>
      <c r="X105" s="438">
        <v>20000000</v>
      </c>
      <c r="Y105" s="438">
        <v>20000000</v>
      </c>
      <c r="Z105" s="438">
        <v>20000000</v>
      </c>
      <c r="AA105" s="533" t="s">
        <v>569</v>
      </c>
      <c r="AB105" s="2978"/>
      <c r="AC105" s="2978"/>
      <c r="AD105" s="2978"/>
      <c r="AE105" s="2978"/>
      <c r="AF105" s="2978"/>
      <c r="AG105" s="2978"/>
      <c r="AH105" s="2978"/>
      <c r="AI105" s="2978"/>
      <c r="AJ105" s="2978"/>
      <c r="AK105" s="2978"/>
      <c r="AL105" s="2978"/>
      <c r="AM105" s="2978"/>
      <c r="AN105" s="2978"/>
      <c r="AO105" s="2978"/>
      <c r="AP105" s="2978"/>
      <c r="AQ105" s="2978"/>
      <c r="AR105" s="2978"/>
      <c r="AS105" s="2978"/>
      <c r="AT105" s="2978"/>
      <c r="AU105" s="2978"/>
      <c r="AV105" s="2978"/>
      <c r="AW105" s="2978"/>
      <c r="AX105" s="2978"/>
      <c r="AY105" s="2978"/>
      <c r="AZ105" s="2978"/>
      <c r="BA105" s="2978"/>
      <c r="BB105" s="2978"/>
      <c r="BC105" s="2978"/>
      <c r="BD105" s="2978"/>
      <c r="BE105" s="2978"/>
      <c r="BF105" s="2978"/>
      <c r="BG105" s="2978"/>
      <c r="BH105" s="2978"/>
      <c r="BI105" s="2978"/>
      <c r="BJ105" s="2978"/>
      <c r="BK105" s="3081"/>
      <c r="BL105" s="3081"/>
      <c r="BM105" s="3042"/>
      <c r="BN105" s="2978"/>
      <c r="BO105" s="2978"/>
      <c r="BP105" s="2978"/>
      <c r="BQ105" s="3037"/>
      <c r="BR105" s="3019"/>
      <c r="BS105" s="3037"/>
      <c r="BT105" s="3019"/>
      <c r="BU105" s="3075"/>
    </row>
    <row r="106" spans="1:73" ht="43.5" customHeight="1" x14ac:dyDescent="0.25">
      <c r="A106" s="3064"/>
      <c r="B106" s="2903"/>
      <c r="C106" s="529"/>
      <c r="D106" s="443"/>
      <c r="E106" s="534"/>
      <c r="F106" s="535"/>
      <c r="G106" s="3077"/>
      <c r="H106" s="3078"/>
      <c r="I106" s="3079"/>
      <c r="J106" s="3078"/>
      <c r="K106" s="3077"/>
      <c r="L106" s="2922"/>
      <c r="M106" s="3077"/>
      <c r="N106" s="2922"/>
      <c r="O106" s="2783"/>
      <c r="P106" s="2928"/>
      <c r="Q106" s="2755"/>
      <c r="R106" s="2993"/>
      <c r="S106" s="3042"/>
      <c r="T106" s="3010"/>
      <c r="U106" s="2993"/>
      <c r="V106" s="2993"/>
      <c r="W106" s="3071"/>
      <c r="X106" s="438">
        <v>184215818</v>
      </c>
      <c r="Y106" s="438"/>
      <c r="Z106" s="438"/>
      <c r="AA106" s="536" t="s">
        <v>570</v>
      </c>
      <c r="AB106" s="2978"/>
      <c r="AC106" s="2978"/>
      <c r="AD106" s="2978"/>
      <c r="AE106" s="2978"/>
      <c r="AF106" s="2978"/>
      <c r="AG106" s="2978"/>
      <c r="AH106" s="2978"/>
      <c r="AI106" s="2978"/>
      <c r="AJ106" s="2978"/>
      <c r="AK106" s="2978"/>
      <c r="AL106" s="2978"/>
      <c r="AM106" s="2978"/>
      <c r="AN106" s="2978"/>
      <c r="AO106" s="2978"/>
      <c r="AP106" s="2978"/>
      <c r="AQ106" s="2978"/>
      <c r="AR106" s="2978"/>
      <c r="AS106" s="2978"/>
      <c r="AT106" s="2978"/>
      <c r="AU106" s="2978"/>
      <c r="AV106" s="2978"/>
      <c r="AW106" s="2978"/>
      <c r="AX106" s="2978"/>
      <c r="AY106" s="2978"/>
      <c r="AZ106" s="2978"/>
      <c r="BA106" s="2978"/>
      <c r="BB106" s="2978"/>
      <c r="BC106" s="2978"/>
      <c r="BD106" s="2978"/>
      <c r="BE106" s="2978"/>
      <c r="BF106" s="2978"/>
      <c r="BG106" s="2978"/>
      <c r="BH106" s="2978"/>
      <c r="BI106" s="2978"/>
      <c r="BJ106" s="2978"/>
      <c r="BK106" s="3081"/>
      <c r="BL106" s="3081"/>
      <c r="BM106" s="3042"/>
      <c r="BN106" s="2978"/>
      <c r="BO106" s="2978"/>
      <c r="BP106" s="2978"/>
      <c r="BQ106" s="3037"/>
      <c r="BR106" s="3019"/>
      <c r="BS106" s="3037"/>
      <c r="BT106" s="3019"/>
      <c r="BU106" s="3075"/>
    </row>
    <row r="107" spans="1:73" ht="96.75" customHeight="1" x14ac:dyDescent="0.25">
      <c r="A107" s="3064"/>
      <c r="B107" s="2903"/>
      <c r="C107" s="529"/>
      <c r="D107" s="443"/>
      <c r="E107" s="534"/>
      <c r="F107" s="535"/>
      <c r="G107" s="3077"/>
      <c r="H107" s="3078"/>
      <c r="I107" s="3079"/>
      <c r="J107" s="3078"/>
      <c r="K107" s="3077"/>
      <c r="L107" s="2922"/>
      <c r="M107" s="3077"/>
      <c r="N107" s="2922"/>
      <c r="O107" s="2783"/>
      <c r="P107" s="2928"/>
      <c r="Q107" s="2755"/>
      <c r="R107" s="2993"/>
      <c r="S107" s="3042"/>
      <c r="T107" s="3010"/>
      <c r="U107" s="2993"/>
      <c r="V107" s="2993"/>
      <c r="W107" s="532" t="s">
        <v>571</v>
      </c>
      <c r="X107" s="438">
        <v>1000000</v>
      </c>
      <c r="Y107" s="438">
        <v>1000000</v>
      </c>
      <c r="Z107" s="438">
        <v>1000000</v>
      </c>
      <c r="AA107" s="479" t="s">
        <v>572</v>
      </c>
      <c r="AB107" s="2978"/>
      <c r="AC107" s="2978"/>
      <c r="AD107" s="2978"/>
      <c r="AE107" s="2978"/>
      <c r="AF107" s="2978"/>
      <c r="AG107" s="2978"/>
      <c r="AH107" s="2978"/>
      <c r="AI107" s="2978"/>
      <c r="AJ107" s="2978"/>
      <c r="AK107" s="2978"/>
      <c r="AL107" s="2978"/>
      <c r="AM107" s="2978"/>
      <c r="AN107" s="2978"/>
      <c r="AO107" s="2978"/>
      <c r="AP107" s="2978"/>
      <c r="AQ107" s="2978"/>
      <c r="AR107" s="2978"/>
      <c r="AS107" s="2978"/>
      <c r="AT107" s="2978"/>
      <c r="AU107" s="2978"/>
      <c r="AV107" s="2978"/>
      <c r="AW107" s="2978"/>
      <c r="AX107" s="2978"/>
      <c r="AY107" s="2978"/>
      <c r="AZ107" s="2978"/>
      <c r="BA107" s="2978"/>
      <c r="BB107" s="2978"/>
      <c r="BC107" s="2978"/>
      <c r="BD107" s="2978"/>
      <c r="BE107" s="2978"/>
      <c r="BF107" s="2978"/>
      <c r="BG107" s="2978"/>
      <c r="BH107" s="2978"/>
      <c r="BI107" s="2978"/>
      <c r="BJ107" s="2978"/>
      <c r="BK107" s="3081"/>
      <c r="BL107" s="3081"/>
      <c r="BM107" s="3042"/>
      <c r="BN107" s="2978"/>
      <c r="BO107" s="2978"/>
      <c r="BP107" s="2978"/>
      <c r="BQ107" s="3037"/>
      <c r="BR107" s="3019"/>
      <c r="BS107" s="3037"/>
      <c r="BT107" s="3019"/>
      <c r="BU107" s="3075"/>
    </row>
    <row r="108" spans="1:73" ht="54" customHeight="1" x14ac:dyDescent="0.25">
      <c r="A108" s="3064"/>
      <c r="B108" s="2903"/>
      <c r="C108" s="529"/>
      <c r="D108" s="443"/>
      <c r="E108" s="534"/>
      <c r="F108" s="535"/>
      <c r="G108" s="3077"/>
      <c r="H108" s="3078"/>
      <c r="I108" s="3079"/>
      <c r="J108" s="3078"/>
      <c r="K108" s="3077"/>
      <c r="L108" s="2922"/>
      <c r="M108" s="3077"/>
      <c r="N108" s="2922"/>
      <c r="O108" s="2783"/>
      <c r="P108" s="2928"/>
      <c r="Q108" s="2755"/>
      <c r="R108" s="2993"/>
      <c r="S108" s="3042"/>
      <c r="T108" s="3010"/>
      <c r="U108" s="2993"/>
      <c r="V108" s="2993"/>
      <c r="W108" s="538" t="s">
        <v>573</v>
      </c>
      <c r="X108" s="438">
        <v>99073447</v>
      </c>
      <c r="Y108" s="438"/>
      <c r="Z108" s="438"/>
      <c r="AA108" s="539" t="s">
        <v>574</v>
      </c>
      <c r="AB108" s="2978"/>
      <c r="AC108" s="2978"/>
      <c r="AD108" s="2978"/>
      <c r="AE108" s="2978"/>
      <c r="AF108" s="2978"/>
      <c r="AG108" s="2978"/>
      <c r="AH108" s="2978"/>
      <c r="AI108" s="2978"/>
      <c r="AJ108" s="2978"/>
      <c r="AK108" s="2978"/>
      <c r="AL108" s="2978"/>
      <c r="AM108" s="2978"/>
      <c r="AN108" s="2978"/>
      <c r="AO108" s="2978"/>
      <c r="AP108" s="2978"/>
      <c r="AQ108" s="2978"/>
      <c r="AR108" s="2978"/>
      <c r="AS108" s="2978"/>
      <c r="AT108" s="2978"/>
      <c r="AU108" s="2978"/>
      <c r="AV108" s="2978"/>
      <c r="AW108" s="2978"/>
      <c r="AX108" s="2978"/>
      <c r="AY108" s="2978"/>
      <c r="AZ108" s="2978"/>
      <c r="BA108" s="2978"/>
      <c r="BB108" s="2978"/>
      <c r="BC108" s="2978"/>
      <c r="BD108" s="2978"/>
      <c r="BE108" s="2978"/>
      <c r="BF108" s="2978"/>
      <c r="BG108" s="2978"/>
      <c r="BH108" s="2978"/>
      <c r="BI108" s="2978"/>
      <c r="BJ108" s="2978"/>
      <c r="BK108" s="3081"/>
      <c r="BL108" s="3081"/>
      <c r="BM108" s="3042"/>
      <c r="BN108" s="2978"/>
      <c r="BO108" s="2978"/>
      <c r="BP108" s="2978"/>
      <c r="BQ108" s="3037"/>
      <c r="BR108" s="3019"/>
      <c r="BS108" s="3037"/>
      <c r="BT108" s="3019"/>
      <c r="BU108" s="3075"/>
    </row>
    <row r="109" spans="1:73" ht="45" customHeight="1" x14ac:dyDescent="0.25">
      <c r="A109" s="3064"/>
      <c r="B109" s="2903"/>
      <c r="C109" s="529"/>
      <c r="D109" s="443"/>
      <c r="E109" s="534"/>
      <c r="F109" s="535"/>
      <c r="G109" s="3077"/>
      <c r="H109" s="3078"/>
      <c r="I109" s="3079"/>
      <c r="J109" s="3078"/>
      <c r="K109" s="3077"/>
      <c r="L109" s="2922"/>
      <c r="M109" s="3077"/>
      <c r="N109" s="2922"/>
      <c r="O109" s="2783"/>
      <c r="P109" s="2929"/>
      <c r="Q109" s="2756"/>
      <c r="R109" s="2994"/>
      <c r="S109" s="3043"/>
      <c r="T109" s="3011"/>
      <c r="U109" s="2994"/>
      <c r="V109" s="2994"/>
      <c r="W109" s="540" t="s">
        <v>575</v>
      </c>
      <c r="X109" s="438">
        <v>393689004</v>
      </c>
      <c r="Y109" s="438"/>
      <c r="Z109" s="438"/>
      <c r="AA109" s="479" t="s">
        <v>576</v>
      </c>
      <c r="AB109" s="2979"/>
      <c r="AC109" s="2979"/>
      <c r="AD109" s="2979"/>
      <c r="AE109" s="2979"/>
      <c r="AF109" s="2979"/>
      <c r="AG109" s="2979"/>
      <c r="AH109" s="2979"/>
      <c r="AI109" s="2979"/>
      <c r="AJ109" s="2979"/>
      <c r="AK109" s="2979"/>
      <c r="AL109" s="2979"/>
      <c r="AM109" s="2979"/>
      <c r="AN109" s="2979"/>
      <c r="AO109" s="2979"/>
      <c r="AP109" s="2979"/>
      <c r="AQ109" s="2979"/>
      <c r="AR109" s="2979"/>
      <c r="AS109" s="2979"/>
      <c r="AT109" s="2979"/>
      <c r="AU109" s="2979"/>
      <c r="AV109" s="2979"/>
      <c r="AW109" s="2979"/>
      <c r="AX109" s="2979"/>
      <c r="AY109" s="2979"/>
      <c r="AZ109" s="2979"/>
      <c r="BA109" s="2979"/>
      <c r="BB109" s="2979"/>
      <c r="BC109" s="2979"/>
      <c r="BD109" s="2979"/>
      <c r="BE109" s="2979"/>
      <c r="BF109" s="2979"/>
      <c r="BG109" s="2979"/>
      <c r="BH109" s="2979"/>
      <c r="BI109" s="2979"/>
      <c r="BJ109" s="2979"/>
      <c r="BK109" s="3082"/>
      <c r="BL109" s="3082"/>
      <c r="BM109" s="3043"/>
      <c r="BN109" s="2979"/>
      <c r="BO109" s="2979"/>
      <c r="BP109" s="2979"/>
      <c r="BQ109" s="3038"/>
      <c r="BR109" s="3020"/>
      <c r="BS109" s="3038"/>
      <c r="BT109" s="3020"/>
      <c r="BU109" s="3076"/>
    </row>
    <row r="110" spans="1:73" ht="154.5" customHeight="1" x14ac:dyDescent="0.25">
      <c r="A110" s="3064"/>
      <c r="B110" s="2903"/>
      <c r="C110" s="541"/>
      <c r="D110" s="542"/>
      <c r="E110" s="543"/>
      <c r="F110" s="542"/>
      <c r="G110" s="544" t="s">
        <v>20</v>
      </c>
      <c r="H110" s="545" t="s">
        <v>577</v>
      </c>
      <c r="I110" s="544">
        <v>2402118</v>
      </c>
      <c r="J110" s="545" t="s">
        <v>578</v>
      </c>
      <c r="K110" s="544" t="s">
        <v>20</v>
      </c>
      <c r="L110" s="546" t="s">
        <v>579</v>
      </c>
      <c r="M110" s="547">
        <v>240211800</v>
      </c>
      <c r="N110" s="548" t="s">
        <v>580</v>
      </c>
      <c r="O110" s="482">
        <v>6</v>
      </c>
      <c r="P110" s="549">
        <v>2</v>
      </c>
      <c r="Q110" s="482" t="s">
        <v>581</v>
      </c>
      <c r="R110" s="550" t="s">
        <v>582</v>
      </c>
      <c r="S110" s="455">
        <f>SUM(X110)/T110</f>
        <v>1</v>
      </c>
      <c r="T110" s="43">
        <f>SUM(X110)</f>
        <v>40000000</v>
      </c>
      <c r="U110" s="551" t="s">
        <v>583</v>
      </c>
      <c r="V110" s="551" t="s">
        <v>584</v>
      </c>
      <c r="W110" s="415" t="s">
        <v>585</v>
      </c>
      <c r="X110" s="43">
        <v>40000000</v>
      </c>
      <c r="Y110" s="43">
        <v>9000000</v>
      </c>
      <c r="Z110" s="43">
        <v>9000000</v>
      </c>
      <c r="AA110" s="552" t="s">
        <v>586</v>
      </c>
      <c r="AB110" s="41">
        <v>20</v>
      </c>
      <c r="AC110" s="551" t="s">
        <v>422</v>
      </c>
      <c r="AD110" s="553">
        <v>295972</v>
      </c>
      <c r="AE110" s="553">
        <v>295972</v>
      </c>
      <c r="AF110" s="553">
        <v>285580</v>
      </c>
      <c r="AG110" s="553">
        <v>285580</v>
      </c>
      <c r="AH110" s="553">
        <v>135545</v>
      </c>
      <c r="AI110" s="553">
        <v>135545</v>
      </c>
      <c r="AJ110" s="553">
        <v>44254</v>
      </c>
      <c r="AK110" s="553">
        <v>44254</v>
      </c>
      <c r="AL110" s="553">
        <v>309146</v>
      </c>
      <c r="AM110" s="553">
        <v>309146</v>
      </c>
      <c r="AN110" s="553">
        <v>92607</v>
      </c>
      <c r="AO110" s="553">
        <v>96207</v>
      </c>
      <c r="AP110" s="553">
        <v>2145</v>
      </c>
      <c r="AQ110" s="553">
        <v>2145</v>
      </c>
      <c r="AR110" s="553">
        <v>12718</v>
      </c>
      <c r="AS110" s="553">
        <v>12718</v>
      </c>
      <c r="AT110" s="553">
        <v>26</v>
      </c>
      <c r="AU110" s="553">
        <v>26</v>
      </c>
      <c r="AV110" s="553">
        <v>37</v>
      </c>
      <c r="AW110" s="553">
        <v>37</v>
      </c>
      <c r="AX110" s="553">
        <v>0</v>
      </c>
      <c r="AY110" s="553">
        <v>0</v>
      </c>
      <c r="AZ110" s="553">
        <v>0</v>
      </c>
      <c r="BA110" s="553">
        <v>0</v>
      </c>
      <c r="BB110" s="553">
        <v>44350</v>
      </c>
      <c r="BC110" s="553">
        <v>44350</v>
      </c>
      <c r="BD110" s="553">
        <v>21944</v>
      </c>
      <c r="BE110" s="553">
        <v>21944</v>
      </c>
      <c r="BF110" s="553">
        <v>75687</v>
      </c>
      <c r="BG110" s="553">
        <v>75687</v>
      </c>
      <c r="BH110" s="553">
        <v>581552</v>
      </c>
      <c r="BI110" s="553">
        <v>581552</v>
      </c>
      <c r="BJ110" s="554">
        <v>1</v>
      </c>
      <c r="BK110" s="555">
        <f>+Y110</f>
        <v>9000000</v>
      </c>
      <c r="BL110" s="555">
        <f>+Z110</f>
        <v>9000000</v>
      </c>
      <c r="BM110" s="556">
        <f>+BL110/BK110</f>
        <v>1</v>
      </c>
      <c r="BN110" s="553">
        <v>20</v>
      </c>
      <c r="BO110" s="557" t="s">
        <v>422</v>
      </c>
      <c r="BP110" s="557" t="s">
        <v>539</v>
      </c>
      <c r="BQ110" s="449">
        <v>44197</v>
      </c>
      <c r="BR110" s="458">
        <v>44258</v>
      </c>
      <c r="BS110" s="449">
        <v>44561</v>
      </c>
      <c r="BT110" s="458">
        <v>44551</v>
      </c>
      <c r="BU110" s="558" t="s">
        <v>425</v>
      </c>
    </row>
    <row r="111" spans="1:73" ht="15.75" x14ac:dyDescent="0.25">
      <c r="A111" s="3064"/>
      <c r="B111" s="2904"/>
      <c r="C111" s="559"/>
      <c r="D111" s="560"/>
      <c r="E111" s="561"/>
      <c r="F111" s="561"/>
      <c r="G111" s="561"/>
      <c r="H111" s="562"/>
      <c r="I111" s="563"/>
      <c r="J111" s="564"/>
      <c r="K111" s="563"/>
      <c r="L111" s="512"/>
      <c r="M111" s="565"/>
      <c r="N111" s="512"/>
      <c r="O111" s="566"/>
      <c r="P111" s="567"/>
      <c r="Q111" s="486"/>
      <c r="R111" s="488"/>
      <c r="S111" s="489"/>
      <c r="T111" s="568"/>
      <c r="U111" s="488"/>
      <c r="V111" s="488"/>
      <c r="W111" s="488"/>
      <c r="X111" s="568"/>
      <c r="Y111" s="568"/>
      <c r="Z111" s="568"/>
      <c r="AA111" s="569"/>
      <c r="AB111" s="495"/>
      <c r="AC111" s="488"/>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486"/>
      <c r="BC111" s="486"/>
      <c r="BD111" s="486"/>
      <c r="BE111" s="486"/>
      <c r="BF111" s="486"/>
      <c r="BG111" s="486"/>
      <c r="BH111" s="486"/>
      <c r="BI111" s="486"/>
      <c r="BJ111" s="486"/>
      <c r="BK111" s="486"/>
      <c r="BL111" s="486"/>
      <c r="BM111" s="489"/>
      <c r="BN111" s="486"/>
      <c r="BO111" s="488"/>
      <c r="BP111" s="488"/>
      <c r="BQ111" s="499"/>
      <c r="BR111" s="499"/>
      <c r="BS111" s="499"/>
      <c r="BT111" s="499"/>
      <c r="BU111" s="491"/>
    </row>
    <row r="112" spans="1:73" s="4" customFormat="1" ht="15.75" x14ac:dyDescent="0.25">
      <c r="A112" s="3064"/>
      <c r="B112" s="2904"/>
      <c r="C112" s="525"/>
      <c r="D112" s="526"/>
      <c r="E112" s="570">
        <v>3205</v>
      </c>
      <c r="F112" s="2955" t="s">
        <v>587</v>
      </c>
      <c r="G112" s="2955"/>
      <c r="H112" s="2955"/>
      <c r="I112" s="2955"/>
      <c r="J112" s="2955"/>
      <c r="K112" s="2955"/>
      <c r="L112" s="2955"/>
      <c r="M112" s="190"/>
      <c r="N112" s="194"/>
      <c r="O112" s="190"/>
      <c r="P112" s="500"/>
      <c r="Q112" s="190"/>
      <c r="R112" s="194"/>
      <c r="S112" s="192"/>
      <c r="T112" s="528"/>
      <c r="U112" s="194"/>
      <c r="V112" s="194"/>
      <c r="W112" s="194"/>
      <c r="X112" s="501"/>
      <c r="Y112" s="501"/>
      <c r="Z112" s="501"/>
      <c r="AA112" s="90"/>
      <c r="AB112" s="195"/>
      <c r="AC112" s="194"/>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502"/>
      <c r="BN112" s="190"/>
      <c r="BO112" s="194"/>
      <c r="BP112" s="194"/>
      <c r="BQ112" s="190"/>
      <c r="BR112" s="190"/>
      <c r="BS112" s="190"/>
      <c r="BT112" s="190"/>
      <c r="BU112" s="194"/>
    </row>
    <row r="113" spans="1:73" s="573" customFormat="1" ht="66.75" customHeight="1" x14ac:dyDescent="0.25">
      <c r="A113" s="3064"/>
      <c r="B113" s="2904"/>
      <c r="C113" s="571"/>
      <c r="D113" s="572"/>
      <c r="E113" s="2998"/>
      <c r="F113" s="3086"/>
      <c r="G113" s="2986">
        <v>3205010</v>
      </c>
      <c r="H113" s="2681" t="s">
        <v>588</v>
      </c>
      <c r="I113" s="2986">
        <v>3205010</v>
      </c>
      <c r="J113" s="2681" t="s">
        <v>588</v>
      </c>
      <c r="K113" s="2986" t="s">
        <v>589</v>
      </c>
      <c r="L113" s="2681" t="s">
        <v>590</v>
      </c>
      <c r="M113" s="2986" t="s">
        <v>589</v>
      </c>
      <c r="N113" s="2681" t="s">
        <v>590</v>
      </c>
      <c r="O113" s="2752">
        <v>2</v>
      </c>
      <c r="P113" s="2927">
        <v>0</v>
      </c>
      <c r="Q113" s="2752" t="s">
        <v>591</v>
      </c>
      <c r="R113" s="2992" t="s">
        <v>592</v>
      </c>
      <c r="S113" s="2682">
        <f>SUM(X112:X126)/T113</f>
        <v>0.9978855370735833</v>
      </c>
      <c r="T113" s="3009">
        <f>SUM(X113:X127)</f>
        <v>1418800000</v>
      </c>
      <c r="U113" s="2992" t="s">
        <v>593</v>
      </c>
      <c r="V113" s="2992" t="s">
        <v>594</v>
      </c>
      <c r="W113" s="3069" t="s">
        <v>595</v>
      </c>
      <c r="X113" s="84">
        <v>11200000</v>
      </c>
      <c r="Y113" s="43">
        <v>11200000</v>
      </c>
      <c r="Z113" s="43">
        <v>11200000</v>
      </c>
      <c r="AA113" s="363" t="s">
        <v>596</v>
      </c>
      <c r="AB113" s="3083" t="s">
        <v>440</v>
      </c>
      <c r="AC113" s="2547" t="s">
        <v>441</v>
      </c>
      <c r="AD113" s="2547">
        <v>295972</v>
      </c>
      <c r="AE113" s="2547">
        <v>295972</v>
      </c>
      <c r="AF113" s="2547">
        <v>285580</v>
      </c>
      <c r="AG113" s="2547">
        <v>285580</v>
      </c>
      <c r="AH113" s="2547">
        <v>135545</v>
      </c>
      <c r="AI113" s="2547">
        <v>135545</v>
      </c>
      <c r="AJ113" s="2547">
        <v>44254</v>
      </c>
      <c r="AK113" s="2547">
        <v>44254</v>
      </c>
      <c r="AL113" s="2547">
        <v>309146</v>
      </c>
      <c r="AM113" s="2547">
        <v>309146</v>
      </c>
      <c r="AN113" s="2547">
        <v>92607</v>
      </c>
      <c r="AO113" s="2547">
        <v>92607</v>
      </c>
      <c r="AP113" s="2547">
        <v>2145</v>
      </c>
      <c r="AQ113" s="2547">
        <v>2145</v>
      </c>
      <c r="AR113" s="2547">
        <v>12718</v>
      </c>
      <c r="AS113" s="2547">
        <v>12718</v>
      </c>
      <c r="AT113" s="2547">
        <v>26</v>
      </c>
      <c r="AU113" s="2547">
        <v>26</v>
      </c>
      <c r="AV113" s="2547">
        <v>37</v>
      </c>
      <c r="AW113" s="2547">
        <v>37</v>
      </c>
      <c r="AX113" s="2547">
        <v>0</v>
      </c>
      <c r="AY113" s="2547">
        <v>0</v>
      </c>
      <c r="AZ113" s="2547">
        <v>0</v>
      </c>
      <c r="BA113" s="2547">
        <v>0</v>
      </c>
      <c r="BB113" s="2547">
        <v>44350</v>
      </c>
      <c r="BC113" s="2547">
        <v>44350</v>
      </c>
      <c r="BD113" s="2547">
        <v>21944</v>
      </c>
      <c r="BE113" s="2547">
        <v>21944</v>
      </c>
      <c r="BF113" s="2547">
        <v>75687</v>
      </c>
      <c r="BG113" s="2547">
        <v>75687</v>
      </c>
      <c r="BH113" s="2547">
        <v>581552</v>
      </c>
      <c r="BI113" s="2547">
        <v>581552</v>
      </c>
      <c r="BJ113" s="2752">
        <v>23</v>
      </c>
      <c r="BK113" s="3009">
        <f>SUM(Y113:Y127)</f>
        <v>64515000</v>
      </c>
      <c r="BL113" s="3009">
        <f>SUM(Z113:Z127)</f>
        <v>64515000</v>
      </c>
      <c r="BM113" s="3039">
        <f>+BL113/BK113</f>
        <v>1</v>
      </c>
      <c r="BN113" s="2547" t="s">
        <v>440</v>
      </c>
      <c r="BO113" s="2545" t="s">
        <v>441</v>
      </c>
      <c r="BP113" s="2545" t="s">
        <v>539</v>
      </c>
      <c r="BQ113" s="3036">
        <v>44197</v>
      </c>
      <c r="BR113" s="3018">
        <v>44243</v>
      </c>
      <c r="BS113" s="3036">
        <v>44561</v>
      </c>
      <c r="BT113" s="3018">
        <v>44551</v>
      </c>
      <c r="BU113" s="3053" t="s">
        <v>425</v>
      </c>
    </row>
    <row r="114" spans="1:73" s="573" customFormat="1" ht="63" customHeight="1" x14ac:dyDescent="0.25">
      <c r="A114" s="3064"/>
      <c r="B114" s="2904"/>
      <c r="C114" s="571"/>
      <c r="D114" s="572"/>
      <c r="E114" s="3000"/>
      <c r="F114" s="3087"/>
      <c r="G114" s="2987"/>
      <c r="H114" s="2771"/>
      <c r="I114" s="2987"/>
      <c r="J114" s="2771"/>
      <c r="K114" s="2987"/>
      <c r="L114" s="2771"/>
      <c r="M114" s="2987"/>
      <c r="N114" s="2771"/>
      <c r="O114" s="2755"/>
      <c r="P114" s="2928"/>
      <c r="Q114" s="2755"/>
      <c r="R114" s="2993"/>
      <c r="S114" s="3042"/>
      <c r="T114" s="3010"/>
      <c r="U114" s="2993"/>
      <c r="V114" s="2993"/>
      <c r="W114" s="3071"/>
      <c r="X114" s="84">
        <v>2800000</v>
      </c>
      <c r="Y114" s="43">
        <v>1400000</v>
      </c>
      <c r="Z114" s="43">
        <v>1400000</v>
      </c>
      <c r="AA114" s="479" t="s">
        <v>597</v>
      </c>
      <c r="AB114" s="3084"/>
      <c r="AC114" s="2716"/>
      <c r="AD114" s="2716"/>
      <c r="AE114" s="2716"/>
      <c r="AF114" s="2716"/>
      <c r="AG114" s="2716"/>
      <c r="AH114" s="2716"/>
      <c r="AI114" s="2716"/>
      <c r="AJ114" s="2716"/>
      <c r="AK114" s="2716"/>
      <c r="AL114" s="2716"/>
      <c r="AM114" s="2716"/>
      <c r="AN114" s="2716"/>
      <c r="AO114" s="2716"/>
      <c r="AP114" s="2716"/>
      <c r="AQ114" s="2716"/>
      <c r="AR114" s="2716"/>
      <c r="AS114" s="2716"/>
      <c r="AT114" s="2716"/>
      <c r="AU114" s="2716"/>
      <c r="AV114" s="2716"/>
      <c r="AW114" s="2716"/>
      <c r="AX114" s="2716"/>
      <c r="AY114" s="2716"/>
      <c r="AZ114" s="2716"/>
      <c r="BA114" s="2716"/>
      <c r="BB114" s="2716"/>
      <c r="BC114" s="2716"/>
      <c r="BD114" s="2716"/>
      <c r="BE114" s="2716"/>
      <c r="BF114" s="2716"/>
      <c r="BG114" s="2716"/>
      <c r="BH114" s="2716"/>
      <c r="BI114" s="2716"/>
      <c r="BJ114" s="2755"/>
      <c r="BK114" s="3010"/>
      <c r="BL114" s="3010"/>
      <c r="BM114" s="3040"/>
      <c r="BN114" s="2716"/>
      <c r="BO114" s="2781"/>
      <c r="BP114" s="2781"/>
      <c r="BQ114" s="3037"/>
      <c r="BR114" s="3019"/>
      <c r="BS114" s="3037"/>
      <c r="BT114" s="3019"/>
      <c r="BU114" s="3054"/>
    </row>
    <row r="115" spans="1:73" s="573" customFormat="1" ht="75" x14ac:dyDescent="0.25">
      <c r="A115" s="3064"/>
      <c r="B115" s="2904"/>
      <c r="C115" s="571"/>
      <c r="D115" s="572"/>
      <c r="E115" s="3000"/>
      <c r="F115" s="3087"/>
      <c r="G115" s="2987"/>
      <c r="H115" s="2771"/>
      <c r="I115" s="2987"/>
      <c r="J115" s="2771"/>
      <c r="K115" s="2987"/>
      <c r="L115" s="2771"/>
      <c r="M115" s="2987"/>
      <c r="N115" s="2771"/>
      <c r="O115" s="2755"/>
      <c r="P115" s="2928"/>
      <c r="Q115" s="2755"/>
      <c r="R115" s="2993"/>
      <c r="S115" s="3042"/>
      <c r="T115" s="3010"/>
      <c r="U115" s="2993"/>
      <c r="V115" s="2993"/>
      <c r="W115" s="532" t="s">
        <v>598</v>
      </c>
      <c r="X115" s="84">
        <v>2000000</v>
      </c>
      <c r="Y115" s="43"/>
      <c r="Z115" s="43"/>
      <c r="AA115" s="479" t="s">
        <v>597</v>
      </c>
      <c r="AB115" s="3084"/>
      <c r="AC115" s="2716"/>
      <c r="AD115" s="2716"/>
      <c r="AE115" s="2716"/>
      <c r="AF115" s="2716"/>
      <c r="AG115" s="2716"/>
      <c r="AH115" s="2716"/>
      <c r="AI115" s="2716"/>
      <c r="AJ115" s="2716"/>
      <c r="AK115" s="2716"/>
      <c r="AL115" s="2716"/>
      <c r="AM115" s="2716"/>
      <c r="AN115" s="2716"/>
      <c r="AO115" s="2716"/>
      <c r="AP115" s="2716"/>
      <c r="AQ115" s="2716"/>
      <c r="AR115" s="2716"/>
      <c r="AS115" s="2716"/>
      <c r="AT115" s="2716"/>
      <c r="AU115" s="2716"/>
      <c r="AV115" s="2716"/>
      <c r="AW115" s="2716"/>
      <c r="AX115" s="2716"/>
      <c r="AY115" s="2716"/>
      <c r="AZ115" s="2716"/>
      <c r="BA115" s="2716"/>
      <c r="BB115" s="2716"/>
      <c r="BC115" s="2716"/>
      <c r="BD115" s="2716"/>
      <c r="BE115" s="2716"/>
      <c r="BF115" s="2716"/>
      <c r="BG115" s="2716"/>
      <c r="BH115" s="2716"/>
      <c r="BI115" s="2716"/>
      <c r="BJ115" s="2755"/>
      <c r="BK115" s="3010"/>
      <c r="BL115" s="3010"/>
      <c r="BM115" s="3040"/>
      <c r="BN115" s="2716"/>
      <c r="BO115" s="2781"/>
      <c r="BP115" s="2781"/>
      <c r="BQ115" s="3037"/>
      <c r="BR115" s="3019"/>
      <c r="BS115" s="3037"/>
      <c r="BT115" s="3019"/>
      <c r="BU115" s="3054"/>
    </row>
    <row r="116" spans="1:73" s="573" customFormat="1" ht="72" customHeight="1" x14ac:dyDescent="0.25">
      <c r="A116" s="3064"/>
      <c r="B116" s="2904"/>
      <c r="C116" s="571"/>
      <c r="D116" s="572"/>
      <c r="E116" s="3000"/>
      <c r="F116" s="3087"/>
      <c r="G116" s="2987"/>
      <c r="H116" s="2771"/>
      <c r="I116" s="2987"/>
      <c r="J116" s="2771"/>
      <c r="K116" s="2987"/>
      <c r="L116" s="2771"/>
      <c r="M116" s="2987"/>
      <c r="N116" s="2771"/>
      <c r="O116" s="2755"/>
      <c r="P116" s="2928"/>
      <c r="Q116" s="2755"/>
      <c r="R116" s="2993"/>
      <c r="S116" s="3042"/>
      <c r="T116" s="3010"/>
      <c r="U116" s="2993"/>
      <c r="V116" s="2993"/>
      <c r="W116" s="3069" t="s">
        <v>599</v>
      </c>
      <c r="X116" s="84">
        <v>3300000</v>
      </c>
      <c r="Y116" s="43">
        <v>3300000</v>
      </c>
      <c r="Z116" s="43">
        <v>3300000</v>
      </c>
      <c r="AA116" s="479" t="s">
        <v>596</v>
      </c>
      <c r="AB116" s="3084"/>
      <c r="AC116" s="2716"/>
      <c r="AD116" s="2716"/>
      <c r="AE116" s="2716"/>
      <c r="AF116" s="2716"/>
      <c r="AG116" s="2716"/>
      <c r="AH116" s="2716"/>
      <c r="AI116" s="2716"/>
      <c r="AJ116" s="2716"/>
      <c r="AK116" s="2716"/>
      <c r="AL116" s="2716"/>
      <c r="AM116" s="2716"/>
      <c r="AN116" s="2716"/>
      <c r="AO116" s="2716"/>
      <c r="AP116" s="2716"/>
      <c r="AQ116" s="2716"/>
      <c r="AR116" s="2716"/>
      <c r="AS116" s="2716"/>
      <c r="AT116" s="2716"/>
      <c r="AU116" s="2716"/>
      <c r="AV116" s="2716"/>
      <c r="AW116" s="2716"/>
      <c r="AX116" s="2716"/>
      <c r="AY116" s="2716"/>
      <c r="AZ116" s="2716"/>
      <c r="BA116" s="2716"/>
      <c r="BB116" s="2716"/>
      <c r="BC116" s="2716"/>
      <c r="BD116" s="2716"/>
      <c r="BE116" s="2716"/>
      <c r="BF116" s="2716"/>
      <c r="BG116" s="2716"/>
      <c r="BH116" s="2716"/>
      <c r="BI116" s="2716"/>
      <c r="BJ116" s="2755"/>
      <c r="BK116" s="3010"/>
      <c r="BL116" s="3010"/>
      <c r="BM116" s="3040"/>
      <c r="BN116" s="2716"/>
      <c r="BO116" s="2781"/>
      <c r="BP116" s="2781"/>
      <c r="BQ116" s="3037"/>
      <c r="BR116" s="3019"/>
      <c r="BS116" s="3037"/>
      <c r="BT116" s="3019"/>
      <c r="BU116" s="3054"/>
    </row>
    <row r="117" spans="1:73" s="573" customFormat="1" ht="50.25" customHeight="1" x14ac:dyDescent="0.25">
      <c r="A117" s="3064"/>
      <c r="B117" s="2904"/>
      <c r="C117" s="571"/>
      <c r="D117" s="572"/>
      <c r="E117" s="3000"/>
      <c r="F117" s="3087"/>
      <c r="G117" s="2987"/>
      <c r="H117" s="2771"/>
      <c r="I117" s="2987"/>
      <c r="J117" s="2771"/>
      <c r="K117" s="2987"/>
      <c r="L117" s="2771"/>
      <c r="M117" s="2987"/>
      <c r="N117" s="2771"/>
      <c r="O117" s="2755"/>
      <c r="P117" s="2928"/>
      <c r="Q117" s="2755"/>
      <c r="R117" s="2993"/>
      <c r="S117" s="3042"/>
      <c r="T117" s="3010"/>
      <c r="U117" s="2993"/>
      <c r="V117" s="2993"/>
      <c r="W117" s="3071"/>
      <c r="X117" s="84">
        <v>1700000</v>
      </c>
      <c r="Y117" s="43"/>
      <c r="Z117" s="43"/>
      <c r="AA117" s="479" t="s">
        <v>597</v>
      </c>
      <c r="AB117" s="3084"/>
      <c r="AC117" s="2716"/>
      <c r="AD117" s="2716"/>
      <c r="AE117" s="2716"/>
      <c r="AF117" s="2716"/>
      <c r="AG117" s="2716"/>
      <c r="AH117" s="2716"/>
      <c r="AI117" s="2716"/>
      <c r="AJ117" s="2716"/>
      <c r="AK117" s="2716"/>
      <c r="AL117" s="2716"/>
      <c r="AM117" s="2716"/>
      <c r="AN117" s="2716"/>
      <c r="AO117" s="2716"/>
      <c r="AP117" s="2716"/>
      <c r="AQ117" s="2716"/>
      <c r="AR117" s="2716"/>
      <c r="AS117" s="2716"/>
      <c r="AT117" s="2716"/>
      <c r="AU117" s="2716"/>
      <c r="AV117" s="2716"/>
      <c r="AW117" s="2716"/>
      <c r="AX117" s="2716"/>
      <c r="AY117" s="2716"/>
      <c r="AZ117" s="2716"/>
      <c r="BA117" s="2716"/>
      <c r="BB117" s="2716"/>
      <c r="BC117" s="2716"/>
      <c r="BD117" s="2716"/>
      <c r="BE117" s="2716"/>
      <c r="BF117" s="2716"/>
      <c r="BG117" s="2716"/>
      <c r="BH117" s="2716"/>
      <c r="BI117" s="2716"/>
      <c r="BJ117" s="2755"/>
      <c r="BK117" s="3010"/>
      <c r="BL117" s="3010"/>
      <c r="BM117" s="3040"/>
      <c r="BN117" s="2716"/>
      <c r="BO117" s="2781"/>
      <c r="BP117" s="2781"/>
      <c r="BQ117" s="3037"/>
      <c r="BR117" s="3019"/>
      <c r="BS117" s="3037"/>
      <c r="BT117" s="3019"/>
      <c r="BU117" s="3054"/>
    </row>
    <row r="118" spans="1:73" s="573" customFormat="1" ht="75" x14ac:dyDescent="0.25">
      <c r="A118" s="3064"/>
      <c r="B118" s="2904"/>
      <c r="C118" s="571"/>
      <c r="D118" s="572"/>
      <c r="E118" s="3000"/>
      <c r="F118" s="3087"/>
      <c r="G118" s="2987"/>
      <c r="H118" s="2771"/>
      <c r="I118" s="2987"/>
      <c r="J118" s="2771"/>
      <c r="K118" s="2987"/>
      <c r="L118" s="2771"/>
      <c r="M118" s="2987"/>
      <c r="N118" s="2771"/>
      <c r="O118" s="2755"/>
      <c r="P118" s="2928"/>
      <c r="Q118" s="2755"/>
      <c r="R118" s="2993"/>
      <c r="S118" s="3042"/>
      <c r="T118" s="3010"/>
      <c r="U118" s="2993"/>
      <c r="V118" s="2993"/>
      <c r="W118" s="532" t="s">
        <v>600</v>
      </c>
      <c r="X118" s="84">
        <v>27000000</v>
      </c>
      <c r="Y118" s="43">
        <v>21475000</v>
      </c>
      <c r="Z118" s="43">
        <v>21475000</v>
      </c>
      <c r="AA118" s="479" t="s">
        <v>596</v>
      </c>
      <c r="AB118" s="3084"/>
      <c r="AC118" s="2716"/>
      <c r="AD118" s="2716"/>
      <c r="AE118" s="2716"/>
      <c r="AF118" s="2716"/>
      <c r="AG118" s="2716"/>
      <c r="AH118" s="2716"/>
      <c r="AI118" s="2716"/>
      <c r="AJ118" s="2716"/>
      <c r="AK118" s="2716"/>
      <c r="AL118" s="2716"/>
      <c r="AM118" s="2716"/>
      <c r="AN118" s="2716"/>
      <c r="AO118" s="2716"/>
      <c r="AP118" s="2716"/>
      <c r="AQ118" s="2716"/>
      <c r="AR118" s="2716"/>
      <c r="AS118" s="2716"/>
      <c r="AT118" s="2716"/>
      <c r="AU118" s="2716"/>
      <c r="AV118" s="2716"/>
      <c r="AW118" s="2716"/>
      <c r="AX118" s="2716"/>
      <c r="AY118" s="2716"/>
      <c r="AZ118" s="2716"/>
      <c r="BA118" s="2716"/>
      <c r="BB118" s="2716"/>
      <c r="BC118" s="2716"/>
      <c r="BD118" s="2716"/>
      <c r="BE118" s="2716"/>
      <c r="BF118" s="2716"/>
      <c r="BG118" s="2716"/>
      <c r="BH118" s="2716"/>
      <c r="BI118" s="2716"/>
      <c r="BJ118" s="2755"/>
      <c r="BK118" s="3010"/>
      <c r="BL118" s="3010"/>
      <c r="BM118" s="3040"/>
      <c r="BN118" s="2716"/>
      <c r="BO118" s="2781"/>
      <c r="BP118" s="2781"/>
      <c r="BQ118" s="3037"/>
      <c r="BR118" s="3019"/>
      <c r="BS118" s="3037"/>
      <c r="BT118" s="3019"/>
      <c r="BU118" s="3054"/>
    </row>
    <row r="119" spans="1:73" s="573" customFormat="1" ht="48.75" customHeight="1" x14ac:dyDescent="0.25">
      <c r="A119" s="3064"/>
      <c r="B119" s="2904"/>
      <c r="C119" s="571"/>
      <c r="D119" s="572"/>
      <c r="E119" s="3000"/>
      <c r="F119" s="3087"/>
      <c r="G119" s="2987"/>
      <c r="H119" s="2771"/>
      <c r="I119" s="2987"/>
      <c r="J119" s="2771"/>
      <c r="K119" s="2987"/>
      <c r="L119" s="2771"/>
      <c r="M119" s="2987"/>
      <c r="N119" s="2771"/>
      <c r="O119" s="2755"/>
      <c r="P119" s="2928"/>
      <c r="Q119" s="2755"/>
      <c r="R119" s="2993"/>
      <c r="S119" s="3042"/>
      <c r="T119" s="3010"/>
      <c r="U119" s="2993"/>
      <c r="V119" s="2993"/>
      <c r="W119" s="3069" t="s">
        <v>601</v>
      </c>
      <c r="X119" s="84">
        <v>0</v>
      </c>
      <c r="Y119" s="43"/>
      <c r="Z119" s="43"/>
      <c r="AA119" s="515" t="s">
        <v>596</v>
      </c>
      <c r="AB119" s="3084"/>
      <c r="AC119" s="2716"/>
      <c r="AD119" s="2716"/>
      <c r="AE119" s="2716"/>
      <c r="AF119" s="2716"/>
      <c r="AG119" s="2716"/>
      <c r="AH119" s="2716"/>
      <c r="AI119" s="2716"/>
      <c r="AJ119" s="2716"/>
      <c r="AK119" s="2716"/>
      <c r="AL119" s="2716"/>
      <c r="AM119" s="2716"/>
      <c r="AN119" s="2716"/>
      <c r="AO119" s="2716"/>
      <c r="AP119" s="2716"/>
      <c r="AQ119" s="2716"/>
      <c r="AR119" s="2716"/>
      <c r="AS119" s="2716"/>
      <c r="AT119" s="2716"/>
      <c r="AU119" s="2716"/>
      <c r="AV119" s="2716"/>
      <c r="AW119" s="2716"/>
      <c r="AX119" s="2716"/>
      <c r="AY119" s="2716"/>
      <c r="AZ119" s="2716"/>
      <c r="BA119" s="2716"/>
      <c r="BB119" s="2716"/>
      <c r="BC119" s="2716"/>
      <c r="BD119" s="2716"/>
      <c r="BE119" s="2716"/>
      <c r="BF119" s="2716"/>
      <c r="BG119" s="2716"/>
      <c r="BH119" s="2716"/>
      <c r="BI119" s="2716"/>
      <c r="BJ119" s="2755"/>
      <c r="BK119" s="3010"/>
      <c r="BL119" s="3010"/>
      <c r="BM119" s="3040"/>
      <c r="BN119" s="2716"/>
      <c r="BO119" s="2781"/>
      <c r="BP119" s="2781"/>
      <c r="BQ119" s="3037"/>
      <c r="BR119" s="3019"/>
      <c r="BS119" s="3037"/>
      <c r="BT119" s="3019"/>
      <c r="BU119" s="3054"/>
    </row>
    <row r="120" spans="1:73" s="573" customFormat="1" ht="45.75" customHeight="1" x14ac:dyDescent="0.25">
      <c r="A120" s="3064"/>
      <c r="B120" s="2904"/>
      <c r="C120" s="571"/>
      <c r="D120" s="572"/>
      <c r="E120" s="3000"/>
      <c r="F120" s="3087"/>
      <c r="G120" s="2987"/>
      <c r="H120" s="2771"/>
      <c r="I120" s="2987"/>
      <c r="J120" s="2771"/>
      <c r="K120" s="2987"/>
      <c r="L120" s="2771"/>
      <c r="M120" s="2987"/>
      <c r="N120" s="2771"/>
      <c r="O120" s="2755"/>
      <c r="P120" s="2928"/>
      <c r="Q120" s="2755"/>
      <c r="R120" s="2993"/>
      <c r="S120" s="3042"/>
      <c r="T120" s="3010"/>
      <c r="U120" s="2993"/>
      <c r="V120" s="2993"/>
      <c r="W120" s="3071"/>
      <c r="X120" s="84">
        <v>1318800000</v>
      </c>
      <c r="Y120" s="43"/>
      <c r="Z120" s="43"/>
      <c r="AA120" s="479" t="s">
        <v>602</v>
      </c>
      <c r="AB120" s="3084"/>
      <c r="AC120" s="2716"/>
      <c r="AD120" s="2716"/>
      <c r="AE120" s="2716"/>
      <c r="AF120" s="2716"/>
      <c r="AG120" s="2716"/>
      <c r="AH120" s="2716"/>
      <c r="AI120" s="2716"/>
      <c r="AJ120" s="2716"/>
      <c r="AK120" s="2716"/>
      <c r="AL120" s="2716"/>
      <c r="AM120" s="2716"/>
      <c r="AN120" s="2716"/>
      <c r="AO120" s="2716"/>
      <c r="AP120" s="2716"/>
      <c r="AQ120" s="2716"/>
      <c r="AR120" s="2716"/>
      <c r="AS120" s="2716"/>
      <c r="AT120" s="2716"/>
      <c r="AU120" s="2716"/>
      <c r="AV120" s="2716"/>
      <c r="AW120" s="2716"/>
      <c r="AX120" s="2716"/>
      <c r="AY120" s="2716"/>
      <c r="AZ120" s="2716"/>
      <c r="BA120" s="2716"/>
      <c r="BB120" s="2716"/>
      <c r="BC120" s="2716"/>
      <c r="BD120" s="2716"/>
      <c r="BE120" s="2716"/>
      <c r="BF120" s="2716"/>
      <c r="BG120" s="2716"/>
      <c r="BH120" s="2716"/>
      <c r="BI120" s="2716"/>
      <c r="BJ120" s="2755"/>
      <c r="BK120" s="3010"/>
      <c r="BL120" s="3010"/>
      <c r="BM120" s="3040"/>
      <c r="BN120" s="2716"/>
      <c r="BO120" s="2781"/>
      <c r="BP120" s="2781"/>
      <c r="BQ120" s="3037"/>
      <c r="BR120" s="3019"/>
      <c r="BS120" s="3037"/>
      <c r="BT120" s="3019"/>
      <c r="BU120" s="3054"/>
    </row>
    <row r="121" spans="1:73" s="573" customFormat="1" ht="96" customHeight="1" x14ac:dyDescent="0.25">
      <c r="A121" s="3064"/>
      <c r="B121" s="2904"/>
      <c r="C121" s="571"/>
      <c r="D121" s="572"/>
      <c r="E121" s="3000"/>
      <c r="F121" s="3087"/>
      <c r="G121" s="2987"/>
      <c r="H121" s="2771"/>
      <c r="I121" s="2987"/>
      <c r="J121" s="2771"/>
      <c r="K121" s="2987"/>
      <c r="L121" s="2771"/>
      <c r="M121" s="2987"/>
      <c r="N121" s="2771"/>
      <c r="O121" s="2755"/>
      <c r="P121" s="2928"/>
      <c r="Q121" s="2755"/>
      <c r="R121" s="2993"/>
      <c r="S121" s="3042"/>
      <c r="T121" s="3010"/>
      <c r="U121" s="2993"/>
      <c r="V121" s="2993"/>
      <c r="W121" s="532" t="s">
        <v>562</v>
      </c>
      <c r="X121" s="84">
        <v>20000000</v>
      </c>
      <c r="Y121" s="43">
        <v>18140000</v>
      </c>
      <c r="Z121" s="43">
        <v>18140000</v>
      </c>
      <c r="AA121" s="574" t="s">
        <v>596</v>
      </c>
      <c r="AB121" s="3084"/>
      <c r="AC121" s="2716"/>
      <c r="AD121" s="2716"/>
      <c r="AE121" s="2716"/>
      <c r="AF121" s="2716"/>
      <c r="AG121" s="2716"/>
      <c r="AH121" s="2716"/>
      <c r="AI121" s="2716"/>
      <c r="AJ121" s="2716"/>
      <c r="AK121" s="2716"/>
      <c r="AL121" s="2716"/>
      <c r="AM121" s="2716"/>
      <c r="AN121" s="2716"/>
      <c r="AO121" s="2716"/>
      <c r="AP121" s="2716"/>
      <c r="AQ121" s="2716"/>
      <c r="AR121" s="2716"/>
      <c r="AS121" s="2716"/>
      <c r="AT121" s="2716"/>
      <c r="AU121" s="2716"/>
      <c r="AV121" s="2716"/>
      <c r="AW121" s="2716"/>
      <c r="AX121" s="2716"/>
      <c r="AY121" s="2716"/>
      <c r="AZ121" s="2716"/>
      <c r="BA121" s="2716"/>
      <c r="BB121" s="2716"/>
      <c r="BC121" s="2716"/>
      <c r="BD121" s="2716"/>
      <c r="BE121" s="2716"/>
      <c r="BF121" s="2716"/>
      <c r="BG121" s="2716"/>
      <c r="BH121" s="2716"/>
      <c r="BI121" s="2716"/>
      <c r="BJ121" s="2755"/>
      <c r="BK121" s="3010"/>
      <c r="BL121" s="3010"/>
      <c r="BM121" s="3040"/>
      <c r="BN121" s="2716"/>
      <c r="BO121" s="2781"/>
      <c r="BP121" s="2781"/>
      <c r="BQ121" s="3037"/>
      <c r="BR121" s="3019"/>
      <c r="BS121" s="3037"/>
      <c r="BT121" s="3019"/>
      <c r="BU121" s="3054"/>
    </row>
    <row r="122" spans="1:73" s="573" customFormat="1" ht="60" customHeight="1" x14ac:dyDescent="0.25">
      <c r="A122" s="3064"/>
      <c r="B122" s="2904"/>
      <c r="C122" s="571"/>
      <c r="D122" s="572"/>
      <c r="E122" s="3000"/>
      <c r="F122" s="3087"/>
      <c r="G122" s="2987"/>
      <c r="H122" s="2771"/>
      <c r="I122" s="2987"/>
      <c r="J122" s="2771"/>
      <c r="K122" s="2987"/>
      <c r="L122" s="2771"/>
      <c r="M122" s="2987"/>
      <c r="N122" s="2771"/>
      <c r="O122" s="2755"/>
      <c r="P122" s="2928"/>
      <c r="Q122" s="2755"/>
      <c r="R122" s="2993"/>
      <c r="S122" s="3042"/>
      <c r="T122" s="3010"/>
      <c r="U122" s="2993"/>
      <c r="V122" s="2993"/>
      <c r="W122" s="532" t="s">
        <v>565</v>
      </c>
      <c r="X122" s="84">
        <v>5000000</v>
      </c>
      <c r="Y122" s="43">
        <v>5000000</v>
      </c>
      <c r="Z122" s="43">
        <v>5000000</v>
      </c>
      <c r="AA122" s="479" t="s">
        <v>603</v>
      </c>
      <c r="AB122" s="3084"/>
      <c r="AC122" s="2716"/>
      <c r="AD122" s="2716"/>
      <c r="AE122" s="2716"/>
      <c r="AF122" s="2716"/>
      <c r="AG122" s="2716"/>
      <c r="AH122" s="2716"/>
      <c r="AI122" s="2716"/>
      <c r="AJ122" s="2716"/>
      <c r="AK122" s="2716"/>
      <c r="AL122" s="2716"/>
      <c r="AM122" s="2716"/>
      <c r="AN122" s="2716"/>
      <c r="AO122" s="2716"/>
      <c r="AP122" s="2716"/>
      <c r="AQ122" s="2716"/>
      <c r="AR122" s="2716"/>
      <c r="AS122" s="2716"/>
      <c r="AT122" s="2716"/>
      <c r="AU122" s="2716"/>
      <c r="AV122" s="2716"/>
      <c r="AW122" s="2716"/>
      <c r="AX122" s="2716"/>
      <c r="AY122" s="2716"/>
      <c r="AZ122" s="2716"/>
      <c r="BA122" s="2716"/>
      <c r="BB122" s="2716"/>
      <c r="BC122" s="2716"/>
      <c r="BD122" s="2716"/>
      <c r="BE122" s="2716"/>
      <c r="BF122" s="2716"/>
      <c r="BG122" s="2716"/>
      <c r="BH122" s="2716"/>
      <c r="BI122" s="2716"/>
      <c r="BJ122" s="2755"/>
      <c r="BK122" s="3010"/>
      <c r="BL122" s="3010"/>
      <c r="BM122" s="3040"/>
      <c r="BN122" s="2716"/>
      <c r="BO122" s="2781"/>
      <c r="BP122" s="2781"/>
      <c r="BQ122" s="3037"/>
      <c r="BR122" s="3019"/>
      <c r="BS122" s="3037"/>
      <c r="BT122" s="3019"/>
      <c r="BU122" s="3054"/>
    </row>
    <row r="123" spans="1:73" s="573" customFormat="1" ht="75" x14ac:dyDescent="0.25">
      <c r="A123" s="3064"/>
      <c r="B123" s="2904"/>
      <c r="C123" s="571"/>
      <c r="D123" s="572"/>
      <c r="E123" s="3000"/>
      <c r="F123" s="3087"/>
      <c r="G123" s="2987"/>
      <c r="H123" s="2771"/>
      <c r="I123" s="2987"/>
      <c r="J123" s="2771"/>
      <c r="K123" s="2987"/>
      <c r="L123" s="2771"/>
      <c r="M123" s="2987"/>
      <c r="N123" s="2771"/>
      <c r="O123" s="2755"/>
      <c r="P123" s="2928"/>
      <c r="Q123" s="2755"/>
      <c r="R123" s="2993"/>
      <c r="S123" s="3042"/>
      <c r="T123" s="3010"/>
      <c r="U123" s="2993"/>
      <c r="V123" s="2993"/>
      <c r="W123" s="532" t="s">
        <v>604</v>
      </c>
      <c r="X123" s="575">
        <v>6000000</v>
      </c>
      <c r="Y123" s="576">
        <v>4000000</v>
      </c>
      <c r="Z123" s="576">
        <v>4000000</v>
      </c>
      <c r="AA123" s="479" t="s">
        <v>596</v>
      </c>
      <c r="AB123" s="3084"/>
      <c r="AC123" s="2716"/>
      <c r="AD123" s="2716"/>
      <c r="AE123" s="2716"/>
      <c r="AF123" s="2716"/>
      <c r="AG123" s="2716"/>
      <c r="AH123" s="2716"/>
      <c r="AI123" s="2716"/>
      <c r="AJ123" s="2716"/>
      <c r="AK123" s="2716"/>
      <c r="AL123" s="2716"/>
      <c r="AM123" s="2716"/>
      <c r="AN123" s="2716"/>
      <c r="AO123" s="2716"/>
      <c r="AP123" s="2716"/>
      <c r="AQ123" s="2716"/>
      <c r="AR123" s="2716"/>
      <c r="AS123" s="2716"/>
      <c r="AT123" s="2716"/>
      <c r="AU123" s="2716"/>
      <c r="AV123" s="2716"/>
      <c r="AW123" s="2716"/>
      <c r="AX123" s="2716"/>
      <c r="AY123" s="2716"/>
      <c r="AZ123" s="2716"/>
      <c r="BA123" s="2716"/>
      <c r="BB123" s="2716"/>
      <c r="BC123" s="2716"/>
      <c r="BD123" s="2716"/>
      <c r="BE123" s="2716"/>
      <c r="BF123" s="2716"/>
      <c r="BG123" s="2716"/>
      <c r="BH123" s="2716"/>
      <c r="BI123" s="2716"/>
      <c r="BJ123" s="2755"/>
      <c r="BK123" s="3010"/>
      <c r="BL123" s="3010"/>
      <c r="BM123" s="3040"/>
      <c r="BN123" s="2716"/>
      <c r="BO123" s="2781"/>
      <c r="BP123" s="2781"/>
      <c r="BQ123" s="3037"/>
      <c r="BR123" s="3019"/>
      <c r="BS123" s="3037"/>
      <c r="BT123" s="3019"/>
      <c r="BU123" s="3054"/>
    </row>
    <row r="124" spans="1:73" s="573" customFormat="1" ht="30" customHeight="1" x14ac:dyDescent="0.25">
      <c r="A124" s="3064"/>
      <c r="B124" s="2904"/>
      <c r="C124" s="571"/>
      <c r="D124" s="572"/>
      <c r="E124" s="3000"/>
      <c r="F124" s="3087"/>
      <c r="G124" s="2987"/>
      <c r="H124" s="2771"/>
      <c r="I124" s="2987"/>
      <c r="J124" s="2771"/>
      <c r="K124" s="2987"/>
      <c r="L124" s="2771"/>
      <c r="M124" s="2987"/>
      <c r="N124" s="2771"/>
      <c r="O124" s="2755"/>
      <c r="P124" s="2928"/>
      <c r="Q124" s="2755"/>
      <c r="R124" s="2993"/>
      <c r="S124" s="3042"/>
      <c r="T124" s="3010"/>
      <c r="U124" s="2993"/>
      <c r="V124" s="2993"/>
      <c r="W124" s="2556" t="s">
        <v>605</v>
      </c>
      <c r="X124" s="84">
        <v>1000000</v>
      </c>
      <c r="Y124" s="84"/>
      <c r="Z124" s="84"/>
      <c r="AA124" s="479" t="s">
        <v>606</v>
      </c>
      <c r="AB124" s="3084"/>
      <c r="AC124" s="2716"/>
      <c r="AD124" s="2716"/>
      <c r="AE124" s="2716"/>
      <c r="AF124" s="2716"/>
      <c r="AG124" s="2716"/>
      <c r="AH124" s="2716"/>
      <c r="AI124" s="2716"/>
      <c r="AJ124" s="2716"/>
      <c r="AK124" s="2716"/>
      <c r="AL124" s="2716"/>
      <c r="AM124" s="2716"/>
      <c r="AN124" s="2716"/>
      <c r="AO124" s="2716"/>
      <c r="AP124" s="2716"/>
      <c r="AQ124" s="2716"/>
      <c r="AR124" s="2716"/>
      <c r="AS124" s="2716"/>
      <c r="AT124" s="2716"/>
      <c r="AU124" s="2716"/>
      <c r="AV124" s="2716"/>
      <c r="AW124" s="2716"/>
      <c r="AX124" s="2716"/>
      <c r="AY124" s="2716"/>
      <c r="AZ124" s="2716"/>
      <c r="BA124" s="2716"/>
      <c r="BB124" s="2716"/>
      <c r="BC124" s="2716"/>
      <c r="BD124" s="2716"/>
      <c r="BE124" s="2716"/>
      <c r="BF124" s="2716"/>
      <c r="BG124" s="2716"/>
      <c r="BH124" s="2716"/>
      <c r="BI124" s="2716"/>
      <c r="BJ124" s="2755"/>
      <c r="BK124" s="3010"/>
      <c r="BL124" s="3010"/>
      <c r="BM124" s="3040"/>
      <c r="BN124" s="2716"/>
      <c r="BO124" s="2781"/>
      <c r="BP124" s="2781"/>
      <c r="BQ124" s="3037"/>
      <c r="BR124" s="3019"/>
      <c r="BS124" s="3037"/>
      <c r="BT124" s="3019"/>
      <c r="BU124" s="3054"/>
    </row>
    <row r="125" spans="1:73" s="573" customFormat="1" ht="30.75" customHeight="1" x14ac:dyDescent="0.25">
      <c r="A125" s="3064"/>
      <c r="B125" s="2904"/>
      <c r="C125" s="571"/>
      <c r="D125" s="572"/>
      <c r="E125" s="3000"/>
      <c r="F125" s="3087"/>
      <c r="G125" s="2987"/>
      <c r="H125" s="2771"/>
      <c r="I125" s="2987"/>
      <c r="J125" s="2771"/>
      <c r="K125" s="2987"/>
      <c r="L125" s="2771"/>
      <c r="M125" s="2987"/>
      <c r="N125" s="2771"/>
      <c r="O125" s="2755"/>
      <c r="P125" s="2928"/>
      <c r="Q125" s="2755"/>
      <c r="R125" s="2993"/>
      <c r="S125" s="3042"/>
      <c r="T125" s="3010"/>
      <c r="U125" s="2993"/>
      <c r="V125" s="2993"/>
      <c r="W125" s="2557"/>
      <c r="X125" s="84">
        <v>2000000</v>
      </c>
      <c r="Y125" s="84"/>
      <c r="Z125" s="84"/>
      <c r="AA125" s="479" t="s">
        <v>607</v>
      </c>
      <c r="AB125" s="3084"/>
      <c r="AC125" s="2716"/>
      <c r="AD125" s="2716"/>
      <c r="AE125" s="2716"/>
      <c r="AF125" s="2716"/>
      <c r="AG125" s="2716"/>
      <c r="AH125" s="2716"/>
      <c r="AI125" s="2716"/>
      <c r="AJ125" s="2716"/>
      <c r="AK125" s="2716"/>
      <c r="AL125" s="2716"/>
      <c r="AM125" s="2716"/>
      <c r="AN125" s="2716"/>
      <c r="AO125" s="2716"/>
      <c r="AP125" s="2716"/>
      <c r="AQ125" s="2716"/>
      <c r="AR125" s="2716"/>
      <c r="AS125" s="2716"/>
      <c r="AT125" s="2716"/>
      <c r="AU125" s="2716"/>
      <c r="AV125" s="2716"/>
      <c r="AW125" s="2716"/>
      <c r="AX125" s="2716"/>
      <c r="AY125" s="2716"/>
      <c r="AZ125" s="2716"/>
      <c r="BA125" s="2716"/>
      <c r="BB125" s="2716"/>
      <c r="BC125" s="2716"/>
      <c r="BD125" s="2716"/>
      <c r="BE125" s="2716"/>
      <c r="BF125" s="2716"/>
      <c r="BG125" s="2716"/>
      <c r="BH125" s="2716"/>
      <c r="BI125" s="2716"/>
      <c r="BJ125" s="2755"/>
      <c r="BK125" s="3010"/>
      <c r="BL125" s="3010"/>
      <c r="BM125" s="3040"/>
      <c r="BN125" s="2716"/>
      <c r="BO125" s="2781"/>
      <c r="BP125" s="2781"/>
      <c r="BQ125" s="3037"/>
      <c r="BR125" s="3019"/>
      <c r="BS125" s="3037"/>
      <c r="BT125" s="3019"/>
      <c r="BU125" s="3054"/>
    </row>
    <row r="126" spans="1:73" s="573" customFormat="1" ht="39.75" customHeight="1" x14ac:dyDescent="0.25">
      <c r="A126" s="3064"/>
      <c r="B126" s="2904"/>
      <c r="C126" s="571"/>
      <c r="D126" s="572"/>
      <c r="E126" s="3000"/>
      <c r="F126" s="3087"/>
      <c r="G126" s="2987"/>
      <c r="H126" s="2771"/>
      <c r="I126" s="2987"/>
      <c r="J126" s="2771"/>
      <c r="K126" s="2987"/>
      <c r="L126" s="2771"/>
      <c r="M126" s="2987"/>
      <c r="N126" s="2771"/>
      <c r="O126" s="2755"/>
      <c r="P126" s="2928"/>
      <c r="Q126" s="2755"/>
      <c r="R126" s="2993"/>
      <c r="S126" s="3042"/>
      <c r="T126" s="3010"/>
      <c r="U126" s="2993"/>
      <c r="V126" s="2993"/>
      <c r="W126" s="2557"/>
      <c r="X126" s="84">
        <v>15000000</v>
      </c>
      <c r="Y126" s="84"/>
      <c r="Z126" s="84"/>
      <c r="AA126" s="479" t="s">
        <v>608</v>
      </c>
      <c r="AB126" s="3084"/>
      <c r="AC126" s="2716"/>
      <c r="AD126" s="2716"/>
      <c r="AE126" s="2716"/>
      <c r="AF126" s="2716"/>
      <c r="AG126" s="2716"/>
      <c r="AH126" s="2716"/>
      <c r="AI126" s="2716"/>
      <c r="AJ126" s="2716"/>
      <c r="AK126" s="2716"/>
      <c r="AL126" s="2716"/>
      <c r="AM126" s="2716"/>
      <c r="AN126" s="2716"/>
      <c r="AO126" s="2716"/>
      <c r="AP126" s="2716"/>
      <c r="AQ126" s="2716"/>
      <c r="AR126" s="2716"/>
      <c r="AS126" s="2716"/>
      <c r="AT126" s="2716"/>
      <c r="AU126" s="2716"/>
      <c r="AV126" s="2716"/>
      <c r="AW126" s="2716"/>
      <c r="AX126" s="2716"/>
      <c r="AY126" s="2716"/>
      <c r="AZ126" s="2716"/>
      <c r="BA126" s="2716"/>
      <c r="BB126" s="2716"/>
      <c r="BC126" s="2716"/>
      <c r="BD126" s="2716"/>
      <c r="BE126" s="2716"/>
      <c r="BF126" s="2716"/>
      <c r="BG126" s="2716"/>
      <c r="BH126" s="2716"/>
      <c r="BI126" s="2716"/>
      <c r="BJ126" s="2755"/>
      <c r="BK126" s="3010"/>
      <c r="BL126" s="3010"/>
      <c r="BM126" s="3040"/>
      <c r="BN126" s="2716"/>
      <c r="BO126" s="2781"/>
      <c r="BP126" s="2781"/>
      <c r="BQ126" s="3037"/>
      <c r="BR126" s="3019"/>
      <c r="BS126" s="3037"/>
      <c r="BT126" s="3019"/>
      <c r="BU126" s="3054"/>
    </row>
    <row r="127" spans="1:73" s="573" customFormat="1" ht="32.25" customHeight="1" x14ac:dyDescent="0.25">
      <c r="A127" s="3064"/>
      <c r="B127" s="2904"/>
      <c r="C127" s="571"/>
      <c r="D127" s="572"/>
      <c r="E127" s="3000"/>
      <c r="F127" s="3087"/>
      <c r="G127" s="2988"/>
      <c r="H127" s="2772"/>
      <c r="I127" s="2988"/>
      <c r="J127" s="2772"/>
      <c r="K127" s="2988"/>
      <c r="L127" s="2772"/>
      <c r="M127" s="2988"/>
      <c r="N127" s="2772"/>
      <c r="O127" s="2756"/>
      <c r="P127" s="2929"/>
      <c r="Q127" s="2756"/>
      <c r="R127" s="2994"/>
      <c r="S127" s="3043"/>
      <c r="T127" s="3011"/>
      <c r="U127" s="2994"/>
      <c r="V127" s="2994"/>
      <c r="W127" s="2558"/>
      <c r="X127" s="84">
        <v>3000000</v>
      </c>
      <c r="Y127" s="84"/>
      <c r="Z127" s="84"/>
      <c r="AA127" s="479" t="s">
        <v>609</v>
      </c>
      <c r="AB127" s="3085"/>
      <c r="AC127" s="2717"/>
      <c r="AD127" s="2717"/>
      <c r="AE127" s="2717"/>
      <c r="AF127" s="2717"/>
      <c r="AG127" s="2717"/>
      <c r="AH127" s="2717"/>
      <c r="AI127" s="2717"/>
      <c r="AJ127" s="2717"/>
      <c r="AK127" s="2717"/>
      <c r="AL127" s="2717"/>
      <c r="AM127" s="2717"/>
      <c r="AN127" s="2717"/>
      <c r="AO127" s="2717"/>
      <c r="AP127" s="2717"/>
      <c r="AQ127" s="2717"/>
      <c r="AR127" s="2717"/>
      <c r="AS127" s="2717"/>
      <c r="AT127" s="2717"/>
      <c r="AU127" s="2717"/>
      <c r="AV127" s="2717"/>
      <c r="AW127" s="2717"/>
      <c r="AX127" s="2717"/>
      <c r="AY127" s="2717"/>
      <c r="AZ127" s="2717"/>
      <c r="BA127" s="2717"/>
      <c r="BB127" s="2717"/>
      <c r="BC127" s="2717"/>
      <c r="BD127" s="2717"/>
      <c r="BE127" s="2717"/>
      <c r="BF127" s="2717"/>
      <c r="BG127" s="2717"/>
      <c r="BH127" s="2717"/>
      <c r="BI127" s="2717"/>
      <c r="BJ127" s="2756"/>
      <c r="BK127" s="3011"/>
      <c r="BL127" s="3011"/>
      <c r="BM127" s="3041"/>
      <c r="BN127" s="2717"/>
      <c r="BO127" s="2782"/>
      <c r="BP127" s="2782"/>
      <c r="BQ127" s="3038"/>
      <c r="BR127" s="3020"/>
      <c r="BS127" s="3038"/>
      <c r="BT127" s="3020"/>
      <c r="BU127" s="3055"/>
    </row>
    <row r="128" spans="1:73" s="573" customFormat="1" ht="42.75" customHeight="1" x14ac:dyDescent="0.25">
      <c r="A128" s="3064"/>
      <c r="B128" s="2904"/>
      <c r="C128" s="571"/>
      <c r="D128" s="572"/>
      <c r="E128" s="3000"/>
      <c r="F128" s="3087"/>
      <c r="G128" s="2932">
        <v>3205021</v>
      </c>
      <c r="H128" s="2680" t="s">
        <v>610</v>
      </c>
      <c r="I128" s="2932">
        <v>3205021</v>
      </c>
      <c r="J128" s="2680" t="s">
        <v>610</v>
      </c>
      <c r="K128" s="2932">
        <v>320502100</v>
      </c>
      <c r="L128" s="2680" t="s">
        <v>611</v>
      </c>
      <c r="M128" s="2932">
        <v>320502100</v>
      </c>
      <c r="N128" s="2680" t="s">
        <v>611</v>
      </c>
      <c r="O128" s="2783">
        <v>2</v>
      </c>
      <c r="P128" s="2927">
        <v>2</v>
      </c>
      <c r="Q128" s="2783" t="s">
        <v>612</v>
      </c>
      <c r="R128" s="2930" t="s">
        <v>613</v>
      </c>
      <c r="S128" s="2505">
        <f>SUM(X127:X144)/T128</f>
        <v>0.99763119638651987</v>
      </c>
      <c r="T128" s="2973">
        <f>SUM(X128:X145)</f>
        <v>844308067</v>
      </c>
      <c r="U128" s="2930" t="s">
        <v>614</v>
      </c>
      <c r="V128" s="2930" t="s">
        <v>594</v>
      </c>
      <c r="W128" s="2556" t="s">
        <v>605</v>
      </c>
      <c r="X128" s="43">
        <v>2500000</v>
      </c>
      <c r="Y128" s="43"/>
      <c r="Z128" s="43"/>
      <c r="AA128" s="479" t="s">
        <v>615</v>
      </c>
      <c r="AB128" s="2937">
        <v>20</v>
      </c>
      <c r="AC128" s="3089" t="s">
        <v>422</v>
      </c>
      <c r="AD128" s="2546">
        <v>295972</v>
      </c>
      <c r="AE128" s="2546">
        <v>295972</v>
      </c>
      <c r="AF128" s="2546">
        <v>285580</v>
      </c>
      <c r="AG128" s="2546">
        <v>285580</v>
      </c>
      <c r="AH128" s="2546" t="s">
        <v>214</v>
      </c>
      <c r="AI128" s="2546" t="s">
        <v>214</v>
      </c>
      <c r="AJ128" s="2546">
        <v>44254</v>
      </c>
      <c r="AK128" s="2546">
        <v>44254</v>
      </c>
      <c r="AL128" s="2546">
        <v>309146</v>
      </c>
      <c r="AM128" s="2546">
        <v>309146</v>
      </c>
      <c r="AN128" s="2546">
        <v>92607</v>
      </c>
      <c r="AO128" s="2546">
        <v>92607</v>
      </c>
      <c r="AP128" s="2546">
        <v>2145</v>
      </c>
      <c r="AQ128" s="2546">
        <v>2145</v>
      </c>
      <c r="AR128" s="2546">
        <v>12718</v>
      </c>
      <c r="AS128" s="2546">
        <v>12718</v>
      </c>
      <c r="AT128" s="2546">
        <v>26</v>
      </c>
      <c r="AU128" s="2546">
        <v>26</v>
      </c>
      <c r="AV128" s="2546">
        <v>37</v>
      </c>
      <c r="AW128" s="2546">
        <v>37</v>
      </c>
      <c r="AX128" s="2546">
        <v>0</v>
      </c>
      <c r="AY128" s="2546">
        <v>0</v>
      </c>
      <c r="AZ128" s="2546">
        <v>0</v>
      </c>
      <c r="BA128" s="2546">
        <v>0</v>
      </c>
      <c r="BB128" s="2546">
        <v>44350</v>
      </c>
      <c r="BC128" s="2546">
        <v>44350</v>
      </c>
      <c r="BD128" s="2546">
        <v>21944</v>
      </c>
      <c r="BE128" s="2546">
        <v>21944</v>
      </c>
      <c r="BF128" s="2546">
        <v>75687</v>
      </c>
      <c r="BG128" s="2546">
        <v>75687</v>
      </c>
      <c r="BH128" s="2546">
        <v>581552</v>
      </c>
      <c r="BI128" s="2546">
        <v>581552</v>
      </c>
      <c r="BJ128" s="2783">
        <v>45</v>
      </c>
      <c r="BK128" s="2973">
        <f>SUM(Y128:Y145)</f>
        <v>367946075.78999996</v>
      </c>
      <c r="BL128" s="2973">
        <f>SUM(Z128:Z145)</f>
        <v>367946075.78999996</v>
      </c>
      <c r="BM128" s="2974">
        <f>+BL128/BK128</f>
        <v>1</v>
      </c>
      <c r="BN128" s="2547">
        <v>20</v>
      </c>
      <c r="BO128" s="2545" t="s">
        <v>422</v>
      </c>
      <c r="BP128" s="2543" t="s">
        <v>539</v>
      </c>
      <c r="BQ128" s="2941">
        <v>44197</v>
      </c>
      <c r="BR128" s="2942">
        <v>44256</v>
      </c>
      <c r="BS128" s="2941">
        <v>44561</v>
      </c>
      <c r="BT128" s="2942">
        <v>44551</v>
      </c>
      <c r="BU128" s="3053" t="s">
        <v>425</v>
      </c>
    </row>
    <row r="129" spans="1:73" s="573" customFormat="1" ht="42.75" customHeight="1" x14ac:dyDescent="0.25">
      <c r="A129" s="3064"/>
      <c r="B129" s="2904"/>
      <c r="C129" s="571"/>
      <c r="D129" s="572"/>
      <c r="E129" s="3000"/>
      <c r="F129" s="3087"/>
      <c r="G129" s="2932"/>
      <c r="H129" s="2680"/>
      <c r="I129" s="2932"/>
      <c r="J129" s="2680"/>
      <c r="K129" s="2932"/>
      <c r="L129" s="2680"/>
      <c r="M129" s="2932"/>
      <c r="N129" s="2680"/>
      <c r="O129" s="2783"/>
      <c r="P129" s="2928"/>
      <c r="Q129" s="2783"/>
      <c r="R129" s="2930"/>
      <c r="S129" s="2505"/>
      <c r="T129" s="2973"/>
      <c r="U129" s="2930"/>
      <c r="V129" s="2930"/>
      <c r="W129" s="2557"/>
      <c r="X129" s="43">
        <v>2000000</v>
      </c>
      <c r="Y129" s="43"/>
      <c r="Z129" s="43"/>
      <c r="AA129" s="479" t="s">
        <v>616</v>
      </c>
      <c r="AB129" s="2937"/>
      <c r="AC129" s="3089"/>
      <c r="AD129" s="2546"/>
      <c r="AE129" s="2546"/>
      <c r="AF129" s="2546"/>
      <c r="AG129" s="2546"/>
      <c r="AH129" s="2546"/>
      <c r="AI129" s="2546"/>
      <c r="AJ129" s="2546"/>
      <c r="AK129" s="2546"/>
      <c r="AL129" s="2546"/>
      <c r="AM129" s="2546"/>
      <c r="AN129" s="2546"/>
      <c r="AO129" s="2546"/>
      <c r="AP129" s="2546"/>
      <c r="AQ129" s="2546"/>
      <c r="AR129" s="2546"/>
      <c r="AS129" s="2546"/>
      <c r="AT129" s="2546"/>
      <c r="AU129" s="2546"/>
      <c r="AV129" s="2546"/>
      <c r="AW129" s="2546"/>
      <c r="AX129" s="2546"/>
      <c r="AY129" s="2546"/>
      <c r="AZ129" s="2546"/>
      <c r="BA129" s="2546"/>
      <c r="BB129" s="2546"/>
      <c r="BC129" s="2546"/>
      <c r="BD129" s="2546"/>
      <c r="BE129" s="2546"/>
      <c r="BF129" s="2546"/>
      <c r="BG129" s="2546"/>
      <c r="BH129" s="2546"/>
      <c r="BI129" s="2546"/>
      <c r="BJ129" s="2783"/>
      <c r="BK129" s="2973"/>
      <c r="BL129" s="2973"/>
      <c r="BM129" s="2974"/>
      <c r="BN129" s="2716"/>
      <c r="BO129" s="2781"/>
      <c r="BP129" s="2543"/>
      <c r="BQ129" s="2941"/>
      <c r="BR129" s="2942"/>
      <c r="BS129" s="2941"/>
      <c r="BT129" s="2942"/>
      <c r="BU129" s="3054"/>
    </row>
    <row r="130" spans="1:73" s="573" customFormat="1" ht="42.75" customHeight="1" x14ac:dyDescent="0.25">
      <c r="A130" s="3064"/>
      <c r="B130" s="2904"/>
      <c r="C130" s="571"/>
      <c r="D130" s="572"/>
      <c r="E130" s="3000"/>
      <c r="F130" s="3087"/>
      <c r="G130" s="2932"/>
      <c r="H130" s="2680"/>
      <c r="I130" s="2932"/>
      <c r="J130" s="2680"/>
      <c r="K130" s="2932"/>
      <c r="L130" s="2680"/>
      <c r="M130" s="2932"/>
      <c r="N130" s="2680"/>
      <c r="O130" s="2783"/>
      <c r="P130" s="2928"/>
      <c r="Q130" s="2783"/>
      <c r="R130" s="2930"/>
      <c r="S130" s="2505"/>
      <c r="T130" s="2973"/>
      <c r="U130" s="2930"/>
      <c r="V130" s="2930"/>
      <c r="W130" s="2557"/>
      <c r="X130" s="43">
        <v>200000</v>
      </c>
      <c r="Y130" s="43"/>
      <c r="Z130" s="43"/>
      <c r="AA130" s="479" t="s">
        <v>617</v>
      </c>
      <c r="AB130" s="2937"/>
      <c r="AC130" s="3089"/>
      <c r="AD130" s="2546"/>
      <c r="AE130" s="2546"/>
      <c r="AF130" s="2546"/>
      <c r="AG130" s="2546"/>
      <c r="AH130" s="2546"/>
      <c r="AI130" s="2546"/>
      <c r="AJ130" s="2546"/>
      <c r="AK130" s="2546"/>
      <c r="AL130" s="2546"/>
      <c r="AM130" s="2546"/>
      <c r="AN130" s="2546"/>
      <c r="AO130" s="2546"/>
      <c r="AP130" s="2546"/>
      <c r="AQ130" s="2546"/>
      <c r="AR130" s="2546"/>
      <c r="AS130" s="2546"/>
      <c r="AT130" s="2546"/>
      <c r="AU130" s="2546"/>
      <c r="AV130" s="2546"/>
      <c r="AW130" s="2546"/>
      <c r="AX130" s="2546"/>
      <c r="AY130" s="2546"/>
      <c r="AZ130" s="2546"/>
      <c r="BA130" s="2546"/>
      <c r="BB130" s="2546"/>
      <c r="BC130" s="2546"/>
      <c r="BD130" s="2546"/>
      <c r="BE130" s="2546"/>
      <c r="BF130" s="2546"/>
      <c r="BG130" s="2546"/>
      <c r="BH130" s="2546"/>
      <c r="BI130" s="2546"/>
      <c r="BJ130" s="2783"/>
      <c r="BK130" s="2973"/>
      <c r="BL130" s="2973"/>
      <c r="BM130" s="2974"/>
      <c r="BN130" s="2716"/>
      <c r="BO130" s="2781"/>
      <c r="BP130" s="2543"/>
      <c r="BQ130" s="2941"/>
      <c r="BR130" s="2942"/>
      <c r="BS130" s="2941"/>
      <c r="BT130" s="2942"/>
      <c r="BU130" s="3054"/>
    </row>
    <row r="131" spans="1:73" s="573" customFormat="1" ht="42.75" customHeight="1" x14ac:dyDescent="0.25">
      <c r="A131" s="3064"/>
      <c r="B131" s="2904"/>
      <c r="C131" s="571"/>
      <c r="D131" s="572"/>
      <c r="E131" s="3000"/>
      <c r="F131" s="3087"/>
      <c r="G131" s="2932"/>
      <c r="H131" s="2680"/>
      <c r="I131" s="2932"/>
      <c r="J131" s="2680"/>
      <c r="K131" s="2932"/>
      <c r="L131" s="2680"/>
      <c r="M131" s="2932"/>
      <c r="N131" s="2680"/>
      <c r="O131" s="2783"/>
      <c r="P131" s="2928"/>
      <c r="Q131" s="2783"/>
      <c r="R131" s="2930"/>
      <c r="S131" s="2505"/>
      <c r="T131" s="2973"/>
      <c r="U131" s="2930"/>
      <c r="V131" s="2930"/>
      <c r="W131" s="2558"/>
      <c r="X131" s="43">
        <v>300000</v>
      </c>
      <c r="Y131" s="43"/>
      <c r="Z131" s="43"/>
      <c r="AA131" s="479" t="s">
        <v>618</v>
      </c>
      <c r="AB131" s="2937"/>
      <c r="AC131" s="3089"/>
      <c r="AD131" s="2546"/>
      <c r="AE131" s="2546"/>
      <c r="AF131" s="2546"/>
      <c r="AG131" s="2546"/>
      <c r="AH131" s="2546"/>
      <c r="AI131" s="2546"/>
      <c r="AJ131" s="2546"/>
      <c r="AK131" s="2546"/>
      <c r="AL131" s="2546"/>
      <c r="AM131" s="2546"/>
      <c r="AN131" s="2546"/>
      <c r="AO131" s="2546"/>
      <c r="AP131" s="2546"/>
      <c r="AQ131" s="2546"/>
      <c r="AR131" s="2546"/>
      <c r="AS131" s="2546"/>
      <c r="AT131" s="2546"/>
      <c r="AU131" s="2546"/>
      <c r="AV131" s="2546"/>
      <c r="AW131" s="2546"/>
      <c r="AX131" s="2546"/>
      <c r="AY131" s="2546"/>
      <c r="AZ131" s="2546"/>
      <c r="BA131" s="2546"/>
      <c r="BB131" s="2546"/>
      <c r="BC131" s="2546"/>
      <c r="BD131" s="2546"/>
      <c r="BE131" s="2546"/>
      <c r="BF131" s="2546"/>
      <c r="BG131" s="2546"/>
      <c r="BH131" s="2546"/>
      <c r="BI131" s="2546"/>
      <c r="BJ131" s="2783"/>
      <c r="BK131" s="2973"/>
      <c r="BL131" s="2973"/>
      <c r="BM131" s="2974"/>
      <c r="BN131" s="2716"/>
      <c r="BO131" s="2781"/>
      <c r="BP131" s="2543"/>
      <c r="BQ131" s="2941"/>
      <c r="BR131" s="2942"/>
      <c r="BS131" s="2941"/>
      <c r="BT131" s="2942"/>
      <c r="BU131" s="3054"/>
    </row>
    <row r="132" spans="1:73" s="573" customFormat="1" ht="40.5" customHeight="1" x14ac:dyDescent="0.25">
      <c r="A132" s="3064"/>
      <c r="B132" s="2904"/>
      <c r="C132" s="571"/>
      <c r="D132" s="572"/>
      <c r="E132" s="3000"/>
      <c r="F132" s="3087"/>
      <c r="G132" s="2932"/>
      <c r="H132" s="2680"/>
      <c r="I132" s="2932"/>
      <c r="J132" s="2680"/>
      <c r="K132" s="2932"/>
      <c r="L132" s="2680"/>
      <c r="M132" s="2932"/>
      <c r="N132" s="2680"/>
      <c r="O132" s="2783"/>
      <c r="P132" s="2928"/>
      <c r="Q132" s="2783"/>
      <c r="R132" s="2930"/>
      <c r="S132" s="2505"/>
      <c r="T132" s="2973"/>
      <c r="U132" s="2930"/>
      <c r="V132" s="2930"/>
      <c r="W132" s="3069" t="s">
        <v>619</v>
      </c>
      <c r="X132" s="43">
        <v>25000000</v>
      </c>
      <c r="Y132" s="43">
        <v>25000000</v>
      </c>
      <c r="Z132" s="43">
        <v>25000000</v>
      </c>
      <c r="AA132" s="479" t="s">
        <v>620</v>
      </c>
      <c r="AB132" s="2937"/>
      <c r="AC132" s="3089"/>
      <c r="AD132" s="2546"/>
      <c r="AE132" s="2546"/>
      <c r="AF132" s="2546"/>
      <c r="AG132" s="2546"/>
      <c r="AH132" s="2546"/>
      <c r="AI132" s="2546"/>
      <c r="AJ132" s="2546"/>
      <c r="AK132" s="2546"/>
      <c r="AL132" s="2546"/>
      <c r="AM132" s="2546"/>
      <c r="AN132" s="2546"/>
      <c r="AO132" s="2546"/>
      <c r="AP132" s="2546"/>
      <c r="AQ132" s="2546"/>
      <c r="AR132" s="2546"/>
      <c r="AS132" s="2546"/>
      <c r="AT132" s="2546"/>
      <c r="AU132" s="2546"/>
      <c r="AV132" s="2546"/>
      <c r="AW132" s="2546"/>
      <c r="AX132" s="2546"/>
      <c r="AY132" s="2546"/>
      <c r="AZ132" s="2546"/>
      <c r="BA132" s="2546"/>
      <c r="BB132" s="2546"/>
      <c r="BC132" s="2546"/>
      <c r="BD132" s="2546"/>
      <c r="BE132" s="2546"/>
      <c r="BF132" s="2546"/>
      <c r="BG132" s="2546"/>
      <c r="BH132" s="2546"/>
      <c r="BI132" s="2546"/>
      <c r="BJ132" s="2783"/>
      <c r="BK132" s="2973"/>
      <c r="BL132" s="2973"/>
      <c r="BM132" s="2974"/>
      <c r="BN132" s="2717"/>
      <c r="BO132" s="2782"/>
      <c r="BP132" s="2543"/>
      <c r="BQ132" s="2941"/>
      <c r="BR132" s="2942"/>
      <c r="BS132" s="2941"/>
      <c r="BT132" s="2942"/>
      <c r="BU132" s="3054"/>
    </row>
    <row r="133" spans="1:73" s="573" customFormat="1" ht="44.25" customHeight="1" x14ac:dyDescent="0.25">
      <c r="A133" s="3064"/>
      <c r="B133" s="2904"/>
      <c r="C133" s="571"/>
      <c r="D133" s="572"/>
      <c r="E133" s="3000"/>
      <c r="F133" s="3087"/>
      <c r="G133" s="2932"/>
      <c r="H133" s="2680"/>
      <c r="I133" s="2932"/>
      <c r="J133" s="2680"/>
      <c r="K133" s="2932"/>
      <c r="L133" s="2680"/>
      <c r="M133" s="2932"/>
      <c r="N133" s="2680"/>
      <c r="O133" s="2783"/>
      <c r="P133" s="2928"/>
      <c r="Q133" s="2783"/>
      <c r="R133" s="2930"/>
      <c r="S133" s="2505"/>
      <c r="T133" s="2973"/>
      <c r="U133" s="2930"/>
      <c r="V133" s="2930"/>
      <c r="W133" s="3071"/>
      <c r="X133" s="43">
        <v>69790000</v>
      </c>
      <c r="Y133" s="43">
        <v>65173334</v>
      </c>
      <c r="Z133" s="43">
        <v>65173334</v>
      </c>
      <c r="AA133" s="479" t="s">
        <v>621</v>
      </c>
      <c r="AB133" s="352">
        <v>88</v>
      </c>
      <c r="AC133" s="415" t="s">
        <v>5</v>
      </c>
      <c r="AD133" s="2546"/>
      <c r="AE133" s="2546"/>
      <c r="AF133" s="2546"/>
      <c r="AG133" s="2546"/>
      <c r="AH133" s="2546"/>
      <c r="AI133" s="2546"/>
      <c r="AJ133" s="2546"/>
      <c r="AK133" s="2546"/>
      <c r="AL133" s="2546"/>
      <c r="AM133" s="2546"/>
      <c r="AN133" s="2546"/>
      <c r="AO133" s="2546"/>
      <c r="AP133" s="2546"/>
      <c r="AQ133" s="2546"/>
      <c r="AR133" s="2546"/>
      <c r="AS133" s="2546"/>
      <c r="AT133" s="2546"/>
      <c r="AU133" s="2546"/>
      <c r="AV133" s="2546"/>
      <c r="AW133" s="2546"/>
      <c r="AX133" s="2546"/>
      <c r="AY133" s="2546"/>
      <c r="AZ133" s="2546"/>
      <c r="BA133" s="2546"/>
      <c r="BB133" s="2546"/>
      <c r="BC133" s="2546"/>
      <c r="BD133" s="2546"/>
      <c r="BE133" s="2546"/>
      <c r="BF133" s="2546"/>
      <c r="BG133" s="2546"/>
      <c r="BH133" s="2546"/>
      <c r="BI133" s="2546"/>
      <c r="BJ133" s="2783"/>
      <c r="BK133" s="2973"/>
      <c r="BL133" s="2973"/>
      <c r="BM133" s="2974"/>
      <c r="BN133" s="553">
        <v>88</v>
      </c>
      <c r="BO133" s="557" t="s">
        <v>5</v>
      </c>
      <c r="BP133" s="2543"/>
      <c r="BQ133" s="2941"/>
      <c r="BR133" s="2942"/>
      <c r="BS133" s="2941"/>
      <c r="BT133" s="2942"/>
      <c r="BU133" s="3054"/>
    </row>
    <row r="134" spans="1:73" s="573" customFormat="1" ht="38.25" customHeight="1" x14ac:dyDescent="0.25">
      <c r="A134" s="3064"/>
      <c r="B134" s="2904"/>
      <c r="C134" s="571"/>
      <c r="D134" s="572"/>
      <c r="E134" s="3000"/>
      <c r="F134" s="3087"/>
      <c r="G134" s="2932"/>
      <c r="H134" s="2680"/>
      <c r="I134" s="2932"/>
      <c r="J134" s="2680"/>
      <c r="K134" s="2932"/>
      <c r="L134" s="2680"/>
      <c r="M134" s="2932"/>
      <c r="N134" s="2680"/>
      <c r="O134" s="2783"/>
      <c r="P134" s="2928"/>
      <c r="Q134" s="2783"/>
      <c r="R134" s="2930"/>
      <c r="S134" s="2505"/>
      <c r="T134" s="2973"/>
      <c r="U134" s="2930"/>
      <c r="V134" s="2930"/>
      <c r="W134" s="3069" t="s">
        <v>565</v>
      </c>
      <c r="X134" s="43">
        <v>5000000</v>
      </c>
      <c r="Y134" s="43">
        <v>4345081.4800000004</v>
      </c>
      <c r="Z134" s="43">
        <v>4345081.4800000004</v>
      </c>
      <c r="AA134" s="479" t="s">
        <v>622</v>
      </c>
      <c r="AB134" s="352">
        <v>20</v>
      </c>
      <c r="AC134" s="415" t="s">
        <v>422</v>
      </c>
      <c r="AD134" s="2546"/>
      <c r="AE134" s="2546"/>
      <c r="AF134" s="2546"/>
      <c r="AG134" s="2546"/>
      <c r="AH134" s="2546"/>
      <c r="AI134" s="2546"/>
      <c r="AJ134" s="2546"/>
      <c r="AK134" s="2546"/>
      <c r="AL134" s="2546"/>
      <c r="AM134" s="2546"/>
      <c r="AN134" s="2546"/>
      <c r="AO134" s="2546"/>
      <c r="AP134" s="2546"/>
      <c r="AQ134" s="2546"/>
      <c r="AR134" s="2546"/>
      <c r="AS134" s="2546"/>
      <c r="AT134" s="2546"/>
      <c r="AU134" s="2546"/>
      <c r="AV134" s="2546"/>
      <c r="AW134" s="2546"/>
      <c r="AX134" s="2546"/>
      <c r="AY134" s="2546"/>
      <c r="AZ134" s="2546"/>
      <c r="BA134" s="2546"/>
      <c r="BB134" s="2546"/>
      <c r="BC134" s="2546"/>
      <c r="BD134" s="2546"/>
      <c r="BE134" s="2546"/>
      <c r="BF134" s="2546"/>
      <c r="BG134" s="2546"/>
      <c r="BH134" s="2546"/>
      <c r="BI134" s="2546"/>
      <c r="BJ134" s="2783"/>
      <c r="BK134" s="2973"/>
      <c r="BL134" s="2973"/>
      <c r="BM134" s="2974"/>
      <c r="BN134" s="440">
        <v>20</v>
      </c>
      <c r="BO134" s="439" t="s">
        <v>422</v>
      </c>
      <c r="BP134" s="2543"/>
      <c r="BQ134" s="2941"/>
      <c r="BR134" s="2942"/>
      <c r="BS134" s="2941"/>
      <c r="BT134" s="2942"/>
      <c r="BU134" s="3054"/>
    </row>
    <row r="135" spans="1:73" s="573" customFormat="1" ht="30" customHeight="1" x14ac:dyDescent="0.25">
      <c r="A135" s="3064"/>
      <c r="B135" s="2904"/>
      <c r="C135" s="571"/>
      <c r="D135" s="572"/>
      <c r="E135" s="3000"/>
      <c r="F135" s="3087"/>
      <c r="G135" s="2932"/>
      <c r="H135" s="2680"/>
      <c r="I135" s="2932"/>
      <c r="J135" s="2680"/>
      <c r="K135" s="2932"/>
      <c r="L135" s="2680"/>
      <c r="M135" s="2932"/>
      <c r="N135" s="2680"/>
      <c r="O135" s="2783"/>
      <c r="P135" s="2928"/>
      <c r="Q135" s="2783"/>
      <c r="R135" s="2930"/>
      <c r="S135" s="2505"/>
      <c r="T135" s="2973"/>
      <c r="U135" s="2930"/>
      <c r="V135" s="2930"/>
      <c r="W135" s="3071"/>
      <c r="X135" s="43">
        <v>56108067</v>
      </c>
      <c r="Y135" s="43">
        <v>37529205.509999998</v>
      </c>
      <c r="Z135" s="43">
        <v>37529205.509999998</v>
      </c>
      <c r="AA135" s="479" t="s">
        <v>623</v>
      </c>
      <c r="AB135" s="352">
        <v>89</v>
      </c>
      <c r="AC135" s="415" t="s">
        <v>624</v>
      </c>
      <c r="AD135" s="2546"/>
      <c r="AE135" s="2546"/>
      <c r="AF135" s="2546"/>
      <c r="AG135" s="2546"/>
      <c r="AH135" s="2546"/>
      <c r="AI135" s="2546"/>
      <c r="AJ135" s="2546"/>
      <c r="AK135" s="2546"/>
      <c r="AL135" s="2546"/>
      <c r="AM135" s="2546"/>
      <c r="AN135" s="2546"/>
      <c r="AO135" s="2546"/>
      <c r="AP135" s="2546"/>
      <c r="AQ135" s="2546"/>
      <c r="AR135" s="2546"/>
      <c r="AS135" s="2546"/>
      <c r="AT135" s="2546"/>
      <c r="AU135" s="2546"/>
      <c r="AV135" s="2546"/>
      <c r="AW135" s="2546"/>
      <c r="AX135" s="2546"/>
      <c r="AY135" s="2546"/>
      <c r="AZ135" s="2546"/>
      <c r="BA135" s="2546"/>
      <c r="BB135" s="2546"/>
      <c r="BC135" s="2546"/>
      <c r="BD135" s="2546"/>
      <c r="BE135" s="2546"/>
      <c r="BF135" s="2546"/>
      <c r="BG135" s="2546"/>
      <c r="BH135" s="2546"/>
      <c r="BI135" s="2546"/>
      <c r="BJ135" s="2783"/>
      <c r="BK135" s="2973"/>
      <c r="BL135" s="2973"/>
      <c r="BM135" s="2974"/>
      <c r="BN135" s="440">
        <v>89</v>
      </c>
      <c r="BO135" s="439" t="s">
        <v>624</v>
      </c>
      <c r="BP135" s="2543"/>
      <c r="BQ135" s="2941"/>
      <c r="BR135" s="2942"/>
      <c r="BS135" s="2941"/>
      <c r="BT135" s="2942"/>
      <c r="BU135" s="3054"/>
    </row>
    <row r="136" spans="1:73" s="573" customFormat="1" ht="30" x14ac:dyDescent="0.25">
      <c r="A136" s="3064"/>
      <c r="B136" s="2904"/>
      <c r="C136" s="571"/>
      <c r="D136" s="572"/>
      <c r="E136" s="3000"/>
      <c r="F136" s="3087"/>
      <c r="G136" s="2932"/>
      <c r="H136" s="2680"/>
      <c r="I136" s="2932"/>
      <c r="J136" s="2680"/>
      <c r="K136" s="2932"/>
      <c r="L136" s="2680"/>
      <c r="M136" s="2932"/>
      <c r="N136" s="2680"/>
      <c r="O136" s="2783"/>
      <c r="P136" s="2928"/>
      <c r="Q136" s="2783"/>
      <c r="R136" s="2930"/>
      <c r="S136" s="2505"/>
      <c r="T136" s="2973"/>
      <c r="U136" s="2930"/>
      <c r="V136" s="2930"/>
      <c r="W136" s="532" t="s">
        <v>625</v>
      </c>
      <c r="X136" s="43">
        <v>4000000</v>
      </c>
      <c r="Y136" s="43">
        <v>1973724.33</v>
      </c>
      <c r="Z136" s="43">
        <v>1973724.33</v>
      </c>
      <c r="AA136" s="479" t="s">
        <v>620</v>
      </c>
      <c r="AB136" s="352">
        <v>20</v>
      </c>
      <c r="AC136" s="415" t="s">
        <v>422</v>
      </c>
      <c r="AD136" s="2546"/>
      <c r="AE136" s="2546"/>
      <c r="AF136" s="2546"/>
      <c r="AG136" s="2546"/>
      <c r="AH136" s="2546"/>
      <c r="AI136" s="2546"/>
      <c r="AJ136" s="2546"/>
      <c r="AK136" s="2546"/>
      <c r="AL136" s="2546"/>
      <c r="AM136" s="2546"/>
      <c r="AN136" s="2546"/>
      <c r="AO136" s="2546"/>
      <c r="AP136" s="2546"/>
      <c r="AQ136" s="2546"/>
      <c r="AR136" s="2546"/>
      <c r="AS136" s="2546"/>
      <c r="AT136" s="2546"/>
      <c r="AU136" s="2546"/>
      <c r="AV136" s="2546"/>
      <c r="AW136" s="2546"/>
      <c r="AX136" s="2546"/>
      <c r="AY136" s="2546"/>
      <c r="AZ136" s="2546"/>
      <c r="BA136" s="2546"/>
      <c r="BB136" s="2546"/>
      <c r="BC136" s="2546"/>
      <c r="BD136" s="2546"/>
      <c r="BE136" s="2546"/>
      <c r="BF136" s="2546"/>
      <c r="BG136" s="2546"/>
      <c r="BH136" s="2546"/>
      <c r="BI136" s="2546"/>
      <c r="BJ136" s="2783"/>
      <c r="BK136" s="2973"/>
      <c r="BL136" s="2973"/>
      <c r="BM136" s="2974"/>
      <c r="BN136" s="440">
        <v>20</v>
      </c>
      <c r="BO136" s="439" t="s">
        <v>422</v>
      </c>
      <c r="BP136" s="2543"/>
      <c r="BQ136" s="2941"/>
      <c r="BR136" s="2942"/>
      <c r="BS136" s="2941"/>
      <c r="BT136" s="2942"/>
      <c r="BU136" s="3054"/>
    </row>
    <row r="137" spans="1:73" s="573" customFormat="1" ht="45" x14ac:dyDescent="0.25">
      <c r="A137" s="3064"/>
      <c r="B137" s="2904"/>
      <c r="C137" s="571"/>
      <c r="D137" s="572"/>
      <c r="E137" s="3000"/>
      <c r="F137" s="3087"/>
      <c r="G137" s="2932"/>
      <c r="H137" s="2680"/>
      <c r="I137" s="2932"/>
      <c r="J137" s="2680"/>
      <c r="K137" s="2932"/>
      <c r="L137" s="2680"/>
      <c r="M137" s="2932"/>
      <c r="N137" s="2680"/>
      <c r="O137" s="2783"/>
      <c r="P137" s="2928"/>
      <c r="Q137" s="2783"/>
      <c r="R137" s="2930"/>
      <c r="S137" s="2505"/>
      <c r="T137" s="2973"/>
      <c r="U137" s="2930"/>
      <c r="V137" s="2930"/>
      <c r="W137" s="532" t="s">
        <v>626</v>
      </c>
      <c r="X137" s="43">
        <v>10000000</v>
      </c>
      <c r="Y137" s="43">
        <v>8099742</v>
      </c>
      <c r="Z137" s="43">
        <v>8099742</v>
      </c>
      <c r="AA137" s="479" t="s">
        <v>627</v>
      </c>
      <c r="AB137" s="352">
        <v>20</v>
      </c>
      <c r="AC137" s="415" t="s">
        <v>422</v>
      </c>
      <c r="AD137" s="2546"/>
      <c r="AE137" s="2546"/>
      <c r="AF137" s="2546"/>
      <c r="AG137" s="2546"/>
      <c r="AH137" s="2546"/>
      <c r="AI137" s="2546"/>
      <c r="AJ137" s="2546"/>
      <c r="AK137" s="2546"/>
      <c r="AL137" s="2546"/>
      <c r="AM137" s="2546"/>
      <c r="AN137" s="2546"/>
      <c r="AO137" s="2546"/>
      <c r="AP137" s="2546"/>
      <c r="AQ137" s="2546"/>
      <c r="AR137" s="2546"/>
      <c r="AS137" s="2546"/>
      <c r="AT137" s="2546"/>
      <c r="AU137" s="2546"/>
      <c r="AV137" s="2546"/>
      <c r="AW137" s="2546"/>
      <c r="AX137" s="2546"/>
      <c r="AY137" s="2546"/>
      <c r="AZ137" s="2546"/>
      <c r="BA137" s="2546"/>
      <c r="BB137" s="2546"/>
      <c r="BC137" s="2546"/>
      <c r="BD137" s="2546"/>
      <c r="BE137" s="2546"/>
      <c r="BF137" s="2546"/>
      <c r="BG137" s="2546"/>
      <c r="BH137" s="2546"/>
      <c r="BI137" s="2546"/>
      <c r="BJ137" s="2783"/>
      <c r="BK137" s="2973"/>
      <c r="BL137" s="2973"/>
      <c r="BM137" s="2974"/>
      <c r="BN137" s="440">
        <v>20</v>
      </c>
      <c r="BO137" s="439" t="s">
        <v>422</v>
      </c>
      <c r="BP137" s="2543"/>
      <c r="BQ137" s="2941"/>
      <c r="BR137" s="2942"/>
      <c r="BS137" s="2941"/>
      <c r="BT137" s="2942"/>
      <c r="BU137" s="3054"/>
    </row>
    <row r="138" spans="1:73" s="573" customFormat="1" ht="42" customHeight="1" x14ac:dyDescent="0.25">
      <c r="A138" s="3064"/>
      <c r="B138" s="2904"/>
      <c r="C138" s="571"/>
      <c r="D138" s="572"/>
      <c r="E138" s="3000"/>
      <c r="F138" s="3087"/>
      <c r="G138" s="2932"/>
      <c r="H138" s="2680"/>
      <c r="I138" s="2932"/>
      <c r="J138" s="2680"/>
      <c r="K138" s="2932"/>
      <c r="L138" s="2680"/>
      <c r="M138" s="2932"/>
      <c r="N138" s="2680"/>
      <c r="O138" s="2783"/>
      <c r="P138" s="2928"/>
      <c r="Q138" s="2783"/>
      <c r="R138" s="2930"/>
      <c r="S138" s="2505"/>
      <c r="T138" s="2973"/>
      <c r="U138" s="2930"/>
      <c r="V138" s="2930"/>
      <c r="W138" s="3069" t="s">
        <v>535</v>
      </c>
      <c r="X138" s="43">
        <v>46000000</v>
      </c>
      <c r="Y138" s="43">
        <v>45400000</v>
      </c>
      <c r="Z138" s="43">
        <v>45400000</v>
      </c>
      <c r="AA138" s="479" t="s">
        <v>620</v>
      </c>
      <c r="AB138" s="352">
        <v>20</v>
      </c>
      <c r="AC138" s="415" t="s">
        <v>422</v>
      </c>
      <c r="AD138" s="2546"/>
      <c r="AE138" s="2546"/>
      <c r="AF138" s="2546"/>
      <c r="AG138" s="2546"/>
      <c r="AH138" s="2546"/>
      <c r="AI138" s="2546"/>
      <c r="AJ138" s="2546"/>
      <c r="AK138" s="2546"/>
      <c r="AL138" s="2546"/>
      <c r="AM138" s="2546"/>
      <c r="AN138" s="2546"/>
      <c r="AO138" s="2546"/>
      <c r="AP138" s="2546"/>
      <c r="AQ138" s="2546"/>
      <c r="AR138" s="2546"/>
      <c r="AS138" s="2546"/>
      <c r="AT138" s="2546"/>
      <c r="AU138" s="2546"/>
      <c r="AV138" s="2546"/>
      <c r="AW138" s="2546"/>
      <c r="AX138" s="2546"/>
      <c r="AY138" s="2546"/>
      <c r="AZ138" s="2546"/>
      <c r="BA138" s="2546"/>
      <c r="BB138" s="2546"/>
      <c r="BC138" s="2546"/>
      <c r="BD138" s="2546"/>
      <c r="BE138" s="2546"/>
      <c r="BF138" s="2546"/>
      <c r="BG138" s="2546"/>
      <c r="BH138" s="2546"/>
      <c r="BI138" s="2546"/>
      <c r="BJ138" s="2783"/>
      <c r="BK138" s="2973"/>
      <c r="BL138" s="2973"/>
      <c r="BM138" s="2974"/>
      <c r="BN138" s="440">
        <v>20</v>
      </c>
      <c r="BO138" s="439" t="s">
        <v>422</v>
      </c>
      <c r="BP138" s="2543"/>
      <c r="BQ138" s="2941"/>
      <c r="BR138" s="2942"/>
      <c r="BS138" s="2941"/>
      <c r="BT138" s="2942"/>
      <c r="BU138" s="3054"/>
    </row>
    <row r="139" spans="1:73" s="573" customFormat="1" ht="30" customHeight="1" x14ac:dyDescent="0.25">
      <c r="A139" s="3064"/>
      <c r="B139" s="2904"/>
      <c r="C139" s="571"/>
      <c r="D139" s="572"/>
      <c r="E139" s="3000"/>
      <c r="F139" s="3087"/>
      <c r="G139" s="2932"/>
      <c r="H139" s="2680"/>
      <c r="I139" s="2932"/>
      <c r="J139" s="2680"/>
      <c r="K139" s="2932"/>
      <c r="L139" s="2680"/>
      <c r="M139" s="2932"/>
      <c r="N139" s="2680"/>
      <c r="O139" s="2783"/>
      <c r="P139" s="2928"/>
      <c r="Q139" s="2783"/>
      <c r="R139" s="2930"/>
      <c r="S139" s="2505"/>
      <c r="T139" s="2973"/>
      <c r="U139" s="2930"/>
      <c r="V139" s="2930"/>
      <c r="W139" s="3090"/>
      <c r="X139" s="43">
        <v>168210000</v>
      </c>
      <c r="Y139" s="43">
        <v>104320000</v>
      </c>
      <c r="Z139" s="43">
        <v>104320000</v>
      </c>
      <c r="AA139" s="479" t="s">
        <v>621</v>
      </c>
      <c r="AB139" s="352">
        <v>88</v>
      </c>
      <c r="AC139" s="415" t="s">
        <v>5</v>
      </c>
      <c r="AD139" s="2546"/>
      <c r="AE139" s="2546"/>
      <c r="AF139" s="2546"/>
      <c r="AG139" s="2546"/>
      <c r="AH139" s="2546"/>
      <c r="AI139" s="2546"/>
      <c r="AJ139" s="2546"/>
      <c r="AK139" s="2546"/>
      <c r="AL139" s="2546"/>
      <c r="AM139" s="2546"/>
      <c r="AN139" s="2546"/>
      <c r="AO139" s="2546"/>
      <c r="AP139" s="2546"/>
      <c r="AQ139" s="2546"/>
      <c r="AR139" s="2546"/>
      <c r="AS139" s="2546"/>
      <c r="AT139" s="2546"/>
      <c r="AU139" s="2546"/>
      <c r="AV139" s="2546"/>
      <c r="AW139" s="2546"/>
      <c r="AX139" s="2546"/>
      <c r="AY139" s="2546"/>
      <c r="AZ139" s="2546"/>
      <c r="BA139" s="2546"/>
      <c r="BB139" s="2546"/>
      <c r="BC139" s="2546"/>
      <c r="BD139" s="2546"/>
      <c r="BE139" s="2546"/>
      <c r="BF139" s="2546"/>
      <c r="BG139" s="2546"/>
      <c r="BH139" s="2546"/>
      <c r="BI139" s="2546"/>
      <c r="BJ139" s="2783"/>
      <c r="BK139" s="2973"/>
      <c r="BL139" s="2973"/>
      <c r="BM139" s="2974"/>
      <c r="BN139" s="440">
        <v>88</v>
      </c>
      <c r="BO139" s="557" t="s">
        <v>5</v>
      </c>
      <c r="BP139" s="2543"/>
      <c r="BQ139" s="2941"/>
      <c r="BR139" s="2942"/>
      <c r="BS139" s="2941"/>
      <c r="BT139" s="2942"/>
      <c r="BU139" s="3054"/>
    </row>
    <row r="140" spans="1:73" s="573" customFormat="1" ht="44.45" customHeight="1" x14ac:dyDescent="0.25">
      <c r="A140" s="3064"/>
      <c r="B140" s="2904"/>
      <c r="C140" s="571"/>
      <c r="D140" s="572"/>
      <c r="E140" s="3000"/>
      <c r="F140" s="3087"/>
      <c r="G140" s="2932"/>
      <c r="H140" s="2680"/>
      <c r="I140" s="2932"/>
      <c r="J140" s="2680"/>
      <c r="K140" s="2932"/>
      <c r="L140" s="2680"/>
      <c r="M140" s="2932"/>
      <c r="N140" s="2680"/>
      <c r="O140" s="2783"/>
      <c r="P140" s="2928"/>
      <c r="Q140" s="2783"/>
      <c r="R140" s="2930"/>
      <c r="S140" s="2505"/>
      <c r="T140" s="2973"/>
      <c r="U140" s="2930"/>
      <c r="V140" s="2930"/>
      <c r="W140" s="577" t="s">
        <v>628</v>
      </c>
      <c r="X140" s="43">
        <v>25200000</v>
      </c>
      <c r="Y140" s="43">
        <v>22800000</v>
      </c>
      <c r="Z140" s="43">
        <v>22800000</v>
      </c>
      <c r="AA140" s="479" t="s">
        <v>621</v>
      </c>
      <c r="AB140" s="352">
        <v>88</v>
      </c>
      <c r="AC140" s="415" t="s">
        <v>5</v>
      </c>
      <c r="AD140" s="2546"/>
      <c r="AE140" s="2546"/>
      <c r="AF140" s="2546"/>
      <c r="AG140" s="2546"/>
      <c r="AH140" s="2546"/>
      <c r="AI140" s="2546"/>
      <c r="AJ140" s="2546"/>
      <c r="AK140" s="2546"/>
      <c r="AL140" s="2546"/>
      <c r="AM140" s="2546"/>
      <c r="AN140" s="2546"/>
      <c r="AO140" s="2546"/>
      <c r="AP140" s="2546"/>
      <c r="AQ140" s="2546"/>
      <c r="AR140" s="2546"/>
      <c r="AS140" s="2546"/>
      <c r="AT140" s="2546"/>
      <c r="AU140" s="2546"/>
      <c r="AV140" s="2546"/>
      <c r="AW140" s="2546"/>
      <c r="AX140" s="2546"/>
      <c r="AY140" s="2546"/>
      <c r="AZ140" s="2546"/>
      <c r="BA140" s="2546"/>
      <c r="BB140" s="2546"/>
      <c r="BC140" s="2546"/>
      <c r="BD140" s="2546"/>
      <c r="BE140" s="2546"/>
      <c r="BF140" s="2546"/>
      <c r="BG140" s="2546"/>
      <c r="BH140" s="2546"/>
      <c r="BI140" s="2546"/>
      <c r="BJ140" s="2783"/>
      <c r="BK140" s="2973"/>
      <c r="BL140" s="2973"/>
      <c r="BM140" s="2974"/>
      <c r="BN140" s="440">
        <v>89</v>
      </c>
      <c r="BO140" s="557" t="s">
        <v>5</v>
      </c>
      <c r="BP140" s="2543"/>
      <c r="BQ140" s="2941"/>
      <c r="BR140" s="2942"/>
      <c r="BS140" s="2941"/>
      <c r="BT140" s="2942"/>
      <c r="BU140" s="3054"/>
    </row>
    <row r="141" spans="1:73" s="573" customFormat="1" ht="45" x14ac:dyDescent="0.25">
      <c r="A141" s="3064"/>
      <c r="B141" s="2904"/>
      <c r="C141" s="571"/>
      <c r="D141" s="572"/>
      <c r="E141" s="3000"/>
      <c r="F141" s="3087"/>
      <c r="G141" s="2932"/>
      <c r="H141" s="2680"/>
      <c r="I141" s="2932"/>
      <c r="J141" s="2680"/>
      <c r="K141" s="2932"/>
      <c r="L141" s="2680"/>
      <c r="M141" s="2932"/>
      <c r="N141" s="2680"/>
      <c r="O141" s="2783"/>
      <c r="P141" s="2928"/>
      <c r="Q141" s="2783"/>
      <c r="R141" s="2930"/>
      <c r="S141" s="2505"/>
      <c r="T141" s="2973"/>
      <c r="U141" s="2930"/>
      <c r="V141" s="2930"/>
      <c r="W141" s="578" t="s">
        <v>629</v>
      </c>
      <c r="X141" s="43">
        <v>234000000</v>
      </c>
      <c r="Y141" s="43"/>
      <c r="Z141" s="43"/>
      <c r="AA141" s="479" t="s">
        <v>621</v>
      </c>
      <c r="AB141" s="352">
        <v>88</v>
      </c>
      <c r="AC141" s="415" t="s">
        <v>5</v>
      </c>
      <c r="AD141" s="2546"/>
      <c r="AE141" s="2546"/>
      <c r="AF141" s="2546"/>
      <c r="AG141" s="2546"/>
      <c r="AH141" s="2546"/>
      <c r="AI141" s="2546"/>
      <c r="AJ141" s="2546"/>
      <c r="AK141" s="2546"/>
      <c r="AL141" s="2546"/>
      <c r="AM141" s="2546"/>
      <c r="AN141" s="2546"/>
      <c r="AO141" s="2546"/>
      <c r="AP141" s="2546"/>
      <c r="AQ141" s="2546"/>
      <c r="AR141" s="2546"/>
      <c r="AS141" s="2546"/>
      <c r="AT141" s="2546"/>
      <c r="AU141" s="2546"/>
      <c r="AV141" s="2546"/>
      <c r="AW141" s="2546"/>
      <c r="AX141" s="2546"/>
      <c r="AY141" s="2546"/>
      <c r="AZ141" s="2546"/>
      <c r="BA141" s="2546"/>
      <c r="BB141" s="2546"/>
      <c r="BC141" s="2546"/>
      <c r="BD141" s="2546"/>
      <c r="BE141" s="2546"/>
      <c r="BF141" s="2546"/>
      <c r="BG141" s="2546"/>
      <c r="BH141" s="2546"/>
      <c r="BI141" s="2546"/>
      <c r="BJ141" s="2783"/>
      <c r="BK141" s="2973"/>
      <c r="BL141" s="2973"/>
      <c r="BM141" s="2974"/>
      <c r="BN141" s="352">
        <v>88</v>
      </c>
      <c r="BO141" s="415" t="s">
        <v>5</v>
      </c>
      <c r="BP141" s="2543"/>
      <c r="BQ141" s="2941"/>
      <c r="BR141" s="2942"/>
      <c r="BS141" s="2941"/>
      <c r="BT141" s="2942"/>
      <c r="BU141" s="3054"/>
    </row>
    <row r="142" spans="1:73" s="573" customFormat="1" ht="42" customHeight="1" x14ac:dyDescent="0.25">
      <c r="A142" s="3064"/>
      <c r="B142" s="2904"/>
      <c r="C142" s="571"/>
      <c r="D142" s="572"/>
      <c r="E142" s="3000"/>
      <c r="F142" s="3087"/>
      <c r="G142" s="2932"/>
      <c r="H142" s="2680"/>
      <c r="I142" s="2932"/>
      <c r="J142" s="2680"/>
      <c r="K142" s="2932"/>
      <c r="L142" s="2680"/>
      <c r="M142" s="2932"/>
      <c r="N142" s="2680"/>
      <c r="O142" s="2783"/>
      <c r="P142" s="2928"/>
      <c r="Q142" s="2783"/>
      <c r="R142" s="2930"/>
      <c r="S142" s="2505"/>
      <c r="T142" s="2973"/>
      <c r="U142" s="2930"/>
      <c r="V142" s="2930"/>
      <c r="W142" s="577" t="s">
        <v>630</v>
      </c>
      <c r="X142" s="43">
        <v>118000000</v>
      </c>
      <c r="Y142" s="43">
        <v>52802290.469999999</v>
      </c>
      <c r="Z142" s="43">
        <v>52802290.469999999</v>
      </c>
      <c r="AA142" s="479" t="s">
        <v>621</v>
      </c>
      <c r="AB142" s="352">
        <v>88</v>
      </c>
      <c r="AC142" s="415" t="s">
        <v>5</v>
      </c>
      <c r="AD142" s="2546"/>
      <c r="AE142" s="2546"/>
      <c r="AF142" s="2546"/>
      <c r="AG142" s="2546"/>
      <c r="AH142" s="2546"/>
      <c r="AI142" s="2546"/>
      <c r="AJ142" s="2546"/>
      <c r="AK142" s="2546"/>
      <c r="AL142" s="2546"/>
      <c r="AM142" s="2546"/>
      <c r="AN142" s="2546"/>
      <c r="AO142" s="2546"/>
      <c r="AP142" s="2546"/>
      <c r="AQ142" s="2546"/>
      <c r="AR142" s="2546"/>
      <c r="AS142" s="2546"/>
      <c r="AT142" s="2546"/>
      <c r="AU142" s="2546"/>
      <c r="AV142" s="2546"/>
      <c r="AW142" s="2546"/>
      <c r="AX142" s="2546"/>
      <c r="AY142" s="2546"/>
      <c r="AZ142" s="2546"/>
      <c r="BA142" s="2546"/>
      <c r="BB142" s="2546"/>
      <c r="BC142" s="2546"/>
      <c r="BD142" s="2546"/>
      <c r="BE142" s="2546"/>
      <c r="BF142" s="2546"/>
      <c r="BG142" s="2546"/>
      <c r="BH142" s="2546"/>
      <c r="BI142" s="2546"/>
      <c r="BJ142" s="2783"/>
      <c r="BK142" s="2973"/>
      <c r="BL142" s="2973"/>
      <c r="BM142" s="2974"/>
      <c r="BN142" s="352">
        <v>88</v>
      </c>
      <c r="BO142" s="415" t="s">
        <v>5</v>
      </c>
      <c r="BP142" s="2543"/>
      <c r="BQ142" s="2941"/>
      <c r="BR142" s="2942"/>
      <c r="BS142" s="2941"/>
      <c r="BT142" s="2942"/>
      <c r="BU142" s="3054"/>
    </row>
    <row r="143" spans="1:73" s="573" customFormat="1" ht="42" customHeight="1" x14ac:dyDescent="0.25">
      <c r="A143" s="3064"/>
      <c r="B143" s="2904"/>
      <c r="C143" s="571"/>
      <c r="D143" s="572"/>
      <c r="E143" s="3000"/>
      <c r="F143" s="3087"/>
      <c r="G143" s="2932"/>
      <c r="H143" s="2680"/>
      <c r="I143" s="2932"/>
      <c r="J143" s="2680"/>
      <c r="K143" s="2932"/>
      <c r="L143" s="2680"/>
      <c r="M143" s="2932"/>
      <c r="N143" s="2680"/>
      <c r="O143" s="2783"/>
      <c r="P143" s="2928"/>
      <c r="Q143" s="2783"/>
      <c r="R143" s="2930"/>
      <c r="S143" s="2505"/>
      <c r="T143" s="2973"/>
      <c r="U143" s="2930"/>
      <c r="V143" s="2930"/>
      <c r="W143" s="579" t="s">
        <v>631</v>
      </c>
      <c r="X143" s="43">
        <v>58000000</v>
      </c>
      <c r="Y143" s="43"/>
      <c r="Z143" s="43"/>
      <c r="AA143" s="479" t="s">
        <v>632</v>
      </c>
      <c r="AB143" s="352">
        <v>88</v>
      </c>
      <c r="AC143" s="415" t="s">
        <v>5</v>
      </c>
      <c r="AD143" s="2546"/>
      <c r="AE143" s="2546"/>
      <c r="AF143" s="2546"/>
      <c r="AG143" s="2546"/>
      <c r="AH143" s="2546"/>
      <c r="AI143" s="2546"/>
      <c r="AJ143" s="2546"/>
      <c r="AK143" s="2546"/>
      <c r="AL143" s="2546"/>
      <c r="AM143" s="2546"/>
      <c r="AN143" s="2546"/>
      <c r="AO143" s="2546"/>
      <c r="AP143" s="2546"/>
      <c r="AQ143" s="2546"/>
      <c r="AR143" s="2546"/>
      <c r="AS143" s="2546"/>
      <c r="AT143" s="2546"/>
      <c r="AU143" s="2546"/>
      <c r="AV143" s="2546"/>
      <c r="AW143" s="2546"/>
      <c r="AX143" s="2546"/>
      <c r="AY143" s="2546"/>
      <c r="AZ143" s="2546"/>
      <c r="BA143" s="2546"/>
      <c r="BB143" s="2546"/>
      <c r="BC143" s="2546"/>
      <c r="BD143" s="2546"/>
      <c r="BE143" s="2546"/>
      <c r="BF143" s="2546"/>
      <c r="BG143" s="2546"/>
      <c r="BH143" s="2546"/>
      <c r="BI143" s="2546"/>
      <c r="BJ143" s="2783"/>
      <c r="BK143" s="2973"/>
      <c r="BL143" s="2973"/>
      <c r="BM143" s="2974"/>
      <c r="BN143" s="352">
        <v>88</v>
      </c>
      <c r="BO143" s="415" t="s">
        <v>5</v>
      </c>
      <c r="BP143" s="2543"/>
      <c r="BQ143" s="2941"/>
      <c r="BR143" s="2942"/>
      <c r="BS143" s="2941"/>
      <c r="BT143" s="2942"/>
      <c r="BU143" s="3054"/>
    </row>
    <row r="144" spans="1:73" s="573" customFormat="1" ht="35.25" customHeight="1" x14ac:dyDescent="0.25">
      <c r="A144" s="3064"/>
      <c r="B144" s="2904"/>
      <c r="C144" s="571"/>
      <c r="D144" s="572"/>
      <c r="E144" s="3000"/>
      <c r="F144" s="3087"/>
      <c r="G144" s="2932"/>
      <c r="H144" s="2680"/>
      <c r="I144" s="2932"/>
      <c r="J144" s="2680"/>
      <c r="K144" s="2932"/>
      <c r="L144" s="2680"/>
      <c r="M144" s="2932"/>
      <c r="N144" s="2680"/>
      <c r="O144" s="2783"/>
      <c r="P144" s="2928"/>
      <c r="Q144" s="2783"/>
      <c r="R144" s="2930"/>
      <c r="S144" s="2505"/>
      <c r="T144" s="2973"/>
      <c r="U144" s="2930"/>
      <c r="V144" s="2930"/>
      <c r="W144" s="3091" t="s">
        <v>633</v>
      </c>
      <c r="X144" s="43">
        <v>15000000</v>
      </c>
      <c r="Y144" s="43">
        <v>502698</v>
      </c>
      <c r="Z144" s="43">
        <v>502698</v>
      </c>
      <c r="AA144" s="479" t="s">
        <v>634</v>
      </c>
      <c r="AB144" s="352">
        <v>88</v>
      </c>
      <c r="AC144" s="415" t="s">
        <v>635</v>
      </c>
      <c r="AD144" s="2546"/>
      <c r="AE144" s="2546"/>
      <c r="AF144" s="2546"/>
      <c r="AG144" s="2546"/>
      <c r="AH144" s="2546"/>
      <c r="AI144" s="2546"/>
      <c r="AJ144" s="2546"/>
      <c r="AK144" s="2546"/>
      <c r="AL144" s="2546"/>
      <c r="AM144" s="2546"/>
      <c r="AN144" s="2546"/>
      <c r="AO144" s="2546"/>
      <c r="AP144" s="2546"/>
      <c r="AQ144" s="2546"/>
      <c r="AR144" s="2546"/>
      <c r="AS144" s="2546"/>
      <c r="AT144" s="2546"/>
      <c r="AU144" s="2546"/>
      <c r="AV144" s="2546"/>
      <c r="AW144" s="2546"/>
      <c r="AX144" s="2546"/>
      <c r="AY144" s="2546"/>
      <c r="AZ144" s="2546"/>
      <c r="BA144" s="2546"/>
      <c r="BB144" s="2546"/>
      <c r="BC144" s="2546"/>
      <c r="BD144" s="2546"/>
      <c r="BE144" s="2546"/>
      <c r="BF144" s="2546"/>
      <c r="BG144" s="2546"/>
      <c r="BH144" s="2546"/>
      <c r="BI144" s="2546"/>
      <c r="BJ144" s="2783"/>
      <c r="BK144" s="2973"/>
      <c r="BL144" s="2973"/>
      <c r="BM144" s="2974"/>
      <c r="BN144" s="352">
        <v>88</v>
      </c>
      <c r="BO144" s="415" t="s">
        <v>635</v>
      </c>
      <c r="BP144" s="2543"/>
      <c r="BQ144" s="2941"/>
      <c r="BR144" s="2942"/>
      <c r="BS144" s="2941"/>
      <c r="BT144" s="2942"/>
      <c r="BU144" s="3054"/>
    </row>
    <row r="145" spans="1:73" s="573" customFormat="1" ht="36.75" customHeight="1" x14ac:dyDescent="0.25">
      <c r="A145" s="3064"/>
      <c r="B145" s="2904"/>
      <c r="C145" s="580"/>
      <c r="D145" s="581"/>
      <c r="E145" s="3002"/>
      <c r="F145" s="3088"/>
      <c r="G145" s="2932"/>
      <c r="H145" s="2680"/>
      <c r="I145" s="2932"/>
      <c r="J145" s="2680"/>
      <c r="K145" s="2932"/>
      <c r="L145" s="2680"/>
      <c r="M145" s="2932"/>
      <c r="N145" s="2680"/>
      <c r="O145" s="2783"/>
      <c r="P145" s="2929"/>
      <c r="Q145" s="2783"/>
      <c r="R145" s="2930"/>
      <c r="S145" s="2505"/>
      <c r="T145" s="2973"/>
      <c r="U145" s="2930"/>
      <c r="V145" s="2930"/>
      <c r="W145" s="3071"/>
      <c r="X145" s="43">
        <v>5000000</v>
      </c>
      <c r="Y145" s="43"/>
      <c r="Z145" s="43"/>
      <c r="AA145" s="479" t="s">
        <v>636</v>
      </c>
      <c r="AB145" s="352">
        <v>20</v>
      </c>
      <c r="AC145" s="415" t="s">
        <v>422</v>
      </c>
      <c r="AD145" s="2546"/>
      <c r="AE145" s="2546"/>
      <c r="AF145" s="2546"/>
      <c r="AG145" s="2546"/>
      <c r="AH145" s="2546"/>
      <c r="AI145" s="2546"/>
      <c r="AJ145" s="2546"/>
      <c r="AK145" s="2546"/>
      <c r="AL145" s="2546"/>
      <c r="AM145" s="2546"/>
      <c r="AN145" s="2546"/>
      <c r="AO145" s="2546"/>
      <c r="AP145" s="2546"/>
      <c r="AQ145" s="2546"/>
      <c r="AR145" s="2546"/>
      <c r="AS145" s="2546"/>
      <c r="AT145" s="2546"/>
      <c r="AU145" s="2546"/>
      <c r="AV145" s="2546"/>
      <c r="AW145" s="2546"/>
      <c r="AX145" s="2546"/>
      <c r="AY145" s="2546"/>
      <c r="AZ145" s="2546"/>
      <c r="BA145" s="2546"/>
      <c r="BB145" s="2546"/>
      <c r="BC145" s="2546"/>
      <c r="BD145" s="2546"/>
      <c r="BE145" s="2546"/>
      <c r="BF145" s="2546"/>
      <c r="BG145" s="2546"/>
      <c r="BH145" s="2546"/>
      <c r="BI145" s="2546"/>
      <c r="BJ145" s="2783"/>
      <c r="BK145" s="2973"/>
      <c r="BL145" s="2973"/>
      <c r="BM145" s="2974"/>
      <c r="BN145" s="352">
        <v>20</v>
      </c>
      <c r="BO145" s="415" t="s">
        <v>422</v>
      </c>
      <c r="BP145" s="2543"/>
      <c r="BQ145" s="2941"/>
      <c r="BR145" s="2942"/>
      <c r="BS145" s="2941"/>
      <c r="BT145" s="2942"/>
      <c r="BU145" s="3055"/>
    </row>
    <row r="146" spans="1:73" s="573" customFormat="1" ht="15.75" x14ac:dyDescent="0.25">
      <c r="A146" s="3064"/>
      <c r="B146" s="2904"/>
      <c r="C146" s="483">
        <v>40</v>
      </c>
      <c r="D146" s="2943" t="s">
        <v>637</v>
      </c>
      <c r="E146" s="2943"/>
      <c r="F146" s="2943"/>
      <c r="G146" s="2943"/>
      <c r="H146" s="2943"/>
      <c r="I146" s="2943"/>
      <c r="J146" s="2943"/>
      <c r="K146" s="484"/>
      <c r="L146" s="512"/>
      <c r="M146" s="565"/>
      <c r="N146" s="512"/>
      <c r="O146" s="486"/>
      <c r="P146" s="487"/>
      <c r="Q146" s="486"/>
      <c r="R146" s="488"/>
      <c r="S146" s="489"/>
      <c r="T146" s="568"/>
      <c r="U146" s="488"/>
      <c r="V146" s="488"/>
      <c r="W146" s="582"/>
      <c r="X146" s="568"/>
      <c r="Y146" s="568"/>
      <c r="Z146" s="568"/>
      <c r="AA146" s="583"/>
      <c r="AB146" s="495"/>
      <c r="AC146" s="488"/>
      <c r="AD146" s="486"/>
      <c r="AE146" s="486"/>
      <c r="AF146" s="486"/>
      <c r="AG146" s="486"/>
      <c r="AH146" s="486"/>
      <c r="AI146" s="486"/>
      <c r="AJ146" s="486"/>
      <c r="AK146" s="486"/>
      <c r="AL146" s="486"/>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486"/>
      <c r="BJ146" s="486"/>
      <c r="BK146" s="486"/>
      <c r="BL146" s="486"/>
      <c r="BM146" s="489"/>
      <c r="BN146" s="486"/>
      <c r="BO146" s="488"/>
      <c r="BP146" s="488"/>
      <c r="BQ146" s="499"/>
      <c r="BR146" s="499"/>
      <c r="BS146" s="499"/>
      <c r="BT146" s="499"/>
      <c r="BU146" s="491"/>
    </row>
    <row r="147" spans="1:73" s="4" customFormat="1" ht="15.75" x14ac:dyDescent="0.25">
      <c r="A147" s="3064"/>
      <c r="B147" s="2904"/>
      <c r="C147" s="525"/>
      <c r="D147" s="526"/>
      <c r="E147" s="570">
        <v>4001</v>
      </c>
      <c r="F147" s="2955" t="s">
        <v>638</v>
      </c>
      <c r="G147" s="2955"/>
      <c r="H147" s="2955"/>
      <c r="I147" s="2955"/>
      <c r="J147" s="2955"/>
      <c r="K147" s="2955"/>
      <c r="L147" s="2955"/>
      <c r="M147" s="190"/>
      <c r="N147" s="194"/>
      <c r="O147" s="190"/>
      <c r="P147" s="500"/>
      <c r="Q147" s="190"/>
      <c r="R147" s="194"/>
      <c r="S147" s="192"/>
      <c r="T147" s="528"/>
      <c r="U147" s="194"/>
      <c r="V147" s="194"/>
      <c r="W147" s="194"/>
      <c r="X147" s="501"/>
      <c r="Y147" s="501"/>
      <c r="Z147" s="501"/>
      <c r="AA147" s="90"/>
      <c r="AB147" s="195"/>
      <c r="AC147" s="194"/>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502"/>
      <c r="BN147" s="190"/>
      <c r="BO147" s="194"/>
      <c r="BP147" s="194"/>
      <c r="BQ147" s="190"/>
      <c r="BR147" s="190"/>
      <c r="BS147" s="190"/>
      <c r="BT147" s="190"/>
      <c r="BU147" s="194"/>
    </row>
    <row r="148" spans="1:73" s="573" customFormat="1" ht="57.75" customHeight="1" x14ac:dyDescent="0.25">
      <c r="A148" s="3064"/>
      <c r="B148" s="2904"/>
      <c r="C148" s="571"/>
      <c r="D148" s="572"/>
      <c r="E148" s="584"/>
      <c r="F148" s="585"/>
      <c r="G148" s="3093">
        <v>4001015</v>
      </c>
      <c r="H148" s="2680" t="s">
        <v>639</v>
      </c>
      <c r="I148" s="3093">
        <v>4001015</v>
      </c>
      <c r="J148" s="2680" t="s">
        <v>639</v>
      </c>
      <c r="K148" s="3092" t="s">
        <v>640</v>
      </c>
      <c r="L148" s="2688" t="s">
        <v>641</v>
      </c>
      <c r="M148" s="3092" t="s">
        <v>640</v>
      </c>
      <c r="N148" s="2688" t="s">
        <v>641</v>
      </c>
      <c r="O148" s="2783">
        <v>50</v>
      </c>
      <c r="P148" s="2927">
        <v>0</v>
      </c>
      <c r="Q148" s="2544" t="s">
        <v>642</v>
      </c>
      <c r="R148" s="2680" t="s">
        <v>643</v>
      </c>
      <c r="S148" s="2505">
        <f>SUM(X148:X149)/T148</f>
        <v>1</v>
      </c>
      <c r="T148" s="2973">
        <f>SUM(X148:X149)</f>
        <v>120000000.09999999</v>
      </c>
      <c r="U148" s="2930" t="s">
        <v>644</v>
      </c>
      <c r="V148" s="2930" t="s">
        <v>645</v>
      </c>
      <c r="W148" s="2545" t="s">
        <v>646</v>
      </c>
      <c r="X148" s="43">
        <v>20000000</v>
      </c>
      <c r="Y148" s="43"/>
      <c r="Z148" s="43"/>
      <c r="AA148" s="533" t="s">
        <v>647</v>
      </c>
      <c r="AB148" s="41">
        <v>20</v>
      </c>
      <c r="AC148" s="551" t="s">
        <v>422</v>
      </c>
      <c r="AD148" s="2546">
        <v>680</v>
      </c>
      <c r="AE148" s="2546"/>
      <c r="AF148" s="2546">
        <v>520</v>
      </c>
      <c r="AG148" s="2546"/>
      <c r="AH148" s="2546">
        <v>350</v>
      </c>
      <c r="AI148" s="2546"/>
      <c r="AJ148" s="2546">
        <v>300</v>
      </c>
      <c r="AK148" s="2546"/>
      <c r="AL148" s="2546">
        <v>250</v>
      </c>
      <c r="AM148" s="2546"/>
      <c r="AN148" s="2546">
        <v>300</v>
      </c>
      <c r="AO148" s="2546"/>
      <c r="AP148" s="2546"/>
      <c r="AQ148" s="2546"/>
      <c r="AR148" s="2546"/>
      <c r="AS148" s="2546"/>
      <c r="AT148" s="2546"/>
      <c r="AU148" s="2546"/>
      <c r="AV148" s="2546"/>
      <c r="AW148" s="2546"/>
      <c r="AX148" s="2546"/>
      <c r="AY148" s="2546"/>
      <c r="AZ148" s="2546"/>
      <c r="BA148" s="2546"/>
      <c r="BB148" s="2546"/>
      <c r="BC148" s="2546"/>
      <c r="BD148" s="2546"/>
      <c r="BE148" s="2546"/>
      <c r="BF148" s="2546"/>
      <c r="BG148" s="2546"/>
      <c r="BH148" s="2546">
        <f>AD148+AF148</f>
        <v>1200</v>
      </c>
      <c r="BI148" s="2546"/>
      <c r="BJ148" s="2783">
        <v>0</v>
      </c>
      <c r="BK148" s="2973">
        <f>SUM(Y148:Y149)</f>
        <v>0</v>
      </c>
      <c r="BL148" s="2973">
        <f>SUM(Z148:Z149)</f>
        <v>0</v>
      </c>
      <c r="BM148" s="2974" t="e">
        <f>+BL148/BK148</f>
        <v>#DIV/0!</v>
      </c>
      <c r="BN148" s="440">
        <v>20</v>
      </c>
      <c r="BO148" s="439" t="s">
        <v>422</v>
      </c>
      <c r="BP148" s="2543" t="s">
        <v>424</v>
      </c>
      <c r="BQ148" s="3094">
        <v>44197</v>
      </c>
      <c r="BR148" s="2783"/>
      <c r="BS148" s="3094">
        <v>44561</v>
      </c>
      <c r="BT148" s="2783"/>
      <c r="BU148" s="2948" t="s">
        <v>425</v>
      </c>
    </row>
    <row r="149" spans="1:73" s="573" customFormat="1" ht="64.5" customHeight="1" x14ac:dyDescent="0.25">
      <c r="A149" s="3065"/>
      <c r="B149" s="3066"/>
      <c r="C149" s="580"/>
      <c r="D149" s="581"/>
      <c r="E149" s="580"/>
      <c r="F149" s="586"/>
      <c r="G149" s="3093"/>
      <c r="H149" s="2680"/>
      <c r="I149" s="3093"/>
      <c r="J149" s="2680"/>
      <c r="K149" s="3092"/>
      <c r="L149" s="2688"/>
      <c r="M149" s="3092"/>
      <c r="N149" s="2688"/>
      <c r="O149" s="2783"/>
      <c r="P149" s="2929"/>
      <c r="Q149" s="2544"/>
      <c r="R149" s="2680"/>
      <c r="S149" s="2505"/>
      <c r="T149" s="2973"/>
      <c r="U149" s="2930"/>
      <c r="V149" s="2930"/>
      <c r="W149" s="2782"/>
      <c r="X149" s="43">
        <v>100000000.09999999</v>
      </c>
      <c r="Y149" s="43"/>
      <c r="Z149" s="43"/>
      <c r="AA149" s="533" t="s">
        <v>648</v>
      </c>
      <c r="AB149" s="587" t="s">
        <v>456</v>
      </c>
      <c r="AC149" s="551" t="s">
        <v>649</v>
      </c>
      <c r="AD149" s="2546"/>
      <c r="AE149" s="2546"/>
      <c r="AF149" s="2546"/>
      <c r="AG149" s="2546"/>
      <c r="AH149" s="2546"/>
      <c r="AI149" s="2546"/>
      <c r="AJ149" s="2546"/>
      <c r="AK149" s="2546"/>
      <c r="AL149" s="2546"/>
      <c r="AM149" s="2546"/>
      <c r="AN149" s="2546"/>
      <c r="AO149" s="2546"/>
      <c r="AP149" s="2546"/>
      <c r="AQ149" s="2546"/>
      <c r="AR149" s="2546"/>
      <c r="AS149" s="2546"/>
      <c r="AT149" s="2546"/>
      <c r="AU149" s="2546"/>
      <c r="AV149" s="2546"/>
      <c r="AW149" s="2546"/>
      <c r="AX149" s="2546"/>
      <c r="AY149" s="2546"/>
      <c r="AZ149" s="2546"/>
      <c r="BA149" s="2546"/>
      <c r="BB149" s="2546"/>
      <c r="BC149" s="2546"/>
      <c r="BD149" s="2546"/>
      <c r="BE149" s="2546"/>
      <c r="BF149" s="2546"/>
      <c r="BG149" s="2546"/>
      <c r="BH149" s="2546"/>
      <c r="BI149" s="2546"/>
      <c r="BJ149" s="2783"/>
      <c r="BK149" s="2973"/>
      <c r="BL149" s="2973"/>
      <c r="BM149" s="2974"/>
      <c r="BN149" s="588" t="s">
        <v>456</v>
      </c>
      <c r="BO149" s="439" t="s">
        <v>650</v>
      </c>
      <c r="BP149" s="2543"/>
      <c r="BQ149" s="2546"/>
      <c r="BR149" s="2783"/>
      <c r="BS149" s="2546"/>
      <c r="BT149" s="2783"/>
      <c r="BU149" s="2950"/>
    </row>
    <row r="150" spans="1:73" s="573" customFormat="1" ht="15.75" x14ac:dyDescent="0.25">
      <c r="A150" s="127">
        <v>4</v>
      </c>
      <c r="B150" s="3095" t="s">
        <v>651</v>
      </c>
      <c r="C150" s="3096"/>
      <c r="D150" s="3096"/>
      <c r="E150" s="3096"/>
      <c r="F150" s="3096"/>
      <c r="G150" s="3096"/>
      <c r="H150" s="3096"/>
      <c r="I150" s="3096"/>
      <c r="J150" s="3096"/>
      <c r="K150" s="589"/>
      <c r="L150" s="590"/>
      <c r="M150" s="589"/>
      <c r="N150" s="590"/>
      <c r="O150" s="591"/>
      <c r="P150" s="592"/>
      <c r="Q150" s="593"/>
      <c r="R150" s="594"/>
      <c r="S150" s="595"/>
      <c r="T150" s="596"/>
      <c r="U150" s="597"/>
      <c r="V150" s="597"/>
      <c r="W150" s="597"/>
      <c r="X150" s="596"/>
      <c r="Y150" s="596"/>
      <c r="Z150" s="596"/>
      <c r="AA150" s="598"/>
      <c r="AB150" s="599"/>
      <c r="AC150" s="597"/>
      <c r="AD150" s="591"/>
      <c r="AE150" s="591"/>
      <c r="AF150" s="591"/>
      <c r="AG150" s="591"/>
      <c r="AH150" s="591"/>
      <c r="AI150" s="591"/>
      <c r="AJ150" s="591"/>
      <c r="AK150" s="591"/>
      <c r="AL150" s="591"/>
      <c r="AM150" s="591"/>
      <c r="AN150" s="591"/>
      <c r="AO150" s="591"/>
      <c r="AP150" s="591"/>
      <c r="AQ150" s="591"/>
      <c r="AR150" s="591"/>
      <c r="AS150" s="591"/>
      <c r="AT150" s="591"/>
      <c r="AU150" s="591"/>
      <c r="AV150" s="591"/>
      <c r="AW150" s="591"/>
      <c r="AX150" s="591"/>
      <c r="AY150" s="591"/>
      <c r="AZ150" s="591"/>
      <c r="BA150" s="591"/>
      <c r="BB150" s="591"/>
      <c r="BC150" s="591"/>
      <c r="BD150" s="591"/>
      <c r="BE150" s="591"/>
      <c r="BF150" s="591"/>
      <c r="BG150" s="591"/>
      <c r="BH150" s="591"/>
      <c r="BI150" s="591"/>
      <c r="BJ150" s="591"/>
      <c r="BK150" s="591"/>
      <c r="BL150" s="591"/>
      <c r="BM150" s="595"/>
      <c r="BN150" s="591"/>
      <c r="BO150" s="597"/>
      <c r="BP150" s="597"/>
      <c r="BQ150" s="600"/>
      <c r="BR150" s="600"/>
      <c r="BS150" s="600"/>
      <c r="BT150" s="600"/>
      <c r="BU150" s="601"/>
    </row>
    <row r="151" spans="1:73" s="573" customFormat="1" ht="15.75" x14ac:dyDescent="0.25">
      <c r="A151" s="602"/>
      <c r="B151" s="603"/>
      <c r="C151" s="483">
        <v>45</v>
      </c>
      <c r="D151" s="2943" t="s">
        <v>66</v>
      </c>
      <c r="E151" s="2943"/>
      <c r="F151" s="2943"/>
      <c r="G151" s="2943"/>
      <c r="H151" s="2943"/>
      <c r="I151" s="2943"/>
      <c r="J151" s="2943"/>
      <c r="K151" s="604"/>
      <c r="L151" s="605"/>
      <c r="M151" s="604"/>
      <c r="N151" s="605"/>
      <c r="O151" s="486"/>
      <c r="P151" s="487"/>
      <c r="Q151" s="565"/>
      <c r="R151" s="512"/>
      <c r="S151" s="489"/>
      <c r="T151" s="568"/>
      <c r="U151" s="488"/>
      <c r="V151" s="488"/>
      <c r="W151" s="488"/>
      <c r="X151" s="568"/>
      <c r="Y151" s="568"/>
      <c r="Z151" s="568"/>
      <c r="AA151" s="606"/>
      <c r="AB151" s="495"/>
      <c r="AC151" s="488"/>
      <c r="AD151" s="486"/>
      <c r="AE151" s="486"/>
      <c r="AF151" s="486"/>
      <c r="AG151" s="486"/>
      <c r="AH151" s="486"/>
      <c r="AI151" s="486"/>
      <c r="AJ151" s="486"/>
      <c r="AK151" s="486"/>
      <c r="AL151" s="486"/>
      <c r="AM151" s="486"/>
      <c r="AN151" s="486"/>
      <c r="AO151" s="486"/>
      <c r="AP151" s="486"/>
      <c r="AQ151" s="486"/>
      <c r="AR151" s="486"/>
      <c r="AS151" s="486"/>
      <c r="AT151" s="486"/>
      <c r="AU151" s="486"/>
      <c r="AV151" s="486"/>
      <c r="AW151" s="486"/>
      <c r="AX151" s="486"/>
      <c r="AY151" s="486"/>
      <c r="AZ151" s="486"/>
      <c r="BA151" s="486"/>
      <c r="BB151" s="486"/>
      <c r="BC151" s="486"/>
      <c r="BD151" s="486"/>
      <c r="BE151" s="486"/>
      <c r="BF151" s="486"/>
      <c r="BG151" s="486"/>
      <c r="BH151" s="486"/>
      <c r="BI151" s="486"/>
      <c r="BJ151" s="486"/>
      <c r="BK151" s="486"/>
      <c r="BL151" s="486"/>
      <c r="BM151" s="489"/>
      <c r="BN151" s="486"/>
      <c r="BO151" s="488"/>
      <c r="BP151" s="488"/>
      <c r="BQ151" s="499"/>
      <c r="BR151" s="499"/>
      <c r="BS151" s="499"/>
      <c r="BT151" s="499"/>
      <c r="BU151" s="491"/>
    </row>
    <row r="152" spans="1:73" s="4" customFormat="1" ht="15.75" x14ac:dyDescent="0.25">
      <c r="A152" s="607"/>
      <c r="B152" s="443"/>
      <c r="C152" s="525"/>
      <c r="D152" s="526"/>
      <c r="E152" s="570">
        <v>4599</v>
      </c>
      <c r="F152" s="509" t="s">
        <v>143</v>
      </c>
      <c r="G152" s="509"/>
      <c r="H152" s="194"/>
      <c r="I152" s="509"/>
      <c r="J152" s="194"/>
      <c r="K152" s="509"/>
      <c r="L152" s="194"/>
      <c r="M152" s="509"/>
      <c r="N152" s="194"/>
      <c r="O152" s="190"/>
      <c r="P152" s="500"/>
      <c r="Q152" s="190"/>
      <c r="R152" s="194"/>
      <c r="S152" s="192"/>
      <c r="T152" s="528"/>
      <c r="U152" s="194"/>
      <c r="V152" s="194"/>
      <c r="W152" s="194"/>
      <c r="X152" s="501"/>
      <c r="Y152" s="501"/>
      <c r="Z152" s="501"/>
      <c r="AA152" s="90"/>
      <c r="AB152" s="195"/>
      <c r="AC152" s="194"/>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502"/>
      <c r="BN152" s="190"/>
      <c r="BO152" s="194"/>
      <c r="BP152" s="194"/>
      <c r="BQ152" s="190"/>
      <c r="BR152" s="190"/>
      <c r="BS152" s="190"/>
      <c r="BT152" s="190"/>
      <c r="BU152" s="194"/>
    </row>
    <row r="153" spans="1:73" s="573" customFormat="1" ht="105" customHeight="1" x14ac:dyDescent="0.25">
      <c r="A153" s="608"/>
      <c r="B153" s="572"/>
      <c r="C153" s="571"/>
      <c r="D153" s="572"/>
      <c r="E153" s="2998"/>
      <c r="F153" s="2957"/>
      <c r="G153" s="3059" t="s">
        <v>20</v>
      </c>
      <c r="H153" s="3097" t="s">
        <v>652</v>
      </c>
      <c r="I153" s="3059" t="s">
        <v>653</v>
      </c>
      <c r="J153" s="3097" t="s">
        <v>449</v>
      </c>
      <c r="K153" s="3059" t="s">
        <v>20</v>
      </c>
      <c r="L153" s="3097" t="s">
        <v>654</v>
      </c>
      <c r="M153" s="3059">
        <v>459901600</v>
      </c>
      <c r="N153" s="2681" t="s">
        <v>449</v>
      </c>
      <c r="O153" s="2752">
        <v>4</v>
      </c>
      <c r="P153" s="2927">
        <v>3</v>
      </c>
      <c r="Q153" s="2579" t="s">
        <v>655</v>
      </c>
      <c r="R153" s="2681" t="s">
        <v>656</v>
      </c>
      <c r="S153" s="2682">
        <f>SUM(X151:X160)/T153</f>
        <v>1</v>
      </c>
      <c r="T153" s="3009">
        <f>SUM(X153:X160)</f>
        <v>218394939</v>
      </c>
      <c r="U153" s="2992" t="s">
        <v>657</v>
      </c>
      <c r="V153" s="2992" t="s">
        <v>658</v>
      </c>
      <c r="W153" s="2938" t="s">
        <v>659</v>
      </c>
      <c r="X153" s="84">
        <v>10000000</v>
      </c>
      <c r="Y153" s="84"/>
      <c r="Z153" s="84"/>
      <c r="AA153" s="479" t="s">
        <v>660</v>
      </c>
      <c r="AB153" s="3015" t="s">
        <v>440</v>
      </c>
      <c r="AC153" s="2752" t="s">
        <v>441</v>
      </c>
      <c r="AD153" s="2547">
        <v>295972</v>
      </c>
      <c r="AE153" s="2547">
        <v>295972</v>
      </c>
      <c r="AF153" s="2547">
        <v>285580</v>
      </c>
      <c r="AG153" s="2547">
        <v>285580</v>
      </c>
      <c r="AH153" s="2547">
        <v>135545</v>
      </c>
      <c r="AI153" s="2547">
        <v>135545</v>
      </c>
      <c r="AJ153" s="2547">
        <v>44254</v>
      </c>
      <c r="AK153" s="2547">
        <v>44254</v>
      </c>
      <c r="AL153" s="2547">
        <v>309146</v>
      </c>
      <c r="AM153" s="2547">
        <v>309146</v>
      </c>
      <c r="AN153" s="2547">
        <v>92607</v>
      </c>
      <c r="AO153" s="2547">
        <v>92607</v>
      </c>
      <c r="AP153" s="2547">
        <v>2145</v>
      </c>
      <c r="AQ153" s="2547">
        <v>2145</v>
      </c>
      <c r="AR153" s="2547">
        <v>12718</v>
      </c>
      <c r="AS153" s="2547">
        <v>12718</v>
      </c>
      <c r="AT153" s="2547">
        <v>26</v>
      </c>
      <c r="AU153" s="2547">
        <v>26</v>
      </c>
      <c r="AV153" s="2547">
        <v>37</v>
      </c>
      <c r="AW153" s="2547">
        <v>37</v>
      </c>
      <c r="AX153" s="2547">
        <v>0</v>
      </c>
      <c r="AY153" s="2547">
        <v>0</v>
      </c>
      <c r="AZ153" s="2547">
        <v>0</v>
      </c>
      <c r="BA153" s="2547">
        <v>0</v>
      </c>
      <c r="BB153" s="2547">
        <v>44350</v>
      </c>
      <c r="BC153" s="2547">
        <v>44350</v>
      </c>
      <c r="BD153" s="2547">
        <v>21944</v>
      </c>
      <c r="BE153" s="2547">
        <v>21944</v>
      </c>
      <c r="BF153" s="2547">
        <v>75687</v>
      </c>
      <c r="BG153" s="2547">
        <v>75687</v>
      </c>
      <c r="BH153" s="2547">
        <v>581552</v>
      </c>
      <c r="BI153" s="2547">
        <v>581552</v>
      </c>
      <c r="BJ153" s="2752">
        <v>12</v>
      </c>
      <c r="BK153" s="3009">
        <f>SUM(Y153:Y160)</f>
        <v>132461956</v>
      </c>
      <c r="BL153" s="3009">
        <f>SUM(Z153:Z160)</f>
        <v>132461956</v>
      </c>
      <c r="BM153" s="3039">
        <f>+BL153/BK153</f>
        <v>1</v>
      </c>
      <c r="BN153" s="2547">
        <v>20</v>
      </c>
      <c r="BO153" s="3101" t="s">
        <v>422</v>
      </c>
      <c r="BP153" s="2545" t="s">
        <v>424</v>
      </c>
      <c r="BQ153" s="3036">
        <v>44197</v>
      </c>
      <c r="BR153" s="3018">
        <v>44244</v>
      </c>
      <c r="BS153" s="3036">
        <v>44561</v>
      </c>
      <c r="BT153" s="3018">
        <v>44551</v>
      </c>
      <c r="BU153" s="3053" t="s">
        <v>425</v>
      </c>
    </row>
    <row r="154" spans="1:73" s="573" customFormat="1" ht="28.5" customHeight="1" x14ac:dyDescent="0.25">
      <c r="A154" s="608"/>
      <c r="B154" s="572"/>
      <c r="C154" s="571"/>
      <c r="D154" s="572"/>
      <c r="E154" s="3000"/>
      <c r="F154" s="2959"/>
      <c r="G154" s="3060"/>
      <c r="H154" s="3098"/>
      <c r="I154" s="3060"/>
      <c r="J154" s="3098"/>
      <c r="K154" s="3060"/>
      <c r="L154" s="3098"/>
      <c r="M154" s="3060"/>
      <c r="N154" s="2771"/>
      <c r="O154" s="2755"/>
      <c r="P154" s="2928"/>
      <c r="Q154" s="2580"/>
      <c r="R154" s="2771"/>
      <c r="S154" s="3042"/>
      <c r="T154" s="3010"/>
      <c r="U154" s="2993"/>
      <c r="V154" s="2993"/>
      <c r="W154" s="3100"/>
      <c r="X154" s="84">
        <v>5000000</v>
      </c>
      <c r="Y154" s="84"/>
      <c r="Z154" s="84"/>
      <c r="AA154" s="479" t="s">
        <v>661</v>
      </c>
      <c r="AB154" s="3016"/>
      <c r="AC154" s="2755"/>
      <c r="AD154" s="2716"/>
      <c r="AE154" s="2716"/>
      <c r="AF154" s="2716"/>
      <c r="AG154" s="2716"/>
      <c r="AH154" s="2716"/>
      <c r="AI154" s="2716"/>
      <c r="AJ154" s="2716"/>
      <c r="AK154" s="2716"/>
      <c r="AL154" s="2716"/>
      <c r="AM154" s="2716"/>
      <c r="AN154" s="2716"/>
      <c r="AO154" s="2716"/>
      <c r="AP154" s="2716"/>
      <c r="AQ154" s="2716"/>
      <c r="AR154" s="2716"/>
      <c r="AS154" s="2716"/>
      <c r="AT154" s="2716"/>
      <c r="AU154" s="2716"/>
      <c r="AV154" s="2716"/>
      <c r="AW154" s="2716"/>
      <c r="AX154" s="2716"/>
      <c r="AY154" s="2716"/>
      <c r="AZ154" s="2716"/>
      <c r="BA154" s="2716"/>
      <c r="BB154" s="2716"/>
      <c r="BC154" s="2716"/>
      <c r="BD154" s="2716"/>
      <c r="BE154" s="2716"/>
      <c r="BF154" s="2716"/>
      <c r="BG154" s="2716"/>
      <c r="BH154" s="2716"/>
      <c r="BI154" s="2716"/>
      <c r="BJ154" s="2755"/>
      <c r="BK154" s="3010"/>
      <c r="BL154" s="3010"/>
      <c r="BM154" s="3040"/>
      <c r="BN154" s="2716"/>
      <c r="BO154" s="3102"/>
      <c r="BP154" s="2781"/>
      <c r="BQ154" s="3037"/>
      <c r="BR154" s="3019"/>
      <c r="BS154" s="3037"/>
      <c r="BT154" s="3019"/>
      <c r="BU154" s="3054"/>
    </row>
    <row r="155" spans="1:73" s="573" customFormat="1" ht="28.5" customHeight="1" x14ac:dyDescent="0.25">
      <c r="A155" s="608"/>
      <c r="B155" s="572"/>
      <c r="C155" s="571"/>
      <c r="D155" s="572"/>
      <c r="E155" s="3000"/>
      <c r="F155" s="2959"/>
      <c r="G155" s="3060"/>
      <c r="H155" s="3098"/>
      <c r="I155" s="3060"/>
      <c r="J155" s="3098"/>
      <c r="K155" s="3060"/>
      <c r="L155" s="3098"/>
      <c r="M155" s="3060"/>
      <c r="N155" s="2771"/>
      <c r="O155" s="2755"/>
      <c r="P155" s="2928"/>
      <c r="Q155" s="2580"/>
      <c r="R155" s="2771"/>
      <c r="S155" s="3042"/>
      <c r="T155" s="3010"/>
      <c r="U155" s="2993"/>
      <c r="V155" s="2993"/>
      <c r="W155" s="3100"/>
      <c r="X155" s="84">
        <v>1000000</v>
      </c>
      <c r="Y155" s="84"/>
      <c r="Z155" s="84"/>
      <c r="AA155" s="479" t="s">
        <v>662</v>
      </c>
      <c r="AB155" s="3016"/>
      <c r="AC155" s="2755"/>
      <c r="AD155" s="2716"/>
      <c r="AE155" s="2716"/>
      <c r="AF155" s="2716"/>
      <c r="AG155" s="2716"/>
      <c r="AH155" s="2716"/>
      <c r="AI155" s="2716"/>
      <c r="AJ155" s="2716"/>
      <c r="AK155" s="2716"/>
      <c r="AL155" s="2716"/>
      <c r="AM155" s="2716"/>
      <c r="AN155" s="2716"/>
      <c r="AO155" s="2716"/>
      <c r="AP155" s="2716"/>
      <c r="AQ155" s="2716"/>
      <c r="AR155" s="2716"/>
      <c r="AS155" s="2716"/>
      <c r="AT155" s="2716"/>
      <c r="AU155" s="2716"/>
      <c r="AV155" s="2716"/>
      <c r="AW155" s="2716"/>
      <c r="AX155" s="2716"/>
      <c r="AY155" s="2716"/>
      <c r="AZ155" s="2716"/>
      <c r="BA155" s="2716"/>
      <c r="BB155" s="2716"/>
      <c r="BC155" s="2716"/>
      <c r="BD155" s="2716"/>
      <c r="BE155" s="2716"/>
      <c r="BF155" s="2716"/>
      <c r="BG155" s="2716"/>
      <c r="BH155" s="2716"/>
      <c r="BI155" s="2716"/>
      <c r="BJ155" s="2755"/>
      <c r="BK155" s="3010"/>
      <c r="BL155" s="3010"/>
      <c r="BM155" s="3040"/>
      <c r="BN155" s="2716"/>
      <c r="BO155" s="3102"/>
      <c r="BP155" s="2781"/>
      <c r="BQ155" s="3037"/>
      <c r="BR155" s="3019"/>
      <c r="BS155" s="3037"/>
      <c r="BT155" s="3019"/>
      <c r="BU155" s="3054"/>
    </row>
    <row r="156" spans="1:73" s="573" customFormat="1" ht="28.5" customHeight="1" x14ac:dyDescent="0.25">
      <c r="A156" s="608"/>
      <c r="B156" s="572"/>
      <c r="C156" s="571"/>
      <c r="D156" s="572"/>
      <c r="E156" s="3000"/>
      <c r="F156" s="2959"/>
      <c r="G156" s="3060"/>
      <c r="H156" s="3098"/>
      <c r="I156" s="3060"/>
      <c r="J156" s="3098"/>
      <c r="K156" s="3060"/>
      <c r="L156" s="3098"/>
      <c r="M156" s="3060"/>
      <c r="N156" s="2771"/>
      <c r="O156" s="2755"/>
      <c r="P156" s="2928"/>
      <c r="Q156" s="2580"/>
      <c r="R156" s="2771"/>
      <c r="S156" s="3042"/>
      <c r="T156" s="3010"/>
      <c r="U156" s="2993"/>
      <c r="V156" s="2993"/>
      <c r="W156" s="2939"/>
      <c r="X156" s="84"/>
      <c r="Y156" s="84"/>
      <c r="Z156" s="84"/>
      <c r="AA156" s="479" t="s">
        <v>663</v>
      </c>
      <c r="AB156" s="3016"/>
      <c r="AC156" s="2755"/>
      <c r="AD156" s="2716"/>
      <c r="AE156" s="2716"/>
      <c r="AF156" s="2716"/>
      <c r="AG156" s="2716"/>
      <c r="AH156" s="2716"/>
      <c r="AI156" s="2716"/>
      <c r="AJ156" s="2716"/>
      <c r="AK156" s="2716"/>
      <c r="AL156" s="2716"/>
      <c r="AM156" s="2716"/>
      <c r="AN156" s="2716"/>
      <c r="AO156" s="2716"/>
      <c r="AP156" s="2716"/>
      <c r="AQ156" s="2716"/>
      <c r="AR156" s="2716"/>
      <c r="AS156" s="2716"/>
      <c r="AT156" s="2716"/>
      <c r="AU156" s="2716"/>
      <c r="AV156" s="2716"/>
      <c r="AW156" s="2716"/>
      <c r="AX156" s="2716"/>
      <c r="AY156" s="2716"/>
      <c r="AZ156" s="2716"/>
      <c r="BA156" s="2716"/>
      <c r="BB156" s="2716"/>
      <c r="BC156" s="2716"/>
      <c r="BD156" s="2716"/>
      <c r="BE156" s="2716"/>
      <c r="BF156" s="2716"/>
      <c r="BG156" s="2716"/>
      <c r="BH156" s="2716"/>
      <c r="BI156" s="2716"/>
      <c r="BJ156" s="2755"/>
      <c r="BK156" s="3010"/>
      <c r="BL156" s="3010"/>
      <c r="BM156" s="3040"/>
      <c r="BN156" s="2716"/>
      <c r="BO156" s="3102"/>
      <c r="BP156" s="2781"/>
      <c r="BQ156" s="3037"/>
      <c r="BR156" s="3019"/>
      <c r="BS156" s="3037"/>
      <c r="BT156" s="3019"/>
      <c r="BU156" s="3054"/>
    </row>
    <row r="157" spans="1:73" s="573" customFormat="1" ht="45" x14ac:dyDescent="0.25">
      <c r="A157" s="608"/>
      <c r="B157" s="572"/>
      <c r="C157" s="571"/>
      <c r="D157" s="572"/>
      <c r="E157" s="3000"/>
      <c r="F157" s="2959"/>
      <c r="G157" s="3060"/>
      <c r="H157" s="3098"/>
      <c r="I157" s="3060"/>
      <c r="J157" s="3098"/>
      <c r="K157" s="3060"/>
      <c r="L157" s="3098"/>
      <c r="M157" s="3060"/>
      <c r="N157" s="2771"/>
      <c r="O157" s="2755"/>
      <c r="P157" s="2928"/>
      <c r="Q157" s="2580"/>
      <c r="R157" s="2771"/>
      <c r="S157" s="3042"/>
      <c r="T157" s="3010"/>
      <c r="U157" s="2993"/>
      <c r="V157" s="2993"/>
      <c r="W157" s="415" t="s">
        <v>664</v>
      </c>
      <c r="X157" s="84">
        <v>10000000</v>
      </c>
      <c r="Y157" s="84">
        <v>7419665</v>
      </c>
      <c r="Z157" s="84">
        <v>7419665</v>
      </c>
      <c r="AA157" s="479" t="s">
        <v>665</v>
      </c>
      <c r="AB157" s="3016"/>
      <c r="AC157" s="2755"/>
      <c r="AD157" s="2716"/>
      <c r="AE157" s="2716"/>
      <c r="AF157" s="2716"/>
      <c r="AG157" s="2716"/>
      <c r="AH157" s="2716"/>
      <c r="AI157" s="2716"/>
      <c r="AJ157" s="2716"/>
      <c r="AK157" s="2716"/>
      <c r="AL157" s="2716"/>
      <c r="AM157" s="2716"/>
      <c r="AN157" s="2716"/>
      <c r="AO157" s="2716"/>
      <c r="AP157" s="2716"/>
      <c r="AQ157" s="2716"/>
      <c r="AR157" s="2716"/>
      <c r="AS157" s="2716"/>
      <c r="AT157" s="2716"/>
      <c r="AU157" s="2716"/>
      <c r="AV157" s="2716"/>
      <c r="AW157" s="2716"/>
      <c r="AX157" s="2716"/>
      <c r="AY157" s="2716"/>
      <c r="AZ157" s="2716"/>
      <c r="BA157" s="2716"/>
      <c r="BB157" s="2716"/>
      <c r="BC157" s="2716"/>
      <c r="BD157" s="2716"/>
      <c r="BE157" s="2716"/>
      <c r="BF157" s="2716"/>
      <c r="BG157" s="2716"/>
      <c r="BH157" s="2716"/>
      <c r="BI157" s="2716"/>
      <c r="BJ157" s="2755"/>
      <c r="BK157" s="3010"/>
      <c r="BL157" s="3010"/>
      <c r="BM157" s="3040"/>
      <c r="BN157" s="2716"/>
      <c r="BO157" s="3102"/>
      <c r="BP157" s="2781"/>
      <c r="BQ157" s="3037"/>
      <c r="BR157" s="3019"/>
      <c r="BS157" s="3037"/>
      <c r="BT157" s="3019"/>
      <c r="BU157" s="3054"/>
    </row>
    <row r="158" spans="1:73" s="573" customFormat="1" ht="60" x14ac:dyDescent="0.25">
      <c r="A158" s="608"/>
      <c r="B158" s="572"/>
      <c r="C158" s="571"/>
      <c r="D158" s="572"/>
      <c r="E158" s="3000"/>
      <c r="F158" s="2959"/>
      <c r="G158" s="3060"/>
      <c r="H158" s="3098"/>
      <c r="I158" s="3060"/>
      <c r="J158" s="3098"/>
      <c r="K158" s="3060"/>
      <c r="L158" s="3098"/>
      <c r="M158" s="3060"/>
      <c r="N158" s="2771"/>
      <c r="O158" s="2755"/>
      <c r="P158" s="2928"/>
      <c r="Q158" s="2580"/>
      <c r="R158" s="2771"/>
      <c r="S158" s="3042"/>
      <c r="T158" s="3010"/>
      <c r="U158" s="2993"/>
      <c r="V158" s="2993"/>
      <c r="W158" s="371" t="s">
        <v>666</v>
      </c>
      <c r="X158" s="84">
        <v>10000000</v>
      </c>
      <c r="Y158" s="84">
        <v>3308000</v>
      </c>
      <c r="Z158" s="84">
        <v>3308000</v>
      </c>
      <c r="AA158" s="479" t="s">
        <v>665</v>
      </c>
      <c r="AB158" s="3016"/>
      <c r="AC158" s="2755"/>
      <c r="AD158" s="2716"/>
      <c r="AE158" s="2716"/>
      <c r="AF158" s="2716"/>
      <c r="AG158" s="2716"/>
      <c r="AH158" s="2716"/>
      <c r="AI158" s="2716"/>
      <c r="AJ158" s="2716"/>
      <c r="AK158" s="2716"/>
      <c r="AL158" s="2716"/>
      <c r="AM158" s="2716"/>
      <c r="AN158" s="2716"/>
      <c r="AO158" s="2716"/>
      <c r="AP158" s="2716"/>
      <c r="AQ158" s="2716"/>
      <c r="AR158" s="2716"/>
      <c r="AS158" s="2716"/>
      <c r="AT158" s="2716"/>
      <c r="AU158" s="2716"/>
      <c r="AV158" s="2716"/>
      <c r="AW158" s="2716"/>
      <c r="AX158" s="2716"/>
      <c r="AY158" s="2716"/>
      <c r="AZ158" s="2716"/>
      <c r="BA158" s="2716"/>
      <c r="BB158" s="2716"/>
      <c r="BC158" s="2716"/>
      <c r="BD158" s="2716"/>
      <c r="BE158" s="2716"/>
      <c r="BF158" s="2716"/>
      <c r="BG158" s="2716"/>
      <c r="BH158" s="2716"/>
      <c r="BI158" s="2716"/>
      <c r="BJ158" s="2755"/>
      <c r="BK158" s="3010"/>
      <c r="BL158" s="3010"/>
      <c r="BM158" s="3040"/>
      <c r="BN158" s="2716"/>
      <c r="BO158" s="3102"/>
      <c r="BP158" s="2781"/>
      <c r="BQ158" s="3037"/>
      <c r="BR158" s="3019"/>
      <c r="BS158" s="3037"/>
      <c r="BT158" s="3019"/>
      <c r="BU158" s="3054"/>
    </row>
    <row r="159" spans="1:73" s="573" customFormat="1" ht="60.75" customHeight="1" x14ac:dyDescent="0.25">
      <c r="A159" s="608"/>
      <c r="B159" s="572"/>
      <c r="C159" s="571"/>
      <c r="D159" s="572"/>
      <c r="E159" s="571"/>
      <c r="F159" s="609"/>
      <c r="G159" s="3060"/>
      <c r="H159" s="3098"/>
      <c r="I159" s="3060"/>
      <c r="J159" s="3098"/>
      <c r="K159" s="3060"/>
      <c r="L159" s="3098"/>
      <c r="M159" s="3060"/>
      <c r="N159" s="2771"/>
      <c r="O159" s="2755"/>
      <c r="P159" s="2928"/>
      <c r="Q159" s="2580"/>
      <c r="R159" s="2771"/>
      <c r="S159" s="3042"/>
      <c r="T159" s="3010"/>
      <c r="U159" s="2993"/>
      <c r="V159" s="2993"/>
      <c r="W159" s="2549" t="s">
        <v>667</v>
      </c>
      <c r="X159" s="610">
        <v>80788268</v>
      </c>
      <c r="Y159" s="84">
        <v>80788275</v>
      </c>
      <c r="Z159" s="84">
        <v>80788275</v>
      </c>
      <c r="AA159" s="479" t="s">
        <v>668</v>
      </c>
      <c r="AB159" s="3016"/>
      <c r="AC159" s="2755"/>
      <c r="AD159" s="2716"/>
      <c r="AE159" s="2716"/>
      <c r="AF159" s="2716"/>
      <c r="AG159" s="2716"/>
      <c r="AH159" s="2716"/>
      <c r="AI159" s="2716"/>
      <c r="AJ159" s="2716"/>
      <c r="AK159" s="2716"/>
      <c r="AL159" s="2716"/>
      <c r="AM159" s="2716"/>
      <c r="AN159" s="2716"/>
      <c r="AO159" s="2716"/>
      <c r="AP159" s="2716"/>
      <c r="AQ159" s="2716"/>
      <c r="AR159" s="2716"/>
      <c r="AS159" s="2716"/>
      <c r="AT159" s="2716"/>
      <c r="AU159" s="2716"/>
      <c r="AV159" s="2716"/>
      <c r="AW159" s="2716"/>
      <c r="AX159" s="2716"/>
      <c r="AY159" s="2716"/>
      <c r="AZ159" s="2716"/>
      <c r="BA159" s="2716"/>
      <c r="BB159" s="2716"/>
      <c r="BC159" s="2716"/>
      <c r="BD159" s="2716"/>
      <c r="BE159" s="2716"/>
      <c r="BF159" s="2716"/>
      <c r="BG159" s="2716"/>
      <c r="BH159" s="2716"/>
      <c r="BI159" s="2716"/>
      <c r="BJ159" s="2755"/>
      <c r="BK159" s="3010"/>
      <c r="BL159" s="3010"/>
      <c r="BM159" s="3040"/>
      <c r="BN159" s="2717"/>
      <c r="BO159" s="3103"/>
      <c r="BP159" s="2781"/>
      <c r="BQ159" s="3037"/>
      <c r="BR159" s="3019"/>
      <c r="BS159" s="3037"/>
      <c r="BT159" s="3019"/>
      <c r="BU159" s="3054"/>
    </row>
    <row r="160" spans="1:73" s="573" customFormat="1" ht="57.75" customHeight="1" x14ac:dyDescent="0.25">
      <c r="A160" s="608"/>
      <c r="B160" s="572"/>
      <c r="C160" s="571"/>
      <c r="D160" s="572"/>
      <c r="E160" s="580"/>
      <c r="F160" s="586"/>
      <c r="G160" s="3061"/>
      <c r="H160" s="3099"/>
      <c r="I160" s="3061"/>
      <c r="J160" s="3099"/>
      <c r="K160" s="3061"/>
      <c r="L160" s="3099"/>
      <c r="M160" s="3061"/>
      <c r="N160" s="2772"/>
      <c r="O160" s="2756"/>
      <c r="P160" s="2929"/>
      <c r="Q160" s="2581"/>
      <c r="R160" s="2772"/>
      <c r="S160" s="3043"/>
      <c r="T160" s="3011"/>
      <c r="U160" s="2994"/>
      <c r="V160" s="2994"/>
      <c r="W160" s="2678"/>
      <c r="X160" s="610">
        <v>101606671</v>
      </c>
      <c r="Y160" s="84">
        <v>40946016</v>
      </c>
      <c r="Z160" s="84">
        <v>40946016</v>
      </c>
      <c r="AA160" s="479" t="s">
        <v>669</v>
      </c>
      <c r="AB160" s="3017"/>
      <c r="AC160" s="2756"/>
      <c r="AD160" s="2717"/>
      <c r="AE160" s="2717"/>
      <c r="AF160" s="2717"/>
      <c r="AG160" s="2717"/>
      <c r="AH160" s="2717"/>
      <c r="AI160" s="2717"/>
      <c r="AJ160" s="2717"/>
      <c r="AK160" s="2717"/>
      <c r="AL160" s="2717"/>
      <c r="AM160" s="2717"/>
      <c r="AN160" s="2717"/>
      <c r="AO160" s="2717"/>
      <c r="AP160" s="2717"/>
      <c r="AQ160" s="2717"/>
      <c r="AR160" s="2717"/>
      <c r="AS160" s="2717"/>
      <c r="AT160" s="2717"/>
      <c r="AU160" s="2717"/>
      <c r="AV160" s="2717"/>
      <c r="AW160" s="2717"/>
      <c r="AX160" s="2717"/>
      <c r="AY160" s="2717"/>
      <c r="AZ160" s="2717"/>
      <c r="BA160" s="2717"/>
      <c r="BB160" s="2717"/>
      <c r="BC160" s="2717"/>
      <c r="BD160" s="2717"/>
      <c r="BE160" s="2717"/>
      <c r="BF160" s="2717"/>
      <c r="BG160" s="2717"/>
      <c r="BH160" s="2717"/>
      <c r="BI160" s="2717"/>
      <c r="BJ160" s="2756"/>
      <c r="BK160" s="3011"/>
      <c r="BL160" s="3011"/>
      <c r="BM160" s="3041"/>
      <c r="BN160" s="440">
        <v>88</v>
      </c>
      <c r="BO160" s="439" t="s">
        <v>241</v>
      </c>
      <c r="BP160" s="2782"/>
      <c r="BQ160" s="3038"/>
      <c r="BR160" s="3020"/>
      <c r="BS160" s="3038"/>
      <c r="BT160" s="3020"/>
      <c r="BU160" s="3055"/>
    </row>
    <row r="161" spans="1:73" s="4" customFormat="1" ht="24.75" customHeight="1" x14ac:dyDescent="0.25">
      <c r="A161" s="607"/>
      <c r="B161" s="443"/>
      <c r="C161" s="529"/>
      <c r="D161" s="443"/>
      <c r="E161" s="570">
        <v>4502</v>
      </c>
      <c r="F161" s="509" t="s">
        <v>245</v>
      </c>
      <c r="G161" s="509"/>
      <c r="H161" s="194"/>
      <c r="I161" s="509"/>
      <c r="J161" s="194"/>
      <c r="K161" s="509"/>
      <c r="L161" s="194"/>
      <c r="M161" s="509"/>
      <c r="N161" s="194"/>
      <c r="O161" s="509"/>
      <c r="P161" s="510"/>
      <c r="Q161" s="509"/>
      <c r="R161" s="194"/>
      <c r="S161" s="192"/>
      <c r="T161" s="528"/>
      <c r="U161" s="194"/>
      <c r="V161" s="194"/>
      <c r="W161" s="194"/>
      <c r="X161" s="501"/>
      <c r="Y161" s="501"/>
      <c r="Z161" s="501"/>
      <c r="AA161" s="338"/>
      <c r="AB161" s="195"/>
      <c r="AC161" s="194"/>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502"/>
      <c r="BN161" s="190"/>
      <c r="BO161" s="194"/>
      <c r="BP161" s="194"/>
      <c r="BQ161" s="190"/>
      <c r="BR161" s="190"/>
      <c r="BS161" s="190"/>
      <c r="BT161" s="190"/>
      <c r="BU161" s="194"/>
    </row>
    <row r="162" spans="1:73" s="573" customFormat="1" ht="95.25" customHeight="1" x14ac:dyDescent="0.25">
      <c r="A162" s="608"/>
      <c r="B162" s="572"/>
      <c r="C162" s="571"/>
      <c r="D162" s="572"/>
      <c r="E162" s="2998"/>
      <c r="F162" s="2957"/>
      <c r="G162" s="2932">
        <v>4502003</v>
      </c>
      <c r="H162" s="2922" t="s">
        <v>670</v>
      </c>
      <c r="I162" s="2932">
        <v>4502003</v>
      </c>
      <c r="J162" s="2922" t="s">
        <v>670</v>
      </c>
      <c r="K162" s="2932">
        <v>450200300</v>
      </c>
      <c r="L162" s="2922" t="s">
        <v>670</v>
      </c>
      <c r="M162" s="2932">
        <v>450200300</v>
      </c>
      <c r="N162" s="2922" t="s">
        <v>670</v>
      </c>
      <c r="O162" s="2783">
        <v>2</v>
      </c>
      <c r="P162" s="2927">
        <v>3</v>
      </c>
      <c r="Q162" s="3104" t="s">
        <v>671</v>
      </c>
      <c r="R162" s="3105" t="s">
        <v>672</v>
      </c>
      <c r="S162" s="2505">
        <f>SUM(X162:X163)/T162</f>
        <v>1</v>
      </c>
      <c r="T162" s="2973">
        <f>SUM(X162:X163)</f>
        <v>31601460</v>
      </c>
      <c r="U162" s="2930" t="s">
        <v>673</v>
      </c>
      <c r="V162" s="2930" t="s">
        <v>674</v>
      </c>
      <c r="W162" s="437" t="s">
        <v>675</v>
      </c>
      <c r="X162" s="84">
        <v>0</v>
      </c>
      <c r="Y162" s="84"/>
      <c r="Z162" s="84"/>
      <c r="AA162" s="479" t="s">
        <v>676</v>
      </c>
      <c r="AB162" s="2965">
        <v>20</v>
      </c>
      <c r="AC162" s="2930" t="s">
        <v>422</v>
      </c>
      <c r="AD162" s="2546">
        <v>295972</v>
      </c>
      <c r="AE162" s="2546">
        <v>295972</v>
      </c>
      <c r="AF162" s="2546">
        <v>285580</v>
      </c>
      <c r="AG162" s="2546">
        <v>285580</v>
      </c>
      <c r="AH162" s="2546">
        <v>135545</v>
      </c>
      <c r="AI162" s="2546">
        <v>135545</v>
      </c>
      <c r="AJ162" s="2546">
        <v>44254</v>
      </c>
      <c r="AK162" s="2546">
        <v>44254</v>
      </c>
      <c r="AL162" s="2546">
        <v>309146</v>
      </c>
      <c r="AM162" s="2546">
        <v>309146</v>
      </c>
      <c r="AN162" s="2546">
        <v>92607</v>
      </c>
      <c r="AO162" s="2546">
        <v>92607</v>
      </c>
      <c r="AP162" s="2546">
        <v>2145</v>
      </c>
      <c r="AQ162" s="2546">
        <v>2145</v>
      </c>
      <c r="AR162" s="2546">
        <v>12718</v>
      </c>
      <c r="AS162" s="2546">
        <v>12718</v>
      </c>
      <c r="AT162" s="2546">
        <v>26</v>
      </c>
      <c r="AU162" s="2546">
        <v>26</v>
      </c>
      <c r="AV162" s="2546">
        <v>37</v>
      </c>
      <c r="AW162" s="2546">
        <v>37</v>
      </c>
      <c r="AX162" s="2546">
        <v>0</v>
      </c>
      <c r="AY162" s="2546">
        <v>0</v>
      </c>
      <c r="AZ162" s="2546">
        <v>0</v>
      </c>
      <c r="BA162" s="2546">
        <v>0</v>
      </c>
      <c r="BB162" s="2546">
        <v>44350</v>
      </c>
      <c r="BC162" s="2546">
        <v>44350</v>
      </c>
      <c r="BD162" s="2546">
        <v>21944</v>
      </c>
      <c r="BE162" s="2546">
        <v>21944</v>
      </c>
      <c r="BF162" s="2546">
        <v>75687</v>
      </c>
      <c r="BG162" s="2546">
        <v>75687</v>
      </c>
      <c r="BH162" s="2546">
        <v>581552</v>
      </c>
      <c r="BI162" s="2546">
        <v>581552</v>
      </c>
      <c r="BJ162" s="2783">
        <v>0</v>
      </c>
      <c r="BK162" s="2973">
        <f>SUM(Y162:Y163)</f>
        <v>31492810.670000002</v>
      </c>
      <c r="BL162" s="2973">
        <f>SUM(Z162:Z163)</f>
        <v>31492810.670000002</v>
      </c>
      <c r="BM162" s="3107">
        <f>+BL162/BK162</f>
        <v>1</v>
      </c>
      <c r="BN162" s="2546">
        <v>20</v>
      </c>
      <c r="BO162" s="2543" t="s">
        <v>422</v>
      </c>
      <c r="BP162" s="2543" t="s">
        <v>424</v>
      </c>
      <c r="BQ162" s="2941">
        <v>44197</v>
      </c>
      <c r="BR162" s="2942"/>
      <c r="BS162" s="2941">
        <v>44561</v>
      </c>
      <c r="BT162" s="2942">
        <v>44551</v>
      </c>
      <c r="BU162" s="3053" t="s">
        <v>425</v>
      </c>
    </row>
    <row r="163" spans="1:73" s="573" customFormat="1" ht="91.5" customHeight="1" x14ac:dyDescent="0.25">
      <c r="A163" s="611"/>
      <c r="B163" s="581"/>
      <c r="C163" s="580"/>
      <c r="D163" s="581"/>
      <c r="E163" s="3002"/>
      <c r="F163" s="2961"/>
      <c r="G163" s="2932"/>
      <c r="H163" s="2922"/>
      <c r="I163" s="2932"/>
      <c r="J163" s="2922"/>
      <c r="K163" s="2932"/>
      <c r="L163" s="2922"/>
      <c r="M163" s="2932"/>
      <c r="N163" s="2922"/>
      <c r="O163" s="2783"/>
      <c r="P163" s="2929"/>
      <c r="Q163" s="3104"/>
      <c r="R163" s="3105"/>
      <c r="S163" s="2505"/>
      <c r="T163" s="2973"/>
      <c r="U163" s="2930"/>
      <c r="V163" s="2930"/>
      <c r="W163" s="437" t="s">
        <v>677</v>
      </c>
      <c r="X163" s="84">
        <v>31601460</v>
      </c>
      <c r="Y163" s="84">
        <v>31492810.670000002</v>
      </c>
      <c r="Z163" s="84">
        <v>31492810.670000002</v>
      </c>
      <c r="AA163" s="479" t="s">
        <v>676</v>
      </c>
      <c r="AB163" s="2965"/>
      <c r="AC163" s="2930"/>
      <c r="AD163" s="2546"/>
      <c r="AE163" s="2546"/>
      <c r="AF163" s="2546"/>
      <c r="AG163" s="2546"/>
      <c r="AH163" s="2546"/>
      <c r="AI163" s="2546"/>
      <c r="AJ163" s="2546"/>
      <c r="AK163" s="2546"/>
      <c r="AL163" s="2546"/>
      <c r="AM163" s="2546"/>
      <c r="AN163" s="2546"/>
      <c r="AO163" s="2546"/>
      <c r="AP163" s="2546"/>
      <c r="AQ163" s="2546"/>
      <c r="AR163" s="2546"/>
      <c r="AS163" s="2546"/>
      <c r="AT163" s="2546"/>
      <c r="AU163" s="2546"/>
      <c r="AV163" s="2546"/>
      <c r="AW163" s="2546"/>
      <c r="AX163" s="2546"/>
      <c r="AY163" s="2546"/>
      <c r="AZ163" s="2546"/>
      <c r="BA163" s="2546"/>
      <c r="BB163" s="2546"/>
      <c r="BC163" s="2546"/>
      <c r="BD163" s="2546"/>
      <c r="BE163" s="2546"/>
      <c r="BF163" s="2546"/>
      <c r="BG163" s="2546"/>
      <c r="BH163" s="2546"/>
      <c r="BI163" s="2546"/>
      <c r="BJ163" s="2783"/>
      <c r="BK163" s="2973"/>
      <c r="BL163" s="2973"/>
      <c r="BM163" s="2974"/>
      <c r="BN163" s="2546"/>
      <c r="BO163" s="2543"/>
      <c r="BP163" s="2543"/>
      <c r="BQ163" s="2941"/>
      <c r="BR163" s="2942"/>
      <c r="BS163" s="2941"/>
      <c r="BT163" s="2942"/>
      <c r="BU163" s="3055"/>
    </row>
    <row r="164" spans="1:73" ht="15.75" x14ac:dyDescent="0.25">
      <c r="A164" s="517">
        <v>3</v>
      </c>
      <c r="B164" s="3106" t="s">
        <v>678</v>
      </c>
      <c r="C164" s="2900"/>
      <c r="D164" s="2900"/>
      <c r="E164" s="2900"/>
      <c r="F164" s="2900"/>
      <c r="G164" s="2900"/>
      <c r="H164" s="2900"/>
      <c r="I164" s="2900"/>
      <c r="J164" s="165"/>
      <c r="K164" s="166"/>
      <c r="L164" s="165"/>
      <c r="M164" s="166"/>
      <c r="N164" s="165"/>
      <c r="O164" s="166"/>
      <c r="P164" s="518"/>
      <c r="Q164" s="166"/>
      <c r="R164" s="165"/>
      <c r="S164" s="169"/>
      <c r="T164" s="519"/>
      <c r="U164" s="165"/>
      <c r="V164" s="165"/>
      <c r="W164" s="165"/>
      <c r="X164" s="520"/>
      <c r="Y164" s="520"/>
      <c r="Z164" s="520"/>
      <c r="AA164" s="120"/>
      <c r="AB164" s="468"/>
      <c r="AC164" s="165"/>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469"/>
      <c r="BN164" s="166"/>
      <c r="BO164" s="165"/>
      <c r="BP164" s="165"/>
      <c r="BQ164" s="173"/>
      <c r="BR164" s="173"/>
      <c r="BS164" s="173"/>
      <c r="BT164" s="173"/>
      <c r="BU164" s="165"/>
    </row>
    <row r="165" spans="1:73" s="24" customFormat="1" ht="15.75" x14ac:dyDescent="0.25">
      <c r="A165" s="254"/>
      <c r="B165" s="327"/>
      <c r="C165" s="483">
        <v>40</v>
      </c>
      <c r="D165" s="2943" t="s">
        <v>637</v>
      </c>
      <c r="E165" s="2943"/>
      <c r="F165" s="2943"/>
      <c r="G165" s="2943"/>
      <c r="H165" s="2943"/>
      <c r="I165" s="2943"/>
      <c r="J165" s="2943"/>
      <c r="K165" s="2943"/>
      <c r="L165" s="2943"/>
      <c r="M165" s="565"/>
      <c r="N165" s="512"/>
      <c r="O165" s="486"/>
      <c r="P165" s="487"/>
      <c r="Q165" s="486"/>
      <c r="R165" s="488"/>
      <c r="S165" s="489"/>
      <c r="T165" s="568"/>
      <c r="U165" s="488"/>
      <c r="V165" s="488"/>
      <c r="W165" s="582"/>
      <c r="X165" s="568"/>
      <c r="Y165" s="568"/>
      <c r="Z165" s="568"/>
      <c r="AA165" s="612"/>
      <c r="AB165" s="495"/>
      <c r="AC165" s="488"/>
      <c r="AD165" s="486"/>
      <c r="AE165" s="486"/>
      <c r="AF165" s="486"/>
      <c r="AG165" s="486"/>
      <c r="AH165" s="486"/>
      <c r="AI165" s="486"/>
      <c r="AJ165" s="486"/>
      <c r="AK165" s="486"/>
      <c r="AL165" s="486"/>
      <c r="AM165" s="486"/>
      <c r="AN165" s="486"/>
      <c r="AO165" s="486"/>
      <c r="AP165" s="486"/>
      <c r="AQ165" s="486"/>
      <c r="AR165" s="486"/>
      <c r="AS165" s="486"/>
      <c r="AT165" s="486"/>
      <c r="AU165" s="486"/>
      <c r="AV165" s="486"/>
      <c r="AW165" s="486"/>
      <c r="AX165" s="486"/>
      <c r="AY165" s="486"/>
      <c r="AZ165" s="486"/>
      <c r="BA165" s="486"/>
      <c r="BB165" s="486"/>
      <c r="BC165" s="486"/>
      <c r="BD165" s="486"/>
      <c r="BE165" s="486"/>
      <c r="BF165" s="486"/>
      <c r="BG165" s="486"/>
      <c r="BH165" s="486"/>
      <c r="BI165" s="486"/>
      <c r="BJ165" s="486"/>
      <c r="BK165" s="486"/>
      <c r="BL165" s="486"/>
      <c r="BM165" s="489"/>
      <c r="BN165" s="486"/>
      <c r="BO165" s="488"/>
      <c r="BP165" s="488"/>
      <c r="BQ165" s="499"/>
      <c r="BR165" s="499"/>
      <c r="BS165" s="499"/>
      <c r="BT165" s="499"/>
      <c r="BU165" s="491"/>
    </row>
    <row r="166" spans="1:73" ht="15.75" x14ac:dyDescent="0.25">
      <c r="A166" s="267"/>
      <c r="B166" s="268"/>
      <c r="C166" s="260"/>
      <c r="D166" s="261"/>
      <c r="E166" s="190">
        <v>34</v>
      </c>
      <c r="F166" s="2955" t="s">
        <v>679</v>
      </c>
      <c r="G166" s="2955"/>
      <c r="H166" s="2955"/>
      <c r="I166" s="2955"/>
      <c r="J166" s="2955"/>
      <c r="K166" s="2955"/>
      <c r="L166" s="2955"/>
      <c r="M166" s="2955"/>
      <c r="N166" s="2955"/>
      <c r="O166" s="2955"/>
      <c r="P166" s="510"/>
      <c r="Q166" s="190"/>
      <c r="R166" s="194"/>
      <c r="S166" s="192"/>
      <c r="T166" s="528"/>
      <c r="U166" s="194"/>
      <c r="V166" s="194"/>
      <c r="W166" s="194"/>
      <c r="X166" s="501"/>
      <c r="Y166" s="501"/>
      <c r="Z166" s="501"/>
      <c r="AA166" s="90"/>
      <c r="AB166" s="195"/>
      <c r="AC166" s="194"/>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502"/>
      <c r="BN166" s="190"/>
      <c r="BO166" s="194"/>
      <c r="BP166" s="194"/>
      <c r="BQ166" s="196"/>
      <c r="BR166" s="196"/>
      <c r="BS166" s="196"/>
      <c r="BT166" s="196"/>
      <c r="BU166" s="194"/>
    </row>
    <row r="167" spans="1:73" ht="54.75" customHeight="1" x14ac:dyDescent="0.25">
      <c r="A167" s="258"/>
      <c r="B167" s="259"/>
      <c r="C167" s="258"/>
      <c r="D167" s="259"/>
      <c r="E167" s="3109"/>
      <c r="F167" s="3112"/>
      <c r="G167" s="613" t="s">
        <v>680</v>
      </c>
      <c r="H167" s="614" t="s">
        <v>681</v>
      </c>
      <c r="I167" s="613" t="s">
        <v>680</v>
      </c>
      <c r="J167" s="614" t="s">
        <v>681</v>
      </c>
      <c r="K167" s="613">
        <v>400301802</v>
      </c>
      <c r="L167" s="371" t="s">
        <v>682</v>
      </c>
      <c r="M167" s="613">
        <v>400301802</v>
      </c>
      <c r="N167" s="371" t="s">
        <v>682</v>
      </c>
      <c r="O167" s="615">
        <v>1</v>
      </c>
      <c r="P167" s="549">
        <v>0</v>
      </c>
      <c r="Q167" s="3104" t="s">
        <v>683</v>
      </c>
      <c r="R167" s="3105" t="s">
        <v>684</v>
      </c>
      <c r="S167" s="616">
        <f>X167/T167</f>
        <v>0.24362284932544206</v>
      </c>
      <c r="T167" s="3115">
        <f>SUM(X167:X175)</f>
        <v>3500159641.6800003</v>
      </c>
      <c r="U167" s="3089" t="s">
        <v>685</v>
      </c>
      <c r="V167" s="3089" t="s">
        <v>686</v>
      </c>
      <c r="W167" s="617" t="s">
        <v>681</v>
      </c>
      <c r="X167" s="438">
        <v>852718865</v>
      </c>
      <c r="Y167" s="438">
        <v>852718865</v>
      </c>
      <c r="Z167" s="438">
        <v>852718865</v>
      </c>
      <c r="AA167" s="479" t="s">
        <v>687</v>
      </c>
      <c r="AB167" s="41">
        <v>27</v>
      </c>
      <c r="AC167" s="441" t="s">
        <v>688</v>
      </c>
      <c r="AD167" s="3108">
        <v>295972</v>
      </c>
      <c r="AE167" s="3108">
        <v>295972</v>
      </c>
      <c r="AF167" s="3108">
        <v>294321</v>
      </c>
      <c r="AG167" s="3108">
        <v>294321</v>
      </c>
      <c r="AH167" s="3108">
        <v>132302</v>
      </c>
      <c r="AI167" s="3108">
        <v>132302</v>
      </c>
      <c r="AJ167" s="3108">
        <v>43426</v>
      </c>
      <c r="AK167" s="3108">
        <v>43426</v>
      </c>
      <c r="AL167" s="3108">
        <v>313940</v>
      </c>
      <c r="AM167" s="3108">
        <v>313940</v>
      </c>
      <c r="AN167" s="3108">
        <v>100625</v>
      </c>
      <c r="AO167" s="3108">
        <v>100625</v>
      </c>
      <c r="AP167" s="3108">
        <v>2145</v>
      </c>
      <c r="AQ167" s="3108">
        <v>2145</v>
      </c>
      <c r="AR167" s="3108">
        <v>12718</v>
      </c>
      <c r="AS167" s="3108">
        <v>12718</v>
      </c>
      <c r="AT167" s="3108">
        <v>36</v>
      </c>
      <c r="AU167" s="3108">
        <v>36</v>
      </c>
      <c r="AV167" s="3108">
        <v>0</v>
      </c>
      <c r="AW167" s="3108">
        <v>0</v>
      </c>
      <c r="AX167" s="3108">
        <v>0</v>
      </c>
      <c r="AY167" s="3108">
        <v>0</v>
      </c>
      <c r="AZ167" s="3108">
        <v>0</v>
      </c>
      <c r="BA167" s="3108">
        <v>0</v>
      </c>
      <c r="BB167" s="3108">
        <v>70</v>
      </c>
      <c r="BC167" s="3108">
        <v>70</v>
      </c>
      <c r="BD167" s="3108">
        <v>21944</v>
      </c>
      <c r="BE167" s="3108">
        <v>21944</v>
      </c>
      <c r="BF167" s="3108">
        <v>75687</v>
      </c>
      <c r="BG167" s="3108">
        <v>75687</v>
      </c>
      <c r="BH167" s="3108">
        <v>581552</v>
      </c>
      <c r="BI167" s="3108">
        <v>581552</v>
      </c>
      <c r="BJ167" s="3108">
        <v>0</v>
      </c>
      <c r="BK167" s="2973">
        <f>SUM(Y167:Y175)</f>
        <v>3056693113</v>
      </c>
      <c r="BL167" s="2973">
        <f>SUM(Z167:Z175)</f>
        <v>3056693113</v>
      </c>
      <c r="BM167" s="2505">
        <f>+BL167/BK167</f>
        <v>1</v>
      </c>
      <c r="BN167" s="41">
        <v>27</v>
      </c>
      <c r="BO167" s="441" t="s">
        <v>688</v>
      </c>
      <c r="BP167" s="3129" t="s">
        <v>689</v>
      </c>
      <c r="BQ167" s="2941">
        <v>44197</v>
      </c>
      <c r="BR167" s="2942"/>
      <c r="BS167" s="2941">
        <v>44561</v>
      </c>
      <c r="BT167" s="2942">
        <v>44561</v>
      </c>
      <c r="BU167" s="3053" t="s">
        <v>425</v>
      </c>
    </row>
    <row r="168" spans="1:73" ht="45" x14ac:dyDescent="0.25">
      <c r="A168" s="258"/>
      <c r="B168" s="259"/>
      <c r="C168" s="258"/>
      <c r="D168" s="259"/>
      <c r="E168" s="3110"/>
      <c r="F168" s="3113"/>
      <c r="G168" s="2986" t="s">
        <v>690</v>
      </c>
      <c r="H168" s="2989" t="s">
        <v>691</v>
      </c>
      <c r="I168" s="2986" t="s">
        <v>690</v>
      </c>
      <c r="J168" s="2989" t="s">
        <v>691</v>
      </c>
      <c r="K168" s="2986">
        <v>400302500</v>
      </c>
      <c r="L168" s="2989" t="s">
        <v>692</v>
      </c>
      <c r="M168" s="2986">
        <v>400302500</v>
      </c>
      <c r="N168" s="2989" t="s">
        <v>692</v>
      </c>
      <c r="O168" s="3116">
        <v>4</v>
      </c>
      <c r="P168" s="3119">
        <v>2</v>
      </c>
      <c r="Q168" s="3104"/>
      <c r="R168" s="3105"/>
      <c r="S168" s="3122">
        <f>SUM(X168:X171)/T167</f>
        <v>0.24404724501937303</v>
      </c>
      <c r="T168" s="3115"/>
      <c r="U168" s="3089"/>
      <c r="V168" s="3089"/>
      <c r="W168" s="3033" t="s">
        <v>691</v>
      </c>
      <c r="X168" s="438">
        <v>230774762</v>
      </c>
      <c r="Y168" s="438">
        <v>230774762</v>
      </c>
      <c r="Z168" s="438">
        <v>230774762</v>
      </c>
      <c r="AA168" s="479" t="s">
        <v>693</v>
      </c>
      <c r="AB168" s="41">
        <v>27</v>
      </c>
      <c r="AC168" s="441" t="s">
        <v>688</v>
      </c>
      <c r="AD168" s="3108"/>
      <c r="AE168" s="3108"/>
      <c r="AF168" s="3108"/>
      <c r="AG168" s="3108"/>
      <c r="AH168" s="3108"/>
      <c r="AI168" s="3108"/>
      <c r="AJ168" s="3108"/>
      <c r="AK168" s="3108"/>
      <c r="AL168" s="3108"/>
      <c r="AM168" s="3108"/>
      <c r="AN168" s="3108"/>
      <c r="AO168" s="3108"/>
      <c r="AP168" s="3108"/>
      <c r="AQ168" s="3108"/>
      <c r="AR168" s="3108"/>
      <c r="AS168" s="3108"/>
      <c r="AT168" s="3108"/>
      <c r="AU168" s="3108"/>
      <c r="AV168" s="3108"/>
      <c r="AW168" s="3108"/>
      <c r="AX168" s="3108"/>
      <c r="AY168" s="3108"/>
      <c r="AZ168" s="3108"/>
      <c r="BA168" s="3108"/>
      <c r="BB168" s="3108"/>
      <c r="BC168" s="3108"/>
      <c r="BD168" s="3108"/>
      <c r="BE168" s="3108"/>
      <c r="BF168" s="3108"/>
      <c r="BG168" s="3108"/>
      <c r="BH168" s="3108"/>
      <c r="BI168" s="3108"/>
      <c r="BJ168" s="3108"/>
      <c r="BK168" s="2973"/>
      <c r="BL168" s="2973"/>
      <c r="BM168" s="2505"/>
      <c r="BN168" s="41">
        <v>27</v>
      </c>
      <c r="BO168" s="441" t="s">
        <v>688</v>
      </c>
      <c r="BP168" s="3129"/>
      <c r="BQ168" s="2941"/>
      <c r="BR168" s="2942"/>
      <c r="BS168" s="2941"/>
      <c r="BT168" s="2942"/>
      <c r="BU168" s="3054"/>
    </row>
    <row r="169" spans="1:73" ht="32.25" customHeight="1" x14ac:dyDescent="0.25">
      <c r="A169" s="258"/>
      <c r="B169" s="259"/>
      <c r="C169" s="258"/>
      <c r="D169" s="259"/>
      <c r="E169" s="3110"/>
      <c r="F169" s="3113"/>
      <c r="G169" s="2987"/>
      <c r="H169" s="2990"/>
      <c r="I169" s="2987"/>
      <c r="J169" s="2990"/>
      <c r="K169" s="2987"/>
      <c r="L169" s="2990"/>
      <c r="M169" s="2987"/>
      <c r="N169" s="2990"/>
      <c r="O169" s="3117"/>
      <c r="P169" s="3120"/>
      <c r="Q169" s="3104"/>
      <c r="R169" s="3105"/>
      <c r="S169" s="3123"/>
      <c r="T169" s="3115"/>
      <c r="U169" s="3089"/>
      <c r="V169" s="3089"/>
      <c r="W169" s="3034"/>
      <c r="X169" s="438">
        <v>450000000</v>
      </c>
      <c r="Y169" s="438">
        <v>6579872</v>
      </c>
      <c r="Z169" s="438">
        <v>6579872</v>
      </c>
      <c r="AA169" s="479" t="s">
        <v>694</v>
      </c>
      <c r="AB169" s="587" t="s">
        <v>456</v>
      </c>
      <c r="AC169" s="441" t="s">
        <v>649</v>
      </c>
      <c r="AD169" s="3108"/>
      <c r="AE169" s="3108"/>
      <c r="AF169" s="3108"/>
      <c r="AG169" s="3108"/>
      <c r="AH169" s="3108"/>
      <c r="AI169" s="3108"/>
      <c r="AJ169" s="3108"/>
      <c r="AK169" s="3108"/>
      <c r="AL169" s="3108"/>
      <c r="AM169" s="3108"/>
      <c r="AN169" s="3108"/>
      <c r="AO169" s="3108"/>
      <c r="AP169" s="3108"/>
      <c r="AQ169" s="3108"/>
      <c r="AR169" s="3108"/>
      <c r="AS169" s="3108"/>
      <c r="AT169" s="3108"/>
      <c r="AU169" s="3108"/>
      <c r="AV169" s="3108"/>
      <c r="AW169" s="3108"/>
      <c r="AX169" s="3108"/>
      <c r="AY169" s="3108"/>
      <c r="AZ169" s="3108"/>
      <c r="BA169" s="3108"/>
      <c r="BB169" s="3108"/>
      <c r="BC169" s="3108"/>
      <c r="BD169" s="3108"/>
      <c r="BE169" s="3108"/>
      <c r="BF169" s="3108"/>
      <c r="BG169" s="3108"/>
      <c r="BH169" s="3108"/>
      <c r="BI169" s="3108"/>
      <c r="BJ169" s="3108"/>
      <c r="BK169" s="2973"/>
      <c r="BL169" s="2973"/>
      <c r="BM169" s="2505"/>
      <c r="BN169" s="618" t="s">
        <v>456</v>
      </c>
      <c r="BO169" s="437" t="s">
        <v>649</v>
      </c>
      <c r="BP169" s="3129"/>
      <c r="BQ169" s="2941"/>
      <c r="BR169" s="2942"/>
      <c r="BS169" s="2941"/>
      <c r="BT169" s="2942"/>
      <c r="BU169" s="3054"/>
    </row>
    <row r="170" spans="1:73" ht="36" customHeight="1" x14ac:dyDescent="0.25">
      <c r="A170" s="258"/>
      <c r="B170" s="259"/>
      <c r="C170" s="258"/>
      <c r="D170" s="259"/>
      <c r="E170" s="3110"/>
      <c r="F170" s="3113"/>
      <c r="G170" s="2987"/>
      <c r="H170" s="2990"/>
      <c r="I170" s="2987"/>
      <c r="J170" s="2990"/>
      <c r="K170" s="2987"/>
      <c r="L170" s="2990"/>
      <c r="M170" s="2987"/>
      <c r="N170" s="2990"/>
      <c r="O170" s="3117"/>
      <c r="P170" s="3120"/>
      <c r="Q170" s="3104"/>
      <c r="R170" s="3105"/>
      <c r="S170" s="3123"/>
      <c r="T170" s="3115"/>
      <c r="U170" s="3089"/>
      <c r="V170" s="3089"/>
      <c r="W170" s="3034"/>
      <c r="X170" s="438">
        <v>155000000</v>
      </c>
      <c r="Y170" s="438">
        <v>154980379</v>
      </c>
      <c r="Z170" s="438">
        <v>154980379</v>
      </c>
      <c r="AA170" s="479" t="s">
        <v>695</v>
      </c>
      <c r="AB170" s="587" t="s">
        <v>696</v>
      </c>
      <c r="AC170" s="442" t="s">
        <v>697</v>
      </c>
      <c r="AD170" s="3108"/>
      <c r="AE170" s="3108"/>
      <c r="AF170" s="3108"/>
      <c r="AG170" s="3108"/>
      <c r="AH170" s="3108"/>
      <c r="AI170" s="3108"/>
      <c r="AJ170" s="3108"/>
      <c r="AK170" s="3108"/>
      <c r="AL170" s="3108"/>
      <c r="AM170" s="3108"/>
      <c r="AN170" s="3108"/>
      <c r="AO170" s="3108"/>
      <c r="AP170" s="3108"/>
      <c r="AQ170" s="3108"/>
      <c r="AR170" s="3108"/>
      <c r="AS170" s="3108"/>
      <c r="AT170" s="3108"/>
      <c r="AU170" s="3108"/>
      <c r="AV170" s="3108"/>
      <c r="AW170" s="3108"/>
      <c r="AX170" s="3108"/>
      <c r="AY170" s="3108"/>
      <c r="AZ170" s="3108"/>
      <c r="BA170" s="3108"/>
      <c r="BB170" s="3108"/>
      <c r="BC170" s="3108"/>
      <c r="BD170" s="3108"/>
      <c r="BE170" s="3108"/>
      <c r="BF170" s="3108"/>
      <c r="BG170" s="3108"/>
      <c r="BH170" s="3108"/>
      <c r="BI170" s="3108"/>
      <c r="BJ170" s="3108"/>
      <c r="BK170" s="2973"/>
      <c r="BL170" s="2973"/>
      <c r="BM170" s="2505"/>
      <c r="BN170" s="587" t="s">
        <v>696</v>
      </c>
      <c r="BO170" s="441" t="s">
        <v>697</v>
      </c>
      <c r="BP170" s="3129"/>
      <c r="BQ170" s="2941"/>
      <c r="BR170" s="2942"/>
      <c r="BS170" s="2941"/>
      <c r="BT170" s="2942"/>
      <c r="BU170" s="3054"/>
    </row>
    <row r="171" spans="1:73" ht="30" x14ac:dyDescent="0.25">
      <c r="A171" s="258"/>
      <c r="B171" s="259"/>
      <c r="C171" s="258"/>
      <c r="D171" s="259"/>
      <c r="E171" s="3110"/>
      <c r="F171" s="3113"/>
      <c r="G171" s="2988"/>
      <c r="H171" s="2991"/>
      <c r="I171" s="2988"/>
      <c r="J171" s="2991"/>
      <c r="K171" s="2988"/>
      <c r="L171" s="2991"/>
      <c r="M171" s="2988"/>
      <c r="N171" s="2991"/>
      <c r="O171" s="3118"/>
      <c r="P171" s="3121"/>
      <c r="Q171" s="3104"/>
      <c r="R171" s="3105"/>
      <c r="S171" s="3124"/>
      <c r="T171" s="3115"/>
      <c r="U171" s="3089"/>
      <c r="V171" s="3089"/>
      <c r="W171" s="3035"/>
      <c r="X171" s="438">
        <v>18429555.68</v>
      </c>
      <c r="Y171" s="438">
        <v>18402776</v>
      </c>
      <c r="Z171" s="438">
        <v>18402776</v>
      </c>
      <c r="AA171" s="479" t="s">
        <v>698</v>
      </c>
      <c r="AB171" s="587" t="s">
        <v>699</v>
      </c>
      <c r="AC171" s="442" t="s">
        <v>700</v>
      </c>
      <c r="AD171" s="3108"/>
      <c r="AE171" s="3108"/>
      <c r="AF171" s="3108"/>
      <c r="AG171" s="3108"/>
      <c r="AH171" s="3108"/>
      <c r="AI171" s="3108"/>
      <c r="AJ171" s="3108"/>
      <c r="AK171" s="3108"/>
      <c r="AL171" s="3108"/>
      <c r="AM171" s="3108"/>
      <c r="AN171" s="3108"/>
      <c r="AO171" s="3108"/>
      <c r="AP171" s="3108"/>
      <c r="AQ171" s="3108"/>
      <c r="AR171" s="3108"/>
      <c r="AS171" s="3108"/>
      <c r="AT171" s="3108"/>
      <c r="AU171" s="3108"/>
      <c r="AV171" s="3108"/>
      <c r="AW171" s="3108"/>
      <c r="AX171" s="3108"/>
      <c r="AY171" s="3108"/>
      <c r="AZ171" s="3108"/>
      <c r="BA171" s="3108"/>
      <c r="BB171" s="3108"/>
      <c r="BC171" s="3108"/>
      <c r="BD171" s="3108"/>
      <c r="BE171" s="3108"/>
      <c r="BF171" s="3108"/>
      <c r="BG171" s="3108"/>
      <c r="BH171" s="3108"/>
      <c r="BI171" s="3108"/>
      <c r="BJ171" s="3108"/>
      <c r="BK171" s="2973"/>
      <c r="BL171" s="2973"/>
      <c r="BM171" s="2505"/>
      <c r="BN171" s="587" t="s">
        <v>699</v>
      </c>
      <c r="BO171" s="441" t="s">
        <v>701</v>
      </c>
      <c r="BP171" s="3129"/>
      <c r="BQ171" s="2941"/>
      <c r="BR171" s="2942"/>
      <c r="BS171" s="2941"/>
      <c r="BT171" s="2942"/>
      <c r="BU171" s="3054"/>
    </row>
    <row r="172" spans="1:73" ht="45" x14ac:dyDescent="0.25">
      <c r="A172" s="258"/>
      <c r="B172" s="259"/>
      <c r="C172" s="258"/>
      <c r="D172" s="259"/>
      <c r="E172" s="3110"/>
      <c r="F172" s="3113"/>
      <c r="G172" s="613" t="s">
        <v>702</v>
      </c>
      <c r="H172" s="614" t="s">
        <v>703</v>
      </c>
      <c r="I172" s="613" t="s">
        <v>702</v>
      </c>
      <c r="J172" s="614" t="s">
        <v>703</v>
      </c>
      <c r="K172" s="613">
        <v>400302600</v>
      </c>
      <c r="L172" s="619" t="s">
        <v>704</v>
      </c>
      <c r="M172" s="613">
        <v>400302600</v>
      </c>
      <c r="N172" s="619" t="s">
        <v>704</v>
      </c>
      <c r="O172" s="615">
        <v>1</v>
      </c>
      <c r="P172" s="549">
        <v>0</v>
      </c>
      <c r="Q172" s="3104"/>
      <c r="R172" s="3105"/>
      <c r="S172" s="616">
        <f>X172/T167</f>
        <v>0.22434304128571222</v>
      </c>
      <c r="T172" s="3115"/>
      <c r="U172" s="3089"/>
      <c r="V172" s="3089"/>
      <c r="W172" s="619" t="s">
        <v>704</v>
      </c>
      <c r="X172" s="438">
        <v>785236459</v>
      </c>
      <c r="Y172" s="438">
        <v>785236459</v>
      </c>
      <c r="Z172" s="438">
        <v>785236459</v>
      </c>
      <c r="AA172" s="479" t="s">
        <v>705</v>
      </c>
      <c r="AB172" s="41">
        <v>27</v>
      </c>
      <c r="AC172" s="441" t="s">
        <v>688</v>
      </c>
      <c r="AD172" s="3108"/>
      <c r="AE172" s="3108"/>
      <c r="AF172" s="3108"/>
      <c r="AG172" s="3108"/>
      <c r="AH172" s="3108"/>
      <c r="AI172" s="3108"/>
      <c r="AJ172" s="3108"/>
      <c r="AK172" s="3108"/>
      <c r="AL172" s="3108"/>
      <c r="AM172" s="3108"/>
      <c r="AN172" s="3108"/>
      <c r="AO172" s="3108"/>
      <c r="AP172" s="3108"/>
      <c r="AQ172" s="3108"/>
      <c r="AR172" s="3108"/>
      <c r="AS172" s="3108"/>
      <c r="AT172" s="3108"/>
      <c r="AU172" s="3108"/>
      <c r="AV172" s="3108"/>
      <c r="AW172" s="3108"/>
      <c r="AX172" s="3108"/>
      <c r="AY172" s="3108"/>
      <c r="AZ172" s="3108"/>
      <c r="BA172" s="3108"/>
      <c r="BB172" s="3108"/>
      <c r="BC172" s="3108"/>
      <c r="BD172" s="3108"/>
      <c r="BE172" s="3108"/>
      <c r="BF172" s="3108"/>
      <c r="BG172" s="3108"/>
      <c r="BH172" s="3108"/>
      <c r="BI172" s="3108"/>
      <c r="BJ172" s="3108"/>
      <c r="BK172" s="2973"/>
      <c r="BL172" s="2973"/>
      <c r="BM172" s="2505"/>
      <c r="BN172" s="41">
        <v>27</v>
      </c>
      <c r="BO172" s="441" t="s">
        <v>688</v>
      </c>
      <c r="BP172" s="3129"/>
      <c r="BQ172" s="2941"/>
      <c r="BR172" s="2942"/>
      <c r="BS172" s="2941"/>
      <c r="BT172" s="2942"/>
      <c r="BU172" s="3054"/>
    </row>
    <row r="173" spans="1:73" ht="45" x14ac:dyDescent="0.25">
      <c r="A173" s="258"/>
      <c r="B173" s="259"/>
      <c r="C173" s="258"/>
      <c r="D173" s="259"/>
      <c r="E173" s="3110"/>
      <c r="F173" s="3113"/>
      <c r="G173" s="613" t="s">
        <v>706</v>
      </c>
      <c r="H173" s="614" t="s">
        <v>707</v>
      </c>
      <c r="I173" s="613" t="s">
        <v>706</v>
      </c>
      <c r="J173" s="614" t="s">
        <v>707</v>
      </c>
      <c r="K173" s="613">
        <v>400302801</v>
      </c>
      <c r="L173" s="371" t="s">
        <v>708</v>
      </c>
      <c r="M173" s="613">
        <v>400302801</v>
      </c>
      <c r="N173" s="371" t="s">
        <v>708</v>
      </c>
      <c r="O173" s="615">
        <v>4</v>
      </c>
      <c r="P173" s="549">
        <v>4</v>
      </c>
      <c r="Q173" s="3104"/>
      <c r="R173" s="3105"/>
      <c r="S173" s="616">
        <f>X173/T167</f>
        <v>7.971064995940759E-2</v>
      </c>
      <c r="T173" s="3115"/>
      <c r="U173" s="3089"/>
      <c r="V173" s="3089"/>
      <c r="W173" s="620" t="s">
        <v>707</v>
      </c>
      <c r="X173" s="438">
        <v>279000000</v>
      </c>
      <c r="Y173" s="438">
        <v>279000000</v>
      </c>
      <c r="Z173" s="438">
        <v>279000000</v>
      </c>
      <c r="AA173" s="479" t="s">
        <v>709</v>
      </c>
      <c r="AB173" s="41">
        <v>27</v>
      </c>
      <c r="AC173" s="441" t="s">
        <v>688</v>
      </c>
      <c r="AD173" s="3108"/>
      <c r="AE173" s="3108"/>
      <c r="AF173" s="3108"/>
      <c r="AG173" s="3108"/>
      <c r="AH173" s="3108"/>
      <c r="AI173" s="3108"/>
      <c r="AJ173" s="3108"/>
      <c r="AK173" s="3108"/>
      <c r="AL173" s="3108"/>
      <c r="AM173" s="3108"/>
      <c r="AN173" s="3108"/>
      <c r="AO173" s="3108"/>
      <c r="AP173" s="3108"/>
      <c r="AQ173" s="3108"/>
      <c r="AR173" s="3108"/>
      <c r="AS173" s="3108"/>
      <c r="AT173" s="3108"/>
      <c r="AU173" s="3108"/>
      <c r="AV173" s="3108"/>
      <c r="AW173" s="3108"/>
      <c r="AX173" s="3108"/>
      <c r="AY173" s="3108"/>
      <c r="AZ173" s="3108"/>
      <c r="BA173" s="3108"/>
      <c r="BB173" s="3108"/>
      <c r="BC173" s="3108"/>
      <c r="BD173" s="3108"/>
      <c r="BE173" s="3108"/>
      <c r="BF173" s="3108"/>
      <c r="BG173" s="3108"/>
      <c r="BH173" s="3108"/>
      <c r="BI173" s="3108"/>
      <c r="BJ173" s="3108"/>
      <c r="BK173" s="2973"/>
      <c r="BL173" s="2973"/>
      <c r="BM173" s="2505"/>
      <c r="BN173" s="41">
        <v>27</v>
      </c>
      <c r="BO173" s="441" t="s">
        <v>688</v>
      </c>
      <c r="BP173" s="3129"/>
      <c r="BQ173" s="2941"/>
      <c r="BR173" s="2942"/>
      <c r="BS173" s="2941"/>
      <c r="BT173" s="2942"/>
      <c r="BU173" s="3054"/>
    </row>
    <row r="174" spans="1:73" ht="45" x14ac:dyDescent="0.25">
      <c r="A174" s="258"/>
      <c r="B174" s="259"/>
      <c r="C174" s="258"/>
      <c r="D174" s="259"/>
      <c r="E174" s="3110"/>
      <c r="F174" s="3113"/>
      <c r="G174" s="613">
        <v>4003042</v>
      </c>
      <c r="H174" s="614" t="s">
        <v>710</v>
      </c>
      <c r="I174" s="613">
        <v>4003042</v>
      </c>
      <c r="J174" s="614" t="s">
        <v>710</v>
      </c>
      <c r="K174" s="613">
        <v>400304200</v>
      </c>
      <c r="L174" s="371" t="s">
        <v>711</v>
      </c>
      <c r="M174" s="613">
        <v>400304200</v>
      </c>
      <c r="N174" s="614" t="s">
        <v>711</v>
      </c>
      <c r="O174" s="615">
        <v>3</v>
      </c>
      <c r="P174" s="549">
        <v>3</v>
      </c>
      <c r="Q174" s="3104"/>
      <c r="R174" s="3105"/>
      <c r="S174" s="616">
        <f>X174/T167</f>
        <v>0.17970608897658558</v>
      </c>
      <c r="T174" s="3115"/>
      <c r="U174" s="3089"/>
      <c r="V174" s="3089"/>
      <c r="W174" s="620" t="s">
        <v>710</v>
      </c>
      <c r="X174" s="438">
        <v>629000000</v>
      </c>
      <c r="Y174" s="438">
        <v>629000000</v>
      </c>
      <c r="Z174" s="438">
        <v>629000000</v>
      </c>
      <c r="AA174" s="479" t="s">
        <v>712</v>
      </c>
      <c r="AB174" s="41">
        <v>27</v>
      </c>
      <c r="AC174" s="441" t="s">
        <v>688</v>
      </c>
      <c r="AD174" s="3108"/>
      <c r="AE174" s="3108"/>
      <c r="AF174" s="3108"/>
      <c r="AG174" s="3108"/>
      <c r="AH174" s="3108"/>
      <c r="AI174" s="3108"/>
      <c r="AJ174" s="3108"/>
      <c r="AK174" s="3108"/>
      <c r="AL174" s="3108"/>
      <c r="AM174" s="3108"/>
      <c r="AN174" s="3108"/>
      <c r="AO174" s="3108"/>
      <c r="AP174" s="3108"/>
      <c r="AQ174" s="3108"/>
      <c r="AR174" s="3108"/>
      <c r="AS174" s="3108"/>
      <c r="AT174" s="3108"/>
      <c r="AU174" s="3108"/>
      <c r="AV174" s="3108"/>
      <c r="AW174" s="3108"/>
      <c r="AX174" s="3108"/>
      <c r="AY174" s="3108"/>
      <c r="AZ174" s="3108"/>
      <c r="BA174" s="3108"/>
      <c r="BB174" s="3108"/>
      <c r="BC174" s="3108"/>
      <c r="BD174" s="3108"/>
      <c r="BE174" s="3108"/>
      <c r="BF174" s="3108"/>
      <c r="BG174" s="3108"/>
      <c r="BH174" s="3108"/>
      <c r="BI174" s="3108"/>
      <c r="BJ174" s="3108"/>
      <c r="BK174" s="2973"/>
      <c r="BL174" s="2973"/>
      <c r="BM174" s="2505"/>
      <c r="BN174" s="41">
        <v>27</v>
      </c>
      <c r="BO174" s="441" t="s">
        <v>688</v>
      </c>
      <c r="BP174" s="3129"/>
      <c r="BQ174" s="2941"/>
      <c r="BR174" s="2942"/>
      <c r="BS174" s="2941"/>
      <c r="BT174" s="2942"/>
      <c r="BU174" s="3054"/>
    </row>
    <row r="175" spans="1:73" ht="45" x14ac:dyDescent="0.25">
      <c r="A175" s="421"/>
      <c r="B175" s="422"/>
      <c r="C175" s="421"/>
      <c r="D175" s="422"/>
      <c r="E175" s="3111"/>
      <c r="F175" s="3114"/>
      <c r="G175" s="436" t="s">
        <v>20</v>
      </c>
      <c r="H175" s="614" t="s">
        <v>713</v>
      </c>
      <c r="I175" s="436">
        <v>4003006</v>
      </c>
      <c r="J175" s="614" t="s">
        <v>714</v>
      </c>
      <c r="K175" s="436" t="s">
        <v>20</v>
      </c>
      <c r="L175" s="621" t="s">
        <v>715</v>
      </c>
      <c r="M175" s="436">
        <v>400300600</v>
      </c>
      <c r="N175" s="614" t="s">
        <v>716</v>
      </c>
      <c r="O175" s="453">
        <v>1</v>
      </c>
      <c r="P175" s="622">
        <v>0</v>
      </c>
      <c r="Q175" s="3104"/>
      <c r="R175" s="3105"/>
      <c r="S175" s="616">
        <f>X175/T167</f>
        <v>2.8570125433479424E-2</v>
      </c>
      <c r="T175" s="3115"/>
      <c r="U175" s="3089"/>
      <c r="V175" s="3089"/>
      <c r="W175" s="371" t="s">
        <v>713</v>
      </c>
      <c r="X175" s="51">
        <v>100000000</v>
      </c>
      <c r="Y175" s="438">
        <v>100000000</v>
      </c>
      <c r="Z175" s="438">
        <v>100000000</v>
      </c>
      <c r="AA175" s="479" t="s">
        <v>717</v>
      </c>
      <c r="AB175" s="41">
        <v>27</v>
      </c>
      <c r="AC175" s="441" t="s">
        <v>688</v>
      </c>
      <c r="AD175" s="3108"/>
      <c r="AE175" s="3108"/>
      <c r="AF175" s="3108"/>
      <c r="AG175" s="3108"/>
      <c r="AH175" s="3108"/>
      <c r="AI175" s="3108"/>
      <c r="AJ175" s="3108"/>
      <c r="AK175" s="3108"/>
      <c r="AL175" s="3108"/>
      <c r="AM175" s="3108"/>
      <c r="AN175" s="3108"/>
      <c r="AO175" s="3108"/>
      <c r="AP175" s="3108"/>
      <c r="AQ175" s="3108"/>
      <c r="AR175" s="3108"/>
      <c r="AS175" s="3108"/>
      <c r="AT175" s="3108"/>
      <c r="AU175" s="3108"/>
      <c r="AV175" s="3108"/>
      <c r="AW175" s="3108"/>
      <c r="AX175" s="3108"/>
      <c r="AY175" s="3108"/>
      <c r="AZ175" s="3108"/>
      <c r="BA175" s="3108"/>
      <c r="BB175" s="3108"/>
      <c r="BC175" s="3108"/>
      <c r="BD175" s="3108"/>
      <c r="BE175" s="3108"/>
      <c r="BF175" s="3108"/>
      <c r="BG175" s="3108"/>
      <c r="BH175" s="3108"/>
      <c r="BI175" s="3108"/>
      <c r="BJ175" s="3108"/>
      <c r="BK175" s="2973"/>
      <c r="BL175" s="2973"/>
      <c r="BM175" s="2505"/>
      <c r="BN175" s="41">
        <v>27</v>
      </c>
      <c r="BO175" s="441" t="s">
        <v>688</v>
      </c>
      <c r="BP175" s="3129"/>
      <c r="BQ175" s="2941"/>
      <c r="BR175" s="2942"/>
      <c r="BS175" s="2941"/>
      <c r="BT175" s="2942"/>
      <c r="BU175" s="3055"/>
    </row>
    <row r="176" spans="1:73" ht="34.5" customHeight="1" x14ac:dyDescent="0.25">
      <c r="A176" s="623">
        <v>2</v>
      </c>
      <c r="B176" s="3125" t="s">
        <v>718</v>
      </c>
      <c r="C176" s="3126"/>
      <c r="D176" s="3125"/>
      <c r="E176" s="3125"/>
      <c r="F176" s="3125"/>
      <c r="G176" s="3125"/>
      <c r="H176" s="3125"/>
      <c r="I176" s="624"/>
      <c r="J176" s="244"/>
      <c r="K176" s="244"/>
      <c r="L176" s="244"/>
      <c r="M176" s="625"/>
      <c r="N176" s="625"/>
      <c r="O176" s="625"/>
      <c r="P176" s="626"/>
      <c r="Q176" s="625"/>
      <c r="R176" s="625"/>
      <c r="S176" s="625"/>
      <c r="T176" s="625"/>
      <c r="U176" s="625"/>
      <c r="V176" s="625"/>
      <c r="W176" s="625"/>
      <c r="X176" s="625"/>
      <c r="Y176" s="625"/>
      <c r="Z176" s="625"/>
      <c r="AA176" s="625"/>
      <c r="AB176" s="625"/>
      <c r="AC176" s="625"/>
      <c r="AD176" s="625"/>
      <c r="AE176" s="625"/>
      <c r="AF176" s="625"/>
      <c r="AG176" s="625"/>
      <c r="AH176" s="625"/>
      <c r="AI176" s="625"/>
      <c r="AJ176" s="625"/>
      <c r="AK176" s="625"/>
      <c r="AL176" s="625"/>
      <c r="AM176" s="625"/>
      <c r="AN176" s="625"/>
      <c r="AO176" s="625"/>
      <c r="AP176" s="625"/>
      <c r="AQ176" s="625"/>
      <c r="AR176" s="625"/>
      <c r="AS176" s="625"/>
      <c r="AT176" s="625"/>
      <c r="AU176" s="625"/>
      <c r="AV176" s="625"/>
      <c r="AW176" s="625"/>
      <c r="AX176" s="625"/>
      <c r="AY176" s="625"/>
      <c r="AZ176" s="625"/>
      <c r="BA176" s="625"/>
      <c r="BB176" s="625"/>
      <c r="BC176" s="625"/>
      <c r="BD176" s="625"/>
      <c r="BE176" s="625"/>
      <c r="BF176" s="625"/>
      <c r="BG176" s="625"/>
      <c r="BH176" s="625"/>
      <c r="BI176" s="625"/>
      <c r="BJ176" s="625"/>
      <c r="BK176" s="625"/>
      <c r="BL176" s="625"/>
      <c r="BM176" s="625"/>
      <c r="BN176" s="625"/>
      <c r="BO176" s="625"/>
      <c r="BP176" s="625"/>
      <c r="BQ176" s="625"/>
      <c r="BR176" s="625"/>
      <c r="BS176" s="625"/>
      <c r="BT176" s="625"/>
      <c r="BU176" s="625"/>
    </row>
    <row r="177" spans="1:73" ht="27" customHeight="1" x14ac:dyDescent="0.25">
      <c r="A177" s="254"/>
      <c r="B177" s="627"/>
      <c r="C177" s="628">
        <v>35</v>
      </c>
      <c r="D177" s="3127" t="s">
        <v>719</v>
      </c>
      <c r="E177" s="3128"/>
      <c r="F177" s="3128"/>
      <c r="G177" s="3128"/>
      <c r="H177" s="3128"/>
      <c r="I177" s="3128"/>
      <c r="J177" s="3128"/>
      <c r="K177" s="3128"/>
      <c r="L177" s="3128"/>
      <c r="M177" s="629"/>
      <c r="N177" s="630"/>
      <c r="O177" s="630"/>
      <c r="P177" s="631"/>
      <c r="Q177" s="630"/>
      <c r="R177" s="630"/>
      <c r="S177" s="630"/>
      <c r="T177" s="630"/>
      <c r="U177" s="630"/>
      <c r="V177" s="630"/>
      <c r="W177" s="630"/>
      <c r="X177" s="630"/>
      <c r="Y177" s="630"/>
      <c r="Z177" s="630"/>
      <c r="AA177" s="630"/>
      <c r="AB177" s="630"/>
      <c r="AC177" s="630"/>
      <c r="AD177" s="630"/>
      <c r="AE177" s="630"/>
      <c r="AF177" s="630"/>
      <c r="AG177" s="630"/>
      <c r="AH177" s="630"/>
      <c r="AI177" s="630"/>
      <c r="AJ177" s="630"/>
      <c r="AK177" s="630"/>
      <c r="AL177" s="630"/>
      <c r="AM177" s="630"/>
      <c r="AN177" s="630"/>
      <c r="AO177" s="630"/>
      <c r="AP177" s="630"/>
      <c r="AQ177" s="630"/>
      <c r="AR177" s="630"/>
      <c r="AS177" s="630"/>
      <c r="AT177" s="630"/>
      <c r="AU177" s="630"/>
      <c r="AV177" s="630"/>
      <c r="AW177" s="630"/>
      <c r="AX177" s="630"/>
      <c r="AY177" s="630"/>
      <c r="AZ177" s="630"/>
      <c r="BA177" s="630"/>
      <c r="BB177" s="630"/>
      <c r="BC177" s="630"/>
      <c r="BD177" s="630"/>
      <c r="BE177" s="630"/>
      <c r="BF177" s="630"/>
      <c r="BG177" s="630"/>
      <c r="BH177" s="630"/>
      <c r="BI177" s="630"/>
      <c r="BJ177" s="630"/>
      <c r="BK177" s="630"/>
      <c r="BL177" s="630"/>
      <c r="BM177" s="630"/>
      <c r="BN177" s="630"/>
      <c r="BO177" s="630"/>
      <c r="BP177" s="630"/>
      <c r="BQ177" s="630"/>
      <c r="BR177" s="630"/>
      <c r="BS177" s="630"/>
      <c r="BT177" s="630"/>
      <c r="BU177" s="630"/>
    </row>
    <row r="178" spans="1:73" ht="34.5" customHeight="1" x14ac:dyDescent="0.25">
      <c r="A178" s="258"/>
      <c r="B178" s="632"/>
      <c r="C178" s="633"/>
      <c r="D178" s="634"/>
      <c r="E178" s="635">
        <v>3502</v>
      </c>
      <c r="F178" s="636" t="s">
        <v>720</v>
      </c>
      <c r="G178" s="637"/>
      <c r="H178" s="637"/>
      <c r="I178" s="637"/>
      <c r="J178" s="637"/>
      <c r="K178" s="637"/>
      <c r="L178" s="637"/>
      <c r="M178" s="638"/>
      <c r="N178" s="638"/>
      <c r="O178" s="638"/>
      <c r="P178" s="639"/>
      <c r="Q178" s="638"/>
      <c r="R178" s="638"/>
      <c r="S178" s="638"/>
      <c r="T178" s="638"/>
      <c r="U178" s="638"/>
      <c r="V178" s="638"/>
      <c r="W178" s="638"/>
      <c r="X178" s="638"/>
      <c r="Y178" s="638"/>
      <c r="Z178" s="638"/>
      <c r="AA178" s="638"/>
      <c r="AB178" s="638"/>
      <c r="AC178" s="638"/>
      <c r="AD178" s="638"/>
      <c r="AE178" s="638"/>
      <c r="AF178" s="638"/>
      <c r="AG178" s="638"/>
      <c r="AH178" s="638"/>
      <c r="AI178" s="638"/>
      <c r="AJ178" s="638"/>
      <c r="AK178" s="638"/>
      <c r="AL178" s="638"/>
      <c r="AM178" s="638"/>
      <c r="AN178" s="638"/>
      <c r="AO178" s="638"/>
      <c r="AP178" s="638"/>
      <c r="AQ178" s="638"/>
      <c r="AR178" s="638"/>
      <c r="AS178" s="638"/>
      <c r="AT178" s="638"/>
      <c r="AU178" s="638"/>
      <c r="AV178" s="638"/>
      <c r="AW178" s="638"/>
      <c r="AX178" s="638"/>
      <c r="AY178" s="638"/>
      <c r="AZ178" s="638"/>
      <c r="BA178" s="638"/>
      <c r="BB178" s="638"/>
      <c r="BC178" s="638"/>
      <c r="BD178" s="638"/>
      <c r="BE178" s="638"/>
      <c r="BF178" s="638"/>
      <c r="BG178" s="638"/>
      <c r="BH178" s="638"/>
      <c r="BI178" s="638"/>
      <c r="BJ178" s="638"/>
      <c r="BK178" s="638"/>
      <c r="BL178" s="638"/>
      <c r="BM178" s="638"/>
      <c r="BN178" s="638"/>
      <c r="BO178" s="638"/>
      <c r="BP178" s="638"/>
      <c r="BQ178" s="638"/>
      <c r="BR178" s="638"/>
      <c r="BS178" s="638"/>
      <c r="BT178" s="638"/>
      <c r="BU178" s="638"/>
    </row>
    <row r="179" spans="1:73" ht="172.5" customHeight="1" x14ac:dyDescent="0.25">
      <c r="A179" s="421"/>
      <c r="B179" s="640"/>
      <c r="C179" s="641"/>
      <c r="D179" s="642"/>
      <c r="E179" s="161"/>
      <c r="F179" s="643"/>
      <c r="G179" s="644">
        <v>3502039</v>
      </c>
      <c r="H179" s="645" t="s">
        <v>721</v>
      </c>
      <c r="I179" s="644">
        <v>3502039</v>
      </c>
      <c r="J179" s="645" t="s">
        <v>721</v>
      </c>
      <c r="K179" s="646">
        <v>350203910</v>
      </c>
      <c r="L179" s="645" t="s">
        <v>722</v>
      </c>
      <c r="M179" s="646">
        <v>350203910</v>
      </c>
      <c r="N179" s="645" t="s">
        <v>722</v>
      </c>
      <c r="O179" s="647">
        <v>1</v>
      </c>
      <c r="P179" s="648">
        <v>0</v>
      </c>
      <c r="Q179" s="649" t="s">
        <v>723</v>
      </c>
      <c r="R179" s="451" t="s">
        <v>724</v>
      </c>
      <c r="S179" s="650">
        <f>T179/X179</f>
        <v>1</v>
      </c>
      <c r="T179" s="651">
        <f>X179</f>
        <v>1</v>
      </c>
      <c r="U179" s="451" t="s">
        <v>725</v>
      </c>
      <c r="V179" s="451" t="s">
        <v>726</v>
      </c>
      <c r="W179" s="451" t="s">
        <v>727</v>
      </c>
      <c r="X179" s="651">
        <v>1</v>
      </c>
      <c r="Y179" s="438"/>
      <c r="Z179" s="438"/>
      <c r="AA179" s="533" t="s">
        <v>728</v>
      </c>
      <c r="AB179" s="652">
        <v>88</v>
      </c>
      <c r="AC179" s="441" t="s">
        <v>5</v>
      </c>
      <c r="AD179" s="459">
        <v>6201</v>
      </c>
      <c r="AE179" s="459"/>
      <c r="AF179" s="459">
        <v>6058</v>
      </c>
      <c r="AG179" s="459"/>
      <c r="AH179" s="459"/>
      <c r="AI179" s="459"/>
      <c r="AJ179" s="459"/>
      <c r="AK179" s="459"/>
      <c r="AL179" s="459"/>
      <c r="AM179" s="459"/>
      <c r="AN179" s="459"/>
      <c r="AO179" s="459"/>
      <c r="AP179" s="459"/>
      <c r="AQ179" s="459"/>
      <c r="AR179" s="459"/>
      <c r="AS179" s="459"/>
      <c r="AT179" s="459"/>
      <c r="AU179" s="459"/>
      <c r="AV179" s="459"/>
      <c r="AW179" s="459"/>
      <c r="AX179" s="459"/>
      <c r="AY179" s="459"/>
      <c r="AZ179" s="459"/>
      <c r="BA179" s="459"/>
      <c r="BB179" s="459"/>
      <c r="BC179" s="459"/>
      <c r="BD179" s="459"/>
      <c r="BE179" s="459"/>
      <c r="BF179" s="459"/>
      <c r="BG179" s="459"/>
      <c r="BH179" s="459">
        <v>12259</v>
      </c>
      <c r="BI179" s="459"/>
      <c r="BJ179" s="459"/>
      <c r="BK179" s="43">
        <f>+Y179</f>
        <v>0</v>
      </c>
      <c r="BL179" s="43">
        <f>+Z179</f>
        <v>0</v>
      </c>
      <c r="BM179" s="653" t="e">
        <f>+BL179/BK179</f>
        <v>#DIV/0!</v>
      </c>
      <c r="BN179" s="440">
        <v>88</v>
      </c>
      <c r="BO179" s="439" t="s">
        <v>241</v>
      </c>
      <c r="BP179" s="654"/>
      <c r="BQ179" s="655">
        <v>44501</v>
      </c>
      <c r="BR179" s="456"/>
      <c r="BS179" s="655">
        <v>44561</v>
      </c>
      <c r="BT179" s="456"/>
      <c r="BU179" s="450" t="s">
        <v>729</v>
      </c>
    </row>
    <row r="180" spans="1:73" ht="15.75" x14ac:dyDescent="0.25">
      <c r="A180" s="656"/>
      <c r="B180" s="657"/>
      <c r="C180" s="26"/>
      <c r="D180" s="26"/>
      <c r="E180" s="26"/>
      <c r="F180" s="26"/>
      <c r="G180" s="26"/>
      <c r="H180" s="33"/>
      <c r="I180" s="26"/>
      <c r="J180" s="33"/>
      <c r="K180" s="26"/>
      <c r="L180" s="33"/>
      <c r="M180" s="26"/>
      <c r="N180" s="33"/>
      <c r="O180" s="26"/>
      <c r="P180" s="26"/>
      <c r="Q180" s="26"/>
      <c r="R180" s="33"/>
      <c r="S180" s="34"/>
      <c r="T180" s="28">
        <f>SUM(T13:T179)</f>
        <v>19845352105.279999</v>
      </c>
      <c r="U180" s="33"/>
      <c r="V180" s="33"/>
      <c r="W180" s="32" t="s">
        <v>0</v>
      </c>
      <c r="X180" s="658">
        <f>SUM(X10:X179)</f>
        <v>19845352105.279999</v>
      </c>
      <c r="Y180" s="658">
        <f>SUM(Y10:Y175)</f>
        <v>4976127086.9700003</v>
      </c>
      <c r="Z180" s="658">
        <f>SUM(Z10:Z175)</f>
        <v>4976127086.9700003</v>
      </c>
      <c r="AA180" s="659"/>
      <c r="AB180" s="30"/>
      <c r="AC180" s="33"/>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8">
        <f>SUM(BK13:BK175)</f>
        <v>4976127086.9700003</v>
      </c>
      <c r="BL180" s="28">
        <f>SUM(BL13:BL175)</f>
        <v>4976127086.9700003</v>
      </c>
      <c r="BM180" s="660"/>
      <c r="BN180" s="26"/>
      <c r="BO180" s="33"/>
      <c r="BP180" s="33"/>
      <c r="BQ180" s="27"/>
      <c r="BR180" s="27"/>
      <c r="BS180" s="27"/>
      <c r="BT180" s="27"/>
      <c r="BU180" s="33"/>
    </row>
    <row r="181" spans="1:73" ht="15" x14ac:dyDescent="0.25">
      <c r="W181" s="1"/>
      <c r="X181" s="1"/>
      <c r="Y181" s="1"/>
      <c r="Z181" s="1"/>
      <c r="BK181" s="661"/>
      <c r="BL181" s="661"/>
    </row>
    <row r="182" spans="1:73" s="24" customFormat="1" ht="55.5" customHeight="1" x14ac:dyDescent="0.25">
      <c r="A182" s="664"/>
      <c r="H182" s="665"/>
      <c r="J182" s="665"/>
      <c r="L182" s="665"/>
      <c r="N182" s="665"/>
      <c r="R182" s="665"/>
      <c r="S182" s="666"/>
      <c r="T182" s="667"/>
      <c r="U182" s="665"/>
      <c r="V182" s="665"/>
      <c r="W182" s="665"/>
      <c r="X182" s="667"/>
      <c r="Y182" s="667"/>
      <c r="Z182" s="667"/>
      <c r="AA182" s="668"/>
      <c r="AB182" s="664"/>
      <c r="AC182" s="665"/>
      <c r="BK182" s="667"/>
      <c r="BL182" s="667"/>
      <c r="BM182" s="669"/>
      <c r="BO182" s="665"/>
      <c r="BP182" s="665"/>
      <c r="BQ182" s="3"/>
      <c r="BR182" s="3"/>
      <c r="BS182" s="3"/>
      <c r="BT182" s="3"/>
      <c r="BU182" s="665"/>
    </row>
    <row r="183" spans="1:73" ht="27" customHeight="1" x14ac:dyDescent="0.25">
      <c r="BK183" s="670"/>
    </row>
    <row r="185" spans="1:73" ht="15" x14ac:dyDescent="0.25"/>
    <row r="186" spans="1:73" ht="15" x14ac:dyDescent="0.25">
      <c r="Q186" s="4" t="s">
        <v>214</v>
      </c>
    </row>
  </sheetData>
  <mergeCells count="894">
    <mergeCell ref="B176:H176"/>
    <mergeCell ref="D177:L177"/>
    <mergeCell ref="BT167:BT175"/>
    <mergeCell ref="BU167:BU175"/>
    <mergeCell ref="G168:G171"/>
    <mergeCell ref="H168:H171"/>
    <mergeCell ref="I168:I171"/>
    <mergeCell ref="J168:J171"/>
    <mergeCell ref="K168:K171"/>
    <mergeCell ref="L168:L171"/>
    <mergeCell ref="M168:M171"/>
    <mergeCell ref="N168:N171"/>
    <mergeCell ref="BL167:BL175"/>
    <mergeCell ref="BM167:BM175"/>
    <mergeCell ref="BP167:BP175"/>
    <mergeCell ref="BQ167:BQ175"/>
    <mergeCell ref="BR167:BR175"/>
    <mergeCell ref="BS167:BS175"/>
    <mergeCell ref="BF167:BF175"/>
    <mergeCell ref="BG167:BG175"/>
    <mergeCell ref="BH167:BH175"/>
    <mergeCell ref="BI167:BI175"/>
    <mergeCell ref="BJ167:BJ175"/>
    <mergeCell ref="BK167:BK175"/>
    <mergeCell ref="AZ167:AZ175"/>
    <mergeCell ref="BA167:BA175"/>
    <mergeCell ref="BB167:BB175"/>
    <mergeCell ref="BC167:BC175"/>
    <mergeCell ref="BD167:BD175"/>
    <mergeCell ref="BE167:BE175"/>
    <mergeCell ref="AT167:AT175"/>
    <mergeCell ref="AU167:AU175"/>
    <mergeCell ref="AV167:AV175"/>
    <mergeCell ref="AW167:AW175"/>
    <mergeCell ref="AX167:AX175"/>
    <mergeCell ref="AY167:AY175"/>
    <mergeCell ref="AN167:AN175"/>
    <mergeCell ref="AO167:AO175"/>
    <mergeCell ref="AP167:AP175"/>
    <mergeCell ref="AQ167:AQ175"/>
    <mergeCell ref="AR167:AR175"/>
    <mergeCell ref="AS167:AS175"/>
    <mergeCell ref="AH167:AH175"/>
    <mergeCell ref="AI167:AI175"/>
    <mergeCell ref="AJ167:AJ175"/>
    <mergeCell ref="AK167:AK175"/>
    <mergeCell ref="AL167:AL175"/>
    <mergeCell ref="AM167:AM175"/>
    <mergeCell ref="U167:U175"/>
    <mergeCell ref="V167:V175"/>
    <mergeCell ref="AD167:AD175"/>
    <mergeCell ref="AE167:AE175"/>
    <mergeCell ref="AF167:AF175"/>
    <mergeCell ref="AG167:AG175"/>
    <mergeCell ref="W168:W171"/>
    <mergeCell ref="F166:O166"/>
    <mergeCell ref="E167:E175"/>
    <mergeCell ref="F167:F175"/>
    <mergeCell ref="Q167:Q175"/>
    <mergeCell ref="R167:R175"/>
    <mergeCell ref="T167:T175"/>
    <mergeCell ref="O168:O171"/>
    <mergeCell ref="P168:P171"/>
    <mergeCell ref="S168:S171"/>
    <mergeCell ref="BR162:BR163"/>
    <mergeCell ref="BS162:BS163"/>
    <mergeCell ref="BT162:BT163"/>
    <mergeCell ref="BU162:BU163"/>
    <mergeCell ref="B164:I164"/>
    <mergeCell ref="D165:L165"/>
    <mergeCell ref="BL162:BL163"/>
    <mergeCell ref="BM162:BM163"/>
    <mergeCell ref="BN162:BN163"/>
    <mergeCell ref="BO162:BO163"/>
    <mergeCell ref="BP162:BP163"/>
    <mergeCell ref="BQ162:BQ163"/>
    <mergeCell ref="BF162:BF163"/>
    <mergeCell ref="BG162:BG163"/>
    <mergeCell ref="BH162:BH163"/>
    <mergeCell ref="BI162:BI163"/>
    <mergeCell ref="BJ162:BJ163"/>
    <mergeCell ref="BK162:BK163"/>
    <mergeCell ref="AZ162:AZ163"/>
    <mergeCell ref="BA162:BA163"/>
    <mergeCell ref="BB162:BB163"/>
    <mergeCell ref="BC162:BC163"/>
    <mergeCell ref="BD162:BD163"/>
    <mergeCell ref="BE162:BE163"/>
    <mergeCell ref="AT162:AT163"/>
    <mergeCell ref="AU162:AU163"/>
    <mergeCell ref="AV162:AV163"/>
    <mergeCell ref="AW162:AW163"/>
    <mergeCell ref="AX162:AX163"/>
    <mergeCell ref="AY162:AY163"/>
    <mergeCell ref="AN162:AN163"/>
    <mergeCell ref="AO162:AO163"/>
    <mergeCell ref="AP162:AP163"/>
    <mergeCell ref="AQ162:AQ163"/>
    <mergeCell ref="AR162:AR163"/>
    <mergeCell ref="AS162:AS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Q162:Q163"/>
    <mergeCell ref="R162:R163"/>
    <mergeCell ref="S162:S163"/>
    <mergeCell ref="T162:T163"/>
    <mergeCell ref="U162:U163"/>
    <mergeCell ref="V162:V163"/>
    <mergeCell ref="K162:K163"/>
    <mergeCell ref="L162:L163"/>
    <mergeCell ref="M162:M163"/>
    <mergeCell ref="N162:N163"/>
    <mergeCell ref="O162:O163"/>
    <mergeCell ref="P162:P163"/>
    <mergeCell ref="E162:E163"/>
    <mergeCell ref="F162:F163"/>
    <mergeCell ref="G162:G163"/>
    <mergeCell ref="H162:H163"/>
    <mergeCell ref="I162:I163"/>
    <mergeCell ref="J162:J163"/>
    <mergeCell ref="BQ153:BQ160"/>
    <mergeCell ref="BR153:BR160"/>
    <mergeCell ref="BS153:BS160"/>
    <mergeCell ref="AV153:AV160"/>
    <mergeCell ref="AW153:AW160"/>
    <mergeCell ref="AX153:AX160"/>
    <mergeCell ref="AM153:AM160"/>
    <mergeCell ref="AN153:AN160"/>
    <mergeCell ref="AO153:AO160"/>
    <mergeCell ref="AP153:AP160"/>
    <mergeCell ref="AQ153:AQ160"/>
    <mergeCell ref="AR153:AR160"/>
    <mergeCell ref="AG153:AG160"/>
    <mergeCell ref="AH153:AH160"/>
    <mergeCell ref="AI153:AI160"/>
    <mergeCell ref="AJ153:AJ160"/>
    <mergeCell ref="AK153:AK160"/>
    <mergeCell ref="AL153:AL160"/>
    <mergeCell ref="BT153:BT160"/>
    <mergeCell ref="BU153:BU160"/>
    <mergeCell ref="W159:W160"/>
    <mergeCell ref="BK153:BK160"/>
    <mergeCell ref="BL153:BL160"/>
    <mergeCell ref="BM153:BM160"/>
    <mergeCell ref="BN153:BN159"/>
    <mergeCell ref="BO153:BO159"/>
    <mergeCell ref="BP153:BP160"/>
    <mergeCell ref="BE153:BE160"/>
    <mergeCell ref="BF153:BF160"/>
    <mergeCell ref="BG153:BG160"/>
    <mergeCell ref="BH153:BH160"/>
    <mergeCell ref="BI153:BI160"/>
    <mergeCell ref="BJ153:BJ160"/>
    <mergeCell ref="AY153:AY160"/>
    <mergeCell ref="AZ153:AZ160"/>
    <mergeCell ref="BA153:BA160"/>
    <mergeCell ref="BB153:BB160"/>
    <mergeCell ref="BC153:BC160"/>
    <mergeCell ref="BD153:BD160"/>
    <mergeCell ref="AS153:AS160"/>
    <mergeCell ref="AT153:AT160"/>
    <mergeCell ref="AU153:AU160"/>
    <mergeCell ref="W153:W156"/>
    <mergeCell ref="AB153:AB160"/>
    <mergeCell ref="AC153:AC160"/>
    <mergeCell ref="AD153:AD160"/>
    <mergeCell ref="AE153:AE160"/>
    <mergeCell ref="AF153:AF160"/>
    <mergeCell ref="Q153:Q160"/>
    <mergeCell ref="R153:R160"/>
    <mergeCell ref="S153:S160"/>
    <mergeCell ref="T153:T160"/>
    <mergeCell ref="U153:U160"/>
    <mergeCell ref="V153:V160"/>
    <mergeCell ref="K153:K160"/>
    <mergeCell ref="L153:L160"/>
    <mergeCell ref="M153:M160"/>
    <mergeCell ref="N153:N160"/>
    <mergeCell ref="O153:O160"/>
    <mergeCell ref="P153:P160"/>
    <mergeCell ref="D151:J151"/>
    <mergeCell ref="E153:E158"/>
    <mergeCell ref="F153:F158"/>
    <mergeCell ref="G153:G160"/>
    <mergeCell ref="H153:H160"/>
    <mergeCell ref="I153:I160"/>
    <mergeCell ref="J153:J160"/>
    <mergeCell ref="BQ148:BQ149"/>
    <mergeCell ref="BR148:BR149"/>
    <mergeCell ref="BS148:BS149"/>
    <mergeCell ref="BT148:BT149"/>
    <mergeCell ref="BU148:BU149"/>
    <mergeCell ref="B150:J150"/>
    <mergeCell ref="BI148:BI149"/>
    <mergeCell ref="BJ148:BJ149"/>
    <mergeCell ref="BK148:BK149"/>
    <mergeCell ref="BL148:BL149"/>
    <mergeCell ref="BM148:BM149"/>
    <mergeCell ref="BP148:BP149"/>
    <mergeCell ref="BC148:BC149"/>
    <mergeCell ref="BD148:BD149"/>
    <mergeCell ref="BE148:BE149"/>
    <mergeCell ref="BF148:BF149"/>
    <mergeCell ref="BG148:BG149"/>
    <mergeCell ref="BH148:BH149"/>
    <mergeCell ref="AW148:AW149"/>
    <mergeCell ref="AX148:AX149"/>
    <mergeCell ref="AY148:AY149"/>
    <mergeCell ref="AZ148:AZ149"/>
    <mergeCell ref="BA148:BA149"/>
    <mergeCell ref="BB148:BB149"/>
    <mergeCell ref="AQ148:AQ149"/>
    <mergeCell ref="AR148:AR149"/>
    <mergeCell ref="AS148:AS149"/>
    <mergeCell ref="AT148:AT149"/>
    <mergeCell ref="AU148:AU149"/>
    <mergeCell ref="AV148:AV149"/>
    <mergeCell ref="AK148:AK149"/>
    <mergeCell ref="AL148:AL149"/>
    <mergeCell ref="AM148:AM149"/>
    <mergeCell ref="AN148:AN149"/>
    <mergeCell ref="AO148:AO149"/>
    <mergeCell ref="AP148:AP149"/>
    <mergeCell ref="AE148:AE149"/>
    <mergeCell ref="AF148:AF149"/>
    <mergeCell ref="AG148:AG149"/>
    <mergeCell ref="AH148:AH149"/>
    <mergeCell ref="AI148:AI149"/>
    <mergeCell ref="AJ148:AJ149"/>
    <mergeCell ref="S148:S149"/>
    <mergeCell ref="T148:T149"/>
    <mergeCell ref="U148:U149"/>
    <mergeCell ref="V148:V149"/>
    <mergeCell ref="W148:W149"/>
    <mergeCell ref="AD148:AD149"/>
    <mergeCell ref="M148:M149"/>
    <mergeCell ref="N148:N149"/>
    <mergeCell ref="O148:O149"/>
    <mergeCell ref="P148:P149"/>
    <mergeCell ref="Q148:Q149"/>
    <mergeCell ref="R148:R149"/>
    <mergeCell ref="D146:J146"/>
    <mergeCell ref="F147:L147"/>
    <mergeCell ref="G148:G149"/>
    <mergeCell ref="H148:H149"/>
    <mergeCell ref="I148:I149"/>
    <mergeCell ref="J148:J149"/>
    <mergeCell ref="K148:K149"/>
    <mergeCell ref="L148:L149"/>
    <mergeCell ref="BS128:BS145"/>
    <mergeCell ref="BT128:BT145"/>
    <mergeCell ref="BU128:BU145"/>
    <mergeCell ref="W132:W133"/>
    <mergeCell ref="W134:W135"/>
    <mergeCell ref="W138:W139"/>
    <mergeCell ref="W144:W145"/>
    <mergeCell ref="BM128:BM145"/>
    <mergeCell ref="BN128:BN132"/>
    <mergeCell ref="BO128:BO132"/>
    <mergeCell ref="BP128:BP145"/>
    <mergeCell ref="BQ128:BQ145"/>
    <mergeCell ref="BR128:BR145"/>
    <mergeCell ref="BG128:BG145"/>
    <mergeCell ref="BH128:BH145"/>
    <mergeCell ref="BI128:BI145"/>
    <mergeCell ref="BJ128:BJ145"/>
    <mergeCell ref="BK128:BK145"/>
    <mergeCell ref="BL128:BL145"/>
    <mergeCell ref="BA128:BA145"/>
    <mergeCell ref="BB128:BB145"/>
    <mergeCell ref="BC128:BC145"/>
    <mergeCell ref="BD128:BD145"/>
    <mergeCell ref="BE128:BE145"/>
    <mergeCell ref="BF128:BF145"/>
    <mergeCell ref="AU128:AU145"/>
    <mergeCell ref="AV128:AV145"/>
    <mergeCell ref="AW128:AW145"/>
    <mergeCell ref="AX128:AX145"/>
    <mergeCell ref="AY128:AY145"/>
    <mergeCell ref="AZ128:AZ145"/>
    <mergeCell ref="AO128:AO145"/>
    <mergeCell ref="AP128:AP145"/>
    <mergeCell ref="AQ128:AQ145"/>
    <mergeCell ref="AR128:AR145"/>
    <mergeCell ref="AS128:AS145"/>
    <mergeCell ref="AT128:AT145"/>
    <mergeCell ref="AI128:AI145"/>
    <mergeCell ref="AJ128:AJ145"/>
    <mergeCell ref="AK128:AK145"/>
    <mergeCell ref="AL128:AL145"/>
    <mergeCell ref="AM128:AM145"/>
    <mergeCell ref="AN128:AN145"/>
    <mergeCell ref="AC128:AC132"/>
    <mergeCell ref="AD128:AD145"/>
    <mergeCell ref="AE128:AE145"/>
    <mergeCell ref="AF128:AF145"/>
    <mergeCell ref="AG128:AG145"/>
    <mergeCell ref="AH128:AH145"/>
    <mergeCell ref="V128:V145"/>
    <mergeCell ref="W128:W131"/>
    <mergeCell ref="AB128:AB132"/>
    <mergeCell ref="M128:M145"/>
    <mergeCell ref="N128:N145"/>
    <mergeCell ref="O128:O145"/>
    <mergeCell ref="P128:P145"/>
    <mergeCell ref="Q128:Q145"/>
    <mergeCell ref="R128:R145"/>
    <mergeCell ref="BS113:BS127"/>
    <mergeCell ref="BT113:BT127"/>
    <mergeCell ref="BU113:BU127"/>
    <mergeCell ref="W116:W117"/>
    <mergeCell ref="W119:W120"/>
    <mergeCell ref="W124:W127"/>
    <mergeCell ref="BM113:BM127"/>
    <mergeCell ref="BN113:BN127"/>
    <mergeCell ref="BO113:BO127"/>
    <mergeCell ref="BP113:BP127"/>
    <mergeCell ref="BQ113:BQ127"/>
    <mergeCell ref="BR113:BR127"/>
    <mergeCell ref="BG113:BG127"/>
    <mergeCell ref="BH113:BH127"/>
    <mergeCell ref="BI113:BI127"/>
    <mergeCell ref="BJ113:BJ127"/>
    <mergeCell ref="BK113:BK127"/>
    <mergeCell ref="BL113:BL127"/>
    <mergeCell ref="BA113:BA127"/>
    <mergeCell ref="BB113:BB127"/>
    <mergeCell ref="BC113:BC127"/>
    <mergeCell ref="BD113:BD127"/>
    <mergeCell ref="BE113:BE127"/>
    <mergeCell ref="BF113:BF127"/>
    <mergeCell ref="AU113:AU127"/>
    <mergeCell ref="AV113:AV127"/>
    <mergeCell ref="AW113:AW127"/>
    <mergeCell ref="AX113:AX127"/>
    <mergeCell ref="AY113:AY127"/>
    <mergeCell ref="AZ113:AZ127"/>
    <mergeCell ref="AO113:AO127"/>
    <mergeCell ref="AP113:AP127"/>
    <mergeCell ref="AQ113:AQ127"/>
    <mergeCell ref="AR113:AR127"/>
    <mergeCell ref="AS113:AS127"/>
    <mergeCell ref="AT113:AT127"/>
    <mergeCell ref="AI113:AI127"/>
    <mergeCell ref="AJ113:AJ127"/>
    <mergeCell ref="AK113:AK127"/>
    <mergeCell ref="AL113:AL127"/>
    <mergeCell ref="AM113:AM127"/>
    <mergeCell ref="AN113:AN127"/>
    <mergeCell ref="AC113:AC127"/>
    <mergeCell ref="AD113:AD127"/>
    <mergeCell ref="AE113:AE127"/>
    <mergeCell ref="AF113:AF127"/>
    <mergeCell ref="AG113:AG127"/>
    <mergeCell ref="AH113:AH127"/>
    <mergeCell ref="S113:S127"/>
    <mergeCell ref="T113:T127"/>
    <mergeCell ref="U113:U127"/>
    <mergeCell ref="V113:V127"/>
    <mergeCell ref="W113:W114"/>
    <mergeCell ref="AB113:AB127"/>
    <mergeCell ref="F112:L112"/>
    <mergeCell ref="E113:E145"/>
    <mergeCell ref="F113:F145"/>
    <mergeCell ref="G113:G127"/>
    <mergeCell ref="H113:H127"/>
    <mergeCell ref="I113:I127"/>
    <mergeCell ref="J113:J127"/>
    <mergeCell ref="K113:K127"/>
    <mergeCell ref="L113:L127"/>
    <mergeCell ref="G128:G145"/>
    <mergeCell ref="H128:H145"/>
    <mergeCell ref="I128:I145"/>
    <mergeCell ref="J128:J145"/>
    <mergeCell ref="K128:K145"/>
    <mergeCell ref="L128:L145"/>
    <mergeCell ref="S128:S145"/>
    <mergeCell ref="T128:T145"/>
    <mergeCell ref="U128:U145"/>
    <mergeCell ref="BT77:BT109"/>
    <mergeCell ref="BU77:BU109"/>
    <mergeCell ref="G80:G109"/>
    <mergeCell ref="H80:H109"/>
    <mergeCell ref="I80:I109"/>
    <mergeCell ref="J80:J109"/>
    <mergeCell ref="K80:K109"/>
    <mergeCell ref="L80:L109"/>
    <mergeCell ref="M80:M109"/>
    <mergeCell ref="N80:N109"/>
    <mergeCell ref="BN77:BN109"/>
    <mergeCell ref="BO77:BO109"/>
    <mergeCell ref="BP77:BP109"/>
    <mergeCell ref="BQ77:BQ109"/>
    <mergeCell ref="BR77:BR109"/>
    <mergeCell ref="BS77:BS109"/>
    <mergeCell ref="BH77:BH109"/>
    <mergeCell ref="BI77:BI109"/>
    <mergeCell ref="W105:W106"/>
    <mergeCell ref="BJ77:BJ109"/>
    <mergeCell ref="BK77:BK109"/>
    <mergeCell ref="BL77:BL109"/>
    <mergeCell ref="BM77:BM109"/>
    <mergeCell ref="BB77:BB109"/>
    <mergeCell ref="BC77:BC109"/>
    <mergeCell ref="BD77:BD109"/>
    <mergeCell ref="BE77:BE109"/>
    <mergeCell ref="BF77:BF109"/>
    <mergeCell ref="BG77:BG109"/>
    <mergeCell ref="AV77:AV109"/>
    <mergeCell ref="AW77:AW109"/>
    <mergeCell ref="AX77:AX109"/>
    <mergeCell ref="AY77:AY109"/>
    <mergeCell ref="AZ77:AZ109"/>
    <mergeCell ref="BA77:BA109"/>
    <mergeCell ref="AP77:AP109"/>
    <mergeCell ref="AQ77:AQ109"/>
    <mergeCell ref="AR77:AR109"/>
    <mergeCell ref="AS77:AS109"/>
    <mergeCell ref="AT77:AT109"/>
    <mergeCell ref="AU77:AU109"/>
    <mergeCell ref="AJ77:AJ109"/>
    <mergeCell ref="AK77:AK109"/>
    <mergeCell ref="AL77:AL109"/>
    <mergeCell ref="AM77:AM109"/>
    <mergeCell ref="AN77:AN109"/>
    <mergeCell ref="AO77:AO109"/>
    <mergeCell ref="AD77:AD109"/>
    <mergeCell ref="AE77:AE109"/>
    <mergeCell ref="AF77:AF109"/>
    <mergeCell ref="AG77:AG109"/>
    <mergeCell ref="AH77:AH109"/>
    <mergeCell ref="AI77:AI109"/>
    <mergeCell ref="S77:S79"/>
    <mergeCell ref="T77:T109"/>
    <mergeCell ref="U77:U109"/>
    <mergeCell ref="V77:V109"/>
    <mergeCell ref="AB77:AB109"/>
    <mergeCell ref="AC77:AC109"/>
    <mergeCell ref="S80:S109"/>
    <mergeCell ref="W80:W86"/>
    <mergeCell ref="W88:W89"/>
    <mergeCell ref="W90:W91"/>
    <mergeCell ref="W92:W93"/>
    <mergeCell ref="W94:W95"/>
    <mergeCell ref="W96:W97"/>
    <mergeCell ref="W98:W99"/>
    <mergeCell ref="W100:W101"/>
    <mergeCell ref="W103:W104"/>
    <mergeCell ref="M77:M79"/>
    <mergeCell ref="N77:N79"/>
    <mergeCell ref="O77:O79"/>
    <mergeCell ref="P77:P79"/>
    <mergeCell ref="Q77:Q109"/>
    <mergeCell ref="R77:R109"/>
    <mergeCell ref="O80:O109"/>
    <mergeCell ref="P80:P109"/>
    <mergeCell ref="B74:H74"/>
    <mergeCell ref="A75:B149"/>
    <mergeCell ref="D75:M75"/>
    <mergeCell ref="F76:L76"/>
    <mergeCell ref="G77:G79"/>
    <mergeCell ref="H77:H79"/>
    <mergeCell ref="I77:I79"/>
    <mergeCell ref="J77:J79"/>
    <mergeCell ref="K77:K79"/>
    <mergeCell ref="L77:L79"/>
    <mergeCell ref="M113:M127"/>
    <mergeCell ref="N113:N127"/>
    <mergeCell ref="O113:O127"/>
    <mergeCell ref="P113:P127"/>
    <mergeCell ref="Q113:Q127"/>
    <mergeCell ref="R113:R127"/>
    <mergeCell ref="BQ52:BQ73"/>
    <mergeCell ref="BR52:BR73"/>
    <mergeCell ref="BS52:BS73"/>
    <mergeCell ref="BT52:BT73"/>
    <mergeCell ref="BU52:BU73"/>
    <mergeCell ref="W54:W58"/>
    <mergeCell ref="W59:W60"/>
    <mergeCell ref="W61:W62"/>
    <mergeCell ref="W63:W64"/>
    <mergeCell ref="W65:W66"/>
    <mergeCell ref="BK52:BK73"/>
    <mergeCell ref="BL52:BL73"/>
    <mergeCell ref="BM52:BM73"/>
    <mergeCell ref="BN52:BN73"/>
    <mergeCell ref="BO52:BO73"/>
    <mergeCell ref="BP52:BP73"/>
    <mergeCell ref="BE52:BE73"/>
    <mergeCell ref="BF52:BF73"/>
    <mergeCell ref="BG52:BG73"/>
    <mergeCell ref="BH52:BH73"/>
    <mergeCell ref="BI52:BI73"/>
    <mergeCell ref="BJ52:BJ73"/>
    <mergeCell ref="AY52:AY73"/>
    <mergeCell ref="AZ52:AZ73"/>
    <mergeCell ref="BA52:BA73"/>
    <mergeCell ref="BB52:BB73"/>
    <mergeCell ref="BC52:BC73"/>
    <mergeCell ref="BD52:BD73"/>
    <mergeCell ref="AS52:AS73"/>
    <mergeCell ref="AT52:AT73"/>
    <mergeCell ref="AU52:AU73"/>
    <mergeCell ref="AV52:AV73"/>
    <mergeCell ref="AW52:AW73"/>
    <mergeCell ref="AX52:AX73"/>
    <mergeCell ref="AM52:AM73"/>
    <mergeCell ref="AN52:AN73"/>
    <mergeCell ref="AO52:AO73"/>
    <mergeCell ref="AP52:AP73"/>
    <mergeCell ref="AQ52:AQ73"/>
    <mergeCell ref="AR52:AR73"/>
    <mergeCell ref="AG52:AG73"/>
    <mergeCell ref="AH52:AH73"/>
    <mergeCell ref="AI52:AI73"/>
    <mergeCell ref="AJ52:AJ73"/>
    <mergeCell ref="AK52:AK73"/>
    <mergeCell ref="AL52:AL73"/>
    <mergeCell ref="W52:W53"/>
    <mergeCell ref="AB52:AB73"/>
    <mergeCell ref="AC52:AC73"/>
    <mergeCell ref="AD52:AD73"/>
    <mergeCell ref="AE52:AE73"/>
    <mergeCell ref="AF52:AF73"/>
    <mergeCell ref="W67:W68"/>
    <mergeCell ref="W69:W70"/>
    <mergeCell ref="W71:W72"/>
    <mergeCell ref="Q52:Q73"/>
    <mergeCell ref="R52:R73"/>
    <mergeCell ref="S52:S73"/>
    <mergeCell ref="T52:T73"/>
    <mergeCell ref="U52:U73"/>
    <mergeCell ref="V52:V73"/>
    <mergeCell ref="K52:K73"/>
    <mergeCell ref="L52:L73"/>
    <mergeCell ref="M52:M73"/>
    <mergeCell ref="N52:N73"/>
    <mergeCell ref="O52:O73"/>
    <mergeCell ref="P52:P73"/>
    <mergeCell ref="BT43:BT49"/>
    <mergeCell ref="BU43:BU49"/>
    <mergeCell ref="W45:W48"/>
    <mergeCell ref="D50:K50"/>
    <mergeCell ref="C51:D73"/>
    <mergeCell ref="E52:F73"/>
    <mergeCell ref="G52:G73"/>
    <mergeCell ref="H52:H73"/>
    <mergeCell ref="I52:I73"/>
    <mergeCell ref="J52:J73"/>
    <mergeCell ref="BN43:BN49"/>
    <mergeCell ref="BO43:BO49"/>
    <mergeCell ref="BP43:BP49"/>
    <mergeCell ref="BQ43:BQ49"/>
    <mergeCell ref="BR43:BR49"/>
    <mergeCell ref="BS43:BS49"/>
    <mergeCell ref="BH43:BH49"/>
    <mergeCell ref="BI43:BI49"/>
    <mergeCell ref="BJ43:BJ49"/>
    <mergeCell ref="BK43:BK49"/>
    <mergeCell ref="BL43:BL49"/>
    <mergeCell ref="BM43:BM49"/>
    <mergeCell ref="BB43:BB49"/>
    <mergeCell ref="BC43:BC49"/>
    <mergeCell ref="BD43:BD49"/>
    <mergeCell ref="BE43:BE49"/>
    <mergeCell ref="BF43:BF49"/>
    <mergeCell ref="BG43:BG49"/>
    <mergeCell ref="AV43:AV49"/>
    <mergeCell ref="AW43:AW49"/>
    <mergeCell ref="AX43:AX49"/>
    <mergeCell ref="AY43:AY49"/>
    <mergeCell ref="AZ43:AZ49"/>
    <mergeCell ref="BA43:BA49"/>
    <mergeCell ref="AP43:AP49"/>
    <mergeCell ref="AQ43:AQ49"/>
    <mergeCell ref="AR43:AR49"/>
    <mergeCell ref="AS43:AS49"/>
    <mergeCell ref="AT43:AT49"/>
    <mergeCell ref="AU43:AU49"/>
    <mergeCell ref="AJ43:AJ49"/>
    <mergeCell ref="AK43:AK49"/>
    <mergeCell ref="AL43:AL49"/>
    <mergeCell ref="AM43:AM49"/>
    <mergeCell ref="AN43:AN49"/>
    <mergeCell ref="AO43:AO49"/>
    <mergeCell ref="AD43:AD49"/>
    <mergeCell ref="AE43:AE49"/>
    <mergeCell ref="AF43:AF49"/>
    <mergeCell ref="AG43:AG49"/>
    <mergeCell ref="AH43:AH49"/>
    <mergeCell ref="AI43:AI49"/>
    <mergeCell ref="S43:S49"/>
    <mergeCell ref="T43:T49"/>
    <mergeCell ref="U43:U49"/>
    <mergeCell ref="V43:V49"/>
    <mergeCell ref="AB43:AB49"/>
    <mergeCell ref="AC43:AC49"/>
    <mergeCell ref="M43:M49"/>
    <mergeCell ref="N43:N49"/>
    <mergeCell ref="O43:O49"/>
    <mergeCell ref="P43:P49"/>
    <mergeCell ref="Q43:Q49"/>
    <mergeCell ref="R43:R49"/>
    <mergeCell ref="D41:N41"/>
    <mergeCell ref="C42:D49"/>
    <mergeCell ref="F42:M42"/>
    <mergeCell ref="E43:F49"/>
    <mergeCell ref="G43:G49"/>
    <mergeCell ref="H43:H49"/>
    <mergeCell ref="I43:I49"/>
    <mergeCell ref="J43:J49"/>
    <mergeCell ref="K43:K49"/>
    <mergeCell ref="L43:L49"/>
    <mergeCell ref="BR24:BR40"/>
    <mergeCell ref="BS24:BS40"/>
    <mergeCell ref="BT24:BT40"/>
    <mergeCell ref="BU24:BU40"/>
    <mergeCell ref="W26:W27"/>
    <mergeCell ref="W28:W29"/>
    <mergeCell ref="W33:W36"/>
    <mergeCell ref="BL24:BL40"/>
    <mergeCell ref="BM24:BM40"/>
    <mergeCell ref="BN24:BN40"/>
    <mergeCell ref="BO24:BO40"/>
    <mergeCell ref="BP24:BP40"/>
    <mergeCell ref="BQ24:BQ40"/>
    <mergeCell ref="BF24:BF40"/>
    <mergeCell ref="BG24:BG40"/>
    <mergeCell ref="BH24:BH40"/>
    <mergeCell ref="BI24:BI40"/>
    <mergeCell ref="BJ24:BJ40"/>
    <mergeCell ref="BK24:BK40"/>
    <mergeCell ref="AZ24:AZ40"/>
    <mergeCell ref="BA24:BA40"/>
    <mergeCell ref="BB24:BB40"/>
    <mergeCell ref="BC24:BC40"/>
    <mergeCell ref="BD24:BD40"/>
    <mergeCell ref="BE24:BE40"/>
    <mergeCell ref="AT24:AT40"/>
    <mergeCell ref="AU24:AU40"/>
    <mergeCell ref="AV24:AV40"/>
    <mergeCell ref="AW24:AW40"/>
    <mergeCell ref="AX24:AX40"/>
    <mergeCell ref="AY24:AY40"/>
    <mergeCell ref="AN24:AN40"/>
    <mergeCell ref="AO24:AO40"/>
    <mergeCell ref="AP24:AP40"/>
    <mergeCell ref="AQ24:AQ40"/>
    <mergeCell ref="AR24:AR40"/>
    <mergeCell ref="AS24:AS40"/>
    <mergeCell ref="AH24:AH40"/>
    <mergeCell ref="AI24:AI40"/>
    <mergeCell ref="AJ24:AJ40"/>
    <mergeCell ref="AK24:AK40"/>
    <mergeCell ref="AL24:AL40"/>
    <mergeCell ref="AM24:AM40"/>
    <mergeCell ref="AB24:AB40"/>
    <mergeCell ref="AC24:AC40"/>
    <mergeCell ref="AD24:AD40"/>
    <mergeCell ref="AE24:AE40"/>
    <mergeCell ref="AF24:AF40"/>
    <mergeCell ref="AG24:AG40"/>
    <mergeCell ref="R24:R40"/>
    <mergeCell ref="S24:S40"/>
    <mergeCell ref="T24:T40"/>
    <mergeCell ref="U24:U40"/>
    <mergeCell ref="V24:V40"/>
    <mergeCell ref="W24:W25"/>
    <mergeCell ref="L24:L40"/>
    <mergeCell ref="M24:M40"/>
    <mergeCell ref="N24:N40"/>
    <mergeCell ref="O24:O40"/>
    <mergeCell ref="P24:P40"/>
    <mergeCell ref="Q24:Q40"/>
    <mergeCell ref="BU18:BU21"/>
    <mergeCell ref="W19:W20"/>
    <mergeCell ref="D22:J22"/>
    <mergeCell ref="C23:D40"/>
    <mergeCell ref="E24:F40"/>
    <mergeCell ref="G24:G40"/>
    <mergeCell ref="H24:H40"/>
    <mergeCell ref="I24:I40"/>
    <mergeCell ref="J24:J40"/>
    <mergeCell ref="K24:K40"/>
    <mergeCell ref="BO18:BO21"/>
    <mergeCell ref="BP18:BP21"/>
    <mergeCell ref="BQ18:BQ21"/>
    <mergeCell ref="BR18:BR21"/>
    <mergeCell ref="BS18:BS21"/>
    <mergeCell ref="BT18:BT21"/>
    <mergeCell ref="BI18:BI21"/>
    <mergeCell ref="BJ18:BJ21"/>
    <mergeCell ref="BK18:BK21"/>
    <mergeCell ref="BL18:BL21"/>
    <mergeCell ref="BM18:BM21"/>
    <mergeCell ref="BN18:BN21"/>
    <mergeCell ref="BC18:BC21"/>
    <mergeCell ref="BD18:BD21"/>
    <mergeCell ref="BE18:BE21"/>
    <mergeCell ref="BF18:BF21"/>
    <mergeCell ref="BG18:BG21"/>
    <mergeCell ref="BH18:BH21"/>
    <mergeCell ref="AW18:AW21"/>
    <mergeCell ref="AX18:AX21"/>
    <mergeCell ref="AY18:AY21"/>
    <mergeCell ref="AZ18:AZ21"/>
    <mergeCell ref="BA18:BA21"/>
    <mergeCell ref="BB18:BB21"/>
    <mergeCell ref="AQ18:AQ21"/>
    <mergeCell ref="AR18:AR21"/>
    <mergeCell ref="AS18:AS21"/>
    <mergeCell ref="AT18:AT21"/>
    <mergeCell ref="AU18:AU21"/>
    <mergeCell ref="AV18:AV21"/>
    <mergeCell ref="AK18:AK21"/>
    <mergeCell ref="AL18:AL21"/>
    <mergeCell ref="AM18:AM21"/>
    <mergeCell ref="AN18:AN21"/>
    <mergeCell ref="AO18:AO21"/>
    <mergeCell ref="AP18:AP21"/>
    <mergeCell ref="AE18:AE21"/>
    <mergeCell ref="AF18:AF21"/>
    <mergeCell ref="AG18:AG21"/>
    <mergeCell ref="AH18:AH21"/>
    <mergeCell ref="AI18:AI21"/>
    <mergeCell ref="AJ18:AJ21"/>
    <mergeCell ref="T18:T21"/>
    <mergeCell ref="U18:U21"/>
    <mergeCell ref="V18:V21"/>
    <mergeCell ref="AB18:AB21"/>
    <mergeCell ref="AC18:AC21"/>
    <mergeCell ref="AD18:AD21"/>
    <mergeCell ref="N18:N21"/>
    <mergeCell ref="O18:O21"/>
    <mergeCell ref="P18:P21"/>
    <mergeCell ref="Q18:Q21"/>
    <mergeCell ref="R18:R21"/>
    <mergeCell ref="S18:S21"/>
    <mergeCell ref="C17:D21"/>
    <mergeCell ref="F17:M17"/>
    <mergeCell ref="E18:F21"/>
    <mergeCell ref="G18:G21"/>
    <mergeCell ref="H18:H21"/>
    <mergeCell ref="I18:I21"/>
    <mergeCell ref="J18:J21"/>
    <mergeCell ref="K18:K21"/>
    <mergeCell ref="L18:L21"/>
    <mergeCell ref="M18:M21"/>
    <mergeCell ref="BQ13:BQ15"/>
    <mergeCell ref="BR13:BR15"/>
    <mergeCell ref="BS13:BS15"/>
    <mergeCell ref="BT13:BT15"/>
    <mergeCell ref="BU13:BU15"/>
    <mergeCell ref="D16:L16"/>
    <mergeCell ref="BK13:BK15"/>
    <mergeCell ref="BL13:BL15"/>
    <mergeCell ref="BM13:BM15"/>
    <mergeCell ref="BN13:BN14"/>
    <mergeCell ref="BO13:BO14"/>
    <mergeCell ref="BP13:BP15"/>
    <mergeCell ref="BE13:BE15"/>
    <mergeCell ref="BF13:BF15"/>
    <mergeCell ref="BG13:BG15"/>
    <mergeCell ref="BH13:BH15"/>
    <mergeCell ref="BI13:BI15"/>
    <mergeCell ref="BJ13:BJ15"/>
    <mergeCell ref="AY13:AY15"/>
    <mergeCell ref="AZ13:AZ15"/>
    <mergeCell ref="BA13:BA15"/>
    <mergeCell ref="BB13:BB15"/>
    <mergeCell ref="BC13:BC15"/>
    <mergeCell ref="BD13:BD15"/>
    <mergeCell ref="AS13:AS15"/>
    <mergeCell ref="AT13:AT15"/>
    <mergeCell ref="AU13:AU15"/>
    <mergeCell ref="AV13:AV15"/>
    <mergeCell ref="AW13:AW15"/>
    <mergeCell ref="AX13:AX15"/>
    <mergeCell ref="AM13:AM15"/>
    <mergeCell ref="AN13:AN15"/>
    <mergeCell ref="AO13:AO15"/>
    <mergeCell ref="AP13:AP15"/>
    <mergeCell ref="AQ13:AQ15"/>
    <mergeCell ref="AR13:AR15"/>
    <mergeCell ref="AG13:AG15"/>
    <mergeCell ref="AH13:AH15"/>
    <mergeCell ref="AI13:AI15"/>
    <mergeCell ref="AJ13:AJ15"/>
    <mergeCell ref="AK13:AK15"/>
    <mergeCell ref="AL13:AL15"/>
    <mergeCell ref="V13:V15"/>
    <mergeCell ref="AB13:AB14"/>
    <mergeCell ref="AC13:AC14"/>
    <mergeCell ref="AD13:AD15"/>
    <mergeCell ref="AE13:AE15"/>
    <mergeCell ref="AF13:AF15"/>
    <mergeCell ref="P13:P15"/>
    <mergeCell ref="Q13:Q15"/>
    <mergeCell ref="R13:R15"/>
    <mergeCell ref="S13:S15"/>
    <mergeCell ref="T13:T15"/>
    <mergeCell ref="U13:U15"/>
    <mergeCell ref="J13:J15"/>
    <mergeCell ref="K13:K15"/>
    <mergeCell ref="L13:L15"/>
    <mergeCell ref="M13:M15"/>
    <mergeCell ref="N13:N15"/>
    <mergeCell ref="O13:O15"/>
    <mergeCell ref="BP8:BP9"/>
    <mergeCell ref="B10:I10"/>
    <mergeCell ref="A11:B73"/>
    <mergeCell ref="D11:L11"/>
    <mergeCell ref="C12:D15"/>
    <mergeCell ref="F12:M12"/>
    <mergeCell ref="E13:F15"/>
    <mergeCell ref="G13:G15"/>
    <mergeCell ref="H13:H15"/>
    <mergeCell ref="I13:I15"/>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B7:BG7"/>
    <mergeCell ref="BH7:BI8"/>
    <mergeCell ref="AB8:AB9"/>
    <mergeCell ref="AC8:AC9"/>
    <mergeCell ref="AD8:AE8"/>
    <mergeCell ref="AF8:AG8"/>
    <mergeCell ref="M8:M9"/>
    <mergeCell ref="N8:N9"/>
    <mergeCell ref="O8:P8"/>
    <mergeCell ref="Q8:Q9"/>
    <mergeCell ref="R8:R9"/>
    <mergeCell ref="S8:S9"/>
    <mergeCell ref="AR8:AS8"/>
    <mergeCell ref="A1:BQ4"/>
    <mergeCell ref="A5:O6"/>
    <mergeCell ref="Q5:BU5"/>
    <mergeCell ref="AD6:BF6"/>
    <mergeCell ref="A7:B7"/>
    <mergeCell ref="C7:D7"/>
    <mergeCell ref="E7:F7"/>
    <mergeCell ref="G7:J7"/>
    <mergeCell ref="K7:N7"/>
    <mergeCell ref="O7:X7"/>
    <mergeCell ref="BJ7:BP7"/>
    <mergeCell ref="BQ7:BR8"/>
    <mergeCell ref="BS7:BT8"/>
    <mergeCell ref="BU7:BU9"/>
    <mergeCell ref="A8:A9"/>
    <mergeCell ref="B8:B9"/>
    <mergeCell ref="C8:C9"/>
    <mergeCell ref="D8:D9"/>
    <mergeCell ref="E8:E9"/>
    <mergeCell ref="F8:F9"/>
    <mergeCell ref="AA7:AC7"/>
    <mergeCell ref="AD7:AG7"/>
    <mergeCell ref="AH7:AO7"/>
    <mergeCell ref="AP7:BA7"/>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CO236"/>
  <sheetViews>
    <sheetView showGridLines="0" topLeftCell="J13" zoomScale="70" zoomScaleNormal="70" workbookViewId="0">
      <selection activeCell="P13" activeCellId="18" sqref="P227:P230 P218:P226 P213:P217 P197:P212 P182:P196 P172:P178 P147:P171 P140:P146 P134:P137 P93:P130 P84:P91 P78:P83 P69:P77 P63:P68 P42:P62 P34:P39 P27:P31 P23:P25 P13:P21"/>
    </sheetView>
  </sheetViews>
  <sheetFormatPr baseColWidth="10" defaultColWidth="13.140625" defaultRowHeight="27" customHeight="1" x14ac:dyDescent="0.25"/>
  <cols>
    <col min="1" max="1" width="11.140625" style="1710" customWidth="1"/>
    <col min="2" max="2" width="10.85546875" style="1543" customWidth="1"/>
    <col min="3" max="4" width="11.28515625" style="1543" customWidth="1"/>
    <col min="5" max="5" width="10.5703125" style="1543" customWidth="1"/>
    <col min="6" max="6" width="12.42578125" style="1543" customWidth="1"/>
    <col min="7" max="7" width="15.42578125" style="1543" customWidth="1"/>
    <col min="8" max="8" width="27.140625" style="1737" customWidth="1"/>
    <col min="9" max="9" width="26.42578125" style="1543" customWidth="1"/>
    <col min="10" max="10" width="34.140625" style="1737" customWidth="1"/>
    <col min="11" max="11" width="18.42578125" style="1542" customWidth="1"/>
    <col min="12" max="12" width="0.140625" style="1737" customWidth="1"/>
    <col min="13" max="13" width="22.42578125" style="1542" customWidth="1"/>
    <col min="14" max="14" width="34" style="1737" customWidth="1"/>
    <col min="15" max="16" width="16.5703125" style="1542" customWidth="1"/>
    <col min="17" max="17" width="18.5703125" style="1542" customWidth="1"/>
    <col min="18" max="18" width="29.140625" style="1737" customWidth="1"/>
    <col min="19" max="19" width="19.85546875" style="1738" customWidth="1"/>
    <col min="20" max="20" width="28.7109375" style="1739" customWidth="1"/>
    <col min="21" max="21" width="30.42578125" style="1737" customWidth="1"/>
    <col min="22" max="22" width="28.140625" style="1737" customWidth="1"/>
    <col min="23" max="23" width="48.140625" style="1737" customWidth="1"/>
    <col min="24" max="26" width="32.140625" style="1745" customWidth="1"/>
    <col min="27" max="27" width="49.5703125" style="1741" customWidth="1"/>
    <col min="28" max="28" width="18.42578125" style="1742" customWidth="1"/>
    <col min="29" max="29" width="36" style="1542" customWidth="1"/>
    <col min="30" max="61" width="10.5703125" style="1543" customWidth="1"/>
    <col min="62" max="62" width="18" style="1543" customWidth="1"/>
    <col min="63" max="63" width="25.85546875" style="1543" customWidth="1"/>
    <col min="64" max="64" width="25.28515625" style="1543" customWidth="1"/>
    <col min="65" max="67" width="18" style="1543" customWidth="1"/>
    <col min="68" max="68" width="21" style="1543" customWidth="1"/>
    <col min="69" max="70" width="18.42578125" style="1744" customWidth="1"/>
    <col min="71" max="72" width="19.28515625" style="1744" customWidth="1"/>
    <col min="73" max="73" width="28.140625" style="1543" customWidth="1"/>
    <col min="74" max="16384" width="13.140625" style="1543"/>
  </cols>
  <sheetData>
    <row r="1" spans="1:93" ht="22.5" customHeight="1" x14ac:dyDescent="0.25">
      <c r="A1" s="3541" t="s">
        <v>2243</v>
      </c>
      <c r="B1" s="3541"/>
      <c r="C1" s="3541"/>
      <c r="D1" s="3541"/>
      <c r="E1" s="3541"/>
      <c r="F1" s="3541"/>
      <c r="G1" s="3541"/>
      <c r="H1" s="3541"/>
      <c r="I1" s="3541"/>
      <c r="J1" s="3541"/>
      <c r="K1" s="3541"/>
      <c r="L1" s="3541"/>
      <c r="M1" s="3541"/>
      <c r="N1" s="3541"/>
      <c r="O1" s="3541"/>
      <c r="P1" s="3541"/>
      <c r="Q1" s="3541"/>
      <c r="R1" s="3541"/>
      <c r="S1" s="3541"/>
      <c r="T1" s="3541"/>
      <c r="U1" s="3541"/>
      <c r="V1" s="3541"/>
      <c r="W1" s="3541"/>
      <c r="X1" s="3541"/>
      <c r="Y1" s="3541"/>
      <c r="Z1" s="3541"/>
      <c r="AA1" s="3541"/>
      <c r="AB1" s="3541"/>
      <c r="AC1" s="3541"/>
      <c r="AD1" s="3541"/>
      <c r="AE1" s="3541"/>
      <c r="AF1" s="3541"/>
      <c r="AG1" s="3541"/>
      <c r="AH1" s="3541"/>
      <c r="AI1" s="3541"/>
      <c r="AJ1" s="3541"/>
      <c r="AK1" s="3541"/>
      <c r="AL1" s="3541"/>
      <c r="AM1" s="3541"/>
      <c r="AN1" s="3541"/>
      <c r="AO1" s="3541"/>
      <c r="AP1" s="3541"/>
      <c r="AQ1" s="3541"/>
      <c r="AR1" s="3541"/>
      <c r="AS1" s="3541"/>
      <c r="AT1" s="3541"/>
      <c r="AU1" s="3541"/>
      <c r="AV1" s="3541"/>
      <c r="AW1" s="3541"/>
      <c r="AX1" s="3541"/>
      <c r="AY1" s="3541"/>
      <c r="AZ1" s="3541"/>
      <c r="BA1" s="3541"/>
      <c r="BB1" s="3541"/>
      <c r="BC1" s="3541"/>
      <c r="BD1" s="3541"/>
      <c r="BE1" s="3541"/>
      <c r="BF1" s="3541"/>
      <c r="BG1" s="3541"/>
      <c r="BH1" s="3541"/>
      <c r="BI1" s="3541"/>
      <c r="BJ1" s="3541"/>
      <c r="BK1" s="3541"/>
      <c r="BL1" s="3541"/>
      <c r="BM1" s="3541"/>
      <c r="BN1" s="3541"/>
      <c r="BO1" s="3541"/>
      <c r="BP1" s="3541"/>
      <c r="BQ1" s="3541"/>
      <c r="BR1" s="3541"/>
      <c r="BS1" s="3542"/>
      <c r="BT1" s="1541" t="s">
        <v>138</v>
      </c>
      <c r="BU1" s="1541" t="s">
        <v>2128</v>
      </c>
      <c r="BV1" s="1542"/>
      <c r="BW1" s="1542"/>
      <c r="BX1" s="1542"/>
      <c r="BY1" s="1542"/>
      <c r="BZ1" s="1542"/>
      <c r="CA1" s="1542"/>
      <c r="CB1" s="1542"/>
      <c r="CC1" s="1542"/>
      <c r="CD1" s="1542"/>
      <c r="CE1" s="1542"/>
      <c r="CF1" s="1542"/>
      <c r="CG1" s="1542"/>
      <c r="CH1" s="1542"/>
      <c r="CI1" s="1542"/>
      <c r="CJ1" s="1542"/>
      <c r="CK1" s="1542"/>
      <c r="CL1" s="1542"/>
      <c r="CM1" s="1542"/>
      <c r="CN1" s="1542"/>
      <c r="CO1" s="1542"/>
    </row>
    <row r="2" spans="1:93" ht="24.75" customHeight="1" x14ac:dyDescent="0.25">
      <c r="A2" s="3541"/>
      <c r="B2" s="3541"/>
      <c r="C2" s="3541"/>
      <c r="D2" s="3541"/>
      <c r="E2" s="3541"/>
      <c r="F2" s="3541"/>
      <c r="G2" s="3541"/>
      <c r="H2" s="3541"/>
      <c r="I2" s="3541"/>
      <c r="J2" s="3541"/>
      <c r="K2" s="3541"/>
      <c r="L2" s="3541"/>
      <c r="M2" s="3541"/>
      <c r="N2" s="3541"/>
      <c r="O2" s="3541"/>
      <c r="P2" s="3541"/>
      <c r="Q2" s="3541"/>
      <c r="R2" s="3541"/>
      <c r="S2" s="3541"/>
      <c r="T2" s="3541"/>
      <c r="U2" s="3541"/>
      <c r="V2" s="3541"/>
      <c r="W2" s="3541"/>
      <c r="X2" s="3541"/>
      <c r="Y2" s="3541"/>
      <c r="Z2" s="3541"/>
      <c r="AA2" s="3541"/>
      <c r="AB2" s="3541"/>
      <c r="AC2" s="3541"/>
      <c r="AD2" s="3541"/>
      <c r="AE2" s="3541"/>
      <c r="AF2" s="3541"/>
      <c r="AG2" s="3541"/>
      <c r="AH2" s="3541"/>
      <c r="AI2" s="3541"/>
      <c r="AJ2" s="3541"/>
      <c r="AK2" s="3541"/>
      <c r="AL2" s="3541"/>
      <c r="AM2" s="3541"/>
      <c r="AN2" s="3541"/>
      <c r="AO2" s="3541"/>
      <c r="AP2" s="3541"/>
      <c r="AQ2" s="3541"/>
      <c r="AR2" s="3541"/>
      <c r="AS2" s="3541"/>
      <c r="AT2" s="3541"/>
      <c r="AU2" s="3541"/>
      <c r="AV2" s="3541"/>
      <c r="AW2" s="3541"/>
      <c r="AX2" s="3541"/>
      <c r="AY2" s="3541"/>
      <c r="AZ2" s="3541"/>
      <c r="BA2" s="3541"/>
      <c r="BB2" s="3541"/>
      <c r="BC2" s="3541"/>
      <c r="BD2" s="3541"/>
      <c r="BE2" s="3541"/>
      <c r="BF2" s="3541"/>
      <c r="BG2" s="3541"/>
      <c r="BH2" s="3541"/>
      <c r="BI2" s="3541"/>
      <c r="BJ2" s="3541"/>
      <c r="BK2" s="3541"/>
      <c r="BL2" s="3541"/>
      <c r="BM2" s="3541"/>
      <c r="BN2" s="3541"/>
      <c r="BO2" s="3541"/>
      <c r="BP2" s="3541"/>
      <c r="BQ2" s="3541"/>
      <c r="BR2" s="3541"/>
      <c r="BS2" s="3542"/>
      <c r="BT2" s="1541" t="s">
        <v>136</v>
      </c>
      <c r="BU2" s="1746" t="s">
        <v>1176</v>
      </c>
      <c r="BV2" s="1542"/>
      <c r="BW2" s="1542"/>
      <c r="BX2" s="1542"/>
      <c r="BY2" s="1542"/>
      <c r="BZ2" s="1542"/>
      <c r="CA2" s="1542"/>
      <c r="CB2" s="1542"/>
      <c r="CC2" s="1542"/>
      <c r="CD2" s="1542"/>
      <c r="CE2" s="1542"/>
      <c r="CF2" s="1542"/>
      <c r="CG2" s="1542"/>
      <c r="CH2" s="1542"/>
      <c r="CI2" s="1542"/>
      <c r="CJ2" s="1542"/>
      <c r="CK2" s="1542"/>
      <c r="CL2" s="1542"/>
      <c r="CM2" s="1542"/>
      <c r="CN2" s="1542"/>
      <c r="CO2" s="1542"/>
    </row>
    <row r="3" spans="1:93" ht="26.25" customHeight="1" x14ac:dyDescent="0.25">
      <c r="A3" s="3541"/>
      <c r="B3" s="3541"/>
      <c r="C3" s="3541"/>
      <c r="D3" s="3541"/>
      <c r="E3" s="3541"/>
      <c r="F3" s="3541"/>
      <c r="G3" s="3541"/>
      <c r="H3" s="3541"/>
      <c r="I3" s="3541"/>
      <c r="J3" s="3541"/>
      <c r="K3" s="3541"/>
      <c r="L3" s="3541"/>
      <c r="M3" s="3541"/>
      <c r="N3" s="3541"/>
      <c r="O3" s="3541"/>
      <c r="P3" s="3541"/>
      <c r="Q3" s="3541"/>
      <c r="R3" s="3541"/>
      <c r="S3" s="3541"/>
      <c r="T3" s="3541"/>
      <c r="U3" s="3541"/>
      <c r="V3" s="3541"/>
      <c r="W3" s="3541"/>
      <c r="X3" s="3541"/>
      <c r="Y3" s="3541"/>
      <c r="Z3" s="3541"/>
      <c r="AA3" s="3541"/>
      <c r="AB3" s="3541"/>
      <c r="AC3" s="3541"/>
      <c r="AD3" s="3541"/>
      <c r="AE3" s="3541"/>
      <c r="AF3" s="3541"/>
      <c r="AG3" s="3541"/>
      <c r="AH3" s="3541"/>
      <c r="AI3" s="3541"/>
      <c r="AJ3" s="3541"/>
      <c r="AK3" s="3541"/>
      <c r="AL3" s="3541"/>
      <c r="AM3" s="3541"/>
      <c r="AN3" s="3541"/>
      <c r="AO3" s="3541"/>
      <c r="AP3" s="3541"/>
      <c r="AQ3" s="3541"/>
      <c r="AR3" s="3541"/>
      <c r="AS3" s="3541"/>
      <c r="AT3" s="3541"/>
      <c r="AU3" s="3541"/>
      <c r="AV3" s="3541"/>
      <c r="AW3" s="3541"/>
      <c r="AX3" s="3541"/>
      <c r="AY3" s="3541"/>
      <c r="AZ3" s="3541"/>
      <c r="BA3" s="3541"/>
      <c r="BB3" s="3541"/>
      <c r="BC3" s="3541"/>
      <c r="BD3" s="3541"/>
      <c r="BE3" s="3541"/>
      <c r="BF3" s="3541"/>
      <c r="BG3" s="3541"/>
      <c r="BH3" s="3541"/>
      <c r="BI3" s="3541"/>
      <c r="BJ3" s="3541"/>
      <c r="BK3" s="3541"/>
      <c r="BL3" s="3541"/>
      <c r="BM3" s="3541"/>
      <c r="BN3" s="3541"/>
      <c r="BO3" s="3541"/>
      <c r="BP3" s="3541"/>
      <c r="BQ3" s="3541"/>
      <c r="BR3" s="3541"/>
      <c r="BS3" s="3542"/>
      <c r="BT3" s="1541" t="s">
        <v>134</v>
      </c>
      <c r="BU3" s="1747">
        <v>44266</v>
      </c>
      <c r="BV3" s="1542"/>
      <c r="BW3" s="1542"/>
      <c r="BX3" s="1542"/>
      <c r="BY3" s="1542"/>
      <c r="BZ3" s="1542"/>
      <c r="CA3" s="1542"/>
      <c r="CB3" s="1542"/>
      <c r="CC3" s="1542"/>
      <c r="CD3" s="1542"/>
      <c r="CE3" s="1542"/>
      <c r="CF3" s="1542"/>
      <c r="CG3" s="1542"/>
      <c r="CH3" s="1542"/>
      <c r="CI3" s="1542"/>
      <c r="CJ3" s="1542"/>
      <c r="CK3" s="1542"/>
      <c r="CL3" s="1542"/>
      <c r="CM3" s="1542"/>
      <c r="CN3" s="1542"/>
      <c r="CO3" s="1542"/>
    </row>
    <row r="4" spans="1:93" ht="25.5" customHeight="1" x14ac:dyDescent="0.25">
      <c r="A4" s="3543"/>
      <c r="B4" s="3543"/>
      <c r="C4" s="3543"/>
      <c r="D4" s="3543"/>
      <c r="E4" s="3543"/>
      <c r="F4" s="3543"/>
      <c r="G4" s="3543"/>
      <c r="H4" s="3543"/>
      <c r="I4" s="3543"/>
      <c r="J4" s="3543"/>
      <c r="K4" s="3543"/>
      <c r="L4" s="3543"/>
      <c r="M4" s="3543"/>
      <c r="N4" s="3543"/>
      <c r="O4" s="3543"/>
      <c r="P4" s="3543"/>
      <c r="Q4" s="3543"/>
      <c r="R4" s="3543"/>
      <c r="S4" s="3543"/>
      <c r="T4" s="3543"/>
      <c r="U4" s="3543"/>
      <c r="V4" s="3543"/>
      <c r="W4" s="3543"/>
      <c r="X4" s="3543"/>
      <c r="Y4" s="3543"/>
      <c r="Z4" s="3543"/>
      <c r="AA4" s="3543"/>
      <c r="AB4" s="3543"/>
      <c r="AC4" s="3543"/>
      <c r="AD4" s="3543"/>
      <c r="AE4" s="3543"/>
      <c r="AF4" s="3543"/>
      <c r="AG4" s="3543"/>
      <c r="AH4" s="3543"/>
      <c r="AI4" s="3543"/>
      <c r="AJ4" s="3543"/>
      <c r="AK4" s="3543"/>
      <c r="AL4" s="3543"/>
      <c r="AM4" s="3543"/>
      <c r="AN4" s="3543"/>
      <c r="AO4" s="3543"/>
      <c r="AP4" s="3543"/>
      <c r="AQ4" s="3543"/>
      <c r="AR4" s="3543"/>
      <c r="AS4" s="3543"/>
      <c r="AT4" s="3543"/>
      <c r="AU4" s="3543"/>
      <c r="AV4" s="3543"/>
      <c r="AW4" s="3543"/>
      <c r="AX4" s="3543"/>
      <c r="AY4" s="3543"/>
      <c r="AZ4" s="3543"/>
      <c r="BA4" s="3543"/>
      <c r="BB4" s="3543"/>
      <c r="BC4" s="3543"/>
      <c r="BD4" s="3543"/>
      <c r="BE4" s="3543"/>
      <c r="BF4" s="3543"/>
      <c r="BG4" s="3543"/>
      <c r="BH4" s="3543"/>
      <c r="BI4" s="3543"/>
      <c r="BJ4" s="3543"/>
      <c r="BK4" s="3543"/>
      <c r="BL4" s="3543"/>
      <c r="BM4" s="3543"/>
      <c r="BN4" s="3543"/>
      <c r="BO4" s="3543"/>
      <c r="BP4" s="3543"/>
      <c r="BQ4" s="3543"/>
      <c r="BR4" s="3543"/>
      <c r="BS4" s="3544"/>
      <c r="BT4" s="1541" t="s">
        <v>133</v>
      </c>
      <c r="BU4" s="1544" t="s">
        <v>132</v>
      </c>
      <c r="BV4" s="1542"/>
      <c r="BW4" s="1542"/>
      <c r="BX4" s="1542"/>
      <c r="BY4" s="1542"/>
      <c r="BZ4" s="1542"/>
      <c r="CA4" s="1542"/>
      <c r="CB4" s="1542"/>
      <c r="CC4" s="1542"/>
      <c r="CD4" s="1542"/>
      <c r="CE4" s="1542"/>
      <c r="CF4" s="1542"/>
      <c r="CG4" s="1542"/>
      <c r="CH4" s="1542"/>
      <c r="CI4" s="1542"/>
      <c r="CJ4" s="1542"/>
      <c r="CK4" s="1542"/>
      <c r="CL4" s="1542"/>
      <c r="CM4" s="1542"/>
      <c r="CN4" s="1542"/>
      <c r="CO4" s="1542"/>
    </row>
    <row r="5" spans="1:93" ht="18" customHeight="1" x14ac:dyDescent="0.25">
      <c r="A5" s="3545" t="s">
        <v>261</v>
      </c>
      <c r="B5" s="3545"/>
      <c r="C5" s="3545"/>
      <c r="D5" s="3545"/>
      <c r="E5" s="3545"/>
      <c r="F5" s="3545"/>
      <c r="G5" s="3545"/>
      <c r="H5" s="3545"/>
      <c r="I5" s="3545"/>
      <c r="J5" s="3545"/>
      <c r="K5" s="3545"/>
      <c r="L5" s="3545"/>
      <c r="M5" s="3545"/>
      <c r="N5" s="3545"/>
      <c r="O5" s="3545"/>
      <c r="P5" s="896"/>
      <c r="Q5" s="3548"/>
      <c r="R5" s="3548"/>
      <c r="S5" s="3548"/>
      <c r="T5" s="3548"/>
      <c r="U5" s="3548"/>
      <c r="V5" s="3548"/>
      <c r="W5" s="3548"/>
      <c r="X5" s="3548"/>
      <c r="Y5" s="3548"/>
      <c r="Z5" s="3548"/>
      <c r="AA5" s="3548"/>
      <c r="AB5" s="3548"/>
      <c r="AC5" s="3548"/>
      <c r="AD5" s="3548"/>
      <c r="AE5" s="3548"/>
      <c r="AF5" s="3548"/>
      <c r="AG5" s="3548"/>
      <c r="AH5" s="3548"/>
      <c r="AI5" s="3548"/>
      <c r="AJ5" s="3548"/>
      <c r="AK5" s="3548"/>
      <c r="AL5" s="3548"/>
      <c r="AM5" s="3548"/>
      <c r="AN5" s="3548"/>
      <c r="AO5" s="3548"/>
      <c r="AP5" s="3548"/>
      <c r="AQ5" s="3548"/>
      <c r="AR5" s="3548"/>
      <c r="AS5" s="3548"/>
      <c r="AT5" s="3548"/>
      <c r="AU5" s="3548"/>
      <c r="AV5" s="3548"/>
      <c r="AW5" s="3548"/>
      <c r="AX5" s="3548"/>
      <c r="AY5" s="3548"/>
      <c r="AZ5" s="3548"/>
      <c r="BA5" s="3548"/>
      <c r="BB5" s="3548"/>
      <c r="BC5" s="3548"/>
      <c r="BD5" s="3548"/>
      <c r="BE5" s="3548"/>
      <c r="BF5" s="3548"/>
      <c r="BG5" s="3548"/>
      <c r="BH5" s="3548"/>
      <c r="BI5" s="3548"/>
      <c r="BJ5" s="3548"/>
      <c r="BK5" s="3548"/>
      <c r="BL5" s="3548"/>
      <c r="BM5" s="3548"/>
      <c r="BN5" s="3548"/>
      <c r="BO5" s="3548"/>
      <c r="BP5" s="3548"/>
      <c r="BQ5" s="3548"/>
      <c r="BR5" s="3548"/>
      <c r="BS5" s="3548"/>
      <c r="BT5" s="3548"/>
      <c r="BU5" s="3548"/>
      <c r="BV5" s="1542"/>
      <c r="BW5" s="1542"/>
      <c r="BX5" s="1542"/>
      <c r="BY5" s="1542"/>
      <c r="BZ5" s="1542"/>
      <c r="CA5" s="1542"/>
      <c r="CB5" s="1542"/>
      <c r="CC5" s="1542"/>
      <c r="CD5" s="1542"/>
      <c r="CE5" s="1542"/>
      <c r="CF5" s="1542"/>
      <c r="CG5" s="1542"/>
      <c r="CH5" s="1542"/>
      <c r="CI5" s="1542"/>
      <c r="CJ5" s="1542"/>
      <c r="CK5" s="1542"/>
      <c r="CL5" s="1542"/>
      <c r="CM5" s="1542"/>
      <c r="CN5" s="1542"/>
      <c r="CO5" s="1542"/>
    </row>
    <row r="6" spans="1:93" ht="16.5" customHeight="1" x14ac:dyDescent="0.25">
      <c r="A6" s="3546"/>
      <c r="B6" s="3546"/>
      <c r="C6" s="3546"/>
      <c r="D6" s="3546"/>
      <c r="E6" s="3546"/>
      <c r="F6" s="3546"/>
      <c r="G6" s="3546"/>
      <c r="H6" s="3546"/>
      <c r="I6" s="3546"/>
      <c r="J6" s="3546"/>
      <c r="K6" s="3546"/>
      <c r="L6" s="3546"/>
      <c r="M6" s="3546"/>
      <c r="N6" s="3546"/>
      <c r="O6" s="3547"/>
      <c r="P6" s="1545"/>
      <c r="Q6" s="1545"/>
      <c r="R6" s="1546"/>
      <c r="S6" s="1545"/>
      <c r="T6" s="1547"/>
      <c r="U6" s="1546"/>
      <c r="V6" s="1546"/>
      <c r="W6" s="1546"/>
      <c r="X6" s="1548"/>
      <c r="Y6" s="1548"/>
      <c r="Z6" s="1548"/>
      <c r="AA6" s="1549"/>
      <c r="AB6" s="898"/>
      <c r="AC6" s="898"/>
      <c r="AD6" s="3549" t="s">
        <v>130</v>
      </c>
      <c r="AE6" s="3546"/>
      <c r="AF6" s="3546"/>
      <c r="AG6" s="3546"/>
      <c r="AH6" s="3546"/>
      <c r="AI6" s="3546"/>
      <c r="AJ6" s="3546"/>
      <c r="AK6" s="3546"/>
      <c r="AL6" s="3546"/>
      <c r="AM6" s="3546"/>
      <c r="AN6" s="3546"/>
      <c r="AO6" s="3546"/>
      <c r="AP6" s="3546"/>
      <c r="AQ6" s="3546"/>
      <c r="AR6" s="3546"/>
      <c r="AS6" s="3546"/>
      <c r="AT6" s="3546"/>
      <c r="AU6" s="3546"/>
      <c r="AV6" s="3546"/>
      <c r="AW6" s="3546"/>
      <c r="AX6" s="3546"/>
      <c r="AY6" s="3546"/>
      <c r="AZ6" s="3546"/>
      <c r="BA6" s="3546"/>
      <c r="BB6" s="3546"/>
      <c r="BC6" s="3546"/>
      <c r="BD6" s="3546"/>
      <c r="BE6" s="3546"/>
      <c r="BF6" s="3550"/>
      <c r="BG6" s="898"/>
      <c r="BH6" s="898"/>
      <c r="BI6" s="898"/>
      <c r="BJ6" s="898"/>
      <c r="BK6" s="898"/>
      <c r="BL6" s="898"/>
      <c r="BM6" s="898"/>
      <c r="BN6" s="898"/>
      <c r="BO6" s="898"/>
      <c r="BP6" s="898"/>
      <c r="BQ6" s="898"/>
      <c r="BR6" s="898"/>
      <c r="BS6" s="898"/>
      <c r="BT6" s="898"/>
      <c r="BU6" s="899"/>
      <c r="BV6" s="1542"/>
      <c r="BW6" s="1542"/>
      <c r="BX6" s="1542"/>
      <c r="BY6" s="1542"/>
      <c r="BZ6" s="1542"/>
      <c r="CA6" s="1542"/>
      <c r="CB6" s="1542"/>
      <c r="CC6" s="1542"/>
      <c r="CD6" s="1542"/>
      <c r="CE6" s="1542"/>
      <c r="CF6" s="1542"/>
      <c r="CG6" s="1542"/>
      <c r="CH6" s="1542"/>
      <c r="CI6" s="1542"/>
      <c r="CJ6" s="1542"/>
      <c r="CK6" s="1542"/>
      <c r="CL6" s="1542"/>
      <c r="CM6" s="1542"/>
      <c r="CN6" s="1542"/>
      <c r="CO6" s="1542"/>
    </row>
    <row r="7" spans="1:93" ht="36.75" customHeight="1" x14ac:dyDescent="0.25">
      <c r="A7" s="3551" t="s">
        <v>129</v>
      </c>
      <c r="B7" s="3552"/>
      <c r="C7" s="3553" t="s">
        <v>128</v>
      </c>
      <c r="D7" s="3551"/>
      <c r="E7" s="3551" t="s">
        <v>127</v>
      </c>
      <c r="F7" s="3552"/>
      <c r="G7" s="2639" t="s">
        <v>126</v>
      </c>
      <c r="H7" s="2637"/>
      <c r="I7" s="2637"/>
      <c r="J7" s="2637"/>
      <c r="K7" s="2639" t="s">
        <v>125</v>
      </c>
      <c r="L7" s="2637"/>
      <c r="M7" s="2637"/>
      <c r="N7" s="2637"/>
      <c r="O7" s="3554" t="s">
        <v>124</v>
      </c>
      <c r="P7" s="3555"/>
      <c r="Q7" s="3555"/>
      <c r="R7" s="3555"/>
      <c r="S7" s="3555"/>
      <c r="T7" s="3555"/>
      <c r="U7" s="3555"/>
      <c r="V7" s="3555"/>
      <c r="W7" s="3555"/>
      <c r="X7" s="3555"/>
      <c r="Y7" s="3555"/>
      <c r="Z7" s="3556"/>
      <c r="AA7" s="3560" t="s">
        <v>123</v>
      </c>
      <c r="AB7" s="3560"/>
      <c r="AC7" s="3561"/>
      <c r="AD7" s="3562" t="s">
        <v>122</v>
      </c>
      <c r="AE7" s="3563"/>
      <c r="AF7" s="3563"/>
      <c r="AG7" s="3564"/>
      <c r="AH7" s="3529" t="s">
        <v>121</v>
      </c>
      <c r="AI7" s="3530"/>
      <c r="AJ7" s="3530"/>
      <c r="AK7" s="3530"/>
      <c r="AL7" s="3530"/>
      <c r="AM7" s="3530"/>
      <c r="AN7" s="3530"/>
      <c r="AO7" s="3531"/>
      <c r="AP7" s="3565" t="s">
        <v>120</v>
      </c>
      <c r="AQ7" s="3566"/>
      <c r="AR7" s="3566"/>
      <c r="AS7" s="3566"/>
      <c r="AT7" s="3566"/>
      <c r="AU7" s="3566"/>
      <c r="AV7" s="3566"/>
      <c r="AW7" s="3566"/>
      <c r="AX7" s="3566"/>
      <c r="AY7" s="3566"/>
      <c r="AZ7" s="3566"/>
      <c r="BA7" s="3567"/>
      <c r="BB7" s="3568" t="s">
        <v>119</v>
      </c>
      <c r="BC7" s="3568"/>
      <c r="BD7" s="3568"/>
      <c r="BE7" s="3568"/>
      <c r="BF7" s="3568"/>
      <c r="BG7" s="3568"/>
      <c r="BH7" s="3569" t="s">
        <v>118</v>
      </c>
      <c r="BI7" s="3570"/>
      <c r="BJ7" s="3529" t="s">
        <v>737</v>
      </c>
      <c r="BK7" s="3530"/>
      <c r="BL7" s="3530"/>
      <c r="BM7" s="3530"/>
      <c r="BN7" s="3530"/>
      <c r="BO7" s="3530"/>
      <c r="BP7" s="3531"/>
      <c r="BQ7" s="3532" t="s">
        <v>116</v>
      </c>
      <c r="BR7" s="3532"/>
      <c r="BS7" s="3532" t="s">
        <v>115</v>
      </c>
      <c r="BT7" s="3532"/>
      <c r="BU7" s="3557" t="s">
        <v>114</v>
      </c>
      <c r="BV7" s="1542"/>
      <c r="BW7" s="1542"/>
      <c r="BX7" s="1542"/>
      <c r="BY7" s="1542"/>
      <c r="BZ7" s="1542"/>
      <c r="CA7" s="1542"/>
      <c r="CB7" s="1542"/>
      <c r="CC7" s="1542"/>
      <c r="CD7" s="1542"/>
      <c r="CE7" s="1542"/>
      <c r="CF7" s="1542"/>
      <c r="CG7" s="1542"/>
      <c r="CH7" s="1542"/>
      <c r="CI7" s="1542"/>
      <c r="CJ7" s="1542"/>
      <c r="CK7" s="1542"/>
      <c r="CL7" s="1542"/>
      <c r="CM7" s="1542"/>
      <c r="CN7" s="1542"/>
      <c r="CO7" s="1542"/>
    </row>
    <row r="8" spans="1:93" ht="103.5" customHeight="1" x14ac:dyDescent="0.25">
      <c r="A8" s="3558" t="s">
        <v>71</v>
      </c>
      <c r="B8" s="3528" t="s">
        <v>70</v>
      </c>
      <c r="C8" s="3528" t="s">
        <v>71</v>
      </c>
      <c r="D8" s="3528" t="s">
        <v>70</v>
      </c>
      <c r="E8" s="3528" t="s">
        <v>71</v>
      </c>
      <c r="F8" s="3528" t="s">
        <v>70</v>
      </c>
      <c r="G8" s="3528" t="s">
        <v>110</v>
      </c>
      <c r="H8" s="3528" t="s">
        <v>113</v>
      </c>
      <c r="I8" s="3528" t="s">
        <v>112</v>
      </c>
      <c r="J8" s="3528" t="s">
        <v>142</v>
      </c>
      <c r="K8" s="3528" t="s">
        <v>110</v>
      </c>
      <c r="L8" s="3528" t="s">
        <v>109</v>
      </c>
      <c r="M8" s="3528" t="s">
        <v>108</v>
      </c>
      <c r="N8" s="3528" t="s">
        <v>107</v>
      </c>
      <c r="O8" s="3578" t="s">
        <v>739</v>
      </c>
      <c r="P8" s="3578"/>
      <c r="Q8" s="3525" t="s">
        <v>105</v>
      </c>
      <c r="R8" s="3525" t="s">
        <v>104</v>
      </c>
      <c r="S8" s="3525" t="s">
        <v>103</v>
      </c>
      <c r="T8" s="3523" t="s">
        <v>102</v>
      </c>
      <c r="U8" s="3525" t="s">
        <v>101</v>
      </c>
      <c r="V8" s="3525" t="s">
        <v>100</v>
      </c>
      <c r="W8" s="3525" t="s">
        <v>99</v>
      </c>
      <c r="X8" s="3576" t="s">
        <v>102</v>
      </c>
      <c r="Y8" s="3576"/>
      <c r="Z8" s="3576"/>
      <c r="AA8" s="3577" t="s">
        <v>97</v>
      </c>
      <c r="AB8" s="3528" t="s">
        <v>96</v>
      </c>
      <c r="AC8" s="3573" t="s">
        <v>70</v>
      </c>
      <c r="AD8" s="3521" t="s">
        <v>95</v>
      </c>
      <c r="AE8" s="3522"/>
      <c r="AF8" s="3574" t="s">
        <v>94</v>
      </c>
      <c r="AG8" s="3575"/>
      <c r="AH8" s="3521" t="s">
        <v>93</v>
      </c>
      <c r="AI8" s="3522"/>
      <c r="AJ8" s="3521" t="s">
        <v>92</v>
      </c>
      <c r="AK8" s="3522"/>
      <c r="AL8" s="3521" t="s">
        <v>741</v>
      </c>
      <c r="AM8" s="3522"/>
      <c r="AN8" s="3521" t="s">
        <v>90</v>
      </c>
      <c r="AO8" s="3522"/>
      <c r="AP8" s="3521" t="s">
        <v>89</v>
      </c>
      <c r="AQ8" s="3522"/>
      <c r="AR8" s="3521" t="s">
        <v>88</v>
      </c>
      <c r="AS8" s="3522"/>
      <c r="AT8" s="3521" t="s">
        <v>87</v>
      </c>
      <c r="AU8" s="3522"/>
      <c r="AV8" s="3521" t="s">
        <v>742</v>
      </c>
      <c r="AW8" s="3522"/>
      <c r="AX8" s="3521" t="s">
        <v>85</v>
      </c>
      <c r="AY8" s="3522"/>
      <c r="AZ8" s="3521" t="s">
        <v>84</v>
      </c>
      <c r="BA8" s="3522"/>
      <c r="BB8" s="3519" t="s">
        <v>83</v>
      </c>
      <c r="BC8" s="3520"/>
      <c r="BD8" s="3519" t="s">
        <v>82</v>
      </c>
      <c r="BE8" s="3520"/>
      <c r="BF8" s="3519" t="s">
        <v>81</v>
      </c>
      <c r="BG8" s="3520"/>
      <c r="BH8" s="3571"/>
      <c r="BI8" s="3572"/>
      <c r="BJ8" s="3538" t="s">
        <v>744</v>
      </c>
      <c r="BK8" s="3539" t="s">
        <v>268</v>
      </c>
      <c r="BL8" s="3539" t="s">
        <v>269</v>
      </c>
      <c r="BM8" s="3540" t="s">
        <v>77</v>
      </c>
      <c r="BN8" s="3538" t="s">
        <v>745</v>
      </c>
      <c r="BO8" s="3538"/>
      <c r="BP8" s="3533" t="s">
        <v>75</v>
      </c>
      <c r="BQ8" s="3532"/>
      <c r="BR8" s="3532"/>
      <c r="BS8" s="3532"/>
      <c r="BT8" s="3532"/>
      <c r="BU8" s="3557"/>
      <c r="BV8" s="1542"/>
      <c r="BW8" s="1542"/>
      <c r="BX8" s="1542"/>
      <c r="BY8" s="1542"/>
      <c r="BZ8" s="1542"/>
      <c r="CA8" s="1542"/>
      <c r="CB8" s="1542"/>
      <c r="CC8" s="1542"/>
      <c r="CD8" s="1542"/>
      <c r="CE8" s="1542"/>
      <c r="CF8" s="1542"/>
      <c r="CG8" s="1542"/>
      <c r="CH8" s="1542"/>
      <c r="CI8" s="1542"/>
      <c r="CJ8" s="1542"/>
      <c r="CK8" s="1542"/>
      <c r="CL8" s="1542"/>
      <c r="CM8" s="1542"/>
      <c r="CN8" s="1542"/>
      <c r="CO8" s="1542"/>
    </row>
    <row r="9" spans="1:93" ht="40.5" customHeight="1" x14ac:dyDescent="0.25">
      <c r="A9" s="3559"/>
      <c r="B9" s="3528"/>
      <c r="C9" s="3528"/>
      <c r="D9" s="3528"/>
      <c r="E9" s="3528"/>
      <c r="F9" s="3528"/>
      <c r="G9" s="3528"/>
      <c r="H9" s="3528"/>
      <c r="I9" s="3528"/>
      <c r="J9" s="3528"/>
      <c r="K9" s="3528"/>
      <c r="L9" s="3528"/>
      <c r="M9" s="3528"/>
      <c r="N9" s="3528"/>
      <c r="O9" s="1550" t="s">
        <v>69</v>
      </c>
      <c r="P9" s="1551" t="s">
        <v>68</v>
      </c>
      <c r="Q9" s="3526"/>
      <c r="R9" s="3526"/>
      <c r="S9" s="3526"/>
      <c r="T9" s="3524"/>
      <c r="U9" s="3526"/>
      <c r="V9" s="3526"/>
      <c r="W9" s="3526"/>
      <c r="X9" s="1552" t="s">
        <v>74</v>
      </c>
      <c r="Y9" s="1552" t="s">
        <v>73</v>
      </c>
      <c r="Z9" s="1552" t="s">
        <v>72</v>
      </c>
      <c r="AA9" s="3577"/>
      <c r="AB9" s="3528"/>
      <c r="AC9" s="3573"/>
      <c r="AD9" s="1551" t="s">
        <v>69</v>
      </c>
      <c r="AE9" s="1551" t="s">
        <v>68</v>
      </c>
      <c r="AF9" s="1553" t="s">
        <v>69</v>
      </c>
      <c r="AG9" s="1553" t="s">
        <v>68</v>
      </c>
      <c r="AH9" s="1551" t="s">
        <v>69</v>
      </c>
      <c r="AI9" s="1551" t="s">
        <v>68</v>
      </c>
      <c r="AJ9" s="1551" t="s">
        <v>69</v>
      </c>
      <c r="AK9" s="1551" t="s">
        <v>68</v>
      </c>
      <c r="AL9" s="1551" t="s">
        <v>69</v>
      </c>
      <c r="AM9" s="1551" t="s">
        <v>68</v>
      </c>
      <c r="AN9" s="1551" t="s">
        <v>69</v>
      </c>
      <c r="AO9" s="1551" t="s">
        <v>68</v>
      </c>
      <c r="AP9" s="1551" t="s">
        <v>69</v>
      </c>
      <c r="AQ9" s="1551" t="s">
        <v>68</v>
      </c>
      <c r="AR9" s="1551" t="s">
        <v>69</v>
      </c>
      <c r="AS9" s="1551" t="s">
        <v>68</v>
      </c>
      <c r="AT9" s="1551" t="s">
        <v>69</v>
      </c>
      <c r="AU9" s="1551" t="s">
        <v>68</v>
      </c>
      <c r="AV9" s="1551" t="s">
        <v>69</v>
      </c>
      <c r="AW9" s="1551" t="s">
        <v>68</v>
      </c>
      <c r="AX9" s="1551" t="s">
        <v>69</v>
      </c>
      <c r="AY9" s="1551" t="s">
        <v>68</v>
      </c>
      <c r="AZ9" s="1551" t="s">
        <v>69</v>
      </c>
      <c r="BA9" s="1551" t="s">
        <v>68</v>
      </c>
      <c r="BB9" s="1551" t="s">
        <v>69</v>
      </c>
      <c r="BC9" s="1551" t="s">
        <v>68</v>
      </c>
      <c r="BD9" s="1551" t="s">
        <v>69</v>
      </c>
      <c r="BE9" s="1551" t="s">
        <v>68</v>
      </c>
      <c r="BF9" s="1551" t="s">
        <v>69</v>
      </c>
      <c r="BG9" s="1551" t="s">
        <v>68</v>
      </c>
      <c r="BH9" s="1554" t="s">
        <v>69</v>
      </c>
      <c r="BI9" s="1554" t="s">
        <v>68</v>
      </c>
      <c r="BJ9" s="3538"/>
      <c r="BK9" s="3539"/>
      <c r="BL9" s="3539"/>
      <c r="BM9" s="3540"/>
      <c r="BN9" s="907" t="s">
        <v>746</v>
      </c>
      <c r="BO9" s="907" t="s">
        <v>747</v>
      </c>
      <c r="BP9" s="3533"/>
      <c r="BQ9" s="1555" t="s">
        <v>69</v>
      </c>
      <c r="BR9" s="1555" t="s">
        <v>68</v>
      </c>
      <c r="BS9" s="1555" t="s">
        <v>69</v>
      </c>
      <c r="BT9" s="1555" t="s">
        <v>68</v>
      </c>
      <c r="BU9" s="3557"/>
      <c r="BV9" s="1542"/>
      <c r="BW9" s="1542"/>
      <c r="BX9" s="1542"/>
      <c r="BY9" s="1542"/>
      <c r="BZ9" s="1542"/>
      <c r="CA9" s="1542"/>
      <c r="CB9" s="1542"/>
      <c r="CC9" s="1542"/>
      <c r="CD9" s="1542"/>
      <c r="CE9" s="1542"/>
      <c r="CF9" s="1542"/>
      <c r="CG9" s="1542"/>
      <c r="CH9" s="1542"/>
      <c r="CI9" s="1542"/>
      <c r="CJ9" s="1542"/>
      <c r="CK9" s="1542"/>
      <c r="CL9" s="1542"/>
      <c r="CM9" s="1542"/>
      <c r="CN9" s="1542"/>
      <c r="CO9" s="1542"/>
    </row>
    <row r="10" spans="1:93" ht="27" customHeight="1" x14ac:dyDescent="0.25">
      <c r="A10" s="1556">
        <v>1</v>
      </c>
      <c r="B10" s="3324" t="s">
        <v>1184</v>
      </c>
      <c r="C10" s="3325"/>
      <c r="D10" s="3325"/>
      <c r="E10" s="3325"/>
      <c r="F10" s="3325"/>
      <c r="G10" s="1557"/>
      <c r="H10" s="1558"/>
      <c r="I10" s="1557"/>
      <c r="J10" s="1559"/>
      <c r="K10" s="1560"/>
      <c r="L10" s="1559"/>
      <c r="M10" s="1560"/>
      <c r="N10" s="1559"/>
      <c r="O10" s="1560"/>
      <c r="P10" s="1560"/>
      <c r="Q10" s="1561"/>
      <c r="R10" s="1562"/>
      <c r="S10" s="1563"/>
      <c r="T10" s="1564"/>
      <c r="U10" s="1562"/>
      <c r="V10" s="1562"/>
      <c r="W10" s="1562"/>
      <c r="X10" s="1565"/>
      <c r="Y10" s="1565"/>
      <c r="Z10" s="1565"/>
      <c r="AA10" s="1566"/>
      <c r="AB10" s="1567"/>
      <c r="AC10" s="1560"/>
      <c r="AD10" s="1560"/>
      <c r="AE10" s="1560"/>
      <c r="AF10" s="1560"/>
      <c r="AG10" s="1560"/>
      <c r="AH10" s="1560"/>
      <c r="AI10" s="1560"/>
      <c r="AJ10" s="1560"/>
      <c r="AK10" s="1560"/>
      <c r="AL10" s="1560"/>
      <c r="AM10" s="1560"/>
      <c r="AN10" s="1560"/>
      <c r="AO10" s="1560"/>
      <c r="AP10" s="1560"/>
      <c r="AQ10" s="1560"/>
      <c r="AR10" s="1560"/>
      <c r="AS10" s="1560"/>
      <c r="AT10" s="1560"/>
      <c r="AU10" s="1560"/>
      <c r="AV10" s="1560"/>
      <c r="AW10" s="1560"/>
      <c r="AX10" s="1560"/>
      <c r="AY10" s="1560"/>
      <c r="AZ10" s="1560"/>
      <c r="BA10" s="1560"/>
      <c r="BB10" s="1560"/>
      <c r="BC10" s="1560"/>
      <c r="BD10" s="1560"/>
      <c r="BE10" s="1560"/>
      <c r="BF10" s="1560"/>
      <c r="BG10" s="1560"/>
      <c r="BH10" s="1560"/>
      <c r="BI10" s="1560"/>
      <c r="BJ10" s="1560"/>
      <c r="BK10" s="1560"/>
      <c r="BL10" s="1560"/>
      <c r="BM10" s="1560"/>
      <c r="BN10" s="1560"/>
      <c r="BO10" s="1560"/>
      <c r="BP10" s="1560"/>
      <c r="BQ10" s="1568"/>
      <c r="BR10" s="1568"/>
      <c r="BS10" s="1568"/>
      <c r="BT10" s="1568"/>
      <c r="BU10" s="1569"/>
      <c r="BV10" s="1542"/>
      <c r="BW10" s="1542"/>
      <c r="BX10" s="1542"/>
      <c r="BY10" s="1542"/>
      <c r="BZ10" s="1542"/>
      <c r="CA10" s="1542"/>
      <c r="CB10" s="1542"/>
      <c r="CC10" s="1542"/>
      <c r="CD10" s="1542"/>
      <c r="CE10" s="1542"/>
      <c r="CF10" s="1542"/>
      <c r="CG10" s="1542"/>
      <c r="CH10" s="1542"/>
      <c r="CI10" s="1542"/>
      <c r="CJ10" s="1542"/>
      <c r="CK10" s="1542"/>
      <c r="CL10" s="1542"/>
      <c r="CM10" s="1542"/>
      <c r="CN10" s="1542"/>
      <c r="CO10" s="1542"/>
    </row>
    <row r="11" spans="1:93" ht="27" customHeight="1" x14ac:dyDescent="0.25">
      <c r="A11" s="1570"/>
      <c r="B11" s="897"/>
      <c r="C11" s="115">
        <v>12</v>
      </c>
      <c r="D11" s="3534" t="s">
        <v>410</v>
      </c>
      <c r="E11" s="3535"/>
      <c r="F11" s="3535"/>
      <c r="G11" s="3535"/>
      <c r="H11" s="3535"/>
      <c r="I11" s="3535"/>
      <c r="J11" s="1571"/>
      <c r="K11" s="1572"/>
      <c r="L11" s="1571"/>
      <c r="M11" s="1572"/>
      <c r="N11" s="1571"/>
      <c r="O11" s="1572"/>
      <c r="P11" s="1572"/>
      <c r="Q11" s="1572"/>
      <c r="R11" s="1571"/>
      <c r="S11" s="1573"/>
      <c r="T11" s="1574"/>
      <c r="U11" s="1571"/>
      <c r="V11" s="1571"/>
      <c r="W11" s="1571"/>
      <c r="X11" s="1575"/>
      <c r="Y11" s="1575"/>
      <c r="Z11" s="1575"/>
      <c r="AA11" s="1576"/>
      <c r="AB11" s="1577"/>
      <c r="AC11" s="1572"/>
      <c r="AD11" s="1572"/>
      <c r="AE11" s="1572"/>
      <c r="AF11" s="1572"/>
      <c r="AG11" s="1572"/>
      <c r="AH11" s="1572"/>
      <c r="AI11" s="1572"/>
      <c r="AJ11" s="1572"/>
      <c r="AK11" s="1572"/>
      <c r="AL11" s="1572"/>
      <c r="AM11" s="1572"/>
      <c r="AN11" s="1572"/>
      <c r="AO11" s="1572"/>
      <c r="AP11" s="1572"/>
      <c r="AQ11" s="1572"/>
      <c r="AR11" s="1572"/>
      <c r="AS11" s="1572"/>
      <c r="AT11" s="1572"/>
      <c r="AU11" s="1572"/>
      <c r="AV11" s="1572"/>
      <c r="AW11" s="1572"/>
      <c r="AX11" s="1572"/>
      <c r="AY11" s="1572"/>
      <c r="AZ11" s="1572"/>
      <c r="BA11" s="1572"/>
      <c r="BB11" s="1572"/>
      <c r="BC11" s="1572"/>
      <c r="BD11" s="1572"/>
      <c r="BE11" s="1572"/>
      <c r="BF11" s="1572"/>
      <c r="BG11" s="1572"/>
      <c r="BH11" s="1572"/>
      <c r="BI11" s="1572"/>
      <c r="BJ11" s="1572"/>
      <c r="BK11" s="1572"/>
      <c r="BL11" s="1572"/>
      <c r="BM11" s="1572"/>
      <c r="BN11" s="1572"/>
      <c r="BO11" s="1572"/>
      <c r="BP11" s="1572"/>
      <c r="BQ11" s="1578"/>
      <c r="BR11" s="1578"/>
      <c r="BS11" s="1578"/>
      <c r="BT11" s="1578"/>
      <c r="BU11" s="1579"/>
    </row>
    <row r="12" spans="1:93" s="1542" customFormat="1" ht="27" customHeight="1" x14ac:dyDescent="0.25">
      <c r="A12" s="3389"/>
      <c r="B12" s="3220"/>
      <c r="C12" s="1580"/>
      <c r="D12" s="1581"/>
      <c r="E12" s="1582">
        <v>1202</v>
      </c>
      <c r="F12" s="3536" t="s">
        <v>2244</v>
      </c>
      <c r="G12" s="3537"/>
      <c r="H12" s="3537"/>
      <c r="I12" s="3537"/>
      <c r="J12" s="3537"/>
      <c r="K12" s="3537"/>
      <c r="L12" s="3537"/>
      <c r="M12" s="3537"/>
      <c r="N12" s="3537"/>
      <c r="O12" s="3537"/>
      <c r="P12" s="3537"/>
      <c r="Q12" s="3537"/>
      <c r="R12" s="1583"/>
      <c r="S12" s="1584"/>
      <c r="T12" s="1585"/>
      <c r="U12" s="1583"/>
      <c r="V12" s="1583"/>
      <c r="W12" s="1583"/>
      <c r="X12" s="1586"/>
      <c r="Y12" s="1586"/>
      <c r="Z12" s="1586"/>
      <c r="AA12" s="1587"/>
      <c r="AB12" s="1584"/>
      <c r="AC12" s="1584"/>
      <c r="AD12" s="1584"/>
      <c r="AE12" s="1584"/>
      <c r="AF12" s="1584"/>
      <c r="AG12" s="1584"/>
      <c r="AH12" s="1584"/>
      <c r="AI12" s="1584"/>
      <c r="AJ12" s="1584"/>
      <c r="AK12" s="1584"/>
      <c r="AL12" s="1584"/>
      <c r="AM12" s="1584"/>
      <c r="AN12" s="1584"/>
      <c r="AO12" s="1584"/>
      <c r="AP12" s="1584"/>
      <c r="AQ12" s="1584"/>
      <c r="AR12" s="1584"/>
      <c r="AS12" s="1584"/>
      <c r="AT12" s="1584"/>
      <c r="AU12" s="1584"/>
      <c r="AV12" s="1584"/>
      <c r="AW12" s="1584"/>
      <c r="AX12" s="1584"/>
      <c r="AY12" s="1584"/>
      <c r="AZ12" s="1584"/>
      <c r="BA12" s="1584"/>
      <c r="BB12" s="1584"/>
      <c r="BC12" s="1584"/>
      <c r="BD12" s="1584"/>
      <c r="BE12" s="1584"/>
      <c r="BF12" s="1584"/>
      <c r="BG12" s="1584"/>
      <c r="BH12" s="1584"/>
      <c r="BI12" s="1584"/>
      <c r="BJ12" s="1584"/>
      <c r="BK12" s="1584"/>
      <c r="BL12" s="1584"/>
      <c r="BM12" s="1584"/>
      <c r="BN12" s="1584"/>
      <c r="BO12" s="1584"/>
      <c r="BP12" s="1584"/>
      <c r="BQ12" s="1584"/>
      <c r="BR12" s="1584"/>
      <c r="BS12" s="1584"/>
      <c r="BT12" s="1584"/>
      <c r="BU12" s="1588"/>
    </row>
    <row r="13" spans="1:93" s="1542" customFormat="1" ht="48" customHeight="1" x14ac:dyDescent="0.25">
      <c r="A13" s="3389"/>
      <c r="B13" s="3220"/>
      <c r="C13" s="1589"/>
      <c r="D13" s="1590"/>
      <c r="E13" s="3473"/>
      <c r="F13" s="3473"/>
      <c r="G13" s="3287">
        <v>1202004</v>
      </c>
      <c r="H13" s="3466" t="s">
        <v>2245</v>
      </c>
      <c r="I13" s="3287">
        <v>1202004</v>
      </c>
      <c r="J13" s="3466" t="s">
        <v>2245</v>
      </c>
      <c r="K13" s="3517">
        <v>120200400</v>
      </c>
      <c r="L13" s="3482" t="s">
        <v>1727</v>
      </c>
      <c r="M13" s="3517">
        <v>120200400</v>
      </c>
      <c r="N13" s="3482" t="s">
        <v>1727</v>
      </c>
      <c r="O13" s="3152">
        <v>12</v>
      </c>
      <c r="P13" s="3152">
        <v>12</v>
      </c>
      <c r="Q13" s="3153" t="s">
        <v>2246</v>
      </c>
      <c r="R13" s="3513" t="s">
        <v>2247</v>
      </c>
      <c r="S13" s="3471">
        <f>T13/SUM(X13:X21)</f>
        <v>1</v>
      </c>
      <c r="T13" s="3516">
        <f>SUM(X13:X21)</f>
        <v>135355000</v>
      </c>
      <c r="U13" s="3527" t="s">
        <v>2248</v>
      </c>
      <c r="V13" s="3467" t="s">
        <v>2249</v>
      </c>
      <c r="W13" s="3182" t="s">
        <v>2250</v>
      </c>
      <c r="X13" s="1591">
        <v>15400000</v>
      </c>
      <c r="Y13" s="1591">
        <v>15400000</v>
      </c>
      <c r="Z13" s="1591">
        <v>15400000</v>
      </c>
      <c r="AA13" s="1181" t="s">
        <v>2251</v>
      </c>
      <c r="AB13" s="1592">
        <v>20</v>
      </c>
      <c r="AC13" s="895" t="s">
        <v>1830</v>
      </c>
      <c r="AD13" s="3509">
        <v>291786</v>
      </c>
      <c r="AE13" s="3509">
        <v>291786</v>
      </c>
      <c r="AF13" s="3509">
        <v>270331</v>
      </c>
      <c r="AG13" s="3509">
        <v>270331</v>
      </c>
      <c r="AH13" s="3509">
        <v>102045</v>
      </c>
      <c r="AI13" s="3509">
        <v>102045</v>
      </c>
      <c r="AJ13" s="3509">
        <v>39183</v>
      </c>
      <c r="AK13" s="3509">
        <v>39183</v>
      </c>
      <c r="AL13" s="3509">
        <v>310195</v>
      </c>
      <c r="AM13" s="3509">
        <v>310195</v>
      </c>
      <c r="AN13" s="3509">
        <v>110694</v>
      </c>
      <c r="AO13" s="3509">
        <v>110694</v>
      </c>
      <c r="AP13" s="3509">
        <v>2145</v>
      </c>
      <c r="AQ13" s="3509"/>
      <c r="AR13" s="3509">
        <v>12718</v>
      </c>
      <c r="AS13" s="3509"/>
      <c r="AT13" s="3509">
        <v>26</v>
      </c>
      <c r="AU13" s="3509"/>
      <c r="AV13" s="3509">
        <v>37</v>
      </c>
      <c r="AW13" s="3509">
        <v>0</v>
      </c>
      <c r="AX13" s="3509"/>
      <c r="AY13" s="3509">
        <v>0</v>
      </c>
      <c r="AZ13" s="3509"/>
      <c r="BA13" s="3509">
        <v>0</v>
      </c>
      <c r="BB13" s="3509">
        <v>44350</v>
      </c>
      <c r="BC13" s="3509"/>
      <c r="BD13" s="3509">
        <v>21944</v>
      </c>
      <c r="BE13" s="3509"/>
      <c r="BF13" s="3509">
        <v>75687</v>
      </c>
      <c r="BG13" s="3509"/>
      <c r="BH13" s="3509">
        <f>+AD13+AF13</f>
        <v>562117</v>
      </c>
      <c r="BI13" s="3448">
        <f>+AE13+AG13</f>
        <v>562117</v>
      </c>
      <c r="BJ13" s="3448">
        <v>9</v>
      </c>
      <c r="BK13" s="3502">
        <f>SUM(Y13:Y21)</f>
        <v>129803000</v>
      </c>
      <c r="BL13" s="3502">
        <f>SUM(Z13:Z21)</f>
        <v>129803000</v>
      </c>
      <c r="BM13" s="3424">
        <f>BL13/BK13</f>
        <v>1</v>
      </c>
      <c r="BN13" s="3448">
        <v>20</v>
      </c>
      <c r="BO13" s="3506" t="s">
        <v>1830</v>
      </c>
      <c r="BP13" s="3448" t="s">
        <v>2252</v>
      </c>
      <c r="BQ13" s="3497">
        <v>44211</v>
      </c>
      <c r="BR13" s="3497">
        <v>44228</v>
      </c>
      <c r="BS13" s="3497">
        <v>44560</v>
      </c>
      <c r="BT13" s="3497">
        <v>44560</v>
      </c>
      <c r="BU13" s="3499" t="s">
        <v>2253</v>
      </c>
    </row>
    <row r="14" spans="1:93" s="1542" customFormat="1" ht="48" customHeight="1" x14ac:dyDescent="0.25">
      <c r="A14" s="3389"/>
      <c r="B14" s="3220"/>
      <c r="C14" s="1589"/>
      <c r="D14" s="1590"/>
      <c r="E14" s="3473"/>
      <c r="F14" s="3473"/>
      <c r="G14" s="3287"/>
      <c r="H14" s="3466"/>
      <c r="I14" s="3287"/>
      <c r="J14" s="3466"/>
      <c r="K14" s="3517"/>
      <c r="L14" s="3482"/>
      <c r="M14" s="3517"/>
      <c r="N14" s="3482"/>
      <c r="O14" s="3152"/>
      <c r="P14" s="3152"/>
      <c r="Q14" s="3153"/>
      <c r="R14" s="3514"/>
      <c r="S14" s="3471"/>
      <c r="T14" s="3516"/>
      <c r="U14" s="3527"/>
      <c r="V14" s="3468"/>
      <c r="W14" s="3480"/>
      <c r="X14" s="1591">
        <v>25000000</v>
      </c>
      <c r="Y14" s="1591">
        <v>21269000</v>
      </c>
      <c r="Z14" s="1591">
        <v>21269000</v>
      </c>
      <c r="AA14" s="1181" t="s">
        <v>2254</v>
      </c>
      <c r="AB14" s="1592">
        <v>88</v>
      </c>
      <c r="AC14" s="895" t="s">
        <v>2255</v>
      </c>
      <c r="AD14" s="3510"/>
      <c r="AE14" s="3510"/>
      <c r="AF14" s="3510"/>
      <c r="AG14" s="3510"/>
      <c r="AH14" s="3510"/>
      <c r="AI14" s="3510"/>
      <c r="AJ14" s="3510"/>
      <c r="AK14" s="3510"/>
      <c r="AL14" s="3510"/>
      <c r="AM14" s="3510"/>
      <c r="AN14" s="3510"/>
      <c r="AO14" s="3510"/>
      <c r="AP14" s="3510"/>
      <c r="AQ14" s="3510"/>
      <c r="AR14" s="3510"/>
      <c r="AS14" s="3510"/>
      <c r="AT14" s="3510"/>
      <c r="AU14" s="3510"/>
      <c r="AV14" s="3510"/>
      <c r="AW14" s="3510"/>
      <c r="AX14" s="3510"/>
      <c r="AY14" s="3510"/>
      <c r="AZ14" s="3510"/>
      <c r="BA14" s="3510"/>
      <c r="BB14" s="3510"/>
      <c r="BC14" s="3510"/>
      <c r="BD14" s="3510"/>
      <c r="BE14" s="3510"/>
      <c r="BF14" s="3510"/>
      <c r="BG14" s="3510"/>
      <c r="BH14" s="3510"/>
      <c r="BI14" s="3505"/>
      <c r="BJ14" s="3505"/>
      <c r="BK14" s="3503"/>
      <c r="BL14" s="3503"/>
      <c r="BM14" s="3425"/>
      <c r="BN14" s="3505"/>
      <c r="BO14" s="3507"/>
      <c r="BP14" s="3505"/>
      <c r="BQ14" s="3498"/>
      <c r="BR14" s="3498"/>
      <c r="BS14" s="3498"/>
      <c r="BT14" s="3498"/>
      <c r="BU14" s="3500"/>
    </row>
    <row r="15" spans="1:93" s="1542" customFormat="1" ht="66" customHeight="1" x14ac:dyDescent="0.25">
      <c r="A15" s="3389"/>
      <c r="B15" s="3220"/>
      <c r="C15" s="1589"/>
      <c r="D15" s="1590"/>
      <c r="E15" s="3473"/>
      <c r="F15" s="3473"/>
      <c r="G15" s="3288"/>
      <c r="H15" s="3466"/>
      <c r="I15" s="3288"/>
      <c r="J15" s="3466"/>
      <c r="K15" s="3517"/>
      <c r="L15" s="3482"/>
      <c r="M15" s="3517"/>
      <c r="N15" s="3482"/>
      <c r="O15" s="3152"/>
      <c r="P15" s="3152"/>
      <c r="Q15" s="3092"/>
      <c r="R15" s="3514"/>
      <c r="S15" s="3471"/>
      <c r="T15" s="3516"/>
      <c r="U15" s="3527"/>
      <c r="V15" s="3468"/>
      <c r="W15" s="1593" t="s">
        <v>2256</v>
      </c>
      <c r="X15" s="1591">
        <v>7900000</v>
      </c>
      <c r="Y15" s="1591">
        <v>7900000</v>
      </c>
      <c r="Z15" s="1591">
        <v>7900000</v>
      </c>
      <c r="AA15" s="1181" t="s">
        <v>2251</v>
      </c>
      <c r="AB15" s="1592">
        <v>20</v>
      </c>
      <c r="AC15" s="895" t="s">
        <v>1830</v>
      </c>
      <c r="AD15" s="3510"/>
      <c r="AE15" s="3510"/>
      <c r="AF15" s="3510"/>
      <c r="AG15" s="3510"/>
      <c r="AH15" s="3510"/>
      <c r="AI15" s="3510"/>
      <c r="AJ15" s="3510"/>
      <c r="AK15" s="3510"/>
      <c r="AL15" s="3510"/>
      <c r="AM15" s="3510"/>
      <c r="AN15" s="3510"/>
      <c r="AO15" s="3510"/>
      <c r="AP15" s="3510"/>
      <c r="AQ15" s="3510"/>
      <c r="AR15" s="3510"/>
      <c r="AS15" s="3510"/>
      <c r="AT15" s="3510"/>
      <c r="AU15" s="3510"/>
      <c r="AV15" s="3510"/>
      <c r="AW15" s="3510"/>
      <c r="AX15" s="3510"/>
      <c r="AY15" s="3510"/>
      <c r="AZ15" s="3510"/>
      <c r="BA15" s="3510"/>
      <c r="BB15" s="3510"/>
      <c r="BC15" s="3510"/>
      <c r="BD15" s="3510"/>
      <c r="BE15" s="3510"/>
      <c r="BF15" s="3510"/>
      <c r="BG15" s="3510"/>
      <c r="BH15" s="3510"/>
      <c r="BI15" s="3505"/>
      <c r="BJ15" s="3505"/>
      <c r="BK15" s="3503"/>
      <c r="BL15" s="3503"/>
      <c r="BM15" s="3425"/>
      <c r="BN15" s="3505"/>
      <c r="BO15" s="3507"/>
      <c r="BP15" s="3505"/>
      <c r="BQ15" s="3498"/>
      <c r="BR15" s="3498"/>
      <c r="BS15" s="3498"/>
      <c r="BT15" s="3498"/>
      <c r="BU15" s="3500"/>
    </row>
    <row r="16" spans="1:93" s="1542" customFormat="1" ht="45.95" customHeight="1" x14ac:dyDescent="0.25">
      <c r="A16" s="3389"/>
      <c r="B16" s="3220"/>
      <c r="C16" s="1589"/>
      <c r="D16" s="1590"/>
      <c r="E16" s="3473"/>
      <c r="F16" s="3473"/>
      <c r="G16" s="3288"/>
      <c r="H16" s="3466"/>
      <c r="I16" s="3288"/>
      <c r="J16" s="3466"/>
      <c r="K16" s="3517"/>
      <c r="L16" s="3482"/>
      <c r="M16" s="3517"/>
      <c r="N16" s="3482"/>
      <c r="O16" s="3152"/>
      <c r="P16" s="3152"/>
      <c r="Q16" s="3092"/>
      <c r="R16" s="3514"/>
      <c r="S16" s="3471"/>
      <c r="T16" s="3516"/>
      <c r="U16" s="3527"/>
      <c r="V16" s="3468"/>
      <c r="W16" s="3182" t="s">
        <v>2257</v>
      </c>
      <c r="X16" s="1591">
        <v>15400000</v>
      </c>
      <c r="Y16" s="1591">
        <v>13579000</v>
      </c>
      <c r="Z16" s="1591">
        <v>13579000</v>
      </c>
      <c r="AA16" s="1181" t="s">
        <v>2251</v>
      </c>
      <c r="AB16" s="1592">
        <v>20</v>
      </c>
      <c r="AC16" s="895" t="s">
        <v>1830</v>
      </c>
      <c r="AD16" s="3510"/>
      <c r="AE16" s="3510"/>
      <c r="AF16" s="3510"/>
      <c r="AG16" s="3510"/>
      <c r="AH16" s="3510"/>
      <c r="AI16" s="3510"/>
      <c r="AJ16" s="3510"/>
      <c r="AK16" s="3510"/>
      <c r="AL16" s="3510"/>
      <c r="AM16" s="3510"/>
      <c r="AN16" s="3510"/>
      <c r="AO16" s="3510"/>
      <c r="AP16" s="3510"/>
      <c r="AQ16" s="3510"/>
      <c r="AR16" s="3510"/>
      <c r="AS16" s="3510"/>
      <c r="AT16" s="3510"/>
      <c r="AU16" s="3510"/>
      <c r="AV16" s="3510"/>
      <c r="AW16" s="3510"/>
      <c r="AX16" s="3510"/>
      <c r="AY16" s="3510"/>
      <c r="AZ16" s="3510"/>
      <c r="BA16" s="3510"/>
      <c r="BB16" s="3510"/>
      <c r="BC16" s="3510"/>
      <c r="BD16" s="3510"/>
      <c r="BE16" s="3510"/>
      <c r="BF16" s="3510"/>
      <c r="BG16" s="3510"/>
      <c r="BH16" s="3510"/>
      <c r="BI16" s="3505"/>
      <c r="BJ16" s="3505"/>
      <c r="BK16" s="3503"/>
      <c r="BL16" s="3503"/>
      <c r="BM16" s="3425"/>
      <c r="BN16" s="3505"/>
      <c r="BO16" s="3507"/>
      <c r="BP16" s="3505"/>
      <c r="BQ16" s="3498"/>
      <c r="BR16" s="3498"/>
      <c r="BS16" s="3498"/>
      <c r="BT16" s="3498"/>
      <c r="BU16" s="3500"/>
    </row>
    <row r="17" spans="1:73" s="1542" customFormat="1" ht="45.95" customHeight="1" x14ac:dyDescent="0.25">
      <c r="A17" s="3389"/>
      <c r="B17" s="3220"/>
      <c r="C17" s="1589"/>
      <c r="D17" s="1590"/>
      <c r="E17" s="3473"/>
      <c r="F17" s="3473"/>
      <c r="G17" s="3288"/>
      <c r="H17" s="3466"/>
      <c r="I17" s="3288"/>
      <c r="J17" s="3466"/>
      <c r="K17" s="3517"/>
      <c r="L17" s="3482"/>
      <c r="M17" s="3517"/>
      <c r="N17" s="3482"/>
      <c r="O17" s="3152"/>
      <c r="P17" s="3152"/>
      <c r="Q17" s="3092"/>
      <c r="R17" s="3514"/>
      <c r="S17" s="3471"/>
      <c r="T17" s="3516"/>
      <c r="U17" s="3527"/>
      <c r="V17" s="3468"/>
      <c r="W17" s="3480"/>
      <c r="X17" s="1591">
        <v>8655000</v>
      </c>
      <c r="Y17" s="1591">
        <v>8655000</v>
      </c>
      <c r="Z17" s="1591">
        <v>8655000</v>
      </c>
      <c r="AA17" s="1181" t="s">
        <v>2254</v>
      </c>
      <c r="AB17" s="1592">
        <v>88</v>
      </c>
      <c r="AC17" s="895" t="s">
        <v>2255</v>
      </c>
      <c r="AD17" s="3510"/>
      <c r="AE17" s="3510"/>
      <c r="AF17" s="3510"/>
      <c r="AG17" s="3510"/>
      <c r="AH17" s="3510"/>
      <c r="AI17" s="3510"/>
      <c r="AJ17" s="3510"/>
      <c r="AK17" s="3510"/>
      <c r="AL17" s="3510"/>
      <c r="AM17" s="3510"/>
      <c r="AN17" s="3510"/>
      <c r="AO17" s="3510"/>
      <c r="AP17" s="3510"/>
      <c r="AQ17" s="3510"/>
      <c r="AR17" s="3510"/>
      <c r="AS17" s="3510"/>
      <c r="AT17" s="3510"/>
      <c r="AU17" s="3510"/>
      <c r="AV17" s="3510"/>
      <c r="AW17" s="3510"/>
      <c r="AX17" s="3510"/>
      <c r="AY17" s="3510"/>
      <c r="AZ17" s="3510"/>
      <c r="BA17" s="3510"/>
      <c r="BB17" s="3510"/>
      <c r="BC17" s="3510"/>
      <c r="BD17" s="3510"/>
      <c r="BE17" s="3510"/>
      <c r="BF17" s="3510"/>
      <c r="BG17" s="3510"/>
      <c r="BH17" s="3510"/>
      <c r="BI17" s="3505"/>
      <c r="BJ17" s="3505"/>
      <c r="BK17" s="3503"/>
      <c r="BL17" s="3503"/>
      <c r="BM17" s="3425"/>
      <c r="BN17" s="3505"/>
      <c r="BO17" s="3507"/>
      <c r="BP17" s="3505"/>
      <c r="BQ17" s="3498"/>
      <c r="BR17" s="3498"/>
      <c r="BS17" s="3498"/>
      <c r="BT17" s="3498"/>
      <c r="BU17" s="3500"/>
    </row>
    <row r="18" spans="1:73" s="1542" customFormat="1" ht="54.75" customHeight="1" x14ac:dyDescent="0.25">
      <c r="A18" s="3389"/>
      <c r="B18" s="3220"/>
      <c r="C18" s="1589"/>
      <c r="D18" s="1590"/>
      <c r="E18" s="3473"/>
      <c r="F18" s="3473"/>
      <c r="G18" s="3288"/>
      <c r="H18" s="3466"/>
      <c r="I18" s="3288"/>
      <c r="J18" s="3466"/>
      <c r="K18" s="3517"/>
      <c r="L18" s="3482"/>
      <c r="M18" s="3517"/>
      <c r="N18" s="3482"/>
      <c r="O18" s="3152"/>
      <c r="P18" s="3152"/>
      <c r="Q18" s="3092"/>
      <c r="R18" s="3514"/>
      <c r="S18" s="3471"/>
      <c r="T18" s="3516"/>
      <c r="U18" s="3527"/>
      <c r="V18" s="3468"/>
      <c r="W18" s="1594" t="s">
        <v>2258</v>
      </c>
      <c r="X18" s="1591">
        <v>0</v>
      </c>
      <c r="Y18" s="1591"/>
      <c r="Z18" s="1591"/>
      <c r="AA18" s="1181" t="s">
        <v>2259</v>
      </c>
      <c r="AB18" s="1595">
        <v>20</v>
      </c>
      <c r="AC18" s="895" t="s">
        <v>1830</v>
      </c>
      <c r="AD18" s="3510"/>
      <c r="AE18" s="3510"/>
      <c r="AF18" s="3510"/>
      <c r="AG18" s="3510"/>
      <c r="AH18" s="3510"/>
      <c r="AI18" s="3510"/>
      <c r="AJ18" s="3510"/>
      <c r="AK18" s="3510"/>
      <c r="AL18" s="3510"/>
      <c r="AM18" s="3510"/>
      <c r="AN18" s="3510"/>
      <c r="AO18" s="3510"/>
      <c r="AP18" s="3510"/>
      <c r="AQ18" s="3510"/>
      <c r="AR18" s="3510"/>
      <c r="AS18" s="3510"/>
      <c r="AT18" s="3510"/>
      <c r="AU18" s="3510"/>
      <c r="AV18" s="3510"/>
      <c r="AW18" s="3510"/>
      <c r="AX18" s="3510"/>
      <c r="AY18" s="3510"/>
      <c r="AZ18" s="3510"/>
      <c r="BA18" s="3510"/>
      <c r="BB18" s="3510"/>
      <c r="BC18" s="3510"/>
      <c r="BD18" s="3510"/>
      <c r="BE18" s="3510"/>
      <c r="BF18" s="3510"/>
      <c r="BG18" s="3510"/>
      <c r="BH18" s="3510"/>
      <c r="BI18" s="3505"/>
      <c r="BJ18" s="3505"/>
      <c r="BK18" s="3503"/>
      <c r="BL18" s="3503"/>
      <c r="BM18" s="3425"/>
      <c r="BN18" s="3505"/>
      <c r="BO18" s="3507"/>
      <c r="BP18" s="3505"/>
      <c r="BQ18" s="3498"/>
      <c r="BR18" s="3498"/>
      <c r="BS18" s="3498"/>
      <c r="BT18" s="3498"/>
      <c r="BU18" s="3500"/>
    </row>
    <row r="19" spans="1:73" s="1542" customFormat="1" ht="63" customHeight="1" x14ac:dyDescent="0.25">
      <c r="A19" s="3389"/>
      <c r="B19" s="3220"/>
      <c r="C19" s="1589"/>
      <c r="D19" s="1590"/>
      <c r="E19" s="3473"/>
      <c r="F19" s="3473"/>
      <c r="G19" s="3288"/>
      <c r="H19" s="3466"/>
      <c r="I19" s="3288"/>
      <c r="J19" s="3466"/>
      <c r="K19" s="3517"/>
      <c r="L19" s="3482"/>
      <c r="M19" s="3517"/>
      <c r="N19" s="3482"/>
      <c r="O19" s="3152"/>
      <c r="P19" s="3152"/>
      <c r="Q19" s="3092"/>
      <c r="R19" s="3514"/>
      <c r="S19" s="3471"/>
      <c r="T19" s="3516"/>
      <c r="U19" s="3527"/>
      <c r="V19" s="3468"/>
      <c r="W19" s="1596" t="s">
        <v>2260</v>
      </c>
      <c r="X19" s="1591">
        <v>3000000</v>
      </c>
      <c r="Y19" s="1591">
        <v>3000000</v>
      </c>
      <c r="Z19" s="1591">
        <v>3000000</v>
      </c>
      <c r="AA19" s="1181" t="s">
        <v>2259</v>
      </c>
      <c r="AB19" s="1595">
        <v>20</v>
      </c>
      <c r="AC19" s="895" t="s">
        <v>1830</v>
      </c>
      <c r="AD19" s="3510"/>
      <c r="AE19" s="3510"/>
      <c r="AF19" s="3510"/>
      <c r="AG19" s="3510"/>
      <c r="AH19" s="3510"/>
      <c r="AI19" s="3510"/>
      <c r="AJ19" s="3510"/>
      <c r="AK19" s="3510"/>
      <c r="AL19" s="3510"/>
      <c r="AM19" s="3510"/>
      <c r="AN19" s="3510"/>
      <c r="AO19" s="3510"/>
      <c r="AP19" s="3510"/>
      <c r="AQ19" s="3510"/>
      <c r="AR19" s="3510"/>
      <c r="AS19" s="3510"/>
      <c r="AT19" s="3510"/>
      <c r="AU19" s="3510"/>
      <c r="AV19" s="3510"/>
      <c r="AW19" s="3510"/>
      <c r="AX19" s="3510"/>
      <c r="AY19" s="3510"/>
      <c r="AZ19" s="3510"/>
      <c r="BA19" s="3510"/>
      <c r="BB19" s="3510"/>
      <c r="BC19" s="3510"/>
      <c r="BD19" s="3510"/>
      <c r="BE19" s="3510"/>
      <c r="BF19" s="3510"/>
      <c r="BG19" s="3510"/>
      <c r="BH19" s="3510"/>
      <c r="BI19" s="3505"/>
      <c r="BJ19" s="3505"/>
      <c r="BK19" s="3503"/>
      <c r="BL19" s="3503"/>
      <c r="BM19" s="3425"/>
      <c r="BN19" s="3505"/>
      <c r="BO19" s="3507"/>
      <c r="BP19" s="3505"/>
      <c r="BQ19" s="3498"/>
      <c r="BR19" s="3498"/>
      <c r="BS19" s="3498"/>
      <c r="BT19" s="3498"/>
      <c r="BU19" s="3500"/>
    </row>
    <row r="20" spans="1:73" s="1542" customFormat="1" ht="65.25" customHeight="1" x14ac:dyDescent="0.25">
      <c r="A20" s="3389"/>
      <c r="B20" s="3220"/>
      <c r="C20" s="1589"/>
      <c r="D20" s="1590"/>
      <c r="E20" s="3473"/>
      <c r="F20" s="3473"/>
      <c r="G20" s="3288"/>
      <c r="H20" s="3466"/>
      <c r="I20" s="3288"/>
      <c r="J20" s="3466"/>
      <c r="K20" s="3517"/>
      <c r="L20" s="3482"/>
      <c r="M20" s="3517"/>
      <c r="N20" s="3482"/>
      <c r="O20" s="3152"/>
      <c r="P20" s="3152"/>
      <c r="Q20" s="3092"/>
      <c r="R20" s="3514"/>
      <c r="S20" s="3471"/>
      <c r="T20" s="3516"/>
      <c r="U20" s="3527"/>
      <c r="V20" s="3468"/>
      <c r="W20" s="1596" t="s">
        <v>2261</v>
      </c>
      <c r="X20" s="1591">
        <v>0</v>
      </c>
      <c r="Y20" s="1591"/>
      <c r="Z20" s="1591"/>
      <c r="AA20" s="1181" t="s">
        <v>2251</v>
      </c>
      <c r="AB20" s="1597">
        <v>20</v>
      </c>
      <c r="AC20" s="902" t="s">
        <v>1830</v>
      </c>
      <c r="AD20" s="3510"/>
      <c r="AE20" s="3510"/>
      <c r="AF20" s="3510"/>
      <c r="AG20" s="3510"/>
      <c r="AH20" s="3510"/>
      <c r="AI20" s="3510"/>
      <c r="AJ20" s="3510"/>
      <c r="AK20" s="3510"/>
      <c r="AL20" s="3510"/>
      <c r="AM20" s="3510"/>
      <c r="AN20" s="3510"/>
      <c r="AO20" s="3510"/>
      <c r="AP20" s="3510"/>
      <c r="AQ20" s="3510"/>
      <c r="AR20" s="3510"/>
      <c r="AS20" s="3510"/>
      <c r="AT20" s="3510"/>
      <c r="AU20" s="3510"/>
      <c r="AV20" s="3510"/>
      <c r="AW20" s="3510"/>
      <c r="AX20" s="3510"/>
      <c r="AY20" s="3510"/>
      <c r="AZ20" s="3510"/>
      <c r="BA20" s="3510"/>
      <c r="BB20" s="3510"/>
      <c r="BC20" s="3510"/>
      <c r="BD20" s="3510"/>
      <c r="BE20" s="3510"/>
      <c r="BF20" s="3510"/>
      <c r="BG20" s="3510"/>
      <c r="BH20" s="3510"/>
      <c r="BI20" s="3505"/>
      <c r="BJ20" s="3505"/>
      <c r="BK20" s="3503"/>
      <c r="BL20" s="3503"/>
      <c r="BM20" s="3425"/>
      <c r="BN20" s="3505"/>
      <c r="BO20" s="3507"/>
      <c r="BP20" s="3505"/>
      <c r="BQ20" s="3498"/>
      <c r="BR20" s="3498"/>
      <c r="BS20" s="3498"/>
      <c r="BT20" s="3498"/>
      <c r="BU20" s="3500"/>
    </row>
    <row r="21" spans="1:73" s="1542" customFormat="1" ht="53.25" customHeight="1" x14ac:dyDescent="0.25">
      <c r="A21" s="3389"/>
      <c r="B21" s="3220"/>
      <c r="C21" s="1589"/>
      <c r="D21" s="1590"/>
      <c r="E21" s="3473"/>
      <c r="F21" s="3474"/>
      <c r="G21" s="3288"/>
      <c r="H21" s="3493"/>
      <c r="I21" s="3288"/>
      <c r="J21" s="3493"/>
      <c r="K21" s="3518"/>
      <c r="L21" s="3483"/>
      <c r="M21" s="3518"/>
      <c r="N21" s="3483"/>
      <c r="O21" s="3485"/>
      <c r="P21" s="3485"/>
      <c r="Q21" s="3512"/>
      <c r="R21" s="3515"/>
      <c r="S21" s="3471"/>
      <c r="T21" s="3516"/>
      <c r="U21" s="3527"/>
      <c r="V21" s="3479"/>
      <c r="W21" s="1598" t="s">
        <v>2262</v>
      </c>
      <c r="X21" s="1591">
        <v>60000000</v>
      </c>
      <c r="Y21" s="1591">
        <v>60000000</v>
      </c>
      <c r="Z21" s="1591">
        <v>60000000</v>
      </c>
      <c r="AA21" s="1181" t="s">
        <v>2251</v>
      </c>
      <c r="AB21" s="1599">
        <v>20</v>
      </c>
      <c r="AC21" s="906" t="s">
        <v>1830</v>
      </c>
      <c r="AD21" s="3511"/>
      <c r="AE21" s="3511"/>
      <c r="AF21" s="3511"/>
      <c r="AG21" s="3511"/>
      <c r="AH21" s="3511"/>
      <c r="AI21" s="3511"/>
      <c r="AJ21" s="3511"/>
      <c r="AK21" s="3511"/>
      <c r="AL21" s="3511"/>
      <c r="AM21" s="3511"/>
      <c r="AN21" s="3511"/>
      <c r="AO21" s="3511"/>
      <c r="AP21" s="3511"/>
      <c r="AQ21" s="3511"/>
      <c r="AR21" s="3511"/>
      <c r="AS21" s="3511"/>
      <c r="AT21" s="3511"/>
      <c r="AU21" s="3511"/>
      <c r="AV21" s="3511"/>
      <c r="AW21" s="3511"/>
      <c r="AX21" s="3511"/>
      <c r="AY21" s="3511"/>
      <c r="AZ21" s="3511"/>
      <c r="BA21" s="3511"/>
      <c r="BB21" s="3511"/>
      <c r="BC21" s="3511"/>
      <c r="BD21" s="3511"/>
      <c r="BE21" s="3511"/>
      <c r="BF21" s="3511"/>
      <c r="BG21" s="3511"/>
      <c r="BH21" s="3511"/>
      <c r="BI21" s="3508"/>
      <c r="BJ21" s="3508"/>
      <c r="BK21" s="3504"/>
      <c r="BL21" s="3504"/>
      <c r="BM21" s="3425"/>
      <c r="BN21" s="3505"/>
      <c r="BO21" s="3507"/>
      <c r="BP21" s="3508"/>
      <c r="BQ21" s="3498"/>
      <c r="BR21" s="3498"/>
      <c r="BS21" s="3498"/>
      <c r="BT21" s="3498"/>
      <c r="BU21" s="3501"/>
    </row>
    <row r="22" spans="1:73" s="1542" customFormat="1" ht="35.1" customHeight="1" x14ac:dyDescent="0.25">
      <c r="A22" s="3389"/>
      <c r="B22" s="3220"/>
      <c r="C22" s="1589"/>
      <c r="D22" s="1590"/>
      <c r="E22" s="1600">
        <v>1203</v>
      </c>
      <c r="F22" s="3488" t="s">
        <v>2263</v>
      </c>
      <c r="G22" s="3489"/>
      <c r="H22" s="3489"/>
      <c r="I22" s="3489"/>
      <c r="J22" s="3489"/>
      <c r="K22" s="3489"/>
      <c r="L22" s="3489"/>
      <c r="M22" s="3489"/>
      <c r="N22" s="3489"/>
      <c r="O22" s="1601"/>
      <c r="P22" s="1601"/>
      <c r="Q22" s="1602"/>
      <c r="R22" s="1583"/>
      <c r="S22" s="1584"/>
      <c r="T22" s="1585"/>
      <c r="U22" s="1583"/>
      <c r="V22" s="1583"/>
      <c r="W22" s="1583"/>
      <c r="X22" s="1603"/>
      <c r="Y22" s="1603"/>
      <c r="Z22" s="1603"/>
      <c r="AA22" s="1601"/>
      <c r="AB22" s="1601"/>
      <c r="AC22" s="1604"/>
      <c r="AD22" s="1584"/>
      <c r="AE22" s="1584"/>
      <c r="AF22" s="1584"/>
      <c r="AG22" s="1584"/>
      <c r="AH22" s="1584"/>
      <c r="AI22" s="1584"/>
      <c r="AJ22" s="1584"/>
      <c r="AK22" s="1584"/>
      <c r="AL22" s="1584"/>
      <c r="AM22" s="1584"/>
      <c r="AN22" s="1584"/>
      <c r="AO22" s="1584"/>
      <c r="AP22" s="1584"/>
      <c r="AQ22" s="1584"/>
      <c r="AR22" s="1584"/>
      <c r="AS22" s="1584"/>
      <c r="AT22" s="1584"/>
      <c r="AU22" s="1584"/>
      <c r="AV22" s="1584"/>
      <c r="AW22" s="1584"/>
      <c r="AX22" s="1584"/>
      <c r="AY22" s="1584"/>
      <c r="AZ22" s="1584"/>
      <c r="BA22" s="1584"/>
      <c r="BB22" s="1584"/>
      <c r="BC22" s="1584"/>
      <c r="BD22" s="1584"/>
      <c r="BE22" s="1584"/>
      <c r="BF22" s="1584"/>
      <c r="BG22" s="1584"/>
      <c r="BH22" s="1584"/>
      <c r="BI22" s="1584"/>
      <c r="BJ22" s="1584"/>
      <c r="BK22" s="1584"/>
      <c r="BL22" s="1584"/>
      <c r="BM22" s="1584"/>
      <c r="BN22" s="1584"/>
      <c r="BO22" s="1584"/>
      <c r="BP22" s="1584"/>
      <c r="BQ22" s="1584"/>
      <c r="BR22" s="1584"/>
      <c r="BS22" s="1584"/>
      <c r="BT22" s="1584"/>
      <c r="BU22" s="1588"/>
    </row>
    <row r="23" spans="1:73" s="1542" customFormat="1" ht="44.25" customHeight="1" x14ac:dyDescent="0.25">
      <c r="A23" s="3389"/>
      <c r="B23" s="3220"/>
      <c r="C23" s="1589"/>
      <c r="D23" s="1590"/>
      <c r="E23" s="3473"/>
      <c r="F23" s="3490"/>
      <c r="G23" s="3491">
        <v>1203002</v>
      </c>
      <c r="H23" s="3492" t="s">
        <v>2264</v>
      </c>
      <c r="I23" s="3491">
        <v>1203002</v>
      </c>
      <c r="J23" s="3492" t="s">
        <v>2264</v>
      </c>
      <c r="K23" s="3494">
        <v>120300200</v>
      </c>
      <c r="L23" s="3481" t="s">
        <v>2265</v>
      </c>
      <c r="M23" s="3494">
        <v>120300200</v>
      </c>
      <c r="N23" s="3481" t="s">
        <v>2265</v>
      </c>
      <c r="O23" s="3484">
        <v>40</v>
      </c>
      <c r="P23" s="3484">
        <v>41</v>
      </c>
      <c r="Q23" s="3151" t="s">
        <v>2266</v>
      </c>
      <c r="R23" s="3314" t="s">
        <v>2267</v>
      </c>
      <c r="S23" s="3472">
        <f>T23/SUM(X23:X25)</f>
        <v>1</v>
      </c>
      <c r="T23" s="3478">
        <f>SUM(X23:X25)</f>
        <v>67223401</v>
      </c>
      <c r="U23" s="3328" t="s">
        <v>2268</v>
      </c>
      <c r="V23" s="3467" t="s">
        <v>2269</v>
      </c>
      <c r="W23" s="3182" t="s">
        <v>2270</v>
      </c>
      <c r="X23" s="1536">
        <v>7000000</v>
      </c>
      <c r="Y23" s="1536">
        <v>7000000</v>
      </c>
      <c r="Z23" s="1536">
        <v>7000000</v>
      </c>
      <c r="AA23" s="1181" t="s">
        <v>2271</v>
      </c>
      <c r="AB23" s="1599">
        <v>20</v>
      </c>
      <c r="AC23" s="1605" t="s">
        <v>1830</v>
      </c>
      <c r="AD23" s="2544">
        <v>291786</v>
      </c>
      <c r="AE23" s="2544">
        <v>116687</v>
      </c>
      <c r="AF23" s="2544">
        <v>270331</v>
      </c>
      <c r="AG23" s="2544">
        <v>108106</v>
      </c>
      <c r="AH23" s="2544">
        <v>102045</v>
      </c>
      <c r="AI23" s="2544">
        <v>60694</v>
      </c>
      <c r="AJ23" s="2544">
        <v>39183</v>
      </c>
      <c r="AK23" s="2544">
        <v>31471</v>
      </c>
      <c r="AL23" s="2544">
        <v>310195</v>
      </c>
      <c r="AM23" s="2544">
        <v>101157</v>
      </c>
      <c r="AN23" s="2544">
        <v>110694</v>
      </c>
      <c r="AO23" s="2544">
        <v>31471</v>
      </c>
      <c r="AP23" s="2544">
        <v>2145</v>
      </c>
      <c r="AQ23" s="3436"/>
      <c r="AR23" s="2544">
        <v>12718</v>
      </c>
      <c r="AS23" s="3436"/>
      <c r="AT23" s="2544">
        <v>26</v>
      </c>
      <c r="AU23" s="3436"/>
      <c r="AV23" s="2544">
        <v>37</v>
      </c>
      <c r="AW23" s="3447"/>
      <c r="AX23" s="2544">
        <v>0</v>
      </c>
      <c r="AY23" s="3447"/>
      <c r="AZ23" s="2544">
        <v>0</v>
      </c>
      <c r="BA23" s="3447"/>
      <c r="BB23" s="2544">
        <v>44350</v>
      </c>
      <c r="BC23" s="3447"/>
      <c r="BD23" s="2544">
        <v>21944</v>
      </c>
      <c r="BE23" s="3447"/>
      <c r="BF23" s="2544">
        <v>75687</v>
      </c>
      <c r="BG23" s="3447"/>
      <c r="BH23" s="2544">
        <f>+AD23+AF23</f>
        <v>562117</v>
      </c>
      <c r="BI23" s="2544">
        <f>+AE23+AG23</f>
        <v>224793</v>
      </c>
      <c r="BJ23" s="3398">
        <v>3</v>
      </c>
      <c r="BK23" s="3261">
        <f>SUM(Y23:Y25)</f>
        <v>65096055</v>
      </c>
      <c r="BL23" s="3261">
        <f>SUM(Z23:Z25)</f>
        <v>65096055</v>
      </c>
      <c r="BM23" s="3264">
        <f>+BL23/BK23</f>
        <v>1</v>
      </c>
      <c r="BN23" s="3354">
        <v>20</v>
      </c>
      <c r="BO23" s="2745" t="s">
        <v>1</v>
      </c>
      <c r="BP23" s="2544" t="s">
        <v>2252</v>
      </c>
      <c r="BQ23" s="3253">
        <v>44211</v>
      </c>
      <c r="BR23" s="3253">
        <v>44228</v>
      </c>
      <c r="BS23" s="3253">
        <v>44560</v>
      </c>
      <c r="BT23" s="3253">
        <v>44560</v>
      </c>
      <c r="BU23" s="3398" t="s">
        <v>2253</v>
      </c>
    </row>
    <row r="24" spans="1:73" s="1542" customFormat="1" ht="57" customHeight="1" x14ac:dyDescent="0.25">
      <c r="A24" s="3389"/>
      <c r="B24" s="3220"/>
      <c r="C24" s="1589"/>
      <c r="D24" s="1590"/>
      <c r="E24" s="3473"/>
      <c r="F24" s="3473"/>
      <c r="G24" s="3491"/>
      <c r="H24" s="3466"/>
      <c r="I24" s="3491"/>
      <c r="J24" s="3466"/>
      <c r="K24" s="3495"/>
      <c r="L24" s="3482"/>
      <c r="M24" s="3495"/>
      <c r="N24" s="3482"/>
      <c r="O24" s="3152"/>
      <c r="P24" s="3152"/>
      <c r="Q24" s="3152"/>
      <c r="R24" s="3313"/>
      <c r="S24" s="3486"/>
      <c r="T24" s="3478"/>
      <c r="U24" s="3289"/>
      <c r="V24" s="3468"/>
      <c r="W24" s="3480"/>
      <c r="X24" s="1536">
        <v>33028401</v>
      </c>
      <c r="Y24" s="1536">
        <v>30901055</v>
      </c>
      <c r="Z24" s="1536">
        <v>30901055</v>
      </c>
      <c r="AA24" s="1181" t="s">
        <v>2272</v>
      </c>
      <c r="AB24" s="1592">
        <v>88</v>
      </c>
      <c r="AC24" s="895" t="s">
        <v>2255</v>
      </c>
      <c r="AD24" s="2544"/>
      <c r="AE24" s="2544"/>
      <c r="AF24" s="2544"/>
      <c r="AG24" s="2544"/>
      <c r="AH24" s="2544"/>
      <c r="AI24" s="2544"/>
      <c r="AJ24" s="2544"/>
      <c r="AK24" s="2544"/>
      <c r="AL24" s="2544"/>
      <c r="AM24" s="2544"/>
      <c r="AN24" s="2544"/>
      <c r="AO24" s="2544"/>
      <c r="AP24" s="2544"/>
      <c r="AQ24" s="3436"/>
      <c r="AR24" s="2544"/>
      <c r="AS24" s="3436"/>
      <c r="AT24" s="2544"/>
      <c r="AU24" s="3436"/>
      <c r="AV24" s="2544"/>
      <c r="AW24" s="3447"/>
      <c r="AX24" s="2544"/>
      <c r="AY24" s="3447"/>
      <c r="AZ24" s="2544"/>
      <c r="BA24" s="3447"/>
      <c r="BB24" s="2544"/>
      <c r="BC24" s="3447"/>
      <c r="BD24" s="2544"/>
      <c r="BE24" s="3447"/>
      <c r="BF24" s="2544"/>
      <c r="BG24" s="3447"/>
      <c r="BH24" s="2544"/>
      <c r="BI24" s="2544"/>
      <c r="BJ24" s="3398"/>
      <c r="BK24" s="3262"/>
      <c r="BL24" s="3262"/>
      <c r="BM24" s="3265"/>
      <c r="BN24" s="3206"/>
      <c r="BO24" s="2502"/>
      <c r="BP24" s="2544"/>
      <c r="BQ24" s="3253"/>
      <c r="BR24" s="3398"/>
      <c r="BS24" s="3253"/>
      <c r="BT24" s="3398"/>
      <c r="BU24" s="3398"/>
    </row>
    <row r="25" spans="1:73" s="1542" customFormat="1" ht="48" customHeight="1" x14ac:dyDescent="0.25">
      <c r="A25" s="3389"/>
      <c r="B25" s="3220"/>
      <c r="C25" s="1589"/>
      <c r="D25" s="1590"/>
      <c r="E25" s="3473"/>
      <c r="F25" s="3474"/>
      <c r="G25" s="3491"/>
      <c r="H25" s="3493"/>
      <c r="I25" s="3491"/>
      <c r="J25" s="3493"/>
      <c r="K25" s="3496"/>
      <c r="L25" s="3483"/>
      <c r="M25" s="3496"/>
      <c r="N25" s="3483"/>
      <c r="O25" s="3485"/>
      <c r="P25" s="3485"/>
      <c r="Q25" s="3153"/>
      <c r="R25" s="3312"/>
      <c r="S25" s="3487"/>
      <c r="T25" s="3478"/>
      <c r="U25" s="3290"/>
      <c r="V25" s="3479"/>
      <c r="W25" s="1593" t="s">
        <v>2273</v>
      </c>
      <c r="X25" s="1536">
        <v>27195000</v>
      </c>
      <c r="Y25" s="1536">
        <v>27195000</v>
      </c>
      <c r="Z25" s="1536">
        <v>27195000</v>
      </c>
      <c r="AA25" s="1181" t="s">
        <v>2271</v>
      </c>
      <c r="AB25" s="1599">
        <v>20</v>
      </c>
      <c r="AC25" s="1605" t="s">
        <v>1830</v>
      </c>
      <c r="AD25" s="2544"/>
      <c r="AE25" s="2544"/>
      <c r="AF25" s="2544"/>
      <c r="AG25" s="2544"/>
      <c r="AH25" s="2544"/>
      <c r="AI25" s="2544"/>
      <c r="AJ25" s="2544"/>
      <c r="AK25" s="2544"/>
      <c r="AL25" s="2544"/>
      <c r="AM25" s="2544"/>
      <c r="AN25" s="2544"/>
      <c r="AO25" s="2544"/>
      <c r="AP25" s="2544"/>
      <c r="AQ25" s="3436"/>
      <c r="AR25" s="2544"/>
      <c r="AS25" s="3436"/>
      <c r="AT25" s="2544"/>
      <c r="AU25" s="3436"/>
      <c r="AV25" s="2544"/>
      <c r="AW25" s="3447"/>
      <c r="AX25" s="2544"/>
      <c r="AY25" s="3447"/>
      <c r="AZ25" s="2544"/>
      <c r="BA25" s="3447"/>
      <c r="BB25" s="2544"/>
      <c r="BC25" s="3447"/>
      <c r="BD25" s="2544"/>
      <c r="BE25" s="3447"/>
      <c r="BF25" s="2544"/>
      <c r="BG25" s="3447"/>
      <c r="BH25" s="2544"/>
      <c r="BI25" s="2544"/>
      <c r="BJ25" s="3398"/>
      <c r="BK25" s="3263"/>
      <c r="BL25" s="3263"/>
      <c r="BM25" s="3266"/>
      <c r="BN25" s="3207"/>
      <c r="BO25" s="2770"/>
      <c r="BP25" s="2544"/>
      <c r="BQ25" s="3253"/>
      <c r="BR25" s="3398"/>
      <c r="BS25" s="3253"/>
      <c r="BT25" s="3398"/>
      <c r="BU25" s="3398"/>
    </row>
    <row r="26" spans="1:73" s="1542" customFormat="1" ht="32.1" customHeight="1" x14ac:dyDescent="0.25">
      <c r="A26" s="3389"/>
      <c r="B26" s="3220"/>
      <c r="C26" s="1589"/>
      <c r="D26" s="1590"/>
      <c r="E26" s="1600">
        <v>1206</v>
      </c>
      <c r="F26" s="3412" t="s">
        <v>2274</v>
      </c>
      <c r="G26" s="2509"/>
      <c r="H26" s="2509"/>
      <c r="I26" s="2509"/>
      <c r="J26" s="2509"/>
      <c r="K26" s="2509"/>
      <c r="L26" s="2509"/>
      <c r="M26" s="2509"/>
      <c r="N26" s="2509"/>
      <c r="O26" s="1602"/>
      <c r="P26" s="1602"/>
      <c r="Q26" s="1584"/>
      <c r="R26" s="1583"/>
      <c r="S26" s="1584"/>
      <c r="T26" s="1585"/>
      <c r="U26" s="1583"/>
      <c r="V26" s="1583"/>
      <c r="W26" s="1583"/>
      <c r="X26" s="1603"/>
      <c r="Y26" s="1603"/>
      <c r="Z26" s="1603"/>
      <c r="AA26" s="1601"/>
      <c r="AB26" s="1601"/>
      <c r="AC26" s="1606"/>
      <c r="AD26" s="1584"/>
      <c r="AE26" s="1584"/>
      <c r="AF26" s="1584"/>
      <c r="AG26" s="1584"/>
      <c r="AH26" s="1584"/>
      <c r="AI26" s="1584"/>
      <c r="AJ26" s="1584"/>
      <c r="AK26" s="1584"/>
      <c r="AL26" s="1584"/>
      <c r="AM26" s="1584"/>
      <c r="AN26" s="1584"/>
      <c r="AO26" s="1584"/>
      <c r="AP26" s="1584"/>
      <c r="AQ26" s="1584"/>
      <c r="AR26" s="1584"/>
      <c r="AS26" s="1584"/>
      <c r="AT26" s="1584"/>
      <c r="AU26" s="1584"/>
      <c r="AV26" s="1584"/>
      <c r="AW26" s="1584"/>
      <c r="AX26" s="1584"/>
      <c r="AY26" s="1584"/>
      <c r="AZ26" s="1584"/>
      <c r="BA26" s="1584"/>
      <c r="BB26" s="1584"/>
      <c r="BC26" s="1584"/>
      <c r="BD26" s="1584"/>
      <c r="BE26" s="1584"/>
      <c r="BF26" s="1584"/>
      <c r="BG26" s="1584"/>
      <c r="BH26" s="1584"/>
      <c r="BI26" s="1587"/>
      <c r="BJ26" s="1584"/>
      <c r="BK26" s="1584"/>
      <c r="BL26" s="1584"/>
      <c r="BM26" s="1584"/>
      <c r="BN26" s="1584"/>
      <c r="BO26" s="1584"/>
      <c r="BP26" s="1584"/>
      <c r="BQ26" s="1584"/>
      <c r="BR26" s="1587"/>
      <c r="BS26" s="1587"/>
      <c r="BT26" s="1587"/>
      <c r="BU26" s="1607"/>
    </row>
    <row r="27" spans="1:73" s="1542" customFormat="1" ht="93" customHeight="1" x14ac:dyDescent="0.25">
      <c r="A27" s="3389"/>
      <c r="B27" s="3220"/>
      <c r="C27" s="1589"/>
      <c r="D27" s="1590"/>
      <c r="E27" s="3473"/>
      <c r="F27" s="3473"/>
      <c r="G27" s="3475">
        <v>1206005</v>
      </c>
      <c r="H27" s="3289" t="s">
        <v>2275</v>
      </c>
      <c r="I27" s="3475">
        <v>1206005</v>
      </c>
      <c r="J27" s="3289" t="s">
        <v>2275</v>
      </c>
      <c r="K27" s="3152">
        <v>120600500</v>
      </c>
      <c r="L27" s="3313" t="s">
        <v>2276</v>
      </c>
      <c r="M27" s="3152">
        <v>120600500</v>
      </c>
      <c r="N27" s="3313" t="s">
        <v>2276</v>
      </c>
      <c r="O27" s="3151">
        <v>20</v>
      </c>
      <c r="P27" s="3151">
        <v>5</v>
      </c>
      <c r="Q27" s="3151" t="s">
        <v>2277</v>
      </c>
      <c r="R27" s="2714" t="s">
        <v>2278</v>
      </c>
      <c r="S27" s="3471">
        <f>T27/SUM(X27:X31)</f>
        <v>1</v>
      </c>
      <c r="T27" s="3463">
        <f>SUM(X27:X31)</f>
        <v>30000000</v>
      </c>
      <c r="U27" s="3465" t="s">
        <v>2279</v>
      </c>
      <c r="V27" s="3467" t="s">
        <v>2280</v>
      </c>
      <c r="W27" s="1608" t="s">
        <v>2281</v>
      </c>
      <c r="X27" s="1536">
        <f>20000000-20000000</f>
        <v>0</v>
      </c>
      <c r="Y27" s="1536"/>
      <c r="Z27" s="1536"/>
      <c r="AA27" s="1181" t="s">
        <v>2282</v>
      </c>
      <c r="AB27" s="1599">
        <v>20</v>
      </c>
      <c r="AC27" s="1609" t="s">
        <v>1830</v>
      </c>
      <c r="AD27" s="3461">
        <v>290</v>
      </c>
      <c r="AE27" s="3461">
        <v>290</v>
      </c>
      <c r="AF27" s="3461">
        <v>1260</v>
      </c>
      <c r="AG27" s="3461">
        <v>1260</v>
      </c>
      <c r="AH27" s="3461">
        <v>0</v>
      </c>
      <c r="AI27" s="3461">
        <v>0</v>
      </c>
      <c r="AJ27" s="3461">
        <v>150</v>
      </c>
      <c r="AK27" s="3461">
        <v>150</v>
      </c>
      <c r="AL27" s="3461">
        <v>1350</v>
      </c>
      <c r="AM27" s="3461">
        <v>1350</v>
      </c>
      <c r="AN27" s="3461">
        <v>50</v>
      </c>
      <c r="AO27" s="3461">
        <v>50</v>
      </c>
      <c r="AP27" s="3461">
        <v>0</v>
      </c>
      <c r="AQ27" s="3461"/>
      <c r="AR27" s="3461">
        <v>0</v>
      </c>
      <c r="AS27" s="3461"/>
      <c r="AT27" s="3461">
        <v>0</v>
      </c>
      <c r="AU27" s="3461"/>
      <c r="AV27" s="3461">
        <v>0</v>
      </c>
      <c r="AW27" s="3461"/>
      <c r="AX27" s="3461">
        <v>0</v>
      </c>
      <c r="AY27" s="3461"/>
      <c r="AZ27" s="3461">
        <v>0</v>
      </c>
      <c r="BA27" s="3461"/>
      <c r="BB27" s="3461">
        <v>0</v>
      </c>
      <c r="BC27" s="3461"/>
      <c r="BD27" s="3461">
        <v>0</v>
      </c>
      <c r="BE27" s="3461"/>
      <c r="BF27" s="3461">
        <v>0</v>
      </c>
      <c r="BG27" s="3461">
        <v>0</v>
      </c>
      <c r="BH27" s="3461">
        <f>+AD27+AF27</f>
        <v>1550</v>
      </c>
      <c r="BI27" s="3461">
        <f>+AE27+AG27</f>
        <v>1550</v>
      </c>
      <c r="BJ27" s="3459">
        <v>1</v>
      </c>
      <c r="BK27" s="3455">
        <f>SUM(Y27:Y31)</f>
        <v>10000000</v>
      </c>
      <c r="BL27" s="3455">
        <f>SUM(Z27:Z31)</f>
        <v>10000000</v>
      </c>
      <c r="BM27" s="3457">
        <f>+BL27/BK27</f>
        <v>1</v>
      </c>
      <c r="BN27" s="3459">
        <v>20</v>
      </c>
      <c r="BO27" s="3459" t="s">
        <v>1</v>
      </c>
      <c r="BP27" s="3459" t="s">
        <v>2252</v>
      </c>
      <c r="BQ27" s="3445">
        <v>44198</v>
      </c>
      <c r="BR27" s="3445">
        <v>44228</v>
      </c>
      <c r="BS27" s="3445">
        <v>44560</v>
      </c>
      <c r="BT27" s="3445">
        <v>44560</v>
      </c>
      <c r="BU27" s="3447" t="s">
        <v>2253</v>
      </c>
    </row>
    <row r="28" spans="1:73" s="1542" customFormat="1" ht="93" customHeight="1" x14ac:dyDescent="0.25">
      <c r="A28" s="3389"/>
      <c r="B28" s="3220"/>
      <c r="C28" s="1589"/>
      <c r="D28" s="1590"/>
      <c r="E28" s="3473"/>
      <c r="F28" s="3473"/>
      <c r="G28" s="3476"/>
      <c r="H28" s="3289"/>
      <c r="I28" s="3476"/>
      <c r="J28" s="3289"/>
      <c r="K28" s="3152"/>
      <c r="L28" s="3313"/>
      <c r="M28" s="3152"/>
      <c r="N28" s="3313"/>
      <c r="O28" s="3152"/>
      <c r="P28" s="3152"/>
      <c r="Q28" s="3152"/>
      <c r="R28" s="2714"/>
      <c r="S28" s="3471"/>
      <c r="T28" s="3463"/>
      <c r="U28" s="3466"/>
      <c r="V28" s="3468"/>
      <c r="W28" s="3449" t="s">
        <v>2283</v>
      </c>
      <c r="X28" s="1536">
        <f>10000000+20000000</f>
        <v>30000000</v>
      </c>
      <c r="Y28" s="1536">
        <v>10000000</v>
      </c>
      <c r="Z28" s="1536">
        <v>10000000</v>
      </c>
      <c r="AA28" s="1181" t="s">
        <v>2282</v>
      </c>
      <c r="AB28" s="3451">
        <v>20</v>
      </c>
      <c r="AC28" s="3452" t="s">
        <v>1830</v>
      </c>
      <c r="AD28" s="3462"/>
      <c r="AE28" s="3462"/>
      <c r="AF28" s="3462"/>
      <c r="AG28" s="3462"/>
      <c r="AH28" s="3462"/>
      <c r="AI28" s="3462"/>
      <c r="AJ28" s="3462"/>
      <c r="AK28" s="3462"/>
      <c r="AL28" s="3462"/>
      <c r="AM28" s="3462"/>
      <c r="AN28" s="3462"/>
      <c r="AO28" s="3462"/>
      <c r="AP28" s="3462"/>
      <c r="AQ28" s="3462"/>
      <c r="AR28" s="3462"/>
      <c r="AS28" s="3462"/>
      <c r="AT28" s="3462"/>
      <c r="AU28" s="3462"/>
      <c r="AV28" s="3462"/>
      <c r="AW28" s="3462"/>
      <c r="AX28" s="3462"/>
      <c r="AY28" s="3462"/>
      <c r="AZ28" s="3462"/>
      <c r="BA28" s="3462"/>
      <c r="BB28" s="3462"/>
      <c r="BC28" s="3462"/>
      <c r="BD28" s="3462"/>
      <c r="BE28" s="3462"/>
      <c r="BF28" s="3462"/>
      <c r="BG28" s="3462"/>
      <c r="BH28" s="3462"/>
      <c r="BI28" s="3462"/>
      <c r="BJ28" s="3460"/>
      <c r="BK28" s="3456"/>
      <c r="BL28" s="3456"/>
      <c r="BM28" s="3458"/>
      <c r="BN28" s="3460"/>
      <c r="BO28" s="3460"/>
      <c r="BP28" s="3460"/>
      <c r="BQ28" s="3446"/>
      <c r="BR28" s="3446"/>
      <c r="BS28" s="3446"/>
      <c r="BT28" s="3446"/>
      <c r="BU28" s="3447"/>
    </row>
    <row r="29" spans="1:73" s="1542" customFormat="1" ht="93" customHeight="1" x14ac:dyDescent="0.25">
      <c r="A29" s="3389"/>
      <c r="B29" s="3220"/>
      <c r="C29" s="1589"/>
      <c r="D29" s="1590"/>
      <c r="E29" s="3473"/>
      <c r="F29" s="3473"/>
      <c r="G29" s="3476"/>
      <c r="H29" s="3289"/>
      <c r="I29" s="3476"/>
      <c r="J29" s="3289"/>
      <c r="K29" s="3152"/>
      <c r="L29" s="3313"/>
      <c r="M29" s="3152"/>
      <c r="N29" s="3313"/>
      <c r="O29" s="3152"/>
      <c r="P29" s="3152"/>
      <c r="Q29" s="3152"/>
      <c r="R29" s="2714"/>
      <c r="S29" s="3471"/>
      <c r="T29" s="3463"/>
      <c r="U29" s="3466"/>
      <c r="V29" s="3468"/>
      <c r="W29" s="3450"/>
      <c r="X29" s="1536">
        <f>3000000-3000000</f>
        <v>0</v>
      </c>
      <c r="Y29" s="1536"/>
      <c r="Z29" s="1536"/>
      <c r="AA29" s="1181" t="s">
        <v>2284</v>
      </c>
      <c r="AB29" s="3451"/>
      <c r="AC29" s="3453"/>
      <c r="AD29" s="3462"/>
      <c r="AE29" s="3462"/>
      <c r="AF29" s="3462"/>
      <c r="AG29" s="3462"/>
      <c r="AH29" s="3462"/>
      <c r="AI29" s="3462"/>
      <c r="AJ29" s="3462"/>
      <c r="AK29" s="3462"/>
      <c r="AL29" s="3462"/>
      <c r="AM29" s="3462"/>
      <c r="AN29" s="3462"/>
      <c r="AO29" s="3462"/>
      <c r="AP29" s="3462"/>
      <c r="AQ29" s="3462"/>
      <c r="AR29" s="3462"/>
      <c r="AS29" s="3462"/>
      <c r="AT29" s="3462"/>
      <c r="AU29" s="3462"/>
      <c r="AV29" s="3462"/>
      <c r="AW29" s="3462"/>
      <c r="AX29" s="3462"/>
      <c r="AY29" s="3462"/>
      <c r="AZ29" s="3462"/>
      <c r="BA29" s="3462"/>
      <c r="BB29" s="3462"/>
      <c r="BC29" s="3462"/>
      <c r="BD29" s="3462"/>
      <c r="BE29" s="3462"/>
      <c r="BF29" s="3462"/>
      <c r="BG29" s="3462"/>
      <c r="BH29" s="3462"/>
      <c r="BI29" s="3462"/>
      <c r="BJ29" s="3460"/>
      <c r="BK29" s="3456"/>
      <c r="BL29" s="3456"/>
      <c r="BM29" s="3458"/>
      <c r="BN29" s="3460"/>
      <c r="BO29" s="3460"/>
      <c r="BP29" s="3460"/>
      <c r="BQ29" s="3446"/>
      <c r="BR29" s="3446"/>
      <c r="BS29" s="3446"/>
      <c r="BT29" s="3446"/>
      <c r="BU29" s="3447"/>
    </row>
    <row r="30" spans="1:73" s="1542" customFormat="1" ht="65.25" customHeight="1" x14ac:dyDescent="0.25">
      <c r="A30" s="3389"/>
      <c r="B30" s="3220"/>
      <c r="C30" s="1589"/>
      <c r="D30" s="1590"/>
      <c r="E30" s="3473"/>
      <c r="F30" s="3473"/>
      <c r="G30" s="3476"/>
      <c r="H30" s="3289"/>
      <c r="I30" s="3476"/>
      <c r="J30" s="3289"/>
      <c r="K30" s="3152"/>
      <c r="L30" s="3313"/>
      <c r="M30" s="3152"/>
      <c r="N30" s="3313"/>
      <c r="O30" s="3152"/>
      <c r="P30" s="3152"/>
      <c r="Q30" s="3152"/>
      <c r="R30" s="2714"/>
      <c r="S30" s="3471"/>
      <c r="T30" s="3463"/>
      <c r="U30" s="3466"/>
      <c r="V30" s="3468"/>
      <c r="W30" s="3450"/>
      <c r="X30" s="1536">
        <f>2900000-2900000</f>
        <v>0</v>
      </c>
      <c r="Y30" s="1536"/>
      <c r="Z30" s="1536"/>
      <c r="AA30" s="1181" t="s">
        <v>2285</v>
      </c>
      <c r="AB30" s="3451"/>
      <c r="AC30" s="3454"/>
      <c r="AD30" s="3462"/>
      <c r="AE30" s="3462"/>
      <c r="AF30" s="3462"/>
      <c r="AG30" s="3462"/>
      <c r="AH30" s="3462"/>
      <c r="AI30" s="3462"/>
      <c r="AJ30" s="3462"/>
      <c r="AK30" s="3462"/>
      <c r="AL30" s="3462"/>
      <c r="AM30" s="3462"/>
      <c r="AN30" s="3462"/>
      <c r="AO30" s="3462"/>
      <c r="AP30" s="3462"/>
      <c r="AQ30" s="3462"/>
      <c r="AR30" s="3462"/>
      <c r="AS30" s="3462"/>
      <c r="AT30" s="3462"/>
      <c r="AU30" s="3462"/>
      <c r="AV30" s="3462"/>
      <c r="AW30" s="3462"/>
      <c r="AX30" s="3462"/>
      <c r="AY30" s="3462"/>
      <c r="AZ30" s="3462"/>
      <c r="BA30" s="3462"/>
      <c r="BB30" s="3462"/>
      <c r="BC30" s="3462"/>
      <c r="BD30" s="3462"/>
      <c r="BE30" s="3462"/>
      <c r="BF30" s="3462"/>
      <c r="BG30" s="3462"/>
      <c r="BH30" s="3462"/>
      <c r="BI30" s="3462"/>
      <c r="BJ30" s="3460"/>
      <c r="BK30" s="3456"/>
      <c r="BL30" s="3456"/>
      <c r="BM30" s="3458"/>
      <c r="BN30" s="3460"/>
      <c r="BO30" s="3460"/>
      <c r="BP30" s="3460"/>
      <c r="BQ30" s="3446"/>
      <c r="BR30" s="3446"/>
      <c r="BS30" s="3446"/>
      <c r="BT30" s="3446"/>
      <c r="BU30" s="3447"/>
    </row>
    <row r="31" spans="1:73" s="1542" customFormat="1" ht="63.95" customHeight="1" x14ac:dyDescent="0.25">
      <c r="A31" s="3389"/>
      <c r="B31" s="3220"/>
      <c r="C31" s="1610"/>
      <c r="D31" s="1611"/>
      <c r="E31" s="3474"/>
      <c r="F31" s="3474"/>
      <c r="G31" s="3476"/>
      <c r="H31" s="3477"/>
      <c r="I31" s="3476"/>
      <c r="J31" s="3290"/>
      <c r="K31" s="3153"/>
      <c r="L31" s="3312"/>
      <c r="M31" s="3152"/>
      <c r="N31" s="3313"/>
      <c r="O31" s="3152"/>
      <c r="P31" s="3152"/>
      <c r="Q31" s="3152"/>
      <c r="R31" s="3470"/>
      <c r="S31" s="3472"/>
      <c r="T31" s="3464"/>
      <c r="U31" s="3466"/>
      <c r="V31" s="3469"/>
      <c r="W31" s="1612" t="s">
        <v>2286</v>
      </c>
      <c r="X31" s="1537">
        <f>100000-100000</f>
        <v>0</v>
      </c>
      <c r="Y31" s="1537"/>
      <c r="Z31" s="1537"/>
      <c r="AA31" s="900" t="s">
        <v>2285</v>
      </c>
      <c r="AB31" s="1613">
        <v>20</v>
      </c>
      <c r="AC31" s="1614" t="s">
        <v>1830</v>
      </c>
      <c r="AD31" s="3462"/>
      <c r="AE31" s="3462"/>
      <c r="AF31" s="3462"/>
      <c r="AG31" s="3462"/>
      <c r="AH31" s="3462"/>
      <c r="AI31" s="3462"/>
      <c r="AJ31" s="3462"/>
      <c r="AK31" s="3462"/>
      <c r="AL31" s="3462"/>
      <c r="AM31" s="3462"/>
      <c r="AN31" s="3462"/>
      <c r="AO31" s="3462"/>
      <c r="AP31" s="3462"/>
      <c r="AQ31" s="3462"/>
      <c r="AR31" s="3462"/>
      <c r="AS31" s="3462"/>
      <c r="AT31" s="3462"/>
      <c r="AU31" s="3462"/>
      <c r="AV31" s="3462"/>
      <c r="AW31" s="3462"/>
      <c r="AX31" s="3462"/>
      <c r="AY31" s="3462"/>
      <c r="AZ31" s="3462"/>
      <c r="BA31" s="3462"/>
      <c r="BB31" s="3462"/>
      <c r="BC31" s="3462"/>
      <c r="BD31" s="3462"/>
      <c r="BE31" s="3462"/>
      <c r="BF31" s="3462"/>
      <c r="BG31" s="3462"/>
      <c r="BH31" s="3462"/>
      <c r="BI31" s="3462"/>
      <c r="BJ31" s="3460"/>
      <c r="BK31" s="3456"/>
      <c r="BL31" s="3456"/>
      <c r="BM31" s="3458"/>
      <c r="BN31" s="3460"/>
      <c r="BO31" s="3460"/>
      <c r="BP31" s="3460"/>
      <c r="BQ31" s="3446"/>
      <c r="BR31" s="3446"/>
      <c r="BS31" s="3446"/>
      <c r="BT31" s="3446"/>
      <c r="BU31" s="3448"/>
    </row>
    <row r="32" spans="1:73" ht="31.5" customHeight="1" x14ac:dyDescent="0.25">
      <c r="A32" s="49"/>
      <c r="B32" s="910"/>
      <c r="C32" s="1615">
        <v>22</v>
      </c>
      <c r="D32" s="2877" t="s">
        <v>444</v>
      </c>
      <c r="E32" s="3397"/>
      <c r="F32" s="3397"/>
      <c r="G32" s="3397"/>
      <c r="H32" s="1616"/>
      <c r="I32" s="1617"/>
      <c r="J32" s="1616"/>
      <c r="K32" s="1618"/>
      <c r="L32" s="1616"/>
      <c r="M32" s="1619"/>
      <c r="N32" s="1620"/>
      <c r="O32" s="1619"/>
      <c r="P32" s="1619"/>
      <c r="Q32" s="1619"/>
      <c r="R32" s="1620"/>
      <c r="S32" s="1621"/>
      <c r="T32" s="1622"/>
      <c r="U32" s="1620"/>
      <c r="V32" s="1623"/>
      <c r="W32" s="1624"/>
      <c r="X32" s="1625"/>
      <c r="Y32" s="1625"/>
      <c r="Z32" s="1625"/>
      <c r="AA32" s="1619"/>
      <c r="AB32" s="1626"/>
      <c r="AC32" s="1620"/>
      <c r="AD32" s="1627"/>
      <c r="AE32" s="1627"/>
      <c r="AF32" s="1627"/>
      <c r="AG32" s="1627"/>
      <c r="AH32" s="1627"/>
      <c r="AI32" s="1627"/>
      <c r="AJ32" s="1627"/>
      <c r="AK32" s="1627"/>
      <c r="AL32" s="1627"/>
      <c r="AM32" s="1627"/>
      <c r="AN32" s="1627"/>
      <c r="AO32" s="1627"/>
      <c r="AP32" s="1627"/>
      <c r="AQ32" s="1627"/>
      <c r="AR32" s="1627"/>
      <c r="AS32" s="1627"/>
      <c r="AT32" s="1627"/>
      <c r="AU32" s="1627"/>
      <c r="AV32" s="1627"/>
      <c r="AW32" s="1627"/>
      <c r="AX32" s="1627"/>
      <c r="AY32" s="1627"/>
      <c r="AZ32" s="1627"/>
      <c r="BA32" s="1627"/>
      <c r="BB32" s="1627"/>
      <c r="BC32" s="1627"/>
      <c r="BD32" s="1627"/>
      <c r="BE32" s="1627"/>
      <c r="BF32" s="1627"/>
      <c r="BG32" s="1627"/>
      <c r="BH32" s="1628"/>
      <c r="BI32" s="1628"/>
      <c r="BJ32" s="1628"/>
      <c r="BK32" s="1628"/>
      <c r="BL32" s="1628"/>
      <c r="BM32" s="1628"/>
      <c r="BN32" s="1628"/>
      <c r="BO32" s="1628"/>
      <c r="BP32" s="1628"/>
      <c r="BQ32" s="1629"/>
      <c r="BR32" s="1629"/>
      <c r="BS32" s="1629"/>
      <c r="BT32" s="1629"/>
      <c r="BU32" s="1630"/>
    </row>
    <row r="33" spans="1:73" s="1542" customFormat="1" ht="39.950000000000003" customHeight="1" x14ac:dyDescent="0.25">
      <c r="A33" s="1631"/>
      <c r="B33" s="1590"/>
      <c r="C33" s="1589"/>
      <c r="D33" s="1581"/>
      <c r="E33" s="1540">
        <v>2201</v>
      </c>
      <c r="F33" s="2508" t="s">
        <v>748</v>
      </c>
      <c r="G33" s="2509"/>
      <c r="H33" s="2509"/>
      <c r="I33" s="2509"/>
      <c r="J33" s="2509"/>
      <c r="K33" s="2509"/>
      <c r="L33" s="2509"/>
      <c r="M33" s="2509"/>
      <c r="N33" s="2509"/>
      <c r="O33" s="1584"/>
      <c r="P33" s="1584"/>
      <c r="Q33" s="1584"/>
      <c r="R33" s="1583"/>
      <c r="S33" s="1584"/>
      <c r="T33" s="1585"/>
      <c r="U33" s="1583"/>
      <c r="V33" s="1583"/>
      <c r="W33" s="1583"/>
      <c r="X33" s="1603"/>
      <c r="Y33" s="1603"/>
      <c r="Z33" s="1603"/>
      <c r="AA33" s="1587"/>
      <c r="AB33" s="1587"/>
      <c r="AC33" s="1632"/>
      <c r="AD33" s="1584"/>
      <c r="AE33" s="1584"/>
      <c r="AF33" s="1584"/>
      <c r="AG33" s="1584"/>
      <c r="AH33" s="1584"/>
      <c r="AI33" s="1584"/>
      <c r="AJ33" s="1584"/>
      <c r="AK33" s="1584"/>
      <c r="AL33" s="1584"/>
      <c r="AM33" s="1584"/>
      <c r="AN33" s="1584"/>
      <c r="AO33" s="1584"/>
      <c r="AP33" s="1584"/>
      <c r="AQ33" s="1584"/>
      <c r="AR33" s="1584"/>
      <c r="AS33" s="1584"/>
      <c r="AT33" s="1584"/>
      <c r="AU33" s="1584"/>
      <c r="AV33" s="1584"/>
      <c r="AW33" s="1584"/>
      <c r="AX33" s="1584"/>
      <c r="AY33" s="1584"/>
      <c r="AZ33" s="1584"/>
      <c r="BA33" s="1584"/>
      <c r="BB33" s="1584"/>
      <c r="BC33" s="1584"/>
      <c r="BD33" s="1584"/>
      <c r="BE33" s="1584"/>
      <c r="BF33" s="1584"/>
      <c r="BG33" s="1584"/>
      <c r="BH33" s="1584"/>
      <c r="BI33" s="1584"/>
      <c r="BJ33" s="1584"/>
      <c r="BK33" s="1584"/>
      <c r="BL33" s="1584"/>
      <c r="BM33" s="1584"/>
      <c r="BN33" s="1584"/>
      <c r="BO33" s="1584"/>
      <c r="BP33" s="1584"/>
      <c r="BQ33" s="1584"/>
      <c r="BR33" s="1584"/>
      <c r="BS33" s="1584"/>
      <c r="BT33" s="1584"/>
      <c r="BU33" s="1588"/>
    </row>
    <row r="34" spans="1:73" s="1542" customFormat="1" ht="53.25" customHeight="1" x14ac:dyDescent="0.25">
      <c r="A34" s="1631"/>
      <c r="B34" s="1590"/>
      <c r="C34" s="1589"/>
      <c r="D34" s="1590"/>
      <c r="E34" s="3224"/>
      <c r="F34" s="3224"/>
      <c r="G34" s="3212">
        <v>2201068</v>
      </c>
      <c r="H34" s="3214" t="s">
        <v>859</v>
      </c>
      <c r="I34" s="3212">
        <v>2201068</v>
      </c>
      <c r="J34" s="3214" t="s">
        <v>859</v>
      </c>
      <c r="K34" s="3206">
        <v>220106800</v>
      </c>
      <c r="L34" s="2771" t="s">
        <v>860</v>
      </c>
      <c r="M34" s="3206">
        <v>220106800</v>
      </c>
      <c r="N34" s="2771" t="s">
        <v>860</v>
      </c>
      <c r="O34" s="3354">
        <v>70</v>
      </c>
      <c r="P34" s="3354">
        <v>70</v>
      </c>
      <c r="Q34" s="2745" t="s">
        <v>2287</v>
      </c>
      <c r="R34" s="2681" t="s">
        <v>2288</v>
      </c>
      <c r="S34" s="2776">
        <f>SUM(X34:X39)/T34</f>
        <v>1</v>
      </c>
      <c r="T34" s="3411">
        <f>SUM(X34:X39)</f>
        <v>74287500</v>
      </c>
      <c r="U34" s="2681" t="s">
        <v>2289</v>
      </c>
      <c r="V34" s="2681" t="s">
        <v>2290</v>
      </c>
      <c r="W34" s="3443" t="s">
        <v>2291</v>
      </c>
      <c r="X34" s="1591">
        <v>11800000</v>
      </c>
      <c r="Y34" s="1591">
        <v>9652500</v>
      </c>
      <c r="Z34" s="1591">
        <v>9652500</v>
      </c>
      <c r="AA34" s="1181" t="s">
        <v>2292</v>
      </c>
      <c r="AB34" s="1633">
        <v>20</v>
      </c>
      <c r="AC34" s="903" t="s">
        <v>1830</v>
      </c>
      <c r="AD34" s="3309">
        <v>19507</v>
      </c>
      <c r="AE34" s="3306">
        <v>0</v>
      </c>
      <c r="AF34" s="3306">
        <v>19809</v>
      </c>
      <c r="AG34" s="3306">
        <v>0</v>
      </c>
      <c r="AH34" s="3306">
        <v>27714</v>
      </c>
      <c r="AI34" s="3306">
        <v>0</v>
      </c>
      <c r="AJ34" s="3306">
        <v>10230</v>
      </c>
      <c r="AK34" s="3306"/>
      <c r="AL34" s="3306">
        <v>1292</v>
      </c>
      <c r="AM34" s="3306"/>
      <c r="AN34" s="3306">
        <v>80</v>
      </c>
      <c r="AO34" s="3306"/>
      <c r="AP34" s="3306">
        <v>291</v>
      </c>
      <c r="AQ34" s="3306"/>
      <c r="AR34" s="3306">
        <v>334</v>
      </c>
      <c r="AS34" s="3306"/>
      <c r="AT34" s="3306">
        <v>0</v>
      </c>
      <c r="AU34" s="3306"/>
      <c r="AV34" s="3306">
        <v>0</v>
      </c>
      <c r="AW34" s="3306"/>
      <c r="AX34" s="3306">
        <v>0</v>
      </c>
      <c r="AY34" s="3306"/>
      <c r="AZ34" s="3306">
        <v>0</v>
      </c>
      <c r="BA34" s="3306"/>
      <c r="BB34" s="3306">
        <v>3158</v>
      </c>
      <c r="BC34" s="3306"/>
      <c r="BD34" s="3306">
        <v>2437</v>
      </c>
      <c r="BE34" s="3306"/>
      <c r="BF34" s="3306">
        <v>990</v>
      </c>
      <c r="BG34" s="3306"/>
      <c r="BH34" s="3306">
        <f>+AD34+AF34</f>
        <v>39316</v>
      </c>
      <c r="BI34" s="3306">
        <f>+AE34+AG34</f>
        <v>0</v>
      </c>
      <c r="BJ34" s="3436">
        <v>7</v>
      </c>
      <c r="BK34" s="3441">
        <f>SUM(Y34:Y39)</f>
        <v>61854666</v>
      </c>
      <c r="BL34" s="3441">
        <f>SUM(Z34:Z39)</f>
        <v>61854666</v>
      </c>
      <c r="BM34" s="3442">
        <f>+BL34/BK34</f>
        <v>1</v>
      </c>
      <c r="BN34" s="3436">
        <v>20</v>
      </c>
      <c r="BO34" s="3436" t="s">
        <v>1</v>
      </c>
      <c r="BP34" s="3436" t="s">
        <v>2293</v>
      </c>
      <c r="BQ34" s="3440">
        <v>44198</v>
      </c>
      <c r="BR34" s="3440">
        <v>44251</v>
      </c>
      <c r="BS34" s="3440">
        <v>44560</v>
      </c>
      <c r="BT34" s="3440">
        <v>44491</v>
      </c>
      <c r="BU34" s="3436" t="s">
        <v>2253</v>
      </c>
    </row>
    <row r="35" spans="1:73" s="1542" customFormat="1" ht="60" customHeight="1" x14ac:dyDescent="0.25">
      <c r="A35" s="1631"/>
      <c r="B35" s="1590"/>
      <c r="C35" s="1589"/>
      <c r="D35" s="1590"/>
      <c r="E35" s="3224"/>
      <c r="F35" s="3224"/>
      <c r="G35" s="3212"/>
      <c r="H35" s="3214"/>
      <c r="I35" s="3212"/>
      <c r="J35" s="3214"/>
      <c r="K35" s="3206"/>
      <c r="L35" s="2771"/>
      <c r="M35" s="3206"/>
      <c r="N35" s="2771"/>
      <c r="O35" s="3206"/>
      <c r="P35" s="3206"/>
      <c r="Q35" s="3206"/>
      <c r="R35" s="2771"/>
      <c r="S35" s="2777"/>
      <c r="T35" s="3356"/>
      <c r="U35" s="2771"/>
      <c r="V35" s="2771"/>
      <c r="W35" s="3444"/>
      <c r="X35" s="1591">
        <v>11824445</v>
      </c>
      <c r="Y35" s="1591">
        <v>11606054</v>
      </c>
      <c r="Z35" s="1591">
        <v>11606054</v>
      </c>
      <c r="AA35" s="1181" t="s">
        <v>2294</v>
      </c>
      <c r="AB35" s="304">
        <v>88</v>
      </c>
      <c r="AC35" s="901" t="s">
        <v>2255</v>
      </c>
      <c r="AD35" s="3310"/>
      <c r="AE35" s="3307"/>
      <c r="AF35" s="3307"/>
      <c r="AG35" s="3307"/>
      <c r="AH35" s="3307"/>
      <c r="AI35" s="3307"/>
      <c r="AJ35" s="3307"/>
      <c r="AK35" s="3307"/>
      <c r="AL35" s="3307"/>
      <c r="AM35" s="3307"/>
      <c r="AN35" s="3307"/>
      <c r="AO35" s="3307"/>
      <c r="AP35" s="3307"/>
      <c r="AQ35" s="3307"/>
      <c r="AR35" s="3307"/>
      <c r="AS35" s="3307"/>
      <c r="AT35" s="3307"/>
      <c r="AU35" s="3307"/>
      <c r="AV35" s="3307"/>
      <c r="AW35" s="3307"/>
      <c r="AX35" s="3307"/>
      <c r="AY35" s="3307"/>
      <c r="AZ35" s="3307"/>
      <c r="BA35" s="3307"/>
      <c r="BB35" s="3307"/>
      <c r="BC35" s="3307"/>
      <c r="BD35" s="3307"/>
      <c r="BE35" s="3307"/>
      <c r="BF35" s="3307"/>
      <c r="BG35" s="3307"/>
      <c r="BH35" s="3307"/>
      <c r="BI35" s="3307"/>
      <c r="BJ35" s="3436"/>
      <c r="BK35" s="3441"/>
      <c r="BL35" s="3441"/>
      <c r="BM35" s="3442"/>
      <c r="BN35" s="3436"/>
      <c r="BO35" s="3436"/>
      <c r="BP35" s="3436"/>
      <c r="BQ35" s="3440"/>
      <c r="BR35" s="3440"/>
      <c r="BS35" s="3440"/>
      <c r="BT35" s="3440"/>
      <c r="BU35" s="3436"/>
    </row>
    <row r="36" spans="1:73" s="1542" customFormat="1" ht="43.5" customHeight="1" x14ac:dyDescent="0.25">
      <c r="A36" s="1631"/>
      <c r="B36" s="1590"/>
      <c r="C36" s="1589"/>
      <c r="D36" s="1590"/>
      <c r="E36" s="3224"/>
      <c r="F36" s="3224"/>
      <c r="G36" s="3213"/>
      <c r="H36" s="3214"/>
      <c r="I36" s="3213"/>
      <c r="J36" s="3214"/>
      <c r="K36" s="3206"/>
      <c r="L36" s="2771"/>
      <c r="M36" s="3206"/>
      <c r="N36" s="2771"/>
      <c r="O36" s="3206"/>
      <c r="P36" s="3206"/>
      <c r="Q36" s="3206"/>
      <c r="R36" s="2771"/>
      <c r="S36" s="2777"/>
      <c r="T36" s="3356"/>
      <c r="U36" s="2771"/>
      <c r="V36" s="2835"/>
      <c r="W36" s="3437" t="s">
        <v>2295</v>
      </c>
      <c r="X36" s="1591">
        <v>0</v>
      </c>
      <c r="Y36" s="1591"/>
      <c r="Z36" s="1591"/>
      <c r="AA36" s="900" t="s">
        <v>2292</v>
      </c>
      <c r="AB36" s="1633">
        <v>20</v>
      </c>
      <c r="AC36" s="903" t="s">
        <v>1830</v>
      </c>
      <c r="AD36" s="3310"/>
      <c r="AE36" s="3307"/>
      <c r="AF36" s="3307"/>
      <c r="AG36" s="3307"/>
      <c r="AH36" s="3307"/>
      <c r="AI36" s="3307"/>
      <c r="AJ36" s="3307"/>
      <c r="AK36" s="3307"/>
      <c r="AL36" s="3307"/>
      <c r="AM36" s="3307"/>
      <c r="AN36" s="3307"/>
      <c r="AO36" s="3307"/>
      <c r="AP36" s="3307"/>
      <c r="AQ36" s="3307"/>
      <c r="AR36" s="3307"/>
      <c r="AS36" s="3307"/>
      <c r="AT36" s="3307"/>
      <c r="AU36" s="3307"/>
      <c r="AV36" s="3307"/>
      <c r="AW36" s="3307"/>
      <c r="AX36" s="3307"/>
      <c r="AY36" s="3307"/>
      <c r="AZ36" s="3307"/>
      <c r="BA36" s="3307"/>
      <c r="BB36" s="3307"/>
      <c r="BC36" s="3307"/>
      <c r="BD36" s="3307"/>
      <c r="BE36" s="3307"/>
      <c r="BF36" s="3307"/>
      <c r="BG36" s="3307"/>
      <c r="BH36" s="3307"/>
      <c r="BI36" s="3307"/>
      <c r="BJ36" s="3436"/>
      <c r="BK36" s="3441"/>
      <c r="BL36" s="3441"/>
      <c r="BM36" s="3442"/>
      <c r="BN36" s="3436"/>
      <c r="BO36" s="3436"/>
      <c r="BP36" s="3436"/>
      <c r="BQ36" s="3440"/>
      <c r="BR36" s="3440"/>
      <c r="BS36" s="3440"/>
      <c r="BT36" s="3440"/>
      <c r="BU36" s="3436"/>
    </row>
    <row r="37" spans="1:73" s="1542" customFormat="1" ht="59.1" customHeight="1" x14ac:dyDescent="0.25">
      <c r="A37" s="1631"/>
      <c r="B37" s="1590"/>
      <c r="C37" s="1589"/>
      <c r="D37" s="1590"/>
      <c r="E37" s="3224"/>
      <c r="F37" s="3224"/>
      <c r="G37" s="3213"/>
      <c r="H37" s="3214"/>
      <c r="I37" s="3213"/>
      <c r="J37" s="3214"/>
      <c r="K37" s="3206"/>
      <c r="L37" s="2771"/>
      <c r="M37" s="3206"/>
      <c r="N37" s="2771"/>
      <c r="O37" s="3206"/>
      <c r="P37" s="3206"/>
      <c r="Q37" s="3206"/>
      <c r="R37" s="2771"/>
      <c r="S37" s="2777"/>
      <c r="T37" s="3356"/>
      <c r="U37" s="2771"/>
      <c r="V37" s="2835"/>
      <c r="W37" s="3438"/>
      <c r="X37" s="1591">
        <v>12129944</v>
      </c>
      <c r="Y37" s="1591">
        <v>11594056</v>
      </c>
      <c r="Z37" s="1591">
        <v>11594056</v>
      </c>
      <c r="AA37" s="1181" t="s">
        <v>2294</v>
      </c>
      <c r="AB37" s="304">
        <v>88</v>
      </c>
      <c r="AC37" s="901" t="s">
        <v>2255</v>
      </c>
      <c r="AD37" s="3310"/>
      <c r="AE37" s="3307"/>
      <c r="AF37" s="3307"/>
      <c r="AG37" s="3307"/>
      <c r="AH37" s="3307"/>
      <c r="AI37" s="3307"/>
      <c r="AJ37" s="3307"/>
      <c r="AK37" s="3307"/>
      <c r="AL37" s="3307"/>
      <c r="AM37" s="3307"/>
      <c r="AN37" s="3307"/>
      <c r="AO37" s="3307"/>
      <c r="AP37" s="3307"/>
      <c r="AQ37" s="3307"/>
      <c r="AR37" s="3307"/>
      <c r="AS37" s="3307"/>
      <c r="AT37" s="3307"/>
      <c r="AU37" s="3307"/>
      <c r="AV37" s="3307"/>
      <c r="AW37" s="3307"/>
      <c r="AX37" s="3307"/>
      <c r="AY37" s="3307"/>
      <c r="AZ37" s="3307"/>
      <c r="BA37" s="3307"/>
      <c r="BB37" s="3307"/>
      <c r="BC37" s="3307"/>
      <c r="BD37" s="3307"/>
      <c r="BE37" s="3307"/>
      <c r="BF37" s="3307"/>
      <c r="BG37" s="3307"/>
      <c r="BH37" s="3307"/>
      <c r="BI37" s="3307"/>
      <c r="BJ37" s="3436"/>
      <c r="BK37" s="3441"/>
      <c r="BL37" s="3441"/>
      <c r="BM37" s="3442"/>
      <c r="BN37" s="3436"/>
      <c r="BO37" s="3436"/>
      <c r="BP37" s="3436"/>
      <c r="BQ37" s="3440"/>
      <c r="BR37" s="3440"/>
      <c r="BS37" s="3440"/>
      <c r="BT37" s="3440"/>
      <c r="BU37" s="3436"/>
    </row>
    <row r="38" spans="1:73" s="1542" customFormat="1" ht="59.1" customHeight="1" x14ac:dyDescent="0.25">
      <c r="A38" s="1631"/>
      <c r="B38" s="1590"/>
      <c r="C38" s="1589"/>
      <c r="D38" s="1590"/>
      <c r="E38" s="3224"/>
      <c r="F38" s="3224"/>
      <c r="G38" s="3213"/>
      <c r="H38" s="3214"/>
      <c r="I38" s="3213"/>
      <c r="J38" s="3214"/>
      <c r="K38" s="3206"/>
      <c r="L38" s="2771"/>
      <c r="M38" s="3206"/>
      <c r="N38" s="2771"/>
      <c r="O38" s="3206"/>
      <c r="P38" s="3206"/>
      <c r="Q38" s="3206"/>
      <c r="R38" s="2771"/>
      <c r="S38" s="2777"/>
      <c r="T38" s="3356"/>
      <c r="U38" s="2771"/>
      <c r="V38" s="2835"/>
      <c r="W38" s="3439" t="s">
        <v>2296</v>
      </c>
      <c r="X38" s="1591">
        <v>18200000</v>
      </c>
      <c r="Y38" s="1591">
        <v>17390000</v>
      </c>
      <c r="Z38" s="1591">
        <v>17390000</v>
      </c>
      <c r="AA38" s="1181" t="s">
        <v>2292</v>
      </c>
      <c r="AB38" s="1633">
        <v>20</v>
      </c>
      <c r="AC38" s="903" t="s">
        <v>1830</v>
      </c>
      <c r="AD38" s="3310"/>
      <c r="AE38" s="3307"/>
      <c r="AF38" s="3307"/>
      <c r="AG38" s="3307"/>
      <c r="AH38" s="3307"/>
      <c r="AI38" s="3307"/>
      <c r="AJ38" s="3307"/>
      <c r="AK38" s="3307"/>
      <c r="AL38" s="3307"/>
      <c r="AM38" s="3307"/>
      <c r="AN38" s="3307"/>
      <c r="AO38" s="3307"/>
      <c r="AP38" s="3307"/>
      <c r="AQ38" s="3307"/>
      <c r="AR38" s="3307"/>
      <c r="AS38" s="3307"/>
      <c r="AT38" s="3307"/>
      <c r="AU38" s="3307"/>
      <c r="AV38" s="3307"/>
      <c r="AW38" s="3307"/>
      <c r="AX38" s="3307"/>
      <c r="AY38" s="3307"/>
      <c r="AZ38" s="3307"/>
      <c r="BA38" s="3307"/>
      <c r="BB38" s="3307"/>
      <c r="BC38" s="3307"/>
      <c r="BD38" s="3307"/>
      <c r="BE38" s="3307"/>
      <c r="BF38" s="3307"/>
      <c r="BG38" s="3307"/>
      <c r="BH38" s="3307"/>
      <c r="BI38" s="3307"/>
      <c r="BJ38" s="3436"/>
      <c r="BK38" s="3441"/>
      <c r="BL38" s="3441"/>
      <c r="BM38" s="3442"/>
      <c r="BN38" s="3436"/>
      <c r="BO38" s="3436"/>
      <c r="BP38" s="3436"/>
      <c r="BQ38" s="3440"/>
      <c r="BR38" s="3440"/>
      <c r="BS38" s="3440"/>
      <c r="BT38" s="3440"/>
      <c r="BU38" s="3436"/>
    </row>
    <row r="39" spans="1:73" s="1542" customFormat="1" ht="54.75" customHeight="1" x14ac:dyDescent="0.25">
      <c r="A39" s="1631"/>
      <c r="B39" s="1590"/>
      <c r="C39" s="1634"/>
      <c r="D39" s="1590"/>
      <c r="E39" s="3358"/>
      <c r="F39" s="3358"/>
      <c r="G39" s="3213"/>
      <c r="H39" s="3359"/>
      <c r="I39" s="3213"/>
      <c r="J39" s="3359"/>
      <c r="K39" s="3206"/>
      <c r="L39" s="2771"/>
      <c r="M39" s="3206"/>
      <c r="N39" s="2771"/>
      <c r="O39" s="3206"/>
      <c r="P39" s="3206"/>
      <c r="Q39" s="3206"/>
      <c r="R39" s="2771"/>
      <c r="S39" s="2777"/>
      <c r="T39" s="3356"/>
      <c r="U39" s="2771"/>
      <c r="V39" s="2835"/>
      <c r="W39" s="3439"/>
      <c r="X39" s="1591">
        <v>20333111</v>
      </c>
      <c r="Y39" s="1591">
        <v>11612056</v>
      </c>
      <c r="Z39" s="1591">
        <v>11612056</v>
      </c>
      <c r="AA39" s="1181" t="s">
        <v>2294</v>
      </c>
      <c r="AB39" s="304">
        <v>88</v>
      </c>
      <c r="AC39" s="901" t="s">
        <v>2255</v>
      </c>
      <c r="AD39" s="3311"/>
      <c r="AE39" s="3308"/>
      <c r="AF39" s="3308"/>
      <c r="AG39" s="3308"/>
      <c r="AH39" s="3308"/>
      <c r="AI39" s="3308"/>
      <c r="AJ39" s="3308"/>
      <c r="AK39" s="3308"/>
      <c r="AL39" s="3308"/>
      <c r="AM39" s="3308"/>
      <c r="AN39" s="3308"/>
      <c r="AO39" s="3308"/>
      <c r="AP39" s="3308"/>
      <c r="AQ39" s="3308"/>
      <c r="AR39" s="3308"/>
      <c r="AS39" s="3308"/>
      <c r="AT39" s="3308"/>
      <c r="AU39" s="3308"/>
      <c r="AV39" s="3308"/>
      <c r="AW39" s="3308"/>
      <c r="AX39" s="3308"/>
      <c r="AY39" s="3308"/>
      <c r="AZ39" s="3308"/>
      <c r="BA39" s="3308"/>
      <c r="BB39" s="3308"/>
      <c r="BC39" s="3308"/>
      <c r="BD39" s="3308"/>
      <c r="BE39" s="3308"/>
      <c r="BF39" s="3308"/>
      <c r="BG39" s="3308"/>
      <c r="BH39" s="3308"/>
      <c r="BI39" s="3308"/>
      <c r="BJ39" s="3436"/>
      <c r="BK39" s="3441"/>
      <c r="BL39" s="3441"/>
      <c r="BM39" s="3442"/>
      <c r="BN39" s="3436"/>
      <c r="BO39" s="3436"/>
      <c r="BP39" s="3436"/>
      <c r="BQ39" s="3440"/>
      <c r="BR39" s="3440"/>
      <c r="BS39" s="3440"/>
      <c r="BT39" s="3440"/>
      <c r="BU39" s="3436"/>
    </row>
    <row r="40" spans="1:73" ht="37.5" customHeight="1" x14ac:dyDescent="0.25">
      <c r="A40" s="49"/>
      <c r="B40" s="1414"/>
      <c r="C40" s="176">
        <v>41</v>
      </c>
      <c r="D40" s="3218" t="s">
        <v>2297</v>
      </c>
      <c r="E40" s="3299"/>
      <c r="F40" s="3299"/>
      <c r="G40" s="3299"/>
      <c r="H40" s="3299"/>
      <c r="I40" s="3299"/>
      <c r="J40" s="1635"/>
      <c r="K40" s="1636"/>
      <c r="L40" s="1637"/>
      <c r="M40" s="1636"/>
      <c r="N40" s="1637"/>
      <c r="O40" s="1636"/>
      <c r="P40" s="1636"/>
      <c r="Q40" s="1636"/>
      <c r="R40" s="1637"/>
      <c r="S40" s="1638"/>
      <c r="T40" s="1639"/>
      <c r="U40" s="1637"/>
      <c r="V40" s="1637"/>
      <c r="W40" s="1640"/>
      <c r="X40" s="1641"/>
      <c r="Y40" s="1641"/>
      <c r="Z40" s="1641"/>
      <c r="AA40" s="1642"/>
      <c r="AB40" s="1636"/>
      <c r="AC40" s="1637"/>
      <c r="AD40" s="1643"/>
      <c r="AE40" s="1643"/>
      <c r="AF40" s="1643"/>
      <c r="AG40" s="1643"/>
      <c r="AH40" s="1643"/>
      <c r="AI40" s="1643"/>
      <c r="AJ40" s="1643"/>
      <c r="AK40" s="1643"/>
      <c r="AL40" s="1643"/>
      <c r="AM40" s="1643"/>
      <c r="AN40" s="1643"/>
      <c r="AO40" s="1643"/>
      <c r="AP40" s="1643"/>
      <c r="AQ40" s="1643"/>
      <c r="AR40" s="1643"/>
      <c r="AS40" s="1643"/>
      <c r="AT40" s="1643"/>
      <c r="AU40" s="1643"/>
      <c r="AV40" s="1643"/>
      <c r="AW40" s="1643"/>
      <c r="AX40" s="1643"/>
      <c r="AY40" s="1643"/>
      <c r="AZ40" s="1643"/>
      <c r="BA40" s="1643"/>
      <c r="BB40" s="1643"/>
      <c r="BC40" s="1643"/>
      <c r="BD40" s="1643"/>
      <c r="BE40" s="1643"/>
      <c r="BF40" s="1643"/>
      <c r="BG40" s="1643"/>
      <c r="BH40" s="1644"/>
      <c r="BI40" s="1644"/>
      <c r="BJ40" s="1644"/>
      <c r="BK40" s="1644"/>
      <c r="BL40" s="1644"/>
      <c r="BM40" s="1644"/>
      <c r="BN40" s="1644"/>
      <c r="BO40" s="1644"/>
      <c r="BP40" s="1644"/>
      <c r="BQ40" s="1645"/>
      <c r="BR40" s="1645"/>
      <c r="BS40" s="1645"/>
      <c r="BT40" s="1645"/>
      <c r="BU40" s="1646"/>
    </row>
    <row r="41" spans="1:73" s="1542" customFormat="1" ht="41.1" customHeight="1" x14ac:dyDescent="0.25">
      <c r="A41" s="3389"/>
      <c r="B41" s="1590"/>
      <c r="C41" s="1580"/>
      <c r="D41" s="1590"/>
      <c r="E41" s="1647">
        <v>4101</v>
      </c>
      <c r="F41" s="3326" t="s">
        <v>2298</v>
      </c>
      <c r="G41" s="3223"/>
      <c r="H41" s="3223"/>
      <c r="I41" s="3223"/>
      <c r="J41" s="3223"/>
      <c r="K41" s="3223"/>
      <c r="L41" s="3223"/>
      <c r="M41" s="3223"/>
      <c r="N41" s="1606"/>
      <c r="O41" s="1602"/>
      <c r="P41" s="1602"/>
      <c r="Q41" s="1602"/>
      <c r="R41" s="1606"/>
      <c r="S41" s="1601"/>
      <c r="T41" s="1648"/>
      <c r="U41" s="1604"/>
      <c r="V41" s="1604"/>
      <c r="W41" s="1606"/>
      <c r="X41" s="1603"/>
      <c r="Y41" s="1603"/>
      <c r="Z41" s="1603"/>
      <c r="AA41" s="1601"/>
      <c r="AB41" s="1601"/>
      <c r="AC41" s="1604"/>
      <c r="AD41" s="1602"/>
      <c r="AE41" s="1602"/>
      <c r="AF41" s="1602"/>
      <c r="AG41" s="1602"/>
      <c r="AH41" s="1602"/>
      <c r="AI41" s="1602"/>
      <c r="AJ41" s="1602"/>
      <c r="AK41" s="1602"/>
      <c r="AL41" s="1602"/>
      <c r="AM41" s="1602"/>
      <c r="AN41" s="1602"/>
      <c r="AO41" s="1602"/>
      <c r="AP41" s="1602"/>
      <c r="AQ41" s="1602"/>
      <c r="AR41" s="1602"/>
      <c r="AS41" s="1602"/>
      <c r="AT41" s="1602"/>
      <c r="AU41" s="1602"/>
      <c r="AV41" s="1602"/>
      <c r="AW41" s="1602"/>
      <c r="AX41" s="1602"/>
      <c r="AY41" s="1602"/>
      <c r="AZ41" s="1602"/>
      <c r="BA41" s="1602"/>
      <c r="BB41" s="1602"/>
      <c r="BC41" s="1602"/>
      <c r="BD41" s="1602"/>
      <c r="BE41" s="1602"/>
      <c r="BF41" s="1602"/>
      <c r="BG41" s="1602"/>
      <c r="BH41" s="1602"/>
      <c r="BI41" s="1602"/>
      <c r="BJ41" s="1602"/>
      <c r="BK41" s="1602"/>
      <c r="BL41" s="1602"/>
      <c r="BM41" s="1602"/>
      <c r="BN41" s="1602"/>
      <c r="BO41" s="1602"/>
      <c r="BP41" s="1602"/>
      <c r="BQ41" s="1602"/>
      <c r="BR41" s="1602"/>
      <c r="BS41" s="1602"/>
      <c r="BT41" s="1602"/>
      <c r="BU41" s="1649"/>
    </row>
    <row r="42" spans="1:73" s="1542" customFormat="1" ht="110.25" customHeight="1" x14ac:dyDescent="0.25">
      <c r="A42" s="3389"/>
      <c r="B42" s="1590"/>
      <c r="C42" s="1589"/>
      <c r="D42" s="1590"/>
      <c r="E42" s="3224"/>
      <c r="F42" s="3224"/>
      <c r="G42" s="3212">
        <v>4101023</v>
      </c>
      <c r="H42" s="3214" t="s">
        <v>2299</v>
      </c>
      <c r="I42" s="3212">
        <v>4101023</v>
      </c>
      <c r="J42" s="3214" t="s">
        <v>2299</v>
      </c>
      <c r="K42" s="3206">
        <v>410102300</v>
      </c>
      <c r="L42" s="2771" t="s">
        <v>2300</v>
      </c>
      <c r="M42" s="3206">
        <v>410102300</v>
      </c>
      <c r="N42" s="2681" t="s">
        <v>2300</v>
      </c>
      <c r="O42" s="3354">
        <v>500</v>
      </c>
      <c r="P42" s="3354">
        <v>500</v>
      </c>
      <c r="Q42" s="3354" t="s">
        <v>2301</v>
      </c>
      <c r="R42" s="3337" t="s">
        <v>2302</v>
      </c>
      <c r="S42" s="3413">
        <f>SUM(X42:X62)/T42</f>
        <v>0.4435429127211018</v>
      </c>
      <c r="T42" s="3210">
        <f>SUM(X42:X91)</f>
        <v>502657113</v>
      </c>
      <c r="U42" s="3204" t="s">
        <v>2303</v>
      </c>
      <c r="V42" s="3393" t="s">
        <v>2304</v>
      </c>
      <c r="W42" s="3408" t="s">
        <v>2305</v>
      </c>
      <c r="X42" s="1591">
        <v>5000000</v>
      </c>
      <c r="Y42" s="1591">
        <v>5000000</v>
      </c>
      <c r="Z42" s="1591">
        <v>5000000</v>
      </c>
      <c r="AA42" s="1181" t="s">
        <v>2306</v>
      </c>
      <c r="AB42" s="1633">
        <v>20</v>
      </c>
      <c r="AC42" s="903" t="s">
        <v>1830</v>
      </c>
      <c r="AD42" s="3305">
        <v>23022</v>
      </c>
      <c r="AE42" s="3305">
        <v>400</v>
      </c>
      <c r="AF42" s="3305">
        <v>20392</v>
      </c>
      <c r="AG42" s="3305">
        <v>400</v>
      </c>
      <c r="AH42" s="3305">
        <v>6024</v>
      </c>
      <c r="AI42" s="3305"/>
      <c r="AJ42" s="3305">
        <v>4684</v>
      </c>
      <c r="AK42" s="3305"/>
      <c r="AL42" s="3305">
        <v>27478</v>
      </c>
      <c r="AM42" s="3305"/>
      <c r="AN42" s="3305">
        <v>5228</v>
      </c>
      <c r="AO42" s="3305"/>
      <c r="AP42" s="3305">
        <v>1963</v>
      </c>
      <c r="AQ42" s="3305"/>
      <c r="AR42" s="3305">
        <v>2207</v>
      </c>
      <c r="AS42" s="3305"/>
      <c r="AT42" s="3305">
        <v>96</v>
      </c>
      <c r="AU42" s="3305"/>
      <c r="AV42" s="3305">
        <v>58</v>
      </c>
      <c r="AW42" s="3305"/>
      <c r="AX42" s="3305">
        <v>0</v>
      </c>
      <c r="AY42" s="3305"/>
      <c r="AZ42" s="3305">
        <v>59</v>
      </c>
      <c r="BA42" s="3305"/>
      <c r="BB42" s="3305">
        <v>15466</v>
      </c>
      <c r="BC42" s="3305"/>
      <c r="BD42" s="3305">
        <v>2644</v>
      </c>
      <c r="BE42" s="3305"/>
      <c r="BF42" s="3305"/>
      <c r="BG42" s="3432"/>
      <c r="BH42" s="3432">
        <f>+AD42+AF42</f>
        <v>43414</v>
      </c>
      <c r="BI42" s="3432">
        <f>+AE42+AG42</f>
        <v>800</v>
      </c>
      <c r="BJ42" s="3432">
        <v>18</v>
      </c>
      <c r="BK42" s="2779">
        <f>SUM(Y42:Y91)</f>
        <v>388019267.94999999</v>
      </c>
      <c r="BL42" s="2779">
        <f>SUM(Z42:Z91)</f>
        <v>388019267.94999999</v>
      </c>
      <c r="BM42" s="3424">
        <f>+BL42/BK42</f>
        <v>1</v>
      </c>
      <c r="BN42" s="3427">
        <v>20</v>
      </c>
      <c r="BO42" s="3430" t="s">
        <v>1</v>
      </c>
      <c r="BP42" s="3430" t="s">
        <v>2307</v>
      </c>
      <c r="BQ42" s="3418">
        <v>44198</v>
      </c>
      <c r="BR42" s="3420">
        <v>44228</v>
      </c>
      <c r="BS42" s="3418">
        <v>44560</v>
      </c>
      <c r="BT42" s="3418">
        <v>44195</v>
      </c>
      <c r="BU42" s="3422" t="s">
        <v>2308</v>
      </c>
    </row>
    <row r="43" spans="1:73" s="1542" customFormat="1" ht="110.25" customHeight="1" x14ac:dyDescent="0.25">
      <c r="A43" s="3389"/>
      <c r="B43" s="1590"/>
      <c r="C43" s="1589"/>
      <c r="D43" s="1590"/>
      <c r="E43" s="3224"/>
      <c r="F43" s="3224"/>
      <c r="G43" s="3212"/>
      <c r="H43" s="3214"/>
      <c r="I43" s="3212"/>
      <c r="J43" s="3214"/>
      <c r="K43" s="3206"/>
      <c r="L43" s="2771"/>
      <c r="M43" s="3206"/>
      <c r="N43" s="2771"/>
      <c r="O43" s="3206"/>
      <c r="P43" s="3206"/>
      <c r="Q43" s="3206"/>
      <c r="R43" s="2835"/>
      <c r="S43" s="3413"/>
      <c r="T43" s="3210"/>
      <c r="U43" s="3204"/>
      <c r="V43" s="3393"/>
      <c r="W43" s="3409"/>
      <c r="X43" s="1591">
        <v>0</v>
      </c>
      <c r="Y43" s="1591"/>
      <c r="Z43" s="1591"/>
      <c r="AA43" s="1181" t="s">
        <v>2309</v>
      </c>
      <c r="AB43" s="304">
        <v>88</v>
      </c>
      <c r="AC43" s="901" t="s">
        <v>2255</v>
      </c>
      <c r="AD43" s="3272"/>
      <c r="AE43" s="3272"/>
      <c r="AF43" s="3272"/>
      <c r="AG43" s="3272"/>
      <c r="AH43" s="3272"/>
      <c r="AI43" s="3272"/>
      <c r="AJ43" s="3272"/>
      <c r="AK43" s="3272"/>
      <c r="AL43" s="3272"/>
      <c r="AM43" s="3272"/>
      <c r="AN43" s="3272"/>
      <c r="AO43" s="3272"/>
      <c r="AP43" s="3272"/>
      <c r="AQ43" s="3272"/>
      <c r="AR43" s="3272"/>
      <c r="AS43" s="3272"/>
      <c r="AT43" s="3272"/>
      <c r="AU43" s="3272"/>
      <c r="AV43" s="3272"/>
      <c r="AW43" s="3272"/>
      <c r="AX43" s="3272"/>
      <c r="AY43" s="3272"/>
      <c r="AZ43" s="3272"/>
      <c r="BA43" s="3272"/>
      <c r="BB43" s="3272"/>
      <c r="BC43" s="3272"/>
      <c r="BD43" s="3272"/>
      <c r="BE43" s="3272"/>
      <c r="BF43" s="3272"/>
      <c r="BG43" s="3433"/>
      <c r="BH43" s="3433"/>
      <c r="BI43" s="3433"/>
      <c r="BJ43" s="3433"/>
      <c r="BK43" s="2780"/>
      <c r="BL43" s="2780"/>
      <c r="BM43" s="3425"/>
      <c r="BN43" s="3428"/>
      <c r="BO43" s="3431"/>
      <c r="BP43" s="3431"/>
      <c r="BQ43" s="3419"/>
      <c r="BR43" s="3421"/>
      <c r="BS43" s="3419"/>
      <c r="BT43" s="3419"/>
      <c r="BU43" s="3423"/>
    </row>
    <row r="44" spans="1:73" s="1542" customFormat="1" ht="110.25" customHeight="1" x14ac:dyDescent="0.25">
      <c r="A44" s="3389"/>
      <c r="B44" s="1590"/>
      <c r="C44" s="1589"/>
      <c r="D44" s="1590"/>
      <c r="E44" s="3224"/>
      <c r="F44" s="3224"/>
      <c r="G44" s="3213"/>
      <c r="H44" s="3214"/>
      <c r="I44" s="3213"/>
      <c r="J44" s="3214"/>
      <c r="K44" s="3206"/>
      <c r="L44" s="2771"/>
      <c r="M44" s="3206"/>
      <c r="N44" s="2771"/>
      <c r="O44" s="3206"/>
      <c r="P44" s="3206"/>
      <c r="Q44" s="3206"/>
      <c r="R44" s="2835"/>
      <c r="S44" s="3413"/>
      <c r="T44" s="3210"/>
      <c r="U44" s="3204"/>
      <c r="V44" s="3393"/>
      <c r="W44" s="3408" t="s">
        <v>2310</v>
      </c>
      <c r="X44" s="1591">
        <v>15000000</v>
      </c>
      <c r="Y44" s="1591">
        <v>5229239</v>
      </c>
      <c r="Z44" s="1591">
        <v>5229239</v>
      </c>
      <c r="AA44" s="1181" t="s">
        <v>2306</v>
      </c>
      <c r="AB44" s="1633">
        <v>20</v>
      </c>
      <c r="AC44" s="903" t="s">
        <v>1830</v>
      </c>
      <c r="AD44" s="3272"/>
      <c r="AE44" s="3272"/>
      <c r="AF44" s="3272"/>
      <c r="AG44" s="3272"/>
      <c r="AH44" s="3272"/>
      <c r="AI44" s="3272"/>
      <c r="AJ44" s="3272"/>
      <c r="AK44" s="3272"/>
      <c r="AL44" s="3272"/>
      <c r="AM44" s="3272"/>
      <c r="AN44" s="3272"/>
      <c r="AO44" s="3272"/>
      <c r="AP44" s="3272"/>
      <c r="AQ44" s="3272"/>
      <c r="AR44" s="3272"/>
      <c r="AS44" s="3272"/>
      <c r="AT44" s="3272"/>
      <c r="AU44" s="3272"/>
      <c r="AV44" s="3272"/>
      <c r="AW44" s="3272"/>
      <c r="AX44" s="3272"/>
      <c r="AY44" s="3272"/>
      <c r="AZ44" s="3272"/>
      <c r="BA44" s="3272"/>
      <c r="BB44" s="3272"/>
      <c r="BC44" s="3272"/>
      <c r="BD44" s="3272"/>
      <c r="BE44" s="3272"/>
      <c r="BF44" s="3272"/>
      <c r="BG44" s="3433"/>
      <c r="BH44" s="3433"/>
      <c r="BI44" s="3433"/>
      <c r="BJ44" s="3433"/>
      <c r="BK44" s="2780"/>
      <c r="BL44" s="2780"/>
      <c r="BM44" s="3425"/>
      <c r="BN44" s="3428"/>
      <c r="BO44" s="3431"/>
      <c r="BP44" s="3431"/>
      <c r="BQ44" s="3419"/>
      <c r="BR44" s="3421"/>
      <c r="BS44" s="3419"/>
      <c r="BT44" s="3419"/>
      <c r="BU44" s="3423"/>
    </row>
    <row r="45" spans="1:73" s="1542" customFormat="1" ht="110.25" customHeight="1" x14ac:dyDescent="0.25">
      <c r="A45" s="3389"/>
      <c r="B45" s="1590"/>
      <c r="C45" s="1589"/>
      <c r="D45" s="1590"/>
      <c r="E45" s="3224"/>
      <c r="F45" s="3224"/>
      <c r="G45" s="3213"/>
      <c r="H45" s="3214"/>
      <c r="I45" s="3213"/>
      <c r="J45" s="3214"/>
      <c r="K45" s="3206"/>
      <c r="L45" s="2771"/>
      <c r="M45" s="3206"/>
      <c r="N45" s="2771"/>
      <c r="O45" s="3206"/>
      <c r="P45" s="3206"/>
      <c r="Q45" s="3206"/>
      <c r="R45" s="2835"/>
      <c r="S45" s="3413"/>
      <c r="T45" s="3210"/>
      <c r="U45" s="3204"/>
      <c r="V45" s="3393"/>
      <c r="W45" s="3409"/>
      <c r="X45" s="1591">
        <v>0</v>
      </c>
      <c r="Y45" s="1591"/>
      <c r="Z45" s="1591"/>
      <c r="AA45" s="1181" t="s">
        <v>2309</v>
      </c>
      <c r="AB45" s="304">
        <v>88</v>
      </c>
      <c r="AC45" s="901" t="s">
        <v>2255</v>
      </c>
      <c r="AD45" s="3272"/>
      <c r="AE45" s="3272"/>
      <c r="AF45" s="3272"/>
      <c r="AG45" s="3272"/>
      <c r="AH45" s="3272"/>
      <c r="AI45" s="3272"/>
      <c r="AJ45" s="3272"/>
      <c r="AK45" s="3272"/>
      <c r="AL45" s="3272"/>
      <c r="AM45" s="3272"/>
      <c r="AN45" s="3272"/>
      <c r="AO45" s="3272"/>
      <c r="AP45" s="3272"/>
      <c r="AQ45" s="3272"/>
      <c r="AR45" s="3272"/>
      <c r="AS45" s="3272"/>
      <c r="AT45" s="3272"/>
      <c r="AU45" s="3272"/>
      <c r="AV45" s="3272"/>
      <c r="AW45" s="3272"/>
      <c r="AX45" s="3272"/>
      <c r="AY45" s="3272"/>
      <c r="AZ45" s="3272"/>
      <c r="BA45" s="3272"/>
      <c r="BB45" s="3272"/>
      <c r="BC45" s="3272"/>
      <c r="BD45" s="3272"/>
      <c r="BE45" s="3272"/>
      <c r="BF45" s="3272"/>
      <c r="BG45" s="3433"/>
      <c r="BH45" s="3433"/>
      <c r="BI45" s="3433"/>
      <c r="BJ45" s="3433"/>
      <c r="BK45" s="2780"/>
      <c r="BL45" s="2780"/>
      <c r="BM45" s="3425"/>
      <c r="BN45" s="3428"/>
      <c r="BO45" s="3431"/>
      <c r="BP45" s="3431"/>
      <c r="BQ45" s="3419"/>
      <c r="BR45" s="3421"/>
      <c r="BS45" s="3419"/>
      <c r="BT45" s="3419"/>
      <c r="BU45" s="3423"/>
    </row>
    <row r="46" spans="1:73" s="1542" customFormat="1" ht="110.25" customHeight="1" x14ac:dyDescent="0.25">
      <c r="A46" s="3389"/>
      <c r="B46" s="1590"/>
      <c r="C46" s="1589"/>
      <c r="D46" s="1590"/>
      <c r="E46" s="3224"/>
      <c r="F46" s="3224"/>
      <c r="G46" s="3213"/>
      <c r="H46" s="3214"/>
      <c r="I46" s="3213"/>
      <c r="J46" s="3214"/>
      <c r="K46" s="3206"/>
      <c r="L46" s="2771"/>
      <c r="M46" s="3206"/>
      <c r="N46" s="2771"/>
      <c r="O46" s="3206"/>
      <c r="P46" s="3206"/>
      <c r="Q46" s="3206"/>
      <c r="R46" s="2835"/>
      <c r="S46" s="3413"/>
      <c r="T46" s="3210"/>
      <c r="U46" s="3204"/>
      <c r="V46" s="3393"/>
      <c r="W46" s="3408" t="s">
        <v>2311</v>
      </c>
      <c r="X46" s="1591">
        <v>17000000</v>
      </c>
      <c r="Y46" s="1591">
        <v>17000000</v>
      </c>
      <c r="Z46" s="1591">
        <v>17000000</v>
      </c>
      <c r="AA46" s="1181" t="s">
        <v>2306</v>
      </c>
      <c r="AB46" s="1633">
        <v>20</v>
      </c>
      <c r="AC46" s="903" t="s">
        <v>1830</v>
      </c>
      <c r="AD46" s="3272"/>
      <c r="AE46" s="3272"/>
      <c r="AF46" s="3272"/>
      <c r="AG46" s="3272"/>
      <c r="AH46" s="3272"/>
      <c r="AI46" s="3272"/>
      <c r="AJ46" s="3272"/>
      <c r="AK46" s="3272"/>
      <c r="AL46" s="3272"/>
      <c r="AM46" s="3272"/>
      <c r="AN46" s="3272"/>
      <c r="AO46" s="3272"/>
      <c r="AP46" s="3272"/>
      <c r="AQ46" s="3272"/>
      <c r="AR46" s="3272"/>
      <c r="AS46" s="3272"/>
      <c r="AT46" s="3272"/>
      <c r="AU46" s="3272"/>
      <c r="AV46" s="3272"/>
      <c r="AW46" s="3272"/>
      <c r="AX46" s="3272"/>
      <c r="AY46" s="3272"/>
      <c r="AZ46" s="3272"/>
      <c r="BA46" s="3272"/>
      <c r="BB46" s="3272"/>
      <c r="BC46" s="3272"/>
      <c r="BD46" s="3272"/>
      <c r="BE46" s="3272"/>
      <c r="BF46" s="3272"/>
      <c r="BG46" s="3433"/>
      <c r="BH46" s="3433"/>
      <c r="BI46" s="3433"/>
      <c r="BJ46" s="3433"/>
      <c r="BK46" s="2780"/>
      <c r="BL46" s="2780"/>
      <c r="BM46" s="3425"/>
      <c r="BN46" s="3428"/>
      <c r="BO46" s="3431"/>
      <c r="BP46" s="3431"/>
      <c r="BQ46" s="3419"/>
      <c r="BR46" s="3421"/>
      <c r="BS46" s="3419"/>
      <c r="BT46" s="3419"/>
      <c r="BU46" s="3423"/>
    </row>
    <row r="47" spans="1:73" s="1542" customFormat="1" ht="110.25" customHeight="1" x14ac:dyDescent="0.25">
      <c r="A47" s="3389"/>
      <c r="B47" s="1590"/>
      <c r="C47" s="1589"/>
      <c r="D47" s="1590"/>
      <c r="E47" s="3224"/>
      <c r="F47" s="3224"/>
      <c r="G47" s="3213"/>
      <c r="H47" s="3214"/>
      <c r="I47" s="3213"/>
      <c r="J47" s="3214"/>
      <c r="K47" s="3206"/>
      <c r="L47" s="2771"/>
      <c r="M47" s="3206"/>
      <c r="N47" s="2771"/>
      <c r="O47" s="3206"/>
      <c r="P47" s="3206"/>
      <c r="Q47" s="3206"/>
      <c r="R47" s="2835"/>
      <c r="S47" s="3413"/>
      <c r="T47" s="3210"/>
      <c r="U47" s="3204"/>
      <c r="V47" s="3393"/>
      <c r="W47" s="3409"/>
      <c r="X47" s="1591">
        <v>35000000</v>
      </c>
      <c r="Y47" s="1591">
        <v>34993464</v>
      </c>
      <c r="Z47" s="1591">
        <v>34993464</v>
      </c>
      <c r="AA47" s="1181" t="s">
        <v>2309</v>
      </c>
      <c r="AB47" s="304">
        <v>88</v>
      </c>
      <c r="AC47" s="901" t="s">
        <v>2255</v>
      </c>
      <c r="AD47" s="3272"/>
      <c r="AE47" s="3272"/>
      <c r="AF47" s="3272"/>
      <c r="AG47" s="3272"/>
      <c r="AH47" s="3272"/>
      <c r="AI47" s="3272"/>
      <c r="AJ47" s="3272"/>
      <c r="AK47" s="3272"/>
      <c r="AL47" s="3272"/>
      <c r="AM47" s="3272"/>
      <c r="AN47" s="3272"/>
      <c r="AO47" s="3272"/>
      <c r="AP47" s="3272"/>
      <c r="AQ47" s="3272"/>
      <c r="AR47" s="3272"/>
      <c r="AS47" s="3272"/>
      <c r="AT47" s="3272"/>
      <c r="AU47" s="3272"/>
      <c r="AV47" s="3272"/>
      <c r="AW47" s="3272"/>
      <c r="AX47" s="3272"/>
      <c r="AY47" s="3272"/>
      <c r="AZ47" s="3272"/>
      <c r="BA47" s="3272"/>
      <c r="BB47" s="3272"/>
      <c r="BC47" s="3272"/>
      <c r="BD47" s="3272"/>
      <c r="BE47" s="3272"/>
      <c r="BF47" s="3272"/>
      <c r="BG47" s="3433"/>
      <c r="BH47" s="3433"/>
      <c r="BI47" s="3433"/>
      <c r="BJ47" s="3433"/>
      <c r="BK47" s="2780"/>
      <c r="BL47" s="2780"/>
      <c r="BM47" s="3425"/>
      <c r="BN47" s="3428"/>
      <c r="BO47" s="3431"/>
      <c r="BP47" s="3431"/>
      <c r="BQ47" s="3419"/>
      <c r="BR47" s="3421"/>
      <c r="BS47" s="3419"/>
      <c r="BT47" s="3419"/>
      <c r="BU47" s="3423"/>
    </row>
    <row r="48" spans="1:73" s="1542" customFormat="1" ht="68.25" customHeight="1" x14ac:dyDescent="0.25">
      <c r="A48" s="3389"/>
      <c r="B48" s="1590"/>
      <c r="C48" s="1589"/>
      <c r="D48" s="1590"/>
      <c r="E48" s="3224"/>
      <c r="F48" s="3224"/>
      <c r="G48" s="3213"/>
      <c r="H48" s="3214"/>
      <c r="I48" s="3213"/>
      <c r="J48" s="3214"/>
      <c r="K48" s="3206"/>
      <c r="L48" s="2771"/>
      <c r="M48" s="3206"/>
      <c r="N48" s="2771"/>
      <c r="O48" s="3206"/>
      <c r="P48" s="3206"/>
      <c r="Q48" s="3206"/>
      <c r="R48" s="2835"/>
      <c r="S48" s="3413"/>
      <c r="T48" s="3210"/>
      <c r="U48" s="3204"/>
      <c r="V48" s="3393"/>
      <c r="W48" s="3408" t="s">
        <v>2312</v>
      </c>
      <c r="X48" s="1591">
        <v>2000000</v>
      </c>
      <c r="Y48" s="1591"/>
      <c r="Z48" s="1591"/>
      <c r="AA48" s="1181" t="s">
        <v>2313</v>
      </c>
      <c r="AB48" s="1633">
        <v>20</v>
      </c>
      <c r="AC48" s="903" t="s">
        <v>1830</v>
      </c>
      <c r="AD48" s="3272"/>
      <c r="AE48" s="3272"/>
      <c r="AF48" s="3272"/>
      <c r="AG48" s="3272"/>
      <c r="AH48" s="3272"/>
      <c r="AI48" s="3272"/>
      <c r="AJ48" s="3272"/>
      <c r="AK48" s="3272"/>
      <c r="AL48" s="3272"/>
      <c r="AM48" s="3272"/>
      <c r="AN48" s="3272"/>
      <c r="AO48" s="3272"/>
      <c r="AP48" s="3272"/>
      <c r="AQ48" s="3272"/>
      <c r="AR48" s="3272"/>
      <c r="AS48" s="3272"/>
      <c r="AT48" s="3272"/>
      <c r="AU48" s="3272"/>
      <c r="AV48" s="3272"/>
      <c r="AW48" s="3272"/>
      <c r="AX48" s="3272"/>
      <c r="AY48" s="3272"/>
      <c r="AZ48" s="3272"/>
      <c r="BA48" s="3272"/>
      <c r="BB48" s="3272"/>
      <c r="BC48" s="3272"/>
      <c r="BD48" s="3272"/>
      <c r="BE48" s="3272"/>
      <c r="BF48" s="3272"/>
      <c r="BG48" s="3433"/>
      <c r="BH48" s="3433"/>
      <c r="BI48" s="3433"/>
      <c r="BJ48" s="3433"/>
      <c r="BK48" s="2780"/>
      <c r="BL48" s="2780"/>
      <c r="BM48" s="3425"/>
      <c r="BN48" s="3428"/>
      <c r="BO48" s="3431"/>
      <c r="BP48" s="3431"/>
      <c r="BQ48" s="3419"/>
      <c r="BR48" s="3421"/>
      <c r="BS48" s="3419"/>
      <c r="BT48" s="3419"/>
      <c r="BU48" s="3423"/>
    </row>
    <row r="49" spans="1:73" s="1542" customFormat="1" ht="68.25" customHeight="1" x14ac:dyDescent="0.25">
      <c r="A49" s="3389"/>
      <c r="B49" s="1590"/>
      <c r="C49" s="1589"/>
      <c r="D49" s="1590"/>
      <c r="E49" s="3224"/>
      <c r="F49" s="3224"/>
      <c r="G49" s="3213"/>
      <c r="H49" s="3214"/>
      <c r="I49" s="3213"/>
      <c r="J49" s="3214"/>
      <c r="K49" s="3206"/>
      <c r="L49" s="2771"/>
      <c r="M49" s="3206"/>
      <c r="N49" s="2771"/>
      <c r="O49" s="3206"/>
      <c r="P49" s="3206"/>
      <c r="Q49" s="3206"/>
      <c r="R49" s="2835"/>
      <c r="S49" s="3413"/>
      <c r="T49" s="3210"/>
      <c r="U49" s="3204"/>
      <c r="V49" s="3393"/>
      <c r="W49" s="3285"/>
      <c r="X49" s="1591">
        <v>5000000</v>
      </c>
      <c r="Y49" s="1591"/>
      <c r="Z49" s="1591"/>
      <c r="AA49" s="1181" t="s">
        <v>2314</v>
      </c>
      <c r="AB49" s="304">
        <v>88</v>
      </c>
      <c r="AC49" s="901" t="s">
        <v>2255</v>
      </c>
      <c r="AD49" s="3272"/>
      <c r="AE49" s="3272"/>
      <c r="AF49" s="3272"/>
      <c r="AG49" s="3272"/>
      <c r="AH49" s="3272"/>
      <c r="AI49" s="3272"/>
      <c r="AJ49" s="3272"/>
      <c r="AK49" s="3272"/>
      <c r="AL49" s="3272"/>
      <c r="AM49" s="3272"/>
      <c r="AN49" s="3272"/>
      <c r="AO49" s="3272"/>
      <c r="AP49" s="3272"/>
      <c r="AQ49" s="3272"/>
      <c r="AR49" s="3272"/>
      <c r="AS49" s="3272"/>
      <c r="AT49" s="3272"/>
      <c r="AU49" s="3272"/>
      <c r="AV49" s="3272"/>
      <c r="AW49" s="3272"/>
      <c r="AX49" s="3272"/>
      <c r="AY49" s="3272"/>
      <c r="AZ49" s="3272"/>
      <c r="BA49" s="3272"/>
      <c r="BB49" s="3272"/>
      <c r="BC49" s="3272"/>
      <c r="BD49" s="3272"/>
      <c r="BE49" s="3272"/>
      <c r="BF49" s="3272"/>
      <c r="BG49" s="3433"/>
      <c r="BH49" s="3433"/>
      <c r="BI49" s="3433"/>
      <c r="BJ49" s="3433"/>
      <c r="BK49" s="2780"/>
      <c r="BL49" s="2780"/>
      <c r="BM49" s="3425"/>
      <c r="BN49" s="3428"/>
      <c r="BO49" s="3431"/>
      <c r="BP49" s="3431"/>
      <c r="BQ49" s="3419"/>
      <c r="BR49" s="3421"/>
      <c r="BS49" s="3419"/>
      <c r="BT49" s="3419"/>
      <c r="BU49" s="3423"/>
    </row>
    <row r="50" spans="1:73" s="1542" customFormat="1" ht="68.25" customHeight="1" x14ac:dyDescent="0.25">
      <c r="A50" s="3389"/>
      <c r="B50" s="1590"/>
      <c r="C50" s="1589"/>
      <c r="D50" s="1590"/>
      <c r="E50" s="3224"/>
      <c r="F50" s="3224"/>
      <c r="G50" s="3213"/>
      <c r="H50" s="3214"/>
      <c r="I50" s="3213"/>
      <c r="J50" s="3214"/>
      <c r="K50" s="3206"/>
      <c r="L50" s="2771"/>
      <c r="M50" s="3206"/>
      <c r="N50" s="2771"/>
      <c r="O50" s="3206"/>
      <c r="P50" s="3206"/>
      <c r="Q50" s="3206"/>
      <c r="R50" s="2835"/>
      <c r="S50" s="3413"/>
      <c r="T50" s="3210"/>
      <c r="U50" s="3204"/>
      <c r="V50" s="3393"/>
      <c r="W50" s="3285"/>
      <c r="X50" s="1591">
        <v>25000000</v>
      </c>
      <c r="Y50" s="1591">
        <v>7631660</v>
      </c>
      <c r="Z50" s="1591">
        <v>7631660</v>
      </c>
      <c r="AA50" s="1181" t="s">
        <v>2309</v>
      </c>
      <c r="AB50" s="304">
        <v>88</v>
      </c>
      <c r="AC50" s="901" t="s">
        <v>2255</v>
      </c>
      <c r="AD50" s="3272"/>
      <c r="AE50" s="3272"/>
      <c r="AF50" s="3272"/>
      <c r="AG50" s="3272"/>
      <c r="AH50" s="3272"/>
      <c r="AI50" s="3272"/>
      <c r="AJ50" s="3272"/>
      <c r="AK50" s="3272"/>
      <c r="AL50" s="3272"/>
      <c r="AM50" s="3272"/>
      <c r="AN50" s="3272"/>
      <c r="AO50" s="3272"/>
      <c r="AP50" s="3272"/>
      <c r="AQ50" s="3272"/>
      <c r="AR50" s="3272"/>
      <c r="AS50" s="3272"/>
      <c r="AT50" s="3272"/>
      <c r="AU50" s="3272"/>
      <c r="AV50" s="3272"/>
      <c r="AW50" s="3272"/>
      <c r="AX50" s="3272"/>
      <c r="AY50" s="3272"/>
      <c r="AZ50" s="3272"/>
      <c r="BA50" s="3272"/>
      <c r="BB50" s="3272"/>
      <c r="BC50" s="3272"/>
      <c r="BD50" s="3272"/>
      <c r="BE50" s="3272"/>
      <c r="BF50" s="3272"/>
      <c r="BG50" s="3433"/>
      <c r="BH50" s="3433"/>
      <c r="BI50" s="3433"/>
      <c r="BJ50" s="3433"/>
      <c r="BK50" s="2780"/>
      <c r="BL50" s="2780"/>
      <c r="BM50" s="3425"/>
      <c r="BN50" s="3428"/>
      <c r="BO50" s="3431"/>
      <c r="BP50" s="3431"/>
      <c r="BQ50" s="3419"/>
      <c r="BR50" s="3421"/>
      <c r="BS50" s="3419"/>
      <c r="BT50" s="3419"/>
      <c r="BU50" s="3423"/>
    </row>
    <row r="51" spans="1:73" s="1542" customFormat="1" ht="68.25" customHeight="1" x14ac:dyDescent="0.25">
      <c r="A51" s="3389"/>
      <c r="B51" s="1590"/>
      <c r="C51" s="1589"/>
      <c r="D51" s="1590"/>
      <c r="E51" s="3224"/>
      <c r="F51" s="3224"/>
      <c r="G51" s="3213"/>
      <c r="H51" s="3214"/>
      <c r="I51" s="3213"/>
      <c r="J51" s="3214"/>
      <c r="K51" s="3206"/>
      <c r="L51" s="2771"/>
      <c r="M51" s="3206"/>
      <c r="N51" s="2771"/>
      <c r="O51" s="3206"/>
      <c r="P51" s="3206"/>
      <c r="Q51" s="3206"/>
      <c r="R51" s="2835"/>
      <c r="S51" s="3413"/>
      <c r="T51" s="3210"/>
      <c r="U51" s="3204"/>
      <c r="V51" s="3393"/>
      <c r="W51" s="3286"/>
      <c r="X51" s="1591">
        <v>5000000</v>
      </c>
      <c r="Y51" s="1591">
        <v>4200000</v>
      </c>
      <c r="Z51" s="1591">
        <v>4200000</v>
      </c>
      <c r="AA51" s="1181" t="s">
        <v>2306</v>
      </c>
      <c r="AB51" s="1633">
        <v>20</v>
      </c>
      <c r="AC51" s="903" t="s">
        <v>1830</v>
      </c>
      <c r="AD51" s="3272"/>
      <c r="AE51" s="3272"/>
      <c r="AF51" s="3272"/>
      <c r="AG51" s="3272"/>
      <c r="AH51" s="3272"/>
      <c r="AI51" s="3272"/>
      <c r="AJ51" s="3272"/>
      <c r="AK51" s="3272"/>
      <c r="AL51" s="3272"/>
      <c r="AM51" s="3272"/>
      <c r="AN51" s="3272"/>
      <c r="AO51" s="3272"/>
      <c r="AP51" s="3272"/>
      <c r="AQ51" s="3272"/>
      <c r="AR51" s="3272"/>
      <c r="AS51" s="3272"/>
      <c r="AT51" s="3272"/>
      <c r="AU51" s="3272"/>
      <c r="AV51" s="3272"/>
      <c r="AW51" s="3272"/>
      <c r="AX51" s="3272"/>
      <c r="AY51" s="3272"/>
      <c r="AZ51" s="3272"/>
      <c r="BA51" s="3272"/>
      <c r="BB51" s="3272"/>
      <c r="BC51" s="3272"/>
      <c r="BD51" s="3272"/>
      <c r="BE51" s="3272"/>
      <c r="BF51" s="3272"/>
      <c r="BG51" s="3433"/>
      <c r="BH51" s="3433"/>
      <c r="BI51" s="3433"/>
      <c r="BJ51" s="3433"/>
      <c r="BK51" s="2780"/>
      <c r="BL51" s="2780"/>
      <c r="BM51" s="3425"/>
      <c r="BN51" s="3428"/>
      <c r="BO51" s="3431"/>
      <c r="BP51" s="3431"/>
      <c r="BQ51" s="3419"/>
      <c r="BR51" s="3421"/>
      <c r="BS51" s="3419"/>
      <c r="BT51" s="3419"/>
      <c r="BU51" s="3423"/>
    </row>
    <row r="52" spans="1:73" s="1542" customFormat="1" ht="74.25" customHeight="1" x14ac:dyDescent="0.25">
      <c r="A52" s="3389"/>
      <c r="B52" s="1590"/>
      <c r="C52" s="1589"/>
      <c r="D52" s="1590"/>
      <c r="E52" s="3224"/>
      <c r="F52" s="3224"/>
      <c r="G52" s="3213"/>
      <c r="H52" s="3214"/>
      <c r="I52" s="3213"/>
      <c r="J52" s="3214"/>
      <c r="K52" s="3206"/>
      <c r="L52" s="2771"/>
      <c r="M52" s="3206"/>
      <c r="N52" s="2771"/>
      <c r="O52" s="3206"/>
      <c r="P52" s="3206"/>
      <c r="Q52" s="3206"/>
      <c r="R52" s="2835"/>
      <c r="S52" s="3413"/>
      <c r="T52" s="3210"/>
      <c r="U52" s="3204"/>
      <c r="V52" s="3393"/>
      <c r="W52" s="3284" t="s">
        <v>2315</v>
      </c>
      <c r="X52" s="1591">
        <v>5000000</v>
      </c>
      <c r="Y52" s="1591">
        <v>4540000</v>
      </c>
      <c r="Z52" s="1591">
        <v>4540000</v>
      </c>
      <c r="AA52" s="1181" t="s">
        <v>2306</v>
      </c>
      <c r="AB52" s="1633">
        <v>20</v>
      </c>
      <c r="AC52" s="903" t="s">
        <v>1830</v>
      </c>
      <c r="AD52" s="3272"/>
      <c r="AE52" s="3272"/>
      <c r="AF52" s="3272"/>
      <c r="AG52" s="3272"/>
      <c r="AH52" s="3272"/>
      <c r="AI52" s="3272"/>
      <c r="AJ52" s="3272"/>
      <c r="AK52" s="3272"/>
      <c r="AL52" s="3272"/>
      <c r="AM52" s="3272"/>
      <c r="AN52" s="3272"/>
      <c r="AO52" s="3272"/>
      <c r="AP52" s="3272"/>
      <c r="AQ52" s="3272"/>
      <c r="AR52" s="3272"/>
      <c r="AS52" s="3272"/>
      <c r="AT52" s="3272"/>
      <c r="AU52" s="3272"/>
      <c r="AV52" s="3272"/>
      <c r="AW52" s="3272"/>
      <c r="AX52" s="3272"/>
      <c r="AY52" s="3272"/>
      <c r="AZ52" s="3272"/>
      <c r="BA52" s="3272"/>
      <c r="BB52" s="3272"/>
      <c r="BC52" s="3272"/>
      <c r="BD52" s="3272"/>
      <c r="BE52" s="3272"/>
      <c r="BF52" s="3272"/>
      <c r="BG52" s="3433"/>
      <c r="BH52" s="3433"/>
      <c r="BI52" s="3433"/>
      <c r="BJ52" s="3433"/>
      <c r="BK52" s="2780"/>
      <c r="BL52" s="2780"/>
      <c r="BM52" s="3425"/>
      <c r="BN52" s="3428"/>
      <c r="BO52" s="3431"/>
      <c r="BP52" s="3431"/>
      <c r="BQ52" s="3419"/>
      <c r="BR52" s="3421"/>
      <c r="BS52" s="3419"/>
      <c r="BT52" s="3419"/>
      <c r="BU52" s="3423"/>
    </row>
    <row r="53" spans="1:73" s="1542" customFormat="1" ht="74.25" customHeight="1" x14ac:dyDescent="0.25">
      <c r="A53" s="3389"/>
      <c r="B53" s="1590"/>
      <c r="C53" s="1589"/>
      <c r="D53" s="1590"/>
      <c r="E53" s="3224"/>
      <c r="F53" s="3224"/>
      <c r="G53" s="3213"/>
      <c r="H53" s="3214"/>
      <c r="I53" s="3213"/>
      <c r="J53" s="3214"/>
      <c r="K53" s="3206"/>
      <c r="L53" s="2771"/>
      <c r="M53" s="3206"/>
      <c r="N53" s="2771"/>
      <c r="O53" s="3206"/>
      <c r="P53" s="3206"/>
      <c r="Q53" s="3206"/>
      <c r="R53" s="2835"/>
      <c r="S53" s="3413"/>
      <c r="T53" s="3210"/>
      <c r="U53" s="3204"/>
      <c r="V53" s="3393"/>
      <c r="W53" s="3285"/>
      <c r="X53" s="1591">
        <v>21909239</v>
      </c>
      <c r="Y53" s="1591">
        <v>21909239</v>
      </c>
      <c r="Z53" s="1591">
        <v>21909239</v>
      </c>
      <c r="AA53" s="1181" t="s">
        <v>2316</v>
      </c>
      <c r="AB53" s="304">
        <v>88</v>
      </c>
      <c r="AC53" s="901" t="s">
        <v>2255</v>
      </c>
      <c r="AD53" s="3272"/>
      <c r="AE53" s="3272"/>
      <c r="AF53" s="3272"/>
      <c r="AG53" s="3272"/>
      <c r="AH53" s="3272"/>
      <c r="AI53" s="3272"/>
      <c r="AJ53" s="3272"/>
      <c r="AK53" s="3272"/>
      <c r="AL53" s="3272"/>
      <c r="AM53" s="3272"/>
      <c r="AN53" s="3272"/>
      <c r="AO53" s="3272"/>
      <c r="AP53" s="3272"/>
      <c r="AQ53" s="3272"/>
      <c r="AR53" s="3272"/>
      <c r="AS53" s="3272"/>
      <c r="AT53" s="3272"/>
      <c r="AU53" s="3272"/>
      <c r="AV53" s="3272"/>
      <c r="AW53" s="3272"/>
      <c r="AX53" s="3272"/>
      <c r="AY53" s="3272"/>
      <c r="AZ53" s="3272"/>
      <c r="BA53" s="3272"/>
      <c r="BB53" s="3272"/>
      <c r="BC53" s="3272"/>
      <c r="BD53" s="3272"/>
      <c r="BE53" s="3272"/>
      <c r="BF53" s="3272"/>
      <c r="BG53" s="3433"/>
      <c r="BH53" s="3433"/>
      <c r="BI53" s="3433"/>
      <c r="BJ53" s="3433"/>
      <c r="BK53" s="2780"/>
      <c r="BL53" s="2780"/>
      <c r="BM53" s="3425"/>
      <c r="BN53" s="3428"/>
      <c r="BO53" s="3431"/>
      <c r="BP53" s="3431"/>
      <c r="BQ53" s="3419"/>
      <c r="BR53" s="3421"/>
      <c r="BS53" s="3419"/>
      <c r="BT53" s="3419"/>
      <c r="BU53" s="3423"/>
    </row>
    <row r="54" spans="1:73" s="1542" customFormat="1" ht="74.25" customHeight="1" x14ac:dyDescent="0.25">
      <c r="A54" s="3389"/>
      <c r="B54" s="1590"/>
      <c r="C54" s="1589"/>
      <c r="D54" s="1590"/>
      <c r="E54" s="3224"/>
      <c r="F54" s="3224"/>
      <c r="G54" s="3213"/>
      <c r="H54" s="3214"/>
      <c r="I54" s="3213"/>
      <c r="J54" s="3214"/>
      <c r="K54" s="3206"/>
      <c r="L54" s="2771"/>
      <c r="M54" s="3206"/>
      <c r="N54" s="2771"/>
      <c r="O54" s="3206"/>
      <c r="P54" s="3206"/>
      <c r="Q54" s="3206"/>
      <c r="R54" s="2835"/>
      <c r="S54" s="3413"/>
      <c r="T54" s="3210"/>
      <c r="U54" s="3204"/>
      <c r="V54" s="3393"/>
      <c r="W54" s="3286"/>
      <c r="X54" s="1591">
        <v>18090761</v>
      </c>
      <c r="Y54" s="1591">
        <v>16617000</v>
      </c>
      <c r="Z54" s="1591">
        <v>16617000</v>
      </c>
      <c r="AA54" s="1181" t="s">
        <v>2309</v>
      </c>
      <c r="AB54" s="304">
        <v>88</v>
      </c>
      <c r="AC54" s="901" t="s">
        <v>2255</v>
      </c>
      <c r="AD54" s="3272"/>
      <c r="AE54" s="3272"/>
      <c r="AF54" s="3272"/>
      <c r="AG54" s="3272"/>
      <c r="AH54" s="3272"/>
      <c r="AI54" s="3272"/>
      <c r="AJ54" s="3272"/>
      <c r="AK54" s="3272"/>
      <c r="AL54" s="3272"/>
      <c r="AM54" s="3272"/>
      <c r="AN54" s="3272"/>
      <c r="AO54" s="3272"/>
      <c r="AP54" s="3272"/>
      <c r="AQ54" s="3272"/>
      <c r="AR54" s="3272"/>
      <c r="AS54" s="3272"/>
      <c r="AT54" s="3272"/>
      <c r="AU54" s="3272"/>
      <c r="AV54" s="3272"/>
      <c r="AW54" s="3272"/>
      <c r="AX54" s="3272"/>
      <c r="AY54" s="3272"/>
      <c r="AZ54" s="3272"/>
      <c r="BA54" s="3272"/>
      <c r="BB54" s="3272"/>
      <c r="BC54" s="3272"/>
      <c r="BD54" s="3272"/>
      <c r="BE54" s="3272"/>
      <c r="BF54" s="3272"/>
      <c r="BG54" s="3433"/>
      <c r="BH54" s="3433"/>
      <c r="BI54" s="3433"/>
      <c r="BJ54" s="3433"/>
      <c r="BK54" s="2780"/>
      <c r="BL54" s="2780"/>
      <c r="BM54" s="3425"/>
      <c r="BN54" s="3428"/>
      <c r="BO54" s="3431"/>
      <c r="BP54" s="3431"/>
      <c r="BQ54" s="3419"/>
      <c r="BR54" s="3421"/>
      <c r="BS54" s="3419"/>
      <c r="BT54" s="3419"/>
      <c r="BU54" s="3423"/>
    </row>
    <row r="55" spans="1:73" s="1542" customFormat="1" ht="38.25" customHeight="1" x14ac:dyDescent="0.25">
      <c r="A55" s="3389"/>
      <c r="B55" s="1590"/>
      <c r="C55" s="1589"/>
      <c r="D55" s="1590"/>
      <c r="E55" s="3224"/>
      <c r="F55" s="3224"/>
      <c r="G55" s="3213"/>
      <c r="H55" s="3214"/>
      <c r="I55" s="3213"/>
      <c r="J55" s="3214"/>
      <c r="K55" s="3206"/>
      <c r="L55" s="2771"/>
      <c r="M55" s="3206"/>
      <c r="N55" s="2771"/>
      <c r="O55" s="3206"/>
      <c r="P55" s="3206"/>
      <c r="Q55" s="3206"/>
      <c r="R55" s="2835"/>
      <c r="S55" s="3413"/>
      <c r="T55" s="3210"/>
      <c r="U55" s="3204"/>
      <c r="V55" s="3393"/>
      <c r="W55" s="3284" t="s">
        <v>2317</v>
      </c>
      <c r="X55" s="1591">
        <v>3000000</v>
      </c>
      <c r="Y55" s="1591">
        <v>3000000</v>
      </c>
      <c r="Z55" s="1591">
        <v>3000000</v>
      </c>
      <c r="AA55" s="1181" t="s">
        <v>2306</v>
      </c>
      <c r="AB55" s="1633">
        <v>20</v>
      </c>
      <c r="AC55" s="903" t="s">
        <v>1830</v>
      </c>
      <c r="AD55" s="3272"/>
      <c r="AE55" s="3272"/>
      <c r="AF55" s="3272"/>
      <c r="AG55" s="3272"/>
      <c r="AH55" s="3272"/>
      <c r="AI55" s="3272"/>
      <c r="AJ55" s="3272"/>
      <c r="AK55" s="3272"/>
      <c r="AL55" s="3272"/>
      <c r="AM55" s="3272"/>
      <c r="AN55" s="3272"/>
      <c r="AO55" s="3272"/>
      <c r="AP55" s="3272"/>
      <c r="AQ55" s="3272"/>
      <c r="AR55" s="3272"/>
      <c r="AS55" s="3272"/>
      <c r="AT55" s="3272"/>
      <c r="AU55" s="3272"/>
      <c r="AV55" s="3272"/>
      <c r="AW55" s="3272"/>
      <c r="AX55" s="3272"/>
      <c r="AY55" s="3272"/>
      <c r="AZ55" s="3272"/>
      <c r="BA55" s="3272"/>
      <c r="BB55" s="3272"/>
      <c r="BC55" s="3272"/>
      <c r="BD55" s="3272"/>
      <c r="BE55" s="3272"/>
      <c r="BF55" s="3272"/>
      <c r="BG55" s="3433"/>
      <c r="BH55" s="3433"/>
      <c r="BI55" s="3433"/>
      <c r="BJ55" s="3433"/>
      <c r="BK55" s="2780"/>
      <c r="BL55" s="2780"/>
      <c r="BM55" s="3425"/>
      <c r="BN55" s="3428"/>
      <c r="BO55" s="3431"/>
      <c r="BP55" s="3431"/>
      <c r="BQ55" s="3419"/>
      <c r="BR55" s="3421"/>
      <c r="BS55" s="3419"/>
      <c r="BT55" s="3419"/>
      <c r="BU55" s="3423"/>
    </row>
    <row r="56" spans="1:73" s="1542" customFormat="1" ht="38.25" customHeight="1" x14ac:dyDescent="0.25">
      <c r="A56" s="3389"/>
      <c r="B56" s="1590"/>
      <c r="C56" s="1589"/>
      <c r="D56" s="1590"/>
      <c r="E56" s="3224"/>
      <c r="F56" s="3224"/>
      <c r="G56" s="3213"/>
      <c r="H56" s="3214"/>
      <c r="I56" s="3213"/>
      <c r="J56" s="3214"/>
      <c r="K56" s="3206"/>
      <c r="L56" s="2771"/>
      <c r="M56" s="3206"/>
      <c r="N56" s="2771"/>
      <c r="O56" s="3206"/>
      <c r="P56" s="3206"/>
      <c r="Q56" s="3206"/>
      <c r="R56" s="2835"/>
      <c r="S56" s="3413"/>
      <c r="T56" s="3210"/>
      <c r="U56" s="3204"/>
      <c r="V56" s="3393"/>
      <c r="W56" s="3286"/>
      <c r="X56" s="1591">
        <v>2950000</v>
      </c>
      <c r="Y56" s="1591">
        <v>2950000</v>
      </c>
      <c r="Z56" s="1591">
        <v>2950000</v>
      </c>
      <c r="AA56" s="1181" t="s">
        <v>2309</v>
      </c>
      <c r="AB56" s="304">
        <v>88</v>
      </c>
      <c r="AC56" s="901" t="s">
        <v>2255</v>
      </c>
      <c r="AD56" s="3272"/>
      <c r="AE56" s="3272"/>
      <c r="AF56" s="3272"/>
      <c r="AG56" s="3272"/>
      <c r="AH56" s="3272"/>
      <c r="AI56" s="3272"/>
      <c r="AJ56" s="3272"/>
      <c r="AK56" s="3272"/>
      <c r="AL56" s="3272"/>
      <c r="AM56" s="3272"/>
      <c r="AN56" s="3272"/>
      <c r="AO56" s="3272"/>
      <c r="AP56" s="3272"/>
      <c r="AQ56" s="3272"/>
      <c r="AR56" s="3272"/>
      <c r="AS56" s="3272"/>
      <c r="AT56" s="3272"/>
      <c r="AU56" s="3272"/>
      <c r="AV56" s="3272"/>
      <c r="AW56" s="3272"/>
      <c r="AX56" s="3272"/>
      <c r="AY56" s="3272"/>
      <c r="AZ56" s="3272"/>
      <c r="BA56" s="3272"/>
      <c r="BB56" s="3272"/>
      <c r="BC56" s="3272"/>
      <c r="BD56" s="3272"/>
      <c r="BE56" s="3272"/>
      <c r="BF56" s="3272"/>
      <c r="BG56" s="3433"/>
      <c r="BH56" s="3433"/>
      <c r="BI56" s="3433"/>
      <c r="BJ56" s="3433"/>
      <c r="BK56" s="2780"/>
      <c r="BL56" s="2780"/>
      <c r="BM56" s="3425"/>
      <c r="BN56" s="3428"/>
      <c r="BO56" s="3431"/>
      <c r="BP56" s="3431"/>
      <c r="BQ56" s="3419"/>
      <c r="BR56" s="3421"/>
      <c r="BS56" s="3419"/>
      <c r="BT56" s="3419"/>
      <c r="BU56" s="3423"/>
    </row>
    <row r="57" spans="1:73" s="1542" customFormat="1" ht="87" customHeight="1" x14ac:dyDescent="0.25">
      <c r="A57" s="3389"/>
      <c r="B57" s="1590"/>
      <c r="C57" s="1589"/>
      <c r="D57" s="1590"/>
      <c r="E57" s="3224"/>
      <c r="F57" s="3224"/>
      <c r="G57" s="3213"/>
      <c r="H57" s="3214"/>
      <c r="I57" s="3213"/>
      <c r="J57" s="3214"/>
      <c r="K57" s="3206"/>
      <c r="L57" s="2771"/>
      <c r="M57" s="3206"/>
      <c r="N57" s="2771"/>
      <c r="O57" s="3206"/>
      <c r="P57" s="3206"/>
      <c r="Q57" s="3206"/>
      <c r="R57" s="2835"/>
      <c r="S57" s="3413"/>
      <c r="T57" s="3210"/>
      <c r="U57" s="3204"/>
      <c r="V57" s="3393"/>
      <c r="W57" s="3284" t="s">
        <v>2318</v>
      </c>
      <c r="X57" s="1591">
        <v>5000000</v>
      </c>
      <c r="Y57" s="1591">
        <v>5000000</v>
      </c>
      <c r="Z57" s="1591">
        <v>5000000</v>
      </c>
      <c r="AA57" s="1181" t="s">
        <v>2306</v>
      </c>
      <c r="AB57" s="1633">
        <v>20</v>
      </c>
      <c r="AC57" s="903" t="s">
        <v>1830</v>
      </c>
      <c r="AD57" s="3272"/>
      <c r="AE57" s="3272"/>
      <c r="AF57" s="3272"/>
      <c r="AG57" s="3272"/>
      <c r="AH57" s="3272"/>
      <c r="AI57" s="3272"/>
      <c r="AJ57" s="3272"/>
      <c r="AK57" s="3272"/>
      <c r="AL57" s="3272"/>
      <c r="AM57" s="3272"/>
      <c r="AN57" s="3272"/>
      <c r="AO57" s="3272"/>
      <c r="AP57" s="3272"/>
      <c r="AQ57" s="3272"/>
      <c r="AR57" s="3272"/>
      <c r="AS57" s="3272"/>
      <c r="AT57" s="3272"/>
      <c r="AU57" s="3272"/>
      <c r="AV57" s="3272"/>
      <c r="AW57" s="3272"/>
      <c r="AX57" s="3272"/>
      <c r="AY57" s="3272"/>
      <c r="AZ57" s="3272"/>
      <c r="BA57" s="3272"/>
      <c r="BB57" s="3272"/>
      <c r="BC57" s="3272"/>
      <c r="BD57" s="3272"/>
      <c r="BE57" s="3272"/>
      <c r="BF57" s="3272"/>
      <c r="BG57" s="3433"/>
      <c r="BH57" s="3433"/>
      <c r="BI57" s="3433"/>
      <c r="BJ57" s="3433"/>
      <c r="BK57" s="2780"/>
      <c r="BL57" s="2780"/>
      <c r="BM57" s="3425"/>
      <c r="BN57" s="3428"/>
      <c r="BO57" s="3431"/>
      <c r="BP57" s="3431"/>
      <c r="BQ57" s="3419"/>
      <c r="BR57" s="3421"/>
      <c r="BS57" s="3419"/>
      <c r="BT57" s="3419"/>
      <c r="BU57" s="3423"/>
    </row>
    <row r="58" spans="1:73" s="1542" customFormat="1" ht="87" customHeight="1" x14ac:dyDescent="0.25">
      <c r="A58" s="3389"/>
      <c r="B58" s="1590"/>
      <c r="C58" s="1589"/>
      <c r="D58" s="1590"/>
      <c r="E58" s="3224"/>
      <c r="F58" s="3224"/>
      <c r="G58" s="3213"/>
      <c r="H58" s="3214"/>
      <c r="I58" s="3213"/>
      <c r="J58" s="3214"/>
      <c r="K58" s="3206"/>
      <c r="L58" s="2771"/>
      <c r="M58" s="3206"/>
      <c r="N58" s="2771"/>
      <c r="O58" s="3206"/>
      <c r="P58" s="3206"/>
      <c r="Q58" s="3206"/>
      <c r="R58" s="2835"/>
      <c r="S58" s="3413"/>
      <c r="T58" s="3210"/>
      <c r="U58" s="3204"/>
      <c r="V58" s="3393"/>
      <c r="W58" s="3409"/>
      <c r="X58" s="1591">
        <v>18000000</v>
      </c>
      <c r="Y58" s="1591">
        <v>18000000</v>
      </c>
      <c r="Z58" s="1591">
        <v>18000000</v>
      </c>
      <c r="AA58" s="1181" t="s">
        <v>2309</v>
      </c>
      <c r="AB58" s="304">
        <v>88</v>
      </c>
      <c r="AC58" s="901" t="s">
        <v>2255</v>
      </c>
      <c r="AD58" s="3272"/>
      <c r="AE58" s="3272"/>
      <c r="AF58" s="3272"/>
      <c r="AG58" s="3272"/>
      <c r="AH58" s="3272"/>
      <c r="AI58" s="3272"/>
      <c r="AJ58" s="3272"/>
      <c r="AK58" s="3272"/>
      <c r="AL58" s="3272"/>
      <c r="AM58" s="3272"/>
      <c r="AN58" s="3272"/>
      <c r="AO58" s="3272"/>
      <c r="AP58" s="3272"/>
      <c r="AQ58" s="3272"/>
      <c r="AR58" s="3272"/>
      <c r="AS58" s="3272"/>
      <c r="AT58" s="3272"/>
      <c r="AU58" s="3272"/>
      <c r="AV58" s="3272"/>
      <c r="AW58" s="3272"/>
      <c r="AX58" s="3272"/>
      <c r="AY58" s="3272"/>
      <c r="AZ58" s="3272"/>
      <c r="BA58" s="3272"/>
      <c r="BB58" s="3272"/>
      <c r="BC58" s="3272"/>
      <c r="BD58" s="3272"/>
      <c r="BE58" s="3272"/>
      <c r="BF58" s="3272"/>
      <c r="BG58" s="3433"/>
      <c r="BH58" s="3433"/>
      <c r="BI58" s="3433"/>
      <c r="BJ58" s="3433"/>
      <c r="BK58" s="2780"/>
      <c r="BL58" s="2780"/>
      <c r="BM58" s="3425"/>
      <c r="BN58" s="3428"/>
      <c r="BO58" s="3431"/>
      <c r="BP58" s="3431"/>
      <c r="BQ58" s="3419"/>
      <c r="BR58" s="3421"/>
      <c r="BS58" s="3419"/>
      <c r="BT58" s="3419"/>
      <c r="BU58" s="3423"/>
    </row>
    <row r="59" spans="1:73" s="1542" customFormat="1" ht="67.5" customHeight="1" x14ac:dyDescent="0.25">
      <c r="A59" s="3389"/>
      <c r="B59" s="1590"/>
      <c r="C59" s="1589"/>
      <c r="D59" s="1590"/>
      <c r="E59" s="3224"/>
      <c r="F59" s="3224"/>
      <c r="G59" s="3213"/>
      <c r="H59" s="3214"/>
      <c r="I59" s="3213"/>
      <c r="J59" s="3214"/>
      <c r="K59" s="3206"/>
      <c r="L59" s="2771"/>
      <c r="M59" s="3206"/>
      <c r="N59" s="2771"/>
      <c r="O59" s="3206"/>
      <c r="P59" s="3206"/>
      <c r="Q59" s="3206"/>
      <c r="R59" s="2835"/>
      <c r="S59" s="3413"/>
      <c r="T59" s="3210"/>
      <c r="U59" s="3204"/>
      <c r="V59" s="3393"/>
      <c r="W59" s="3408" t="s">
        <v>2319</v>
      </c>
      <c r="X59" s="1591">
        <v>3000000</v>
      </c>
      <c r="Y59" s="1591">
        <v>3000000</v>
      </c>
      <c r="Z59" s="1591">
        <v>3000000</v>
      </c>
      <c r="AA59" s="1181" t="s">
        <v>2320</v>
      </c>
      <c r="AB59" s="1633">
        <v>20</v>
      </c>
      <c r="AC59" s="903" t="s">
        <v>1830</v>
      </c>
      <c r="AD59" s="3272"/>
      <c r="AE59" s="3272"/>
      <c r="AF59" s="3272"/>
      <c r="AG59" s="3272"/>
      <c r="AH59" s="3272"/>
      <c r="AI59" s="3272"/>
      <c r="AJ59" s="3272"/>
      <c r="AK59" s="3272"/>
      <c r="AL59" s="3272"/>
      <c r="AM59" s="3272"/>
      <c r="AN59" s="3272"/>
      <c r="AO59" s="3272"/>
      <c r="AP59" s="3272"/>
      <c r="AQ59" s="3272"/>
      <c r="AR59" s="3272"/>
      <c r="AS59" s="3272"/>
      <c r="AT59" s="3272"/>
      <c r="AU59" s="3272"/>
      <c r="AV59" s="3272"/>
      <c r="AW59" s="3272"/>
      <c r="AX59" s="3272"/>
      <c r="AY59" s="3272"/>
      <c r="AZ59" s="3272"/>
      <c r="BA59" s="3272"/>
      <c r="BB59" s="3272"/>
      <c r="BC59" s="3272"/>
      <c r="BD59" s="3272"/>
      <c r="BE59" s="3272"/>
      <c r="BF59" s="3272"/>
      <c r="BG59" s="3433"/>
      <c r="BH59" s="3433"/>
      <c r="BI59" s="3433"/>
      <c r="BJ59" s="3433"/>
      <c r="BK59" s="2780"/>
      <c r="BL59" s="2780"/>
      <c r="BM59" s="3425"/>
      <c r="BN59" s="3428"/>
      <c r="BO59" s="3431"/>
      <c r="BP59" s="3431"/>
      <c r="BQ59" s="3419"/>
      <c r="BR59" s="3421"/>
      <c r="BS59" s="3419"/>
      <c r="BT59" s="3419"/>
      <c r="BU59" s="3423"/>
    </row>
    <row r="60" spans="1:73" s="1542" customFormat="1" ht="67.5" customHeight="1" x14ac:dyDescent="0.25">
      <c r="A60" s="3389"/>
      <c r="B60" s="1590"/>
      <c r="C60" s="1589"/>
      <c r="D60" s="1590"/>
      <c r="E60" s="3224"/>
      <c r="F60" s="3224"/>
      <c r="G60" s="3213"/>
      <c r="H60" s="3214"/>
      <c r="I60" s="3213"/>
      <c r="J60" s="3214"/>
      <c r="K60" s="3206"/>
      <c r="L60" s="2771"/>
      <c r="M60" s="3206"/>
      <c r="N60" s="2771"/>
      <c r="O60" s="3206"/>
      <c r="P60" s="3206"/>
      <c r="Q60" s="3206"/>
      <c r="R60" s="2835"/>
      <c r="S60" s="3413"/>
      <c r="T60" s="3210"/>
      <c r="U60" s="3204"/>
      <c r="V60" s="3393"/>
      <c r="W60" s="3409"/>
      <c r="X60" s="1591">
        <v>10000000</v>
      </c>
      <c r="Y60" s="1591">
        <v>4039000</v>
      </c>
      <c r="Z60" s="1591">
        <v>4039000</v>
      </c>
      <c r="AA60" s="1181" t="s">
        <v>2309</v>
      </c>
      <c r="AB60" s="304">
        <v>88</v>
      </c>
      <c r="AC60" s="901" t="s">
        <v>2255</v>
      </c>
      <c r="AD60" s="3272"/>
      <c r="AE60" s="3272"/>
      <c r="AF60" s="3272"/>
      <c r="AG60" s="3272"/>
      <c r="AH60" s="3272"/>
      <c r="AI60" s="3272"/>
      <c r="AJ60" s="3272"/>
      <c r="AK60" s="3272"/>
      <c r="AL60" s="3272"/>
      <c r="AM60" s="3272"/>
      <c r="AN60" s="3272"/>
      <c r="AO60" s="3272"/>
      <c r="AP60" s="3272"/>
      <c r="AQ60" s="3272"/>
      <c r="AR60" s="3272"/>
      <c r="AS60" s="3272"/>
      <c r="AT60" s="3272"/>
      <c r="AU60" s="3272"/>
      <c r="AV60" s="3272"/>
      <c r="AW60" s="3272"/>
      <c r="AX60" s="3272"/>
      <c r="AY60" s="3272"/>
      <c r="AZ60" s="3272"/>
      <c r="BA60" s="3272"/>
      <c r="BB60" s="3272"/>
      <c r="BC60" s="3272"/>
      <c r="BD60" s="3272"/>
      <c r="BE60" s="3272"/>
      <c r="BF60" s="3272"/>
      <c r="BG60" s="3433"/>
      <c r="BH60" s="3433"/>
      <c r="BI60" s="3433"/>
      <c r="BJ60" s="3433"/>
      <c r="BK60" s="2780"/>
      <c r="BL60" s="2780"/>
      <c r="BM60" s="3425"/>
      <c r="BN60" s="3428"/>
      <c r="BO60" s="3431"/>
      <c r="BP60" s="3431"/>
      <c r="BQ60" s="3419"/>
      <c r="BR60" s="3421"/>
      <c r="BS60" s="3419"/>
      <c r="BT60" s="3419"/>
      <c r="BU60" s="3423"/>
    </row>
    <row r="61" spans="1:73" s="1542" customFormat="1" ht="67.5" customHeight="1" x14ac:dyDescent="0.25">
      <c r="A61" s="3389"/>
      <c r="B61" s="1590"/>
      <c r="C61" s="1589"/>
      <c r="D61" s="1590"/>
      <c r="E61" s="3224"/>
      <c r="F61" s="3224"/>
      <c r="G61" s="3213"/>
      <c r="H61" s="3214"/>
      <c r="I61" s="3213"/>
      <c r="J61" s="3214"/>
      <c r="K61" s="3206"/>
      <c r="L61" s="2771"/>
      <c r="M61" s="3206"/>
      <c r="N61" s="2771"/>
      <c r="O61" s="3206"/>
      <c r="P61" s="3206"/>
      <c r="Q61" s="3206"/>
      <c r="R61" s="2835"/>
      <c r="S61" s="3413"/>
      <c r="T61" s="3210"/>
      <c r="U61" s="3204"/>
      <c r="V61" s="3393"/>
      <c r="W61" s="3408" t="s">
        <v>2321</v>
      </c>
      <c r="X61" s="1591">
        <v>10000000</v>
      </c>
      <c r="Y61" s="1591">
        <v>10000000</v>
      </c>
      <c r="Z61" s="1591">
        <v>10000000</v>
      </c>
      <c r="AA61" s="1181" t="s">
        <v>2306</v>
      </c>
      <c r="AB61" s="1633">
        <v>20</v>
      </c>
      <c r="AC61" s="903" t="s">
        <v>1830</v>
      </c>
      <c r="AD61" s="3272"/>
      <c r="AE61" s="3272"/>
      <c r="AF61" s="3272"/>
      <c r="AG61" s="3272"/>
      <c r="AH61" s="3272"/>
      <c r="AI61" s="3272"/>
      <c r="AJ61" s="3272"/>
      <c r="AK61" s="3272"/>
      <c r="AL61" s="3272"/>
      <c r="AM61" s="3272"/>
      <c r="AN61" s="3272"/>
      <c r="AO61" s="3272"/>
      <c r="AP61" s="3272"/>
      <c r="AQ61" s="3272"/>
      <c r="AR61" s="3272"/>
      <c r="AS61" s="3272"/>
      <c r="AT61" s="3272"/>
      <c r="AU61" s="3272"/>
      <c r="AV61" s="3272"/>
      <c r="AW61" s="3272"/>
      <c r="AX61" s="3272"/>
      <c r="AY61" s="3272"/>
      <c r="AZ61" s="3272"/>
      <c r="BA61" s="3272"/>
      <c r="BB61" s="3272"/>
      <c r="BC61" s="3272"/>
      <c r="BD61" s="3272"/>
      <c r="BE61" s="3272"/>
      <c r="BF61" s="3272"/>
      <c r="BG61" s="3433"/>
      <c r="BH61" s="3433"/>
      <c r="BI61" s="3433"/>
      <c r="BJ61" s="3433"/>
      <c r="BK61" s="2780"/>
      <c r="BL61" s="2780"/>
      <c r="BM61" s="3425"/>
      <c r="BN61" s="3428"/>
      <c r="BO61" s="3431"/>
      <c r="BP61" s="3431"/>
      <c r="BQ61" s="3419"/>
      <c r="BR61" s="3421"/>
      <c r="BS61" s="3419"/>
      <c r="BT61" s="3419"/>
      <c r="BU61" s="3423"/>
    </row>
    <row r="62" spans="1:73" s="1542" customFormat="1" ht="46.5" customHeight="1" x14ac:dyDescent="0.25">
      <c r="A62" s="3389"/>
      <c r="B62" s="1590"/>
      <c r="C62" s="1589"/>
      <c r="D62" s="1590"/>
      <c r="E62" s="3224"/>
      <c r="F62" s="3224"/>
      <c r="G62" s="3213"/>
      <c r="H62" s="3215"/>
      <c r="I62" s="3213"/>
      <c r="J62" s="3215"/>
      <c r="K62" s="3207"/>
      <c r="L62" s="2772"/>
      <c r="M62" s="3207"/>
      <c r="N62" s="2772"/>
      <c r="O62" s="3207"/>
      <c r="P62" s="3207"/>
      <c r="Q62" s="3206"/>
      <c r="R62" s="2835"/>
      <c r="S62" s="3413"/>
      <c r="T62" s="3210"/>
      <c r="U62" s="3204"/>
      <c r="V62" s="3393"/>
      <c r="W62" s="3409"/>
      <c r="X62" s="1591">
        <v>17000000</v>
      </c>
      <c r="Y62" s="1591">
        <v>12000000</v>
      </c>
      <c r="Z62" s="1591">
        <v>12000000</v>
      </c>
      <c r="AA62" s="1181" t="s">
        <v>2309</v>
      </c>
      <c r="AB62" s="304">
        <v>88</v>
      </c>
      <c r="AC62" s="901" t="s">
        <v>2255</v>
      </c>
      <c r="AD62" s="3272"/>
      <c r="AE62" s="3272"/>
      <c r="AF62" s="3272"/>
      <c r="AG62" s="3272"/>
      <c r="AH62" s="3272"/>
      <c r="AI62" s="3272"/>
      <c r="AJ62" s="3272"/>
      <c r="AK62" s="3272"/>
      <c r="AL62" s="3272"/>
      <c r="AM62" s="3272"/>
      <c r="AN62" s="3272"/>
      <c r="AO62" s="3272"/>
      <c r="AP62" s="3272"/>
      <c r="AQ62" s="3272"/>
      <c r="AR62" s="3272"/>
      <c r="AS62" s="3272"/>
      <c r="AT62" s="3272"/>
      <c r="AU62" s="3272"/>
      <c r="AV62" s="3272"/>
      <c r="AW62" s="3272"/>
      <c r="AX62" s="3272"/>
      <c r="AY62" s="3272"/>
      <c r="AZ62" s="3272"/>
      <c r="BA62" s="3272"/>
      <c r="BB62" s="3272"/>
      <c r="BC62" s="3272"/>
      <c r="BD62" s="3272"/>
      <c r="BE62" s="3272"/>
      <c r="BF62" s="3272"/>
      <c r="BG62" s="3433"/>
      <c r="BH62" s="3433"/>
      <c r="BI62" s="3433"/>
      <c r="BJ62" s="3433"/>
      <c r="BK62" s="2780"/>
      <c r="BL62" s="2780"/>
      <c r="BM62" s="3425"/>
      <c r="BN62" s="3428"/>
      <c r="BO62" s="3431"/>
      <c r="BP62" s="3431"/>
      <c r="BQ62" s="3419"/>
      <c r="BR62" s="3421"/>
      <c r="BS62" s="3419"/>
      <c r="BT62" s="3419"/>
      <c r="BU62" s="3423"/>
    </row>
    <row r="63" spans="1:73" s="1542" customFormat="1" ht="61.5" customHeight="1" x14ac:dyDescent="0.25">
      <c r="A63" s="3389"/>
      <c r="B63" s="1590"/>
      <c r="C63" s="1589"/>
      <c r="D63" s="1590"/>
      <c r="E63" s="3224"/>
      <c r="F63" s="3224"/>
      <c r="G63" s="3213">
        <v>4101025</v>
      </c>
      <c r="H63" s="3236" t="s">
        <v>2322</v>
      </c>
      <c r="I63" s="3213">
        <v>4101025</v>
      </c>
      <c r="J63" s="3236" t="s">
        <v>2322</v>
      </c>
      <c r="K63" s="3354">
        <v>410102511</v>
      </c>
      <c r="L63" s="2681" t="s">
        <v>2323</v>
      </c>
      <c r="M63" s="3354">
        <v>410102511</v>
      </c>
      <c r="N63" s="2681" t="s">
        <v>2323</v>
      </c>
      <c r="O63" s="3354">
        <v>100</v>
      </c>
      <c r="P63" s="3354">
        <v>96</v>
      </c>
      <c r="Q63" s="3206"/>
      <c r="R63" s="2835"/>
      <c r="S63" s="3413">
        <f>SUM(X63:X68)/T42</f>
        <v>0.10345024203407623</v>
      </c>
      <c r="T63" s="3210"/>
      <c r="U63" s="3204"/>
      <c r="V63" s="3393" t="s">
        <v>2324</v>
      </c>
      <c r="W63" s="3408" t="s">
        <v>2325</v>
      </c>
      <c r="X63" s="1591">
        <v>22000000</v>
      </c>
      <c r="Y63" s="1591">
        <v>12633995</v>
      </c>
      <c r="Z63" s="1591">
        <v>12633995</v>
      </c>
      <c r="AA63" s="1181" t="s">
        <v>2326</v>
      </c>
      <c r="AB63" s="1633">
        <v>20</v>
      </c>
      <c r="AC63" s="903" t="s">
        <v>1830</v>
      </c>
      <c r="AD63" s="3272"/>
      <c r="AE63" s="3272"/>
      <c r="AF63" s="3272"/>
      <c r="AG63" s="3272"/>
      <c r="AH63" s="3272"/>
      <c r="AI63" s="3272"/>
      <c r="AJ63" s="3272"/>
      <c r="AK63" s="3272"/>
      <c r="AL63" s="3272"/>
      <c r="AM63" s="3272"/>
      <c r="AN63" s="3272"/>
      <c r="AO63" s="3272"/>
      <c r="AP63" s="3272"/>
      <c r="AQ63" s="3272"/>
      <c r="AR63" s="3272"/>
      <c r="AS63" s="3272"/>
      <c r="AT63" s="3272"/>
      <c r="AU63" s="3272"/>
      <c r="AV63" s="3272"/>
      <c r="AW63" s="3272"/>
      <c r="AX63" s="3272"/>
      <c r="AY63" s="3272"/>
      <c r="AZ63" s="3272"/>
      <c r="BA63" s="3272"/>
      <c r="BB63" s="3272"/>
      <c r="BC63" s="3272"/>
      <c r="BD63" s="3272"/>
      <c r="BE63" s="3272"/>
      <c r="BF63" s="3272"/>
      <c r="BG63" s="3433"/>
      <c r="BH63" s="3433"/>
      <c r="BI63" s="3433"/>
      <c r="BJ63" s="3433"/>
      <c r="BK63" s="2780"/>
      <c r="BL63" s="2780"/>
      <c r="BM63" s="3425"/>
      <c r="BN63" s="3428"/>
      <c r="BO63" s="3431"/>
      <c r="BP63" s="3431"/>
      <c r="BQ63" s="3419"/>
      <c r="BR63" s="3421"/>
      <c r="BS63" s="3419"/>
      <c r="BT63" s="3419"/>
      <c r="BU63" s="3423"/>
    </row>
    <row r="64" spans="1:73" s="1542" customFormat="1" ht="61.5" customHeight="1" x14ac:dyDescent="0.25">
      <c r="A64" s="3389"/>
      <c r="B64" s="1590"/>
      <c r="C64" s="1589"/>
      <c r="D64" s="1590"/>
      <c r="E64" s="3224"/>
      <c r="F64" s="3224"/>
      <c r="G64" s="3213"/>
      <c r="H64" s="3214"/>
      <c r="I64" s="3213"/>
      <c r="J64" s="3214"/>
      <c r="K64" s="3206"/>
      <c r="L64" s="2771"/>
      <c r="M64" s="3206"/>
      <c r="N64" s="2771"/>
      <c r="O64" s="3206"/>
      <c r="P64" s="3206"/>
      <c r="Q64" s="3206"/>
      <c r="R64" s="2835"/>
      <c r="S64" s="3413"/>
      <c r="T64" s="3210"/>
      <c r="U64" s="3204"/>
      <c r="V64" s="3393"/>
      <c r="W64" s="3409"/>
      <c r="X64" s="1591">
        <v>5000000</v>
      </c>
      <c r="Y64" s="1591">
        <v>2044183</v>
      </c>
      <c r="Z64" s="1591">
        <v>2044183</v>
      </c>
      <c r="AA64" s="1181" t="s">
        <v>2327</v>
      </c>
      <c r="AB64" s="304">
        <v>88</v>
      </c>
      <c r="AC64" s="901" t="s">
        <v>2255</v>
      </c>
      <c r="AD64" s="3272"/>
      <c r="AE64" s="3272"/>
      <c r="AF64" s="3272"/>
      <c r="AG64" s="3272"/>
      <c r="AH64" s="3272"/>
      <c r="AI64" s="3272"/>
      <c r="AJ64" s="3272"/>
      <c r="AK64" s="3272"/>
      <c r="AL64" s="3272"/>
      <c r="AM64" s="3272"/>
      <c r="AN64" s="3272"/>
      <c r="AO64" s="3272"/>
      <c r="AP64" s="3272"/>
      <c r="AQ64" s="3272"/>
      <c r="AR64" s="3272"/>
      <c r="AS64" s="3272"/>
      <c r="AT64" s="3272"/>
      <c r="AU64" s="3272"/>
      <c r="AV64" s="3272"/>
      <c r="AW64" s="3272"/>
      <c r="AX64" s="3272"/>
      <c r="AY64" s="3272"/>
      <c r="AZ64" s="3272"/>
      <c r="BA64" s="3272"/>
      <c r="BB64" s="3272"/>
      <c r="BC64" s="3272"/>
      <c r="BD64" s="3272"/>
      <c r="BE64" s="3272"/>
      <c r="BF64" s="3272"/>
      <c r="BG64" s="3433"/>
      <c r="BH64" s="3433"/>
      <c r="BI64" s="3433"/>
      <c r="BJ64" s="3433"/>
      <c r="BK64" s="2780"/>
      <c r="BL64" s="2780"/>
      <c r="BM64" s="3425"/>
      <c r="BN64" s="3428"/>
      <c r="BO64" s="3431"/>
      <c r="BP64" s="3431"/>
      <c r="BQ64" s="3419"/>
      <c r="BR64" s="3421"/>
      <c r="BS64" s="3419"/>
      <c r="BT64" s="3419"/>
      <c r="BU64" s="3423"/>
    </row>
    <row r="65" spans="1:73" s="1542" customFormat="1" ht="69" customHeight="1" x14ac:dyDescent="0.25">
      <c r="A65" s="3389"/>
      <c r="B65" s="1590"/>
      <c r="C65" s="1589"/>
      <c r="D65" s="1590"/>
      <c r="E65" s="3224"/>
      <c r="F65" s="3224"/>
      <c r="G65" s="3213"/>
      <c r="H65" s="3214"/>
      <c r="I65" s="3213"/>
      <c r="J65" s="3214"/>
      <c r="K65" s="3206"/>
      <c r="L65" s="2771"/>
      <c r="M65" s="3206"/>
      <c r="N65" s="2771"/>
      <c r="O65" s="3206"/>
      <c r="P65" s="3206"/>
      <c r="Q65" s="3206"/>
      <c r="R65" s="2835"/>
      <c r="S65" s="3413"/>
      <c r="T65" s="3210"/>
      <c r="U65" s="3204"/>
      <c r="V65" s="3393"/>
      <c r="W65" s="3408" t="s">
        <v>2328</v>
      </c>
      <c r="X65" s="1591">
        <v>12000000</v>
      </c>
      <c r="Y65" s="1591">
        <v>11242470</v>
      </c>
      <c r="Z65" s="1591">
        <v>11242470</v>
      </c>
      <c r="AA65" s="1181" t="s">
        <v>2326</v>
      </c>
      <c r="AB65" s="1633">
        <v>20</v>
      </c>
      <c r="AC65" s="903" t="s">
        <v>1830</v>
      </c>
      <c r="AD65" s="3272"/>
      <c r="AE65" s="3272"/>
      <c r="AF65" s="3272"/>
      <c r="AG65" s="3272"/>
      <c r="AH65" s="3272"/>
      <c r="AI65" s="3272"/>
      <c r="AJ65" s="3272"/>
      <c r="AK65" s="3272"/>
      <c r="AL65" s="3272"/>
      <c r="AM65" s="3272"/>
      <c r="AN65" s="3272"/>
      <c r="AO65" s="3272"/>
      <c r="AP65" s="3272"/>
      <c r="AQ65" s="3272"/>
      <c r="AR65" s="3272"/>
      <c r="AS65" s="3272"/>
      <c r="AT65" s="3272"/>
      <c r="AU65" s="3272"/>
      <c r="AV65" s="3272"/>
      <c r="AW65" s="3272"/>
      <c r="AX65" s="3272"/>
      <c r="AY65" s="3272"/>
      <c r="AZ65" s="3272"/>
      <c r="BA65" s="3272"/>
      <c r="BB65" s="3272"/>
      <c r="BC65" s="3272"/>
      <c r="BD65" s="3272"/>
      <c r="BE65" s="3272"/>
      <c r="BF65" s="3272"/>
      <c r="BG65" s="3433"/>
      <c r="BH65" s="3433"/>
      <c r="BI65" s="3433"/>
      <c r="BJ65" s="3433"/>
      <c r="BK65" s="2780"/>
      <c r="BL65" s="2780"/>
      <c r="BM65" s="3425"/>
      <c r="BN65" s="3428"/>
      <c r="BO65" s="3431"/>
      <c r="BP65" s="3431"/>
      <c r="BQ65" s="3419"/>
      <c r="BR65" s="3421"/>
      <c r="BS65" s="3419"/>
      <c r="BT65" s="3419"/>
      <c r="BU65" s="3423"/>
    </row>
    <row r="66" spans="1:73" s="1542" customFormat="1" ht="69" customHeight="1" x14ac:dyDescent="0.25">
      <c r="A66" s="3389"/>
      <c r="B66" s="1590"/>
      <c r="C66" s="1589"/>
      <c r="D66" s="1590"/>
      <c r="E66" s="3224"/>
      <c r="F66" s="3224"/>
      <c r="G66" s="3213"/>
      <c r="H66" s="3214"/>
      <c r="I66" s="3213"/>
      <c r="J66" s="3214"/>
      <c r="K66" s="3206"/>
      <c r="L66" s="2771"/>
      <c r="M66" s="3206"/>
      <c r="N66" s="2771"/>
      <c r="O66" s="3206"/>
      <c r="P66" s="3206"/>
      <c r="Q66" s="3206"/>
      <c r="R66" s="2835"/>
      <c r="S66" s="3413"/>
      <c r="T66" s="3210"/>
      <c r="U66" s="3204"/>
      <c r="V66" s="3393"/>
      <c r="W66" s="3409"/>
      <c r="X66" s="1591">
        <v>7000000</v>
      </c>
      <c r="Y66" s="1591">
        <v>7000000</v>
      </c>
      <c r="Z66" s="1591">
        <v>7000000</v>
      </c>
      <c r="AA66" s="1181" t="s">
        <v>2327</v>
      </c>
      <c r="AB66" s="304">
        <v>88</v>
      </c>
      <c r="AC66" s="901" t="s">
        <v>2255</v>
      </c>
      <c r="AD66" s="3272"/>
      <c r="AE66" s="3272"/>
      <c r="AF66" s="3272"/>
      <c r="AG66" s="3272"/>
      <c r="AH66" s="3272"/>
      <c r="AI66" s="3272"/>
      <c r="AJ66" s="3272"/>
      <c r="AK66" s="3272"/>
      <c r="AL66" s="3272"/>
      <c r="AM66" s="3272"/>
      <c r="AN66" s="3272"/>
      <c r="AO66" s="3272"/>
      <c r="AP66" s="3272"/>
      <c r="AQ66" s="3272"/>
      <c r="AR66" s="3272"/>
      <c r="AS66" s="3272"/>
      <c r="AT66" s="3272"/>
      <c r="AU66" s="3272"/>
      <c r="AV66" s="3272"/>
      <c r="AW66" s="3272"/>
      <c r="AX66" s="3272"/>
      <c r="AY66" s="3272"/>
      <c r="AZ66" s="3272"/>
      <c r="BA66" s="3272"/>
      <c r="BB66" s="3272"/>
      <c r="BC66" s="3272"/>
      <c r="BD66" s="3272"/>
      <c r="BE66" s="3272"/>
      <c r="BF66" s="3272"/>
      <c r="BG66" s="3433"/>
      <c r="BH66" s="3433"/>
      <c r="BI66" s="3433"/>
      <c r="BJ66" s="3433"/>
      <c r="BK66" s="2780"/>
      <c r="BL66" s="2780"/>
      <c r="BM66" s="3425"/>
      <c r="BN66" s="3428"/>
      <c r="BO66" s="3431"/>
      <c r="BP66" s="3431"/>
      <c r="BQ66" s="3419"/>
      <c r="BR66" s="3421"/>
      <c r="BS66" s="3419"/>
      <c r="BT66" s="3419"/>
      <c r="BU66" s="3423"/>
    </row>
    <row r="67" spans="1:73" s="1542" customFormat="1" ht="48" customHeight="1" x14ac:dyDescent="0.25">
      <c r="A67" s="3389"/>
      <c r="B67" s="1590"/>
      <c r="C67" s="1589"/>
      <c r="D67" s="1590"/>
      <c r="E67" s="3224"/>
      <c r="F67" s="3224"/>
      <c r="G67" s="3213"/>
      <c r="H67" s="3214"/>
      <c r="I67" s="3213"/>
      <c r="J67" s="3214"/>
      <c r="K67" s="3206"/>
      <c r="L67" s="2771"/>
      <c r="M67" s="3206"/>
      <c r="N67" s="2771"/>
      <c r="O67" s="3206"/>
      <c r="P67" s="3206"/>
      <c r="Q67" s="3206"/>
      <c r="R67" s="2835"/>
      <c r="S67" s="3413"/>
      <c r="T67" s="3210"/>
      <c r="U67" s="3204"/>
      <c r="V67" s="3393"/>
      <c r="W67" s="1650" t="s">
        <v>2329</v>
      </c>
      <c r="X67" s="1591">
        <v>3000000</v>
      </c>
      <c r="Y67" s="1591"/>
      <c r="Z67" s="1591"/>
      <c r="AA67" s="1181" t="s">
        <v>2326</v>
      </c>
      <c r="AB67" s="1633">
        <v>20</v>
      </c>
      <c r="AC67" s="903" t="s">
        <v>1830</v>
      </c>
      <c r="AD67" s="3272"/>
      <c r="AE67" s="3272"/>
      <c r="AF67" s="3272"/>
      <c r="AG67" s="3272"/>
      <c r="AH67" s="3272"/>
      <c r="AI67" s="3272"/>
      <c r="AJ67" s="3272"/>
      <c r="AK67" s="3272"/>
      <c r="AL67" s="3272"/>
      <c r="AM67" s="3272"/>
      <c r="AN67" s="3272"/>
      <c r="AO67" s="3272"/>
      <c r="AP67" s="3272"/>
      <c r="AQ67" s="3272"/>
      <c r="AR67" s="3272"/>
      <c r="AS67" s="3272"/>
      <c r="AT67" s="3272"/>
      <c r="AU67" s="3272"/>
      <c r="AV67" s="3272"/>
      <c r="AW67" s="3272"/>
      <c r="AX67" s="3272"/>
      <c r="AY67" s="3272"/>
      <c r="AZ67" s="3272"/>
      <c r="BA67" s="3272"/>
      <c r="BB67" s="3272"/>
      <c r="BC67" s="3272"/>
      <c r="BD67" s="3272"/>
      <c r="BE67" s="3272"/>
      <c r="BF67" s="3272"/>
      <c r="BG67" s="3433"/>
      <c r="BH67" s="3433"/>
      <c r="BI67" s="3433"/>
      <c r="BJ67" s="3433"/>
      <c r="BK67" s="2780"/>
      <c r="BL67" s="2780"/>
      <c r="BM67" s="3425"/>
      <c r="BN67" s="3428"/>
      <c r="BO67" s="3431"/>
      <c r="BP67" s="3431"/>
      <c r="BQ67" s="3419"/>
      <c r="BR67" s="3421"/>
      <c r="BS67" s="3419"/>
      <c r="BT67" s="3419"/>
      <c r="BU67" s="3423"/>
    </row>
    <row r="68" spans="1:73" s="1542" customFormat="1" ht="56.25" customHeight="1" x14ac:dyDescent="0.25">
      <c r="A68" s="3389"/>
      <c r="B68" s="1590"/>
      <c r="C68" s="1589"/>
      <c r="D68" s="1590"/>
      <c r="E68" s="3224"/>
      <c r="F68" s="3224"/>
      <c r="G68" s="3213"/>
      <c r="H68" s="3215"/>
      <c r="I68" s="3213"/>
      <c r="J68" s="3215"/>
      <c r="K68" s="3207"/>
      <c r="L68" s="2772"/>
      <c r="M68" s="3207"/>
      <c r="N68" s="2772"/>
      <c r="O68" s="3207"/>
      <c r="P68" s="3207"/>
      <c r="Q68" s="3206"/>
      <c r="R68" s="2835"/>
      <c r="S68" s="3413"/>
      <c r="T68" s="3210"/>
      <c r="U68" s="3204"/>
      <c r="V68" s="3393"/>
      <c r="W68" s="1650" t="s">
        <v>2330</v>
      </c>
      <c r="X68" s="1591">
        <v>3000000</v>
      </c>
      <c r="Y68" s="1591">
        <v>3000000</v>
      </c>
      <c r="Z68" s="1591">
        <v>3000000</v>
      </c>
      <c r="AA68" s="1181" t="s">
        <v>2326</v>
      </c>
      <c r="AB68" s="1633">
        <v>20</v>
      </c>
      <c r="AC68" s="903" t="s">
        <v>1830</v>
      </c>
      <c r="AD68" s="3272"/>
      <c r="AE68" s="3272"/>
      <c r="AF68" s="3272"/>
      <c r="AG68" s="3272"/>
      <c r="AH68" s="3272"/>
      <c r="AI68" s="3272"/>
      <c r="AJ68" s="3272"/>
      <c r="AK68" s="3272"/>
      <c r="AL68" s="3272"/>
      <c r="AM68" s="3272"/>
      <c r="AN68" s="3272"/>
      <c r="AO68" s="3272"/>
      <c r="AP68" s="3272"/>
      <c r="AQ68" s="3272"/>
      <c r="AR68" s="3272"/>
      <c r="AS68" s="3272"/>
      <c r="AT68" s="3272"/>
      <c r="AU68" s="3272"/>
      <c r="AV68" s="3272"/>
      <c r="AW68" s="3272"/>
      <c r="AX68" s="3272"/>
      <c r="AY68" s="3272"/>
      <c r="AZ68" s="3272"/>
      <c r="BA68" s="3272"/>
      <c r="BB68" s="3272"/>
      <c r="BC68" s="3272"/>
      <c r="BD68" s="3272"/>
      <c r="BE68" s="3272"/>
      <c r="BF68" s="3272"/>
      <c r="BG68" s="3433"/>
      <c r="BH68" s="3433"/>
      <c r="BI68" s="3433"/>
      <c r="BJ68" s="3433"/>
      <c r="BK68" s="2780"/>
      <c r="BL68" s="2780"/>
      <c r="BM68" s="3425"/>
      <c r="BN68" s="3428"/>
      <c r="BO68" s="3431"/>
      <c r="BP68" s="3431"/>
      <c r="BQ68" s="3419"/>
      <c r="BR68" s="3421"/>
      <c r="BS68" s="3419"/>
      <c r="BT68" s="3419"/>
      <c r="BU68" s="3423"/>
    </row>
    <row r="69" spans="1:73" s="1542" customFormat="1" ht="48" customHeight="1" x14ac:dyDescent="0.25">
      <c r="A69" s="3389"/>
      <c r="B69" s="1590"/>
      <c r="C69" s="1589"/>
      <c r="D69" s="1590"/>
      <c r="E69" s="3224"/>
      <c r="F69" s="3224"/>
      <c r="G69" s="3213">
        <v>4101038</v>
      </c>
      <c r="H69" s="3236" t="s">
        <v>2331</v>
      </c>
      <c r="I69" s="3213">
        <v>4101038</v>
      </c>
      <c r="J69" s="3236" t="s">
        <v>2331</v>
      </c>
      <c r="K69" s="3354">
        <v>410103800</v>
      </c>
      <c r="L69" s="2681" t="s">
        <v>2332</v>
      </c>
      <c r="M69" s="3354">
        <v>410103800</v>
      </c>
      <c r="N69" s="2681" t="s">
        <v>2332</v>
      </c>
      <c r="O69" s="3354">
        <v>12</v>
      </c>
      <c r="P69" s="3354">
        <v>12</v>
      </c>
      <c r="Q69" s="3206"/>
      <c r="R69" s="2835"/>
      <c r="S69" s="3413">
        <f>SUM(X69:X77)/T42</f>
        <v>8.7534820182679884E-2</v>
      </c>
      <c r="T69" s="3210"/>
      <c r="U69" s="3204"/>
      <c r="V69" s="3393" t="s">
        <v>2333</v>
      </c>
      <c r="W69" s="1650" t="s">
        <v>2334</v>
      </c>
      <c r="X69" s="1591">
        <v>6000000</v>
      </c>
      <c r="Y69" s="1591">
        <v>5997186</v>
      </c>
      <c r="Z69" s="1591">
        <v>5997186</v>
      </c>
      <c r="AA69" s="1181" t="s">
        <v>2335</v>
      </c>
      <c r="AB69" s="1633">
        <v>20</v>
      </c>
      <c r="AC69" s="903" t="s">
        <v>1830</v>
      </c>
      <c r="AD69" s="3272"/>
      <c r="AE69" s="3272"/>
      <c r="AF69" s="3272"/>
      <c r="AG69" s="3272"/>
      <c r="AH69" s="3272"/>
      <c r="AI69" s="3272"/>
      <c r="AJ69" s="3272"/>
      <c r="AK69" s="3272"/>
      <c r="AL69" s="3272"/>
      <c r="AM69" s="3272"/>
      <c r="AN69" s="3272"/>
      <c r="AO69" s="3272"/>
      <c r="AP69" s="3272"/>
      <c r="AQ69" s="3272"/>
      <c r="AR69" s="3272"/>
      <c r="AS69" s="3272"/>
      <c r="AT69" s="3272"/>
      <c r="AU69" s="3272"/>
      <c r="AV69" s="3272"/>
      <c r="AW69" s="3272"/>
      <c r="AX69" s="3272"/>
      <c r="AY69" s="3272"/>
      <c r="AZ69" s="3272"/>
      <c r="BA69" s="3272"/>
      <c r="BB69" s="3272"/>
      <c r="BC69" s="3272"/>
      <c r="BD69" s="3272"/>
      <c r="BE69" s="3272"/>
      <c r="BF69" s="3272"/>
      <c r="BG69" s="3433"/>
      <c r="BH69" s="3433"/>
      <c r="BI69" s="3433"/>
      <c r="BJ69" s="3433"/>
      <c r="BK69" s="2780"/>
      <c r="BL69" s="2780"/>
      <c r="BM69" s="3425"/>
      <c r="BN69" s="3428"/>
      <c r="BO69" s="3431"/>
      <c r="BP69" s="3431"/>
      <c r="BQ69" s="3419"/>
      <c r="BR69" s="3421"/>
      <c r="BS69" s="3419"/>
      <c r="BT69" s="3419"/>
      <c r="BU69" s="3423"/>
    </row>
    <row r="70" spans="1:73" s="1542" customFormat="1" ht="47.25" customHeight="1" x14ac:dyDescent="0.25">
      <c r="A70" s="3389"/>
      <c r="B70" s="1590"/>
      <c r="C70" s="1589"/>
      <c r="D70" s="1590"/>
      <c r="E70" s="3224"/>
      <c r="F70" s="3224"/>
      <c r="G70" s="3213"/>
      <c r="H70" s="3214"/>
      <c r="I70" s="3213"/>
      <c r="J70" s="3214"/>
      <c r="K70" s="3206"/>
      <c r="L70" s="2771"/>
      <c r="M70" s="3206"/>
      <c r="N70" s="2771"/>
      <c r="O70" s="3206"/>
      <c r="P70" s="3206"/>
      <c r="Q70" s="3206"/>
      <c r="R70" s="2835"/>
      <c r="S70" s="3413"/>
      <c r="T70" s="3210"/>
      <c r="U70" s="3204"/>
      <c r="V70" s="3393"/>
      <c r="W70" s="1650" t="s">
        <v>2336</v>
      </c>
      <c r="X70" s="1591">
        <v>17000000</v>
      </c>
      <c r="Y70" s="1591">
        <v>17000000</v>
      </c>
      <c r="Z70" s="1591">
        <v>17000000</v>
      </c>
      <c r="AA70" s="1181" t="s">
        <v>2335</v>
      </c>
      <c r="AB70" s="1633">
        <v>20</v>
      </c>
      <c r="AC70" s="903" t="s">
        <v>1830</v>
      </c>
      <c r="AD70" s="3272"/>
      <c r="AE70" s="3272"/>
      <c r="AF70" s="3272"/>
      <c r="AG70" s="3272"/>
      <c r="AH70" s="3272"/>
      <c r="AI70" s="3272"/>
      <c r="AJ70" s="3272"/>
      <c r="AK70" s="3272"/>
      <c r="AL70" s="3272"/>
      <c r="AM70" s="3272"/>
      <c r="AN70" s="3272"/>
      <c r="AO70" s="3272"/>
      <c r="AP70" s="3272"/>
      <c r="AQ70" s="3272"/>
      <c r="AR70" s="3272"/>
      <c r="AS70" s="3272"/>
      <c r="AT70" s="3272"/>
      <c r="AU70" s="3272"/>
      <c r="AV70" s="3272"/>
      <c r="AW70" s="3272"/>
      <c r="AX70" s="3272"/>
      <c r="AY70" s="3272"/>
      <c r="AZ70" s="3272"/>
      <c r="BA70" s="3272"/>
      <c r="BB70" s="3272"/>
      <c r="BC70" s="3272"/>
      <c r="BD70" s="3272"/>
      <c r="BE70" s="3272"/>
      <c r="BF70" s="3272"/>
      <c r="BG70" s="3433"/>
      <c r="BH70" s="3433"/>
      <c r="BI70" s="3433"/>
      <c r="BJ70" s="3433"/>
      <c r="BK70" s="2780"/>
      <c r="BL70" s="2780"/>
      <c r="BM70" s="3425"/>
      <c r="BN70" s="3428"/>
      <c r="BO70" s="3431"/>
      <c r="BP70" s="3431"/>
      <c r="BQ70" s="3419"/>
      <c r="BR70" s="3421"/>
      <c r="BS70" s="3419"/>
      <c r="BT70" s="3419"/>
      <c r="BU70" s="3423"/>
    </row>
    <row r="71" spans="1:73" s="1542" customFormat="1" ht="41.25" customHeight="1" x14ac:dyDescent="0.25">
      <c r="A71" s="3389"/>
      <c r="B71" s="1590"/>
      <c r="C71" s="1589"/>
      <c r="D71" s="1590"/>
      <c r="E71" s="3224"/>
      <c r="F71" s="3224"/>
      <c r="G71" s="3213"/>
      <c r="H71" s="3214"/>
      <c r="I71" s="3213"/>
      <c r="J71" s="3214"/>
      <c r="K71" s="3206"/>
      <c r="L71" s="2771"/>
      <c r="M71" s="3206"/>
      <c r="N71" s="2771"/>
      <c r="O71" s="3206"/>
      <c r="P71" s="3206"/>
      <c r="Q71" s="3206"/>
      <c r="R71" s="2835"/>
      <c r="S71" s="3413"/>
      <c r="T71" s="3210"/>
      <c r="U71" s="3204"/>
      <c r="V71" s="3393"/>
      <c r="W71" s="3408" t="s">
        <v>2337</v>
      </c>
      <c r="X71" s="1591">
        <v>5000000</v>
      </c>
      <c r="Y71" s="1591">
        <v>3000000</v>
      </c>
      <c r="Z71" s="1591">
        <v>3000000</v>
      </c>
      <c r="AA71" s="1181" t="s">
        <v>2338</v>
      </c>
      <c r="AB71" s="1633">
        <v>20</v>
      </c>
      <c r="AC71" s="903" t="s">
        <v>1830</v>
      </c>
      <c r="AD71" s="3272"/>
      <c r="AE71" s="3272"/>
      <c r="AF71" s="3272"/>
      <c r="AG71" s="3272"/>
      <c r="AH71" s="3272"/>
      <c r="AI71" s="3272"/>
      <c r="AJ71" s="3272"/>
      <c r="AK71" s="3272"/>
      <c r="AL71" s="3272"/>
      <c r="AM71" s="3272"/>
      <c r="AN71" s="3272"/>
      <c r="AO71" s="3272"/>
      <c r="AP71" s="3272"/>
      <c r="AQ71" s="3272"/>
      <c r="AR71" s="3272"/>
      <c r="AS71" s="3272"/>
      <c r="AT71" s="3272"/>
      <c r="AU71" s="3272"/>
      <c r="AV71" s="3272"/>
      <c r="AW71" s="3272"/>
      <c r="AX71" s="3272"/>
      <c r="AY71" s="3272"/>
      <c r="AZ71" s="3272"/>
      <c r="BA71" s="3272"/>
      <c r="BB71" s="3272"/>
      <c r="BC71" s="3272"/>
      <c r="BD71" s="3272"/>
      <c r="BE71" s="3272"/>
      <c r="BF71" s="3272"/>
      <c r="BG71" s="3433"/>
      <c r="BH71" s="3433"/>
      <c r="BI71" s="3433"/>
      <c r="BJ71" s="3433"/>
      <c r="BK71" s="2780"/>
      <c r="BL71" s="2780"/>
      <c r="BM71" s="3425"/>
      <c r="BN71" s="3428"/>
      <c r="BO71" s="3431"/>
      <c r="BP71" s="3431"/>
      <c r="BQ71" s="3419"/>
      <c r="BR71" s="3421"/>
      <c r="BS71" s="3419"/>
      <c r="BT71" s="3419"/>
      <c r="BU71" s="3423"/>
    </row>
    <row r="72" spans="1:73" s="1542" customFormat="1" ht="29.25" customHeight="1" x14ac:dyDescent="0.25">
      <c r="A72" s="3389"/>
      <c r="B72" s="1590"/>
      <c r="C72" s="1589"/>
      <c r="D72" s="1590"/>
      <c r="E72" s="3224"/>
      <c r="F72" s="3224"/>
      <c r="G72" s="3213"/>
      <c r="H72" s="3214"/>
      <c r="I72" s="3213"/>
      <c r="J72" s="3214"/>
      <c r="K72" s="3206"/>
      <c r="L72" s="2771"/>
      <c r="M72" s="3206"/>
      <c r="N72" s="2771"/>
      <c r="O72" s="3206"/>
      <c r="P72" s="3206"/>
      <c r="Q72" s="3206"/>
      <c r="R72" s="2835"/>
      <c r="S72" s="3413"/>
      <c r="T72" s="3210"/>
      <c r="U72" s="3204"/>
      <c r="V72" s="3393"/>
      <c r="W72" s="3285"/>
      <c r="X72" s="1591">
        <v>2500000</v>
      </c>
      <c r="Y72" s="1591"/>
      <c r="Z72" s="1591"/>
      <c r="AA72" s="1181" t="s">
        <v>2339</v>
      </c>
      <c r="AB72" s="1633">
        <v>20</v>
      </c>
      <c r="AC72" s="903" t="s">
        <v>1830</v>
      </c>
      <c r="AD72" s="3272"/>
      <c r="AE72" s="3272"/>
      <c r="AF72" s="3272"/>
      <c r="AG72" s="3272"/>
      <c r="AH72" s="3272"/>
      <c r="AI72" s="3272"/>
      <c r="AJ72" s="3272"/>
      <c r="AK72" s="3272"/>
      <c r="AL72" s="3272"/>
      <c r="AM72" s="3272"/>
      <c r="AN72" s="3272"/>
      <c r="AO72" s="3272"/>
      <c r="AP72" s="3272"/>
      <c r="AQ72" s="3272"/>
      <c r="AR72" s="3272"/>
      <c r="AS72" s="3272"/>
      <c r="AT72" s="3272"/>
      <c r="AU72" s="3272"/>
      <c r="AV72" s="3272"/>
      <c r="AW72" s="3272"/>
      <c r="AX72" s="3272"/>
      <c r="AY72" s="3272"/>
      <c r="AZ72" s="3272"/>
      <c r="BA72" s="3272"/>
      <c r="BB72" s="3272"/>
      <c r="BC72" s="3272"/>
      <c r="BD72" s="3272"/>
      <c r="BE72" s="3272"/>
      <c r="BF72" s="3272"/>
      <c r="BG72" s="3433"/>
      <c r="BH72" s="3433"/>
      <c r="BI72" s="3433"/>
      <c r="BJ72" s="3433"/>
      <c r="BK72" s="2780"/>
      <c r="BL72" s="2780"/>
      <c r="BM72" s="3425"/>
      <c r="BN72" s="3428"/>
      <c r="BO72" s="3431"/>
      <c r="BP72" s="3431"/>
      <c r="BQ72" s="3419"/>
      <c r="BR72" s="3421"/>
      <c r="BS72" s="3419"/>
      <c r="BT72" s="3419"/>
      <c r="BU72" s="3423"/>
    </row>
    <row r="73" spans="1:73" s="1542" customFormat="1" ht="29.25" customHeight="1" x14ac:dyDescent="0.25">
      <c r="A73" s="3389"/>
      <c r="B73" s="1590"/>
      <c r="C73" s="1589"/>
      <c r="D73" s="1590"/>
      <c r="E73" s="3224"/>
      <c r="F73" s="3224"/>
      <c r="G73" s="3213"/>
      <c r="H73" s="3214"/>
      <c r="I73" s="3213"/>
      <c r="J73" s="3214"/>
      <c r="K73" s="3206"/>
      <c r="L73" s="2771"/>
      <c r="M73" s="3206"/>
      <c r="N73" s="2771"/>
      <c r="O73" s="3206"/>
      <c r="P73" s="3206"/>
      <c r="Q73" s="3206"/>
      <c r="R73" s="2835"/>
      <c r="S73" s="3413"/>
      <c r="T73" s="3210"/>
      <c r="U73" s="3204"/>
      <c r="V73" s="3393"/>
      <c r="W73" s="3409"/>
      <c r="X73" s="1591">
        <v>0</v>
      </c>
      <c r="Y73" s="1591"/>
      <c r="Z73" s="1591"/>
      <c r="AA73" s="1181" t="s">
        <v>2340</v>
      </c>
      <c r="AB73" s="304">
        <v>88</v>
      </c>
      <c r="AC73" s="901" t="s">
        <v>2255</v>
      </c>
      <c r="AD73" s="3272"/>
      <c r="AE73" s="3272"/>
      <c r="AF73" s="3272"/>
      <c r="AG73" s="3272"/>
      <c r="AH73" s="3272"/>
      <c r="AI73" s="3272"/>
      <c r="AJ73" s="3272"/>
      <c r="AK73" s="3272"/>
      <c r="AL73" s="3272"/>
      <c r="AM73" s="3272"/>
      <c r="AN73" s="3272"/>
      <c r="AO73" s="3272"/>
      <c r="AP73" s="3272"/>
      <c r="AQ73" s="3272"/>
      <c r="AR73" s="3272"/>
      <c r="AS73" s="3272"/>
      <c r="AT73" s="3272"/>
      <c r="AU73" s="3272"/>
      <c r="AV73" s="3272"/>
      <c r="AW73" s="3272"/>
      <c r="AX73" s="3272"/>
      <c r="AY73" s="3272"/>
      <c r="AZ73" s="3272"/>
      <c r="BA73" s="3272"/>
      <c r="BB73" s="3272"/>
      <c r="BC73" s="3272"/>
      <c r="BD73" s="3272"/>
      <c r="BE73" s="3272"/>
      <c r="BF73" s="3272"/>
      <c r="BG73" s="3433"/>
      <c r="BH73" s="3433"/>
      <c r="BI73" s="3433"/>
      <c r="BJ73" s="3433"/>
      <c r="BK73" s="2780"/>
      <c r="BL73" s="2780"/>
      <c r="BM73" s="3425"/>
      <c r="BN73" s="3428"/>
      <c r="BO73" s="3431"/>
      <c r="BP73" s="3431"/>
      <c r="BQ73" s="3419"/>
      <c r="BR73" s="3421"/>
      <c r="BS73" s="3419"/>
      <c r="BT73" s="3419"/>
      <c r="BU73" s="3423"/>
    </row>
    <row r="74" spans="1:73" s="1542" customFormat="1" ht="35.25" customHeight="1" x14ac:dyDescent="0.25">
      <c r="A74" s="3389"/>
      <c r="B74" s="1590"/>
      <c r="C74" s="1589"/>
      <c r="D74" s="1590"/>
      <c r="E74" s="3224"/>
      <c r="F74" s="3224"/>
      <c r="G74" s="3213"/>
      <c r="H74" s="3214"/>
      <c r="I74" s="3213"/>
      <c r="J74" s="3214"/>
      <c r="K74" s="3206"/>
      <c r="L74" s="2771"/>
      <c r="M74" s="3206"/>
      <c r="N74" s="2771"/>
      <c r="O74" s="3206"/>
      <c r="P74" s="3206"/>
      <c r="Q74" s="3206"/>
      <c r="R74" s="2835"/>
      <c r="S74" s="3413"/>
      <c r="T74" s="3210"/>
      <c r="U74" s="3204"/>
      <c r="V74" s="3393"/>
      <c r="W74" s="1650" t="s">
        <v>2329</v>
      </c>
      <c r="X74" s="1591">
        <v>2500000</v>
      </c>
      <c r="Y74" s="1591">
        <v>2489000</v>
      </c>
      <c r="Z74" s="1591">
        <v>2489000</v>
      </c>
      <c r="AA74" s="1181" t="s">
        <v>2339</v>
      </c>
      <c r="AB74" s="1633">
        <v>20</v>
      </c>
      <c r="AC74" s="903" t="s">
        <v>1830</v>
      </c>
      <c r="AD74" s="3272"/>
      <c r="AE74" s="3272"/>
      <c r="AF74" s="3272"/>
      <c r="AG74" s="3272"/>
      <c r="AH74" s="3272"/>
      <c r="AI74" s="3272"/>
      <c r="AJ74" s="3272"/>
      <c r="AK74" s="3272"/>
      <c r="AL74" s="3272"/>
      <c r="AM74" s="3272"/>
      <c r="AN74" s="3272"/>
      <c r="AO74" s="3272"/>
      <c r="AP74" s="3272"/>
      <c r="AQ74" s="3272"/>
      <c r="AR74" s="3272"/>
      <c r="AS74" s="3272"/>
      <c r="AT74" s="3272"/>
      <c r="AU74" s="3272"/>
      <c r="AV74" s="3272"/>
      <c r="AW74" s="3272"/>
      <c r="AX74" s="3272"/>
      <c r="AY74" s="3272"/>
      <c r="AZ74" s="3272"/>
      <c r="BA74" s="3272"/>
      <c r="BB74" s="3272"/>
      <c r="BC74" s="3272"/>
      <c r="BD74" s="3272"/>
      <c r="BE74" s="3272"/>
      <c r="BF74" s="3272"/>
      <c r="BG74" s="3433"/>
      <c r="BH74" s="3433"/>
      <c r="BI74" s="3433"/>
      <c r="BJ74" s="3433"/>
      <c r="BK74" s="2780"/>
      <c r="BL74" s="2780"/>
      <c r="BM74" s="3425"/>
      <c r="BN74" s="3428"/>
      <c r="BO74" s="3431"/>
      <c r="BP74" s="3431"/>
      <c r="BQ74" s="3419"/>
      <c r="BR74" s="3421"/>
      <c r="BS74" s="3419"/>
      <c r="BT74" s="3419"/>
      <c r="BU74" s="3423"/>
    </row>
    <row r="75" spans="1:73" s="1542" customFormat="1" ht="54.75" customHeight="1" x14ac:dyDescent="0.25">
      <c r="A75" s="3389"/>
      <c r="B75" s="1590"/>
      <c r="C75" s="1589"/>
      <c r="D75" s="1590"/>
      <c r="E75" s="3224"/>
      <c r="F75" s="3224"/>
      <c r="G75" s="3213"/>
      <c r="H75" s="3214"/>
      <c r="I75" s="3213"/>
      <c r="J75" s="3214"/>
      <c r="K75" s="3206"/>
      <c r="L75" s="2771"/>
      <c r="M75" s="3206"/>
      <c r="N75" s="2771"/>
      <c r="O75" s="3206"/>
      <c r="P75" s="3206"/>
      <c r="Q75" s="3206"/>
      <c r="R75" s="2835"/>
      <c r="S75" s="3413"/>
      <c r="T75" s="3210"/>
      <c r="U75" s="3204"/>
      <c r="V75" s="3393"/>
      <c r="W75" s="3408" t="s">
        <v>2341</v>
      </c>
      <c r="X75" s="1591">
        <v>5000000</v>
      </c>
      <c r="Y75" s="1591">
        <v>5000000</v>
      </c>
      <c r="Z75" s="1591">
        <v>5000000</v>
      </c>
      <c r="AA75" s="1181" t="s">
        <v>2335</v>
      </c>
      <c r="AB75" s="1633">
        <v>20</v>
      </c>
      <c r="AC75" s="903" t="s">
        <v>1830</v>
      </c>
      <c r="AD75" s="3272"/>
      <c r="AE75" s="3272"/>
      <c r="AF75" s="3272"/>
      <c r="AG75" s="3272"/>
      <c r="AH75" s="3272"/>
      <c r="AI75" s="3272"/>
      <c r="AJ75" s="3272"/>
      <c r="AK75" s="3272"/>
      <c r="AL75" s="3272"/>
      <c r="AM75" s="3272"/>
      <c r="AN75" s="3272"/>
      <c r="AO75" s="3272"/>
      <c r="AP75" s="3272"/>
      <c r="AQ75" s="3272"/>
      <c r="AR75" s="3272"/>
      <c r="AS75" s="3272"/>
      <c r="AT75" s="3272"/>
      <c r="AU75" s="3272"/>
      <c r="AV75" s="3272"/>
      <c r="AW75" s="3272"/>
      <c r="AX75" s="3272"/>
      <c r="AY75" s="3272"/>
      <c r="AZ75" s="3272"/>
      <c r="BA75" s="3272"/>
      <c r="BB75" s="3272"/>
      <c r="BC75" s="3272"/>
      <c r="BD75" s="3272"/>
      <c r="BE75" s="3272"/>
      <c r="BF75" s="3272"/>
      <c r="BG75" s="3433"/>
      <c r="BH75" s="3433"/>
      <c r="BI75" s="3433"/>
      <c r="BJ75" s="3433"/>
      <c r="BK75" s="2780"/>
      <c r="BL75" s="2780"/>
      <c r="BM75" s="3425"/>
      <c r="BN75" s="3428"/>
      <c r="BO75" s="3431"/>
      <c r="BP75" s="3431"/>
      <c r="BQ75" s="3419"/>
      <c r="BR75" s="3421"/>
      <c r="BS75" s="3419"/>
      <c r="BT75" s="3419"/>
      <c r="BU75" s="3423"/>
    </row>
    <row r="76" spans="1:73" s="1542" customFormat="1" ht="54.75" customHeight="1" x14ac:dyDescent="0.25">
      <c r="A76" s="3389"/>
      <c r="B76" s="1590"/>
      <c r="C76" s="1589"/>
      <c r="D76" s="1590"/>
      <c r="E76" s="3224"/>
      <c r="F76" s="3224"/>
      <c r="G76" s="3213"/>
      <c r="H76" s="3214"/>
      <c r="I76" s="3213"/>
      <c r="J76" s="3214"/>
      <c r="K76" s="3206"/>
      <c r="L76" s="2771"/>
      <c r="M76" s="3206"/>
      <c r="N76" s="2771"/>
      <c r="O76" s="3206"/>
      <c r="P76" s="3206"/>
      <c r="Q76" s="3206"/>
      <c r="R76" s="2835"/>
      <c r="S76" s="3413"/>
      <c r="T76" s="3210"/>
      <c r="U76" s="3204"/>
      <c r="V76" s="3393"/>
      <c r="W76" s="3409"/>
      <c r="X76" s="1591">
        <v>3000000</v>
      </c>
      <c r="Y76" s="1591">
        <v>2000000</v>
      </c>
      <c r="Z76" s="1591">
        <v>2000000</v>
      </c>
      <c r="AA76" s="1181" t="s">
        <v>2340</v>
      </c>
      <c r="AB76" s="304">
        <v>88</v>
      </c>
      <c r="AC76" s="901" t="s">
        <v>2255</v>
      </c>
      <c r="AD76" s="3272"/>
      <c r="AE76" s="3272"/>
      <c r="AF76" s="3272"/>
      <c r="AG76" s="3272"/>
      <c r="AH76" s="3272"/>
      <c r="AI76" s="3272"/>
      <c r="AJ76" s="3272"/>
      <c r="AK76" s="3272"/>
      <c r="AL76" s="3272"/>
      <c r="AM76" s="3272"/>
      <c r="AN76" s="3272"/>
      <c r="AO76" s="3272"/>
      <c r="AP76" s="3272"/>
      <c r="AQ76" s="3272"/>
      <c r="AR76" s="3272"/>
      <c r="AS76" s="3272"/>
      <c r="AT76" s="3272"/>
      <c r="AU76" s="3272"/>
      <c r="AV76" s="3272"/>
      <c r="AW76" s="3272"/>
      <c r="AX76" s="3272"/>
      <c r="AY76" s="3272"/>
      <c r="AZ76" s="3272"/>
      <c r="BA76" s="3272"/>
      <c r="BB76" s="3272"/>
      <c r="BC76" s="3272"/>
      <c r="BD76" s="3272"/>
      <c r="BE76" s="3272"/>
      <c r="BF76" s="3272"/>
      <c r="BG76" s="3433"/>
      <c r="BH76" s="3433"/>
      <c r="BI76" s="3433"/>
      <c r="BJ76" s="3433"/>
      <c r="BK76" s="2780"/>
      <c r="BL76" s="2780"/>
      <c r="BM76" s="3425"/>
      <c r="BN76" s="3428"/>
      <c r="BO76" s="3431"/>
      <c r="BP76" s="3431"/>
      <c r="BQ76" s="3419"/>
      <c r="BR76" s="3421"/>
      <c r="BS76" s="3419"/>
      <c r="BT76" s="3419"/>
      <c r="BU76" s="3423"/>
    </row>
    <row r="77" spans="1:73" s="1542" customFormat="1" ht="71.25" customHeight="1" x14ac:dyDescent="0.25">
      <c r="A77" s="3389"/>
      <c r="B77" s="1590"/>
      <c r="C77" s="1589"/>
      <c r="D77" s="1590"/>
      <c r="E77" s="3224"/>
      <c r="F77" s="3224"/>
      <c r="G77" s="3213"/>
      <c r="H77" s="3215"/>
      <c r="I77" s="3213"/>
      <c r="J77" s="3215"/>
      <c r="K77" s="3207"/>
      <c r="L77" s="2772"/>
      <c r="M77" s="3207"/>
      <c r="N77" s="2772"/>
      <c r="O77" s="3207"/>
      <c r="P77" s="3207"/>
      <c r="Q77" s="3206"/>
      <c r="R77" s="2835"/>
      <c r="S77" s="3413"/>
      <c r="T77" s="3210"/>
      <c r="U77" s="3204"/>
      <c r="V77" s="3393"/>
      <c r="W77" s="1650" t="s">
        <v>2342</v>
      </c>
      <c r="X77" s="1591">
        <v>3000000</v>
      </c>
      <c r="Y77" s="1591">
        <v>2877718</v>
      </c>
      <c r="Z77" s="1591">
        <v>2877718</v>
      </c>
      <c r="AA77" s="900" t="s">
        <v>2335</v>
      </c>
      <c r="AB77" s="1633">
        <v>20</v>
      </c>
      <c r="AC77" s="903" t="s">
        <v>1830</v>
      </c>
      <c r="AD77" s="3272"/>
      <c r="AE77" s="3272"/>
      <c r="AF77" s="3272"/>
      <c r="AG77" s="3272"/>
      <c r="AH77" s="3272"/>
      <c r="AI77" s="3272"/>
      <c r="AJ77" s="3272"/>
      <c r="AK77" s="3272"/>
      <c r="AL77" s="3272"/>
      <c r="AM77" s="3272"/>
      <c r="AN77" s="3272"/>
      <c r="AO77" s="3272"/>
      <c r="AP77" s="3272"/>
      <c r="AQ77" s="3272"/>
      <c r="AR77" s="3272"/>
      <c r="AS77" s="3272"/>
      <c r="AT77" s="3272"/>
      <c r="AU77" s="3272"/>
      <c r="AV77" s="3272"/>
      <c r="AW77" s="3272"/>
      <c r="AX77" s="3272"/>
      <c r="AY77" s="3272"/>
      <c r="AZ77" s="3272"/>
      <c r="BA77" s="3272"/>
      <c r="BB77" s="3272"/>
      <c r="BC77" s="3272"/>
      <c r="BD77" s="3272"/>
      <c r="BE77" s="3272"/>
      <c r="BF77" s="3272"/>
      <c r="BG77" s="3433"/>
      <c r="BH77" s="3433"/>
      <c r="BI77" s="3433"/>
      <c r="BJ77" s="3433"/>
      <c r="BK77" s="2780"/>
      <c r="BL77" s="2780"/>
      <c r="BM77" s="3425"/>
      <c r="BN77" s="3428"/>
      <c r="BO77" s="3431"/>
      <c r="BP77" s="3431"/>
      <c r="BQ77" s="3419"/>
      <c r="BR77" s="3421"/>
      <c r="BS77" s="3419"/>
      <c r="BT77" s="3419"/>
      <c r="BU77" s="3423"/>
    </row>
    <row r="78" spans="1:73" s="1542" customFormat="1" ht="70.5" customHeight="1" x14ac:dyDescent="0.25">
      <c r="A78" s="3389"/>
      <c r="B78" s="1590"/>
      <c r="C78" s="1589"/>
      <c r="D78" s="1590"/>
      <c r="E78" s="3224"/>
      <c r="F78" s="3224"/>
      <c r="G78" s="3400">
        <v>4101073</v>
      </c>
      <c r="H78" s="3402" t="s">
        <v>2343</v>
      </c>
      <c r="I78" s="3400">
        <v>4101073</v>
      </c>
      <c r="J78" s="3405" t="s">
        <v>2343</v>
      </c>
      <c r="K78" s="3354">
        <v>410107300</v>
      </c>
      <c r="L78" s="2681" t="s">
        <v>2344</v>
      </c>
      <c r="M78" s="3354">
        <v>410107300</v>
      </c>
      <c r="N78" s="2681" t="s">
        <v>2344</v>
      </c>
      <c r="O78" s="3354">
        <v>30</v>
      </c>
      <c r="P78" s="3354">
        <v>30</v>
      </c>
      <c r="Q78" s="3206"/>
      <c r="R78" s="2835"/>
      <c r="S78" s="3414">
        <f>SUM(X78:X83)/T42</f>
        <v>0.2719689216851886</v>
      </c>
      <c r="T78" s="3210"/>
      <c r="U78" s="3204"/>
      <c r="V78" s="3205" t="s">
        <v>2345</v>
      </c>
      <c r="W78" s="3408" t="s">
        <v>2346</v>
      </c>
      <c r="X78" s="1591">
        <v>0</v>
      </c>
      <c r="Y78" s="1591"/>
      <c r="Z78" s="1591"/>
      <c r="AA78" s="1538" t="s">
        <v>2347</v>
      </c>
      <c r="AB78" s="1633">
        <v>20</v>
      </c>
      <c r="AC78" s="903" t="s">
        <v>1830</v>
      </c>
      <c r="AD78" s="3272"/>
      <c r="AE78" s="3272"/>
      <c r="AF78" s="3272"/>
      <c r="AG78" s="3272"/>
      <c r="AH78" s="3272"/>
      <c r="AI78" s="3272"/>
      <c r="AJ78" s="3272"/>
      <c r="AK78" s="3272"/>
      <c r="AL78" s="3272"/>
      <c r="AM78" s="3272"/>
      <c r="AN78" s="3272"/>
      <c r="AO78" s="3272"/>
      <c r="AP78" s="3272"/>
      <c r="AQ78" s="3272"/>
      <c r="AR78" s="3272"/>
      <c r="AS78" s="3272"/>
      <c r="AT78" s="3272"/>
      <c r="AU78" s="3272"/>
      <c r="AV78" s="3272"/>
      <c r="AW78" s="3272"/>
      <c r="AX78" s="3272"/>
      <c r="AY78" s="3272"/>
      <c r="AZ78" s="3272"/>
      <c r="BA78" s="3272"/>
      <c r="BB78" s="3272"/>
      <c r="BC78" s="3272"/>
      <c r="BD78" s="3272"/>
      <c r="BE78" s="3272"/>
      <c r="BF78" s="3272"/>
      <c r="BG78" s="3433"/>
      <c r="BH78" s="3433"/>
      <c r="BI78" s="3433"/>
      <c r="BJ78" s="3433"/>
      <c r="BK78" s="2780"/>
      <c r="BL78" s="2780"/>
      <c r="BM78" s="3425"/>
      <c r="BN78" s="3428"/>
      <c r="BO78" s="3431"/>
      <c r="BP78" s="3431"/>
      <c r="BQ78" s="3419"/>
      <c r="BR78" s="3421"/>
      <c r="BS78" s="3419"/>
      <c r="BT78" s="3419"/>
      <c r="BU78" s="3423"/>
    </row>
    <row r="79" spans="1:73" s="1542" customFormat="1" ht="70.5" customHeight="1" x14ac:dyDescent="0.25">
      <c r="A79" s="3389"/>
      <c r="B79" s="1590"/>
      <c r="C79" s="1589"/>
      <c r="D79" s="1590"/>
      <c r="E79" s="3224"/>
      <c r="F79" s="3224"/>
      <c r="G79" s="3401"/>
      <c r="H79" s="3403"/>
      <c r="I79" s="3401"/>
      <c r="J79" s="3406"/>
      <c r="K79" s="3206"/>
      <c r="L79" s="2771"/>
      <c r="M79" s="3206"/>
      <c r="N79" s="2771"/>
      <c r="O79" s="3206"/>
      <c r="P79" s="3206"/>
      <c r="Q79" s="3206"/>
      <c r="R79" s="2835"/>
      <c r="S79" s="3415"/>
      <c r="T79" s="3210"/>
      <c r="U79" s="3204"/>
      <c r="V79" s="3403"/>
      <c r="W79" s="3285"/>
      <c r="X79" s="1591">
        <v>36707113</v>
      </c>
      <c r="Y79" s="1591">
        <v>36241462.950000003</v>
      </c>
      <c r="Z79" s="1591">
        <v>36241462.950000003</v>
      </c>
      <c r="AA79" s="1538" t="s">
        <v>2348</v>
      </c>
      <c r="AB79" s="304">
        <v>88</v>
      </c>
      <c r="AC79" s="901" t="s">
        <v>2255</v>
      </c>
      <c r="AD79" s="3272"/>
      <c r="AE79" s="3272"/>
      <c r="AF79" s="3272"/>
      <c r="AG79" s="3272"/>
      <c r="AH79" s="3272"/>
      <c r="AI79" s="3272"/>
      <c r="AJ79" s="3272"/>
      <c r="AK79" s="3272"/>
      <c r="AL79" s="3272"/>
      <c r="AM79" s="3272"/>
      <c r="AN79" s="3272"/>
      <c r="AO79" s="3272"/>
      <c r="AP79" s="3272"/>
      <c r="AQ79" s="3272"/>
      <c r="AR79" s="3272"/>
      <c r="AS79" s="3272"/>
      <c r="AT79" s="3272"/>
      <c r="AU79" s="3272"/>
      <c r="AV79" s="3272"/>
      <c r="AW79" s="3272"/>
      <c r="AX79" s="3272"/>
      <c r="AY79" s="3272"/>
      <c r="AZ79" s="3272"/>
      <c r="BA79" s="3272"/>
      <c r="BB79" s="3272"/>
      <c r="BC79" s="3272"/>
      <c r="BD79" s="3272"/>
      <c r="BE79" s="3272"/>
      <c r="BF79" s="3272"/>
      <c r="BG79" s="3433"/>
      <c r="BH79" s="3433"/>
      <c r="BI79" s="3433"/>
      <c r="BJ79" s="3433"/>
      <c r="BK79" s="2780"/>
      <c r="BL79" s="2780"/>
      <c r="BM79" s="3425"/>
      <c r="BN79" s="3428"/>
      <c r="BO79" s="3431"/>
      <c r="BP79" s="3431"/>
      <c r="BQ79" s="3419"/>
      <c r="BR79" s="3421"/>
      <c r="BS79" s="3419"/>
      <c r="BT79" s="3419"/>
      <c r="BU79" s="3423"/>
    </row>
    <row r="80" spans="1:73" s="1542" customFormat="1" ht="70.5" customHeight="1" x14ac:dyDescent="0.25">
      <c r="A80" s="3389"/>
      <c r="B80" s="1590"/>
      <c r="C80" s="1589"/>
      <c r="D80" s="1590"/>
      <c r="E80" s="3224"/>
      <c r="F80" s="3224"/>
      <c r="G80" s="3401"/>
      <c r="H80" s="3403"/>
      <c r="I80" s="3401"/>
      <c r="J80" s="3406"/>
      <c r="K80" s="3206"/>
      <c r="L80" s="2771"/>
      <c r="M80" s="3206"/>
      <c r="N80" s="2771"/>
      <c r="O80" s="3206"/>
      <c r="P80" s="3206"/>
      <c r="Q80" s="3206"/>
      <c r="R80" s="2835"/>
      <c r="S80" s="3415"/>
      <c r="T80" s="3210"/>
      <c r="U80" s="3204"/>
      <c r="V80" s="3403"/>
      <c r="W80" s="3285"/>
      <c r="X80" s="1591">
        <v>20000000</v>
      </c>
      <c r="Y80" s="1591">
        <v>13000000</v>
      </c>
      <c r="Z80" s="1591">
        <v>13000000</v>
      </c>
      <c r="AA80" s="1538" t="s">
        <v>2349</v>
      </c>
      <c r="AB80" s="1633">
        <v>20</v>
      </c>
      <c r="AC80" s="903" t="s">
        <v>1830</v>
      </c>
      <c r="AD80" s="3272"/>
      <c r="AE80" s="3272"/>
      <c r="AF80" s="3272"/>
      <c r="AG80" s="3272"/>
      <c r="AH80" s="3272"/>
      <c r="AI80" s="3272"/>
      <c r="AJ80" s="3272"/>
      <c r="AK80" s="3272"/>
      <c r="AL80" s="3272"/>
      <c r="AM80" s="3272"/>
      <c r="AN80" s="3272"/>
      <c r="AO80" s="3272"/>
      <c r="AP80" s="3272"/>
      <c r="AQ80" s="3272"/>
      <c r="AR80" s="3272"/>
      <c r="AS80" s="3272"/>
      <c r="AT80" s="3272"/>
      <c r="AU80" s="3272"/>
      <c r="AV80" s="3272"/>
      <c r="AW80" s="3272"/>
      <c r="AX80" s="3272"/>
      <c r="AY80" s="3272"/>
      <c r="AZ80" s="3272"/>
      <c r="BA80" s="3272"/>
      <c r="BB80" s="3272"/>
      <c r="BC80" s="3272"/>
      <c r="BD80" s="3272"/>
      <c r="BE80" s="3272"/>
      <c r="BF80" s="3272"/>
      <c r="BG80" s="3433"/>
      <c r="BH80" s="3433"/>
      <c r="BI80" s="3433"/>
      <c r="BJ80" s="3433"/>
      <c r="BK80" s="2780"/>
      <c r="BL80" s="2780"/>
      <c r="BM80" s="3425"/>
      <c r="BN80" s="3428"/>
      <c r="BO80" s="3431"/>
      <c r="BP80" s="3431"/>
      <c r="BQ80" s="3419"/>
      <c r="BR80" s="3421"/>
      <c r="BS80" s="3419"/>
      <c r="BT80" s="3419"/>
      <c r="BU80" s="3423"/>
    </row>
    <row r="81" spans="1:73" s="1542" customFormat="1" ht="70.5" customHeight="1" x14ac:dyDescent="0.25">
      <c r="A81" s="3389"/>
      <c r="B81" s="1590"/>
      <c r="C81" s="1589"/>
      <c r="D81" s="1590"/>
      <c r="E81" s="3224"/>
      <c r="F81" s="3224"/>
      <c r="G81" s="3401"/>
      <c r="H81" s="3403"/>
      <c r="I81" s="3401"/>
      <c r="J81" s="3406"/>
      <c r="K81" s="3206"/>
      <c r="L81" s="2771"/>
      <c r="M81" s="3206"/>
      <c r="N81" s="2771"/>
      <c r="O81" s="3206"/>
      <c r="P81" s="3206"/>
      <c r="Q81" s="3206"/>
      <c r="R81" s="2835"/>
      <c r="S81" s="3415"/>
      <c r="T81" s="3210"/>
      <c r="U81" s="3204"/>
      <c r="V81" s="3403"/>
      <c r="W81" s="3285"/>
      <c r="X81" s="1591">
        <v>30000000</v>
      </c>
      <c r="Y81" s="1591">
        <v>30000000</v>
      </c>
      <c r="Z81" s="1591">
        <v>30000000</v>
      </c>
      <c r="AA81" s="1538" t="s">
        <v>2350</v>
      </c>
      <c r="AB81" s="304">
        <v>88</v>
      </c>
      <c r="AC81" s="901" t="s">
        <v>2255</v>
      </c>
      <c r="AD81" s="3272"/>
      <c r="AE81" s="3272"/>
      <c r="AF81" s="3272"/>
      <c r="AG81" s="3272"/>
      <c r="AH81" s="3272"/>
      <c r="AI81" s="3272"/>
      <c r="AJ81" s="3272"/>
      <c r="AK81" s="3272"/>
      <c r="AL81" s="3272"/>
      <c r="AM81" s="3272"/>
      <c r="AN81" s="3272"/>
      <c r="AO81" s="3272"/>
      <c r="AP81" s="3272"/>
      <c r="AQ81" s="3272"/>
      <c r="AR81" s="3272"/>
      <c r="AS81" s="3272"/>
      <c r="AT81" s="3272"/>
      <c r="AU81" s="3272"/>
      <c r="AV81" s="3272"/>
      <c r="AW81" s="3272"/>
      <c r="AX81" s="3272"/>
      <c r="AY81" s="3272"/>
      <c r="AZ81" s="3272"/>
      <c r="BA81" s="3272"/>
      <c r="BB81" s="3272"/>
      <c r="BC81" s="3272"/>
      <c r="BD81" s="3272"/>
      <c r="BE81" s="3272"/>
      <c r="BF81" s="3272"/>
      <c r="BG81" s="3433"/>
      <c r="BH81" s="3433"/>
      <c r="BI81" s="3433"/>
      <c r="BJ81" s="3433"/>
      <c r="BK81" s="2780"/>
      <c r="BL81" s="2780"/>
      <c r="BM81" s="3425"/>
      <c r="BN81" s="3428"/>
      <c r="BO81" s="3431"/>
      <c r="BP81" s="3431"/>
      <c r="BQ81" s="3419"/>
      <c r="BR81" s="3421"/>
      <c r="BS81" s="3419"/>
      <c r="BT81" s="3419"/>
      <c r="BU81" s="3423"/>
    </row>
    <row r="82" spans="1:73" s="1542" customFormat="1" ht="70.5" customHeight="1" x14ac:dyDescent="0.25">
      <c r="A82" s="3389"/>
      <c r="B82" s="1590"/>
      <c r="C82" s="1589"/>
      <c r="D82" s="1590"/>
      <c r="E82" s="3224"/>
      <c r="F82" s="3224"/>
      <c r="G82" s="3401"/>
      <c r="H82" s="3403"/>
      <c r="I82" s="3401"/>
      <c r="J82" s="3406"/>
      <c r="K82" s="3206"/>
      <c r="L82" s="2771"/>
      <c r="M82" s="3206"/>
      <c r="N82" s="2771"/>
      <c r="O82" s="3206"/>
      <c r="P82" s="3206"/>
      <c r="Q82" s="3206"/>
      <c r="R82" s="2835"/>
      <c r="S82" s="3415"/>
      <c r="T82" s="3210"/>
      <c r="U82" s="3204"/>
      <c r="V82" s="3403"/>
      <c r="W82" s="3285"/>
      <c r="X82" s="1591">
        <v>30000000</v>
      </c>
      <c r="Y82" s="1591">
        <v>23242818</v>
      </c>
      <c r="Z82" s="1591">
        <v>23242818</v>
      </c>
      <c r="AA82" s="1538" t="s">
        <v>2351</v>
      </c>
      <c r="AB82" s="304">
        <v>88</v>
      </c>
      <c r="AC82" s="901" t="s">
        <v>2255</v>
      </c>
      <c r="AD82" s="3272"/>
      <c r="AE82" s="3272"/>
      <c r="AF82" s="3272"/>
      <c r="AG82" s="3272"/>
      <c r="AH82" s="3272"/>
      <c r="AI82" s="3272"/>
      <c r="AJ82" s="3272"/>
      <c r="AK82" s="3272"/>
      <c r="AL82" s="3272"/>
      <c r="AM82" s="3272"/>
      <c r="AN82" s="3272"/>
      <c r="AO82" s="3272"/>
      <c r="AP82" s="3272"/>
      <c r="AQ82" s="3272"/>
      <c r="AR82" s="3272"/>
      <c r="AS82" s="3272"/>
      <c r="AT82" s="3272"/>
      <c r="AU82" s="3272"/>
      <c r="AV82" s="3272"/>
      <c r="AW82" s="3272"/>
      <c r="AX82" s="3272"/>
      <c r="AY82" s="3272"/>
      <c r="AZ82" s="3272"/>
      <c r="BA82" s="3272"/>
      <c r="BB82" s="3272"/>
      <c r="BC82" s="3272"/>
      <c r="BD82" s="3272"/>
      <c r="BE82" s="3272"/>
      <c r="BF82" s="3272"/>
      <c r="BG82" s="3433"/>
      <c r="BH82" s="3433"/>
      <c r="BI82" s="3433"/>
      <c r="BJ82" s="3433"/>
      <c r="BK82" s="2780"/>
      <c r="BL82" s="2780"/>
      <c r="BM82" s="3425"/>
      <c r="BN82" s="3428"/>
      <c r="BO82" s="3431"/>
      <c r="BP82" s="3431"/>
      <c r="BQ82" s="3419"/>
      <c r="BR82" s="3421"/>
      <c r="BS82" s="3419"/>
      <c r="BT82" s="3419"/>
      <c r="BU82" s="3423"/>
    </row>
    <row r="83" spans="1:73" s="1542" customFormat="1" ht="70.5" customHeight="1" x14ac:dyDescent="0.25">
      <c r="A83" s="3389"/>
      <c r="B83" s="1590"/>
      <c r="C83" s="1589"/>
      <c r="D83" s="1590"/>
      <c r="E83" s="3224"/>
      <c r="F83" s="3224"/>
      <c r="G83" s="3212"/>
      <c r="H83" s="3404"/>
      <c r="I83" s="3212"/>
      <c r="J83" s="3407"/>
      <c r="K83" s="3207"/>
      <c r="L83" s="2772"/>
      <c r="M83" s="3207"/>
      <c r="N83" s="2772"/>
      <c r="O83" s="3207"/>
      <c r="P83" s="3207"/>
      <c r="Q83" s="3206"/>
      <c r="R83" s="2835"/>
      <c r="S83" s="3416"/>
      <c r="T83" s="3210"/>
      <c r="U83" s="3204"/>
      <c r="V83" s="3417"/>
      <c r="W83" s="3285"/>
      <c r="X83" s="1591">
        <v>20000000</v>
      </c>
      <c r="Y83" s="1591">
        <v>8160000</v>
      </c>
      <c r="Z83" s="1591">
        <v>8160000</v>
      </c>
      <c r="AA83" s="1538" t="s">
        <v>2352</v>
      </c>
      <c r="AB83" s="1633">
        <v>20</v>
      </c>
      <c r="AC83" s="903" t="s">
        <v>1830</v>
      </c>
      <c r="AD83" s="3272"/>
      <c r="AE83" s="3272"/>
      <c r="AF83" s="3272"/>
      <c r="AG83" s="3272"/>
      <c r="AH83" s="3272"/>
      <c r="AI83" s="3272"/>
      <c r="AJ83" s="3272"/>
      <c r="AK83" s="3272"/>
      <c r="AL83" s="3272"/>
      <c r="AM83" s="3272"/>
      <c r="AN83" s="3272"/>
      <c r="AO83" s="3272"/>
      <c r="AP83" s="3272"/>
      <c r="AQ83" s="3272"/>
      <c r="AR83" s="3272"/>
      <c r="AS83" s="3272"/>
      <c r="AT83" s="3272"/>
      <c r="AU83" s="3272"/>
      <c r="AV83" s="3272"/>
      <c r="AW83" s="3272"/>
      <c r="AX83" s="3272"/>
      <c r="AY83" s="3272"/>
      <c r="AZ83" s="3272"/>
      <c r="BA83" s="3272"/>
      <c r="BB83" s="3272"/>
      <c r="BC83" s="3272"/>
      <c r="BD83" s="3272"/>
      <c r="BE83" s="3272"/>
      <c r="BF83" s="3272"/>
      <c r="BG83" s="3433"/>
      <c r="BH83" s="3433"/>
      <c r="BI83" s="3433"/>
      <c r="BJ83" s="3433"/>
      <c r="BK83" s="2780"/>
      <c r="BL83" s="2780"/>
      <c r="BM83" s="3425"/>
      <c r="BN83" s="3428"/>
      <c r="BO83" s="3431"/>
      <c r="BP83" s="3431"/>
      <c r="BQ83" s="3419"/>
      <c r="BR83" s="3421"/>
      <c r="BS83" s="3419"/>
      <c r="BT83" s="3419"/>
      <c r="BU83" s="3423"/>
    </row>
    <row r="84" spans="1:73" s="1542" customFormat="1" ht="50.25" customHeight="1" x14ac:dyDescent="0.25">
      <c r="A84" s="3389"/>
      <c r="B84" s="1590"/>
      <c r="C84" s="1589"/>
      <c r="D84" s="1590"/>
      <c r="E84" s="3224"/>
      <c r="F84" s="3224"/>
      <c r="G84" s="3213">
        <v>4101011</v>
      </c>
      <c r="H84" s="3236" t="s">
        <v>2353</v>
      </c>
      <c r="I84" s="3213">
        <v>4101011</v>
      </c>
      <c r="J84" s="3236" t="s">
        <v>2353</v>
      </c>
      <c r="K84" s="3354">
        <v>410101100</v>
      </c>
      <c r="L84" s="2681" t="s">
        <v>2354</v>
      </c>
      <c r="M84" s="3354">
        <v>410101100</v>
      </c>
      <c r="N84" s="2681" t="s">
        <v>2354</v>
      </c>
      <c r="O84" s="3354">
        <v>2</v>
      </c>
      <c r="P84" s="3354">
        <v>2</v>
      </c>
      <c r="Q84" s="3206"/>
      <c r="R84" s="2835"/>
      <c r="S84" s="3414">
        <f>SUM(X84:X91)/T42</f>
        <v>9.35031033769535E-2</v>
      </c>
      <c r="T84" s="3210"/>
      <c r="U84" s="3204"/>
      <c r="V84" s="3259" t="s">
        <v>2355</v>
      </c>
      <c r="W84" s="3435" t="s">
        <v>2356</v>
      </c>
      <c r="X84" s="1591">
        <v>3000000</v>
      </c>
      <c r="Y84" s="1591"/>
      <c r="Z84" s="1591"/>
      <c r="AA84" s="1279" t="s">
        <v>2357</v>
      </c>
      <c r="AB84" s="1633">
        <v>20</v>
      </c>
      <c r="AC84" s="903" t="s">
        <v>1830</v>
      </c>
      <c r="AD84" s="3272"/>
      <c r="AE84" s="3272"/>
      <c r="AF84" s="3272"/>
      <c r="AG84" s="3272"/>
      <c r="AH84" s="3272"/>
      <c r="AI84" s="3272"/>
      <c r="AJ84" s="3272"/>
      <c r="AK84" s="3272"/>
      <c r="AL84" s="3272"/>
      <c r="AM84" s="3272"/>
      <c r="AN84" s="3272"/>
      <c r="AO84" s="3272"/>
      <c r="AP84" s="3272"/>
      <c r="AQ84" s="3272"/>
      <c r="AR84" s="3272"/>
      <c r="AS84" s="3272"/>
      <c r="AT84" s="3272"/>
      <c r="AU84" s="3272"/>
      <c r="AV84" s="3272"/>
      <c r="AW84" s="3272"/>
      <c r="AX84" s="3272"/>
      <c r="AY84" s="3272"/>
      <c r="AZ84" s="3272"/>
      <c r="BA84" s="3272"/>
      <c r="BB84" s="3272"/>
      <c r="BC84" s="3272"/>
      <c r="BD84" s="3272"/>
      <c r="BE84" s="3272"/>
      <c r="BF84" s="3272"/>
      <c r="BG84" s="3433"/>
      <c r="BH84" s="3433"/>
      <c r="BI84" s="3433"/>
      <c r="BJ84" s="3433"/>
      <c r="BK84" s="2780"/>
      <c r="BL84" s="2780"/>
      <c r="BM84" s="3425"/>
      <c r="BN84" s="3428"/>
      <c r="BO84" s="3431"/>
      <c r="BP84" s="3431"/>
      <c r="BQ84" s="3419"/>
      <c r="BR84" s="3421"/>
      <c r="BS84" s="3419"/>
      <c r="BT84" s="3419"/>
      <c r="BU84" s="3423"/>
    </row>
    <row r="85" spans="1:73" s="1542" customFormat="1" ht="50.25" customHeight="1" x14ac:dyDescent="0.25">
      <c r="A85" s="3389"/>
      <c r="B85" s="1590"/>
      <c r="C85" s="1589"/>
      <c r="D85" s="1590"/>
      <c r="E85" s="3224"/>
      <c r="F85" s="3224"/>
      <c r="G85" s="3213"/>
      <c r="H85" s="3214"/>
      <c r="I85" s="3213"/>
      <c r="J85" s="3214"/>
      <c r="K85" s="3206"/>
      <c r="L85" s="2771"/>
      <c r="M85" s="3206"/>
      <c r="N85" s="2771"/>
      <c r="O85" s="3206"/>
      <c r="P85" s="3206"/>
      <c r="Q85" s="3206"/>
      <c r="R85" s="2835"/>
      <c r="S85" s="3415"/>
      <c r="T85" s="3210"/>
      <c r="U85" s="3204"/>
      <c r="V85" s="3260"/>
      <c r="W85" s="3435"/>
      <c r="X85" s="1591">
        <v>20000000</v>
      </c>
      <c r="Y85" s="1591">
        <v>19038000</v>
      </c>
      <c r="Z85" s="1591">
        <v>19038000</v>
      </c>
      <c r="AA85" s="1181" t="s">
        <v>2358</v>
      </c>
      <c r="AB85" s="304">
        <v>88</v>
      </c>
      <c r="AC85" s="901" t="s">
        <v>2255</v>
      </c>
      <c r="AD85" s="3272"/>
      <c r="AE85" s="3272"/>
      <c r="AF85" s="3272"/>
      <c r="AG85" s="3272"/>
      <c r="AH85" s="3272"/>
      <c r="AI85" s="3272"/>
      <c r="AJ85" s="3272"/>
      <c r="AK85" s="3272"/>
      <c r="AL85" s="3272"/>
      <c r="AM85" s="3272"/>
      <c r="AN85" s="3272"/>
      <c r="AO85" s="3272"/>
      <c r="AP85" s="3272"/>
      <c r="AQ85" s="3272"/>
      <c r="AR85" s="3272"/>
      <c r="AS85" s="3272"/>
      <c r="AT85" s="3272"/>
      <c r="AU85" s="3272"/>
      <c r="AV85" s="3272"/>
      <c r="AW85" s="3272"/>
      <c r="AX85" s="3272"/>
      <c r="AY85" s="3272"/>
      <c r="AZ85" s="3272"/>
      <c r="BA85" s="3272"/>
      <c r="BB85" s="3272"/>
      <c r="BC85" s="3272"/>
      <c r="BD85" s="3272"/>
      <c r="BE85" s="3272"/>
      <c r="BF85" s="3272"/>
      <c r="BG85" s="3433"/>
      <c r="BH85" s="3433"/>
      <c r="BI85" s="3433"/>
      <c r="BJ85" s="3433"/>
      <c r="BK85" s="2780"/>
      <c r="BL85" s="2780"/>
      <c r="BM85" s="3425"/>
      <c r="BN85" s="3428"/>
      <c r="BO85" s="3431"/>
      <c r="BP85" s="3431"/>
      <c r="BQ85" s="3419"/>
      <c r="BR85" s="3421"/>
      <c r="BS85" s="3419"/>
      <c r="BT85" s="3419"/>
      <c r="BU85" s="3423"/>
    </row>
    <row r="86" spans="1:73" s="1542" customFormat="1" ht="53.25" customHeight="1" x14ac:dyDescent="0.25">
      <c r="A86" s="3389"/>
      <c r="B86" s="1590"/>
      <c r="C86" s="1589"/>
      <c r="D86" s="1590"/>
      <c r="E86" s="3224"/>
      <c r="F86" s="3224"/>
      <c r="G86" s="3213"/>
      <c r="H86" s="3214"/>
      <c r="I86" s="3213"/>
      <c r="J86" s="3214"/>
      <c r="K86" s="3206"/>
      <c r="L86" s="2771"/>
      <c r="M86" s="3206"/>
      <c r="N86" s="2771"/>
      <c r="O86" s="3206"/>
      <c r="P86" s="3206"/>
      <c r="Q86" s="3206"/>
      <c r="R86" s="2835"/>
      <c r="S86" s="3415"/>
      <c r="T86" s="3210"/>
      <c r="U86" s="3204"/>
      <c r="V86" s="3403"/>
      <c r="W86" s="3285" t="s">
        <v>2359</v>
      </c>
      <c r="X86" s="1591">
        <v>7000000</v>
      </c>
      <c r="Y86" s="1591">
        <v>3000000</v>
      </c>
      <c r="Z86" s="1591">
        <v>3000000</v>
      </c>
      <c r="AA86" s="1181" t="s">
        <v>2360</v>
      </c>
      <c r="AB86" s="1633">
        <v>20</v>
      </c>
      <c r="AC86" s="903" t="s">
        <v>1830</v>
      </c>
      <c r="AD86" s="3272"/>
      <c r="AE86" s="3272"/>
      <c r="AF86" s="3272"/>
      <c r="AG86" s="3272"/>
      <c r="AH86" s="3272"/>
      <c r="AI86" s="3272"/>
      <c r="AJ86" s="3272"/>
      <c r="AK86" s="3272"/>
      <c r="AL86" s="3272"/>
      <c r="AM86" s="3272"/>
      <c r="AN86" s="3272"/>
      <c r="AO86" s="3272"/>
      <c r="AP86" s="3272"/>
      <c r="AQ86" s="3272"/>
      <c r="AR86" s="3272"/>
      <c r="AS86" s="3272"/>
      <c r="AT86" s="3272"/>
      <c r="AU86" s="3272"/>
      <c r="AV86" s="3272"/>
      <c r="AW86" s="3272"/>
      <c r="AX86" s="3272"/>
      <c r="AY86" s="3272"/>
      <c r="AZ86" s="3272"/>
      <c r="BA86" s="3272"/>
      <c r="BB86" s="3272"/>
      <c r="BC86" s="3272"/>
      <c r="BD86" s="3272"/>
      <c r="BE86" s="3272"/>
      <c r="BF86" s="3272"/>
      <c r="BG86" s="3433"/>
      <c r="BH86" s="3433"/>
      <c r="BI86" s="3433"/>
      <c r="BJ86" s="3433"/>
      <c r="BK86" s="2780"/>
      <c r="BL86" s="2780"/>
      <c r="BM86" s="3425"/>
      <c r="BN86" s="3428"/>
      <c r="BO86" s="3431"/>
      <c r="BP86" s="3431"/>
      <c r="BQ86" s="3419"/>
      <c r="BR86" s="3421"/>
      <c r="BS86" s="3419"/>
      <c r="BT86" s="3419"/>
      <c r="BU86" s="3423"/>
    </row>
    <row r="87" spans="1:73" s="1542" customFormat="1" ht="53.25" customHeight="1" x14ac:dyDescent="0.25">
      <c r="A87" s="3389"/>
      <c r="B87" s="1590"/>
      <c r="C87" s="1589"/>
      <c r="D87" s="1590"/>
      <c r="E87" s="3224"/>
      <c r="F87" s="3224"/>
      <c r="G87" s="3213"/>
      <c r="H87" s="3214"/>
      <c r="I87" s="3213"/>
      <c r="J87" s="3214"/>
      <c r="K87" s="3206"/>
      <c r="L87" s="2771"/>
      <c r="M87" s="3206"/>
      <c r="N87" s="2771"/>
      <c r="O87" s="3206"/>
      <c r="P87" s="3206"/>
      <c r="Q87" s="3206"/>
      <c r="R87" s="2835"/>
      <c r="S87" s="3415"/>
      <c r="T87" s="3210"/>
      <c r="U87" s="3204"/>
      <c r="V87" s="3403"/>
      <c r="W87" s="3409"/>
      <c r="X87" s="1591">
        <v>10000000</v>
      </c>
      <c r="Y87" s="1591">
        <v>3942833</v>
      </c>
      <c r="Z87" s="1591">
        <v>3942833</v>
      </c>
      <c r="AA87" s="1181" t="s">
        <v>2358</v>
      </c>
      <c r="AB87" s="304">
        <v>88</v>
      </c>
      <c r="AC87" s="901" t="s">
        <v>2255</v>
      </c>
      <c r="AD87" s="3272"/>
      <c r="AE87" s="3272"/>
      <c r="AF87" s="3272"/>
      <c r="AG87" s="3272"/>
      <c r="AH87" s="3272"/>
      <c r="AI87" s="3272"/>
      <c r="AJ87" s="3272"/>
      <c r="AK87" s="3272"/>
      <c r="AL87" s="3272"/>
      <c r="AM87" s="3272"/>
      <c r="AN87" s="3272"/>
      <c r="AO87" s="3272"/>
      <c r="AP87" s="3272"/>
      <c r="AQ87" s="3272"/>
      <c r="AR87" s="3272"/>
      <c r="AS87" s="3272"/>
      <c r="AT87" s="3272"/>
      <c r="AU87" s="3272"/>
      <c r="AV87" s="3272"/>
      <c r="AW87" s="3272"/>
      <c r="AX87" s="3272"/>
      <c r="AY87" s="3272"/>
      <c r="AZ87" s="3272"/>
      <c r="BA87" s="3272"/>
      <c r="BB87" s="3272"/>
      <c r="BC87" s="3272"/>
      <c r="BD87" s="3272"/>
      <c r="BE87" s="3272"/>
      <c r="BF87" s="3272"/>
      <c r="BG87" s="3433"/>
      <c r="BH87" s="3433"/>
      <c r="BI87" s="3433"/>
      <c r="BJ87" s="3433"/>
      <c r="BK87" s="2780"/>
      <c r="BL87" s="2780"/>
      <c r="BM87" s="3425"/>
      <c r="BN87" s="3428"/>
      <c r="BO87" s="3431"/>
      <c r="BP87" s="3431"/>
      <c r="BQ87" s="3419"/>
      <c r="BR87" s="3421"/>
      <c r="BS87" s="3419"/>
      <c r="BT87" s="3419"/>
      <c r="BU87" s="3423"/>
    </row>
    <row r="88" spans="1:73" s="1542" customFormat="1" ht="38.25" customHeight="1" x14ac:dyDescent="0.25">
      <c r="A88" s="3389"/>
      <c r="B88" s="1590"/>
      <c r="C88" s="1589"/>
      <c r="D88" s="1590"/>
      <c r="E88" s="3224"/>
      <c r="F88" s="3224"/>
      <c r="G88" s="3213"/>
      <c r="H88" s="3214"/>
      <c r="I88" s="3213"/>
      <c r="J88" s="3214"/>
      <c r="K88" s="3206"/>
      <c r="L88" s="2771"/>
      <c r="M88" s="3206"/>
      <c r="N88" s="2771"/>
      <c r="O88" s="3206"/>
      <c r="P88" s="3206"/>
      <c r="Q88" s="3206"/>
      <c r="R88" s="2835"/>
      <c r="S88" s="3415"/>
      <c r="T88" s="3210"/>
      <c r="U88" s="3204"/>
      <c r="V88" s="3403"/>
      <c r="W88" s="1651" t="s">
        <v>2329</v>
      </c>
      <c r="X88" s="1591">
        <v>2000000</v>
      </c>
      <c r="Y88" s="1591">
        <v>2000000</v>
      </c>
      <c r="Z88" s="1591">
        <v>2000000</v>
      </c>
      <c r="AA88" s="1181" t="s">
        <v>2361</v>
      </c>
      <c r="AB88" s="1633">
        <v>20</v>
      </c>
      <c r="AC88" s="903" t="s">
        <v>1830</v>
      </c>
      <c r="AD88" s="3272"/>
      <c r="AE88" s="3272"/>
      <c r="AF88" s="3272"/>
      <c r="AG88" s="3272"/>
      <c r="AH88" s="3272"/>
      <c r="AI88" s="3272"/>
      <c r="AJ88" s="3272"/>
      <c r="AK88" s="3272"/>
      <c r="AL88" s="3272"/>
      <c r="AM88" s="3272"/>
      <c r="AN88" s="3272"/>
      <c r="AO88" s="3272"/>
      <c r="AP88" s="3272"/>
      <c r="AQ88" s="3272"/>
      <c r="AR88" s="3272"/>
      <c r="AS88" s="3272"/>
      <c r="AT88" s="3272"/>
      <c r="AU88" s="3272"/>
      <c r="AV88" s="3272"/>
      <c r="AW88" s="3272"/>
      <c r="AX88" s="3272"/>
      <c r="AY88" s="3272"/>
      <c r="AZ88" s="3272"/>
      <c r="BA88" s="3272"/>
      <c r="BB88" s="3272"/>
      <c r="BC88" s="3272"/>
      <c r="BD88" s="3272"/>
      <c r="BE88" s="3272"/>
      <c r="BF88" s="3272"/>
      <c r="BG88" s="3433"/>
      <c r="BH88" s="3433"/>
      <c r="BI88" s="3433"/>
      <c r="BJ88" s="3433"/>
      <c r="BK88" s="2780"/>
      <c r="BL88" s="2780"/>
      <c r="BM88" s="3425"/>
      <c r="BN88" s="3428"/>
      <c r="BO88" s="3431"/>
      <c r="BP88" s="3431"/>
      <c r="BQ88" s="3419"/>
      <c r="BR88" s="3421"/>
      <c r="BS88" s="3419"/>
      <c r="BT88" s="3419"/>
      <c r="BU88" s="3423"/>
    </row>
    <row r="89" spans="1:73" s="1542" customFormat="1" ht="38.25" customHeight="1" x14ac:dyDescent="0.25">
      <c r="A89" s="3389"/>
      <c r="B89" s="1590"/>
      <c r="C89" s="1589"/>
      <c r="D89" s="1590"/>
      <c r="E89" s="3224"/>
      <c r="F89" s="3224"/>
      <c r="G89" s="3213"/>
      <c r="H89" s="3214"/>
      <c r="I89" s="3213"/>
      <c r="J89" s="3214"/>
      <c r="K89" s="3206"/>
      <c r="L89" s="2771"/>
      <c r="M89" s="3206"/>
      <c r="N89" s="2771"/>
      <c r="O89" s="3206"/>
      <c r="P89" s="3206"/>
      <c r="Q89" s="3206"/>
      <c r="R89" s="2835"/>
      <c r="S89" s="3415"/>
      <c r="T89" s="3210"/>
      <c r="U89" s="3204"/>
      <c r="V89" s="3403"/>
      <c r="W89" s="3408" t="s">
        <v>2362</v>
      </c>
      <c r="X89" s="1591">
        <v>1000000</v>
      </c>
      <c r="Y89" s="1591"/>
      <c r="Z89" s="1591"/>
      <c r="AA89" s="1181" t="s">
        <v>2361</v>
      </c>
      <c r="AB89" s="1633">
        <v>20</v>
      </c>
      <c r="AC89" s="903" t="s">
        <v>1830</v>
      </c>
      <c r="AD89" s="3272"/>
      <c r="AE89" s="3272"/>
      <c r="AF89" s="3272"/>
      <c r="AG89" s="3272"/>
      <c r="AH89" s="3272"/>
      <c r="AI89" s="3272"/>
      <c r="AJ89" s="3272"/>
      <c r="AK89" s="3272"/>
      <c r="AL89" s="3272"/>
      <c r="AM89" s="3272"/>
      <c r="AN89" s="3272"/>
      <c r="AO89" s="3272"/>
      <c r="AP89" s="3272"/>
      <c r="AQ89" s="3272"/>
      <c r="AR89" s="3272"/>
      <c r="AS89" s="3272"/>
      <c r="AT89" s="3272"/>
      <c r="AU89" s="3272"/>
      <c r="AV89" s="3272"/>
      <c r="AW89" s="3272"/>
      <c r="AX89" s="3272"/>
      <c r="AY89" s="3272"/>
      <c r="AZ89" s="3272"/>
      <c r="BA89" s="3272"/>
      <c r="BB89" s="3272"/>
      <c r="BC89" s="3272"/>
      <c r="BD89" s="3272"/>
      <c r="BE89" s="3272"/>
      <c r="BF89" s="3272"/>
      <c r="BG89" s="3433"/>
      <c r="BH89" s="3433"/>
      <c r="BI89" s="3433"/>
      <c r="BJ89" s="3433"/>
      <c r="BK89" s="2780"/>
      <c r="BL89" s="2780"/>
      <c r="BM89" s="3425"/>
      <c r="BN89" s="3428"/>
      <c r="BO89" s="3431"/>
      <c r="BP89" s="3431"/>
      <c r="BQ89" s="3419"/>
      <c r="BR89" s="3421"/>
      <c r="BS89" s="3419"/>
      <c r="BT89" s="3419"/>
      <c r="BU89" s="3423"/>
    </row>
    <row r="90" spans="1:73" s="1542" customFormat="1" ht="38.25" customHeight="1" x14ac:dyDescent="0.25">
      <c r="A90" s="3389"/>
      <c r="B90" s="1590"/>
      <c r="C90" s="1589"/>
      <c r="D90" s="1590"/>
      <c r="E90" s="3224"/>
      <c r="F90" s="3224"/>
      <c r="G90" s="3213"/>
      <c r="H90" s="3214"/>
      <c r="I90" s="3213"/>
      <c r="J90" s="3214"/>
      <c r="K90" s="3206"/>
      <c r="L90" s="2771"/>
      <c r="M90" s="3206"/>
      <c r="N90" s="2771"/>
      <c r="O90" s="3206"/>
      <c r="P90" s="3206"/>
      <c r="Q90" s="3206"/>
      <c r="R90" s="2835"/>
      <c r="S90" s="3415"/>
      <c r="T90" s="3210"/>
      <c r="U90" s="3204"/>
      <c r="V90" s="3403"/>
      <c r="W90" s="3285"/>
      <c r="X90" s="1591">
        <v>2000000</v>
      </c>
      <c r="Y90" s="1591"/>
      <c r="Z90" s="1591"/>
      <c r="AA90" s="1181" t="s">
        <v>2358</v>
      </c>
      <c r="AB90" s="304">
        <v>88</v>
      </c>
      <c r="AC90" s="901" t="s">
        <v>2255</v>
      </c>
      <c r="AD90" s="3272"/>
      <c r="AE90" s="3272"/>
      <c r="AF90" s="3272"/>
      <c r="AG90" s="3272"/>
      <c r="AH90" s="3272"/>
      <c r="AI90" s="3272"/>
      <c r="AJ90" s="3272"/>
      <c r="AK90" s="3272"/>
      <c r="AL90" s="3272"/>
      <c r="AM90" s="3272"/>
      <c r="AN90" s="3272"/>
      <c r="AO90" s="3272"/>
      <c r="AP90" s="3272"/>
      <c r="AQ90" s="3272"/>
      <c r="AR90" s="3272"/>
      <c r="AS90" s="3272"/>
      <c r="AT90" s="3272"/>
      <c r="AU90" s="3272"/>
      <c r="AV90" s="3272"/>
      <c r="AW90" s="3272"/>
      <c r="AX90" s="3272"/>
      <c r="AY90" s="3272"/>
      <c r="AZ90" s="3272"/>
      <c r="BA90" s="3272"/>
      <c r="BB90" s="3272"/>
      <c r="BC90" s="3272"/>
      <c r="BD90" s="3272"/>
      <c r="BE90" s="3272"/>
      <c r="BF90" s="3272"/>
      <c r="BG90" s="3433"/>
      <c r="BH90" s="3433"/>
      <c r="BI90" s="3433"/>
      <c r="BJ90" s="3433"/>
      <c r="BK90" s="2780"/>
      <c r="BL90" s="2780"/>
      <c r="BM90" s="3425"/>
      <c r="BN90" s="3428"/>
      <c r="BO90" s="3431"/>
      <c r="BP90" s="3431"/>
      <c r="BQ90" s="3419"/>
      <c r="BR90" s="3421"/>
      <c r="BS90" s="3419"/>
      <c r="BT90" s="3419"/>
      <c r="BU90" s="3423"/>
    </row>
    <row r="91" spans="1:73" s="1542" customFormat="1" ht="38.25" customHeight="1" x14ac:dyDescent="0.25">
      <c r="A91" s="3389"/>
      <c r="B91" s="1590"/>
      <c r="C91" s="1589"/>
      <c r="D91" s="1590"/>
      <c r="E91" s="3224"/>
      <c r="F91" s="3358"/>
      <c r="G91" s="3213"/>
      <c r="H91" s="3359"/>
      <c r="I91" s="3213"/>
      <c r="J91" s="3359"/>
      <c r="K91" s="3349"/>
      <c r="L91" s="3357"/>
      <c r="M91" s="3349"/>
      <c r="N91" s="3357"/>
      <c r="O91" s="3349"/>
      <c r="P91" s="3349"/>
      <c r="Q91" s="3349"/>
      <c r="R91" s="3434"/>
      <c r="S91" s="3416"/>
      <c r="T91" s="3210"/>
      <c r="U91" s="3204"/>
      <c r="V91" s="3417"/>
      <c r="W91" s="3409"/>
      <c r="X91" s="1591">
        <v>2000000</v>
      </c>
      <c r="Y91" s="1591"/>
      <c r="Z91" s="1591"/>
      <c r="AA91" s="1181" t="s">
        <v>2360</v>
      </c>
      <c r="AB91" s="1633">
        <v>20</v>
      </c>
      <c r="AC91" s="903" t="s">
        <v>1830</v>
      </c>
      <c r="AD91" s="3272"/>
      <c r="AE91" s="3272"/>
      <c r="AF91" s="3272"/>
      <c r="AG91" s="3272"/>
      <c r="AH91" s="3272"/>
      <c r="AI91" s="3272"/>
      <c r="AJ91" s="3272"/>
      <c r="AK91" s="3272"/>
      <c r="AL91" s="3272"/>
      <c r="AM91" s="3272"/>
      <c r="AN91" s="3272"/>
      <c r="AO91" s="3272"/>
      <c r="AP91" s="3272"/>
      <c r="AQ91" s="3272"/>
      <c r="AR91" s="3272"/>
      <c r="AS91" s="3272"/>
      <c r="AT91" s="3272"/>
      <c r="AU91" s="3272"/>
      <c r="AV91" s="3272"/>
      <c r="AW91" s="3272"/>
      <c r="AX91" s="3272"/>
      <c r="AY91" s="3272"/>
      <c r="AZ91" s="3272"/>
      <c r="BA91" s="3272"/>
      <c r="BB91" s="3272"/>
      <c r="BC91" s="3272"/>
      <c r="BD91" s="3272"/>
      <c r="BE91" s="3272"/>
      <c r="BF91" s="3272"/>
      <c r="BG91" s="3433"/>
      <c r="BH91" s="3433"/>
      <c r="BI91" s="3433"/>
      <c r="BJ91" s="3433"/>
      <c r="BK91" s="2780"/>
      <c r="BL91" s="2780"/>
      <c r="BM91" s="3426"/>
      <c r="BN91" s="3429"/>
      <c r="BO91" s="3431"/>
      <c r="BP91" s="3431"/>
      <c r="BQ91" s="3419"/>
      <c r="BR91" s="3421"/>
      <c r="BS91" s="3419"/>
      <c r="BT91" s="3419"/>
      <c r="BU91" s="3423"/>
    </row>
    <row r="92" spans="1:73" s="1542" customFormat="1" ht="21.75" customHeight="1" x14ac:dyDescent="0.25">
      <c r="A92" s="3389"/>
      <c r="B92" s="1590"/>
      <c r="C92" s="1589"/>
      <c r="D92" s="1590"/>
      <c r="E92" s="1600">
        <v>4103</v>
      </c>
      <c r="F92" s="3412" t="s">
        <v>1340</v>
      </c>
      <c r="G92" s="2509"/>
      <c r="H92" s="2509"/>
      <c r="I92" s="2509"/>
      <c r="J92" s="2509"/>
      <c r="K92" s="2509"/>
      <c r="L92" s="2509"/>
      <c r="M92" s="2509"/>
      <c r="N92" s="2509"/>
      <c r="O92" s="2509"/>
      <c r="P92" s="2509"/>
      <c r="Q92" s="2509"/>
      <c r="R92" s="1606"/>
      <c r="S92" s="1602"/>
      <c r="T92" s="1652"/>
      <c r="U92" s="1606"/>
      <c r="V92" s="1606"/>
      <c r="W92" s="1632"/>
      <c r="X92" s="1603"/>
      <c r="Y92" s="1603"/>
      <c r="Z92" s="1603"/>
      <c r="AA92" s="1601"/>
      <c r="AB92" s="1601"/>
      <c r="AC92" s="1604"/>
      <c r="AD92" s="1584"/>
      <c r="AE92" s="1584"/>
      <c r="AF92" s="1584"/>
      <c r="AG92" s="1584"/>
      <c r="AH92" s="1584"/>
      <c r="AI92" s="1584"/>
      <c r="AJ92" s="1584"/>
      <c r="AK92" s="1584"/>
      <c r="AL92" s="1584"/>
      <c r="AM92" s="1584"/>
      <c r="AN92" s="1584"/>
      <c r="AO92" s="1584"/>
      <c r="AP92" s="1584"/>
      <c r="AQ92" s="1584"/>
      <c r="AR92" s="1584"/>
      <c r="AS92" s="1584"/>
      <c r="AT92" s="1584"/>
      <c r="AU92" s="1584"/>
      <c r="AV92" s="1584"/>
      <c r="AW92" s="1584"/>
      <c r="AX92" s="1584"/>
      <c r="AY92" s="1584"/>
      <c r="AZ92" s="1584"/>
      <c r="BA92" s="1584"/>
      <c r="BB92" s="1584"/>
      <c r="BC92" s="1584"/>
      <c r="BD92" s="1584"/>
      <c r="BE92" s="1584"/>
      <c r="BF92" s="1584"/>
      <c r="BG92" s="1584"/>
      <c r="BH92" s="1584"/>
      <c r="BI92" s="1584"/>
      <c r="BJ92" s="1584"/>
      <c r="BK92" s="1584"/>
      <c r="BL92" s="1584"/>
      <c r="BM92" s="1584"/>
      <c r="BN92" s="1584"/>
      <c r="BO92" s="1584"/>
      <c r="BP92" s="1584"/>
      <c r="BQ92" s="1584"/>
      <c r="BR92" s="1584"/>
      <c r="BS92" s="1584"/>
      <c r="BT92" s="1584"/>
      <c r="BU92" s="1588"/>
    </row>
    <row r="93" spans="1:73" s="1542" customFormat="1" ht="43.5" customHeight="1" x14ac:dyDescent="0.25">
      <c r="A93" s="3389"/>
      <c r="B93" s="1590"/>
      <c r="C93" s="1589"/>
      <c r="D93" s="1590"/>
      <c r="E93" s="3224"/>
      <c r="F93" s="3224"/>
      <c r="G93" s="3212" t="s">
        <v>20</v>
      </c>
      <c r="H93" s="3214" t="s">
        <v>2363</v>
      </c>
      <c r="I93" s="3212">
        <v>4103052</v>
      </c>
      <c r="J93" s="3214" t="s">
        <v>1348</v>
      </c>
      <c r="K93" s="3206" t="s">
        <v>20</v>
      </c>
      <c r="L93" s="2771" t="s">
        <v>2364</v>
      </c>
      <c r="M93" s="3206">
        <v>410305201</v>
      </c>
      <c r="N93" s="2771" t="s">
        <v>2365</v>
      </c>
      <c r="O93" s="3206">
        <v>25</v>
      </c>
      <c r="P93" s="3206">
        <v>25</v>
      </c>
      <c r="Q93" s="3206" t="s">
        <v>2366</v>
      </c>
      <c r="R93" s="2681" t="s">
        <v>2367</v>
      </c>
      <c r="S93" s="3410">
        <f>SUM(X93:X103)/T93</f>
        <v>1</v>
      </c>
      <c r="T93" s="3411">
        <f>SUM(X93:X103)</f>
        <v>34027629</v>
      </c>
      <c r="U93" s="2681" t="s">
        <v>2368</v>
      </c>
      <c r="V93" s="3337" t="s">
        <v>2369</v>
      </c>
      <c r="W93" s="3395" t="s">
        <v>2370</v>
      </c>
      <c r="X93" s="1591">
        <v>0</v>
      </c>
      <c r="Y93" s="1591">
        <v>0</v>
      </c>
      <c r="Z93" s="1591">
        <v>0</v>
      </c>
      <c r="AA93" s="1181" t="s">
        <v>2371</v>
      </c>
      <c r="AB93" s="1462">
        <v>20</v>
      </c>
      <c r="AC93" s="903" t="s">
        <v>1830</v>
      </c>
      <c r="AD93" s="3305">
        <v>91</v>
      </c>
      <c r="AE93" s="3305">
        <v>30</v>
      </c>
      <c r="AF93" s="3305">
        <v>237</v>
      </c>
      <c r="AG93" s="3305">
        <v>80</v>
      </c>
      <c r="AH93" s="3305">
        <v>0</v>
      </c>
      <c r="AI93" s="3305"/>
      <c r="AJ93" s="3305">
        <v>0</v>
      </c>
      <c r="AK93" s="3305"/>
      <c r="AL93" s="3305">
        <v>0</v>
      </c>
      <c r="AM93" s="3305"/>
      <c r="AN93" s="3305">
        <v>0</v>
      </c>
      <c r="AO93" s="3305"/>
      <c r="AP93" s="3305">
        <v>0</v>
      </c>
      <c r="AQ93" s="3305"/>
      <c r="AR93" s="3305">
        <v>0</v>
      </c>
      <c r="AS93" s="3305"/>
      <c r="AT93" s="3305">
        <v>0</v>
      </c>
      <c r="AU93" s="3305"/>
      <c r="AV93" s="3305">
        <v>0</v>
      </c>
      <c r="AW93" s="3305"/>
      <c r="AX93" s="3305">
        <v>0</v>
      </c>
      <c r="AY93" s="3305"/>
      <c r="AZ93" s="3305">
        <v>0</v>
      </c>
      <c r="BA93" s="3305"/>
      <c r="BB93" s="3305">
        <v>0</v>
      </c>
      <c r="BC93" s="3305"/>
      <c r="BD93" s="3305">
        <v>0</v>
      </c>
      <c r="BE93" s="3305"/>
      <c r="BF93" s="3305">
        <v>0</v>
      </c>
      <c r="BG93" s="3305"/>
      <c r="BH93" s="3305">
        <f>+AD93+AF93</f>
        <v>328</v>
      </c>
      <c r="BI93" s="3305">
        <f>+AE93+AG93</f>
        <v>110</v>
      </c>
      <c r="BJ93" s="3398">
        <v>4</v>
      </c>
      <c r="BK93" s="3198">
        <f>SUM(Y93:Y103)</f>
        <v>16292129</v>
      </c>
      <c r="BL93" s="3198">
        <f>SUM(Z93:Z103)</f>
        <v>16292129</v>
      </c>
      <c r="BM93" s="3199">
        <f>+BL93/BK93</f>
        <v>1</v>
      </c>
      <c r="BN93" s="3398">
        <v>20</v>
      </c>
      <c r="BO93" s="2544" t="s">
        <v>1</v>
      </c>
      <c r="BP93" s="2544" t="s">
        <v>2307</v>
      </c>
      <c r="BQ93" s="3399">
        <v>44198</v>
      </c>
      <c r="BR93" s="3253">
        <v>44256</v>
      </c>
      <c r="BS93" s="3361">
        <v>44195</v>
      </c>
      <c r="BT93" s="3361">
        <v>44195</v>
      </c>
      <c r="BU93" s="3394" t="s">
        <v>2372</v>
      </c>
    </row>
    <row r="94" spans="1:73" s="1542" customFormat="1" ht="43.5" customHeight="1" x14ac:dyDescent="0.25">
      <c r="A94" s="3389"/>
      <c r="B94" s="1590"/>
      <c r="C94" s="1589"/>
      <c r="D94" s="1590"/>
      <c r="E94" s="3224"/>
      <c r="F94" s="3224"/>
      <c r="G94" s="3212"/>
      <c r="H94" s="3214"/>
      <c r="I94" s="3212"/>
      <c r="J94" s="3214"/>
      <c r="K94" s="3206"/>
      <c r="L94" s="2771"/>
      <c r="M94" s="3206"/>
      <c r="N94" s="2771"/>
      <c r="O94" s="3206"/>
      <c r="P94" s="3206"/>
      <c r="Q94" s="3206"/>
      <c r="R94" s="2771"/>
      <c r="S94" s="3355"/>
      <c r="T94" s="3356"/>
      <c r="U94" s="2771"/>
      <c r="V94" s="2835"/>
      <c r="W94" s="3395"/>
      <c r="X94" s="1591">
        <v>5000000</v>
      </c>
      <c r="Y94" s="1591">
        <v>0</v>
      </c>
      <c r="Z94" s="1591">
        <v>0</v>
      </c>
      <c r="AA94" s="1181" t="s">
        <v>2373</v>
      </c>
      <c r="AB94" s="1462">
        <v>20</v>
      </c>
      <c r="AC94" s="903" t="s">
        <v>1830</v>
      </c>
      <c r="AD94" s="3272"/>
      <c r="AE94" s="3272"/>
      <c r="AF94" s="3272"/>
      <c r="AG94" s="3272"/>
      <c r="AH94" s="3272"/>
      <c r="AI94" s="3272"/>
      <c r="AJ94" s="3272"/>
      <c r="AK94" s="3272"/>
      <c r="AL94" s="3272"/>
      <c r="AM94" s="3272"/>
      <c r="AN94" s="3272"/>
      <c r="AO94" s="3272"/>
      <c r="AP94" s="3272"/>
      <c r="AQ94" s="3272"/>
      <c r="AR94" s="3272"/>
      <c r="AS94" s="3272"/>
      <c r="AT94" s="3272"/>
      <c r="AU94" s="3272"/>
      <c r="AV94" s="3272"/>
      <c r="AW94" s="3272"/>
      <c r="AX94" s="3272"/>
      <c r="AY94" s="3272"/>
      <c r="AZ94" s="3272"/>
      <c r="BA94" s="3272"/>
      <c r="BB94" s="3272"/>
      <c r="BC94" s="3272"/>
      <c r="BD94" s="3272"/>
      <c r="BE94" s="3272"/>
      <c r="BF94" s="3272"/>
      <c r="BG94" s="3272"/>
      <c r="BH94" s="3272"/>
      <c r="BI94" s="3272"/>
      <c r="BJ94" s="3398"/>
      <c r="BK94" s="3198"/>
      <c r="BL94" s="3198"/>
      <c r="BM94" s="3199"/>
      <c r="BN94" s="3398"/>
      <c r="BO94" s="2544"/>
      <c r="BP94" s="2544"/>
      <c r="BQ94" s="3361"/>
      <c r="BR94" s="3398"/>
      <c r="BS94" s="3361"/>
      <c r="BT94" s="3361"/>
      <c r="BU94" s="3394"/>
    </row>
    <row r="95" spans="1:73" s="1542" customFormat="1" ht="43.5" customHeight="1" x14ac:dyDescent="0.25">
      <c r="A95" s="3389"/>
      <c r="B95" s="1590"/>
      <c r="C95" s="1589"/>
      <c r="D95" s="1590"/>
      <c r="E95" s="3224"/>
      <c r="F95" s="3224"/>
      <c r="G95" s="3213"/>
      <c r="H95" s="3214"/>
      <c r="I95" s="3213"/>
      <c r="J95" s="3214"/>
      <c r="K95" s="3206"/>
      <c r="L95" s="2771"/>
      <c r="M95" s="3206"/>
      <c r="N95" s="2771"/>
      <c r="O95" s="3206"/>
      <c r="P95" s="3206"/>
      <c r="Q95" s="3206"/>
      <c r="R95" s="2771"/>
      <c r="S95" s="3355"/>
      <c r="T95" s="3356"/>
      <c r="U95" s="2771"/>
      <c r="V95" s="2835"/>
      <c r="W95" s="3395"/>
      <c r="X95" s="1591">
        <v>3027629</v>
      </c>
      <c r="Y95" s="1591">
        <v>3027629</v>
      </c>
      <c r="Z95" s="1591">
        <v>3027629</v>
      </c>
      <c r="AA95" s="1181" t="s">
        <v>2374</v>
      </c>
      <c r="AB95" s="1462">
        <v>88</v>
      </c>
      <c r="AC95" s="901" t="s">
        <v>2255</v>
      </c>
      <c r="AD95" s="3272"/>
      <c r="AE95" s="3272"/>
      <c r="AF95" s="3272"/>
      <c r="AG95" s="3272"/>
      <c r="AH95" s="3272"/>
      <c r="AI95" s="3272"/>
      <c r="AJ95" s="3272"/>
      <c r="AK95" s="3272"/>
      <c r="AL95" s="3272"/>
      <c r="AM95" s="3272"/>
      <c r="AN95" s="3272"/>
      <c r="AO95" s="3272"/>
      <c r="AP95" s="3272"/>
      <c r="AQ95" s="3272"/>
      <c r="AR95" s="3272"/>
      <c r="AS95" s="3272"/>
      <c r="AT95" s="3272"/>
      <c r="AU95" s="3272"/>
      <c r="AV95" s="3272"/>
      <c r="AW95" s="3272"/>
      <c r="AX95" s="3272"/>
      <c r="AY95" s="3272"/>
      <c r="AZ95" s="3272"/>
      <c r="BA95" s="3272"/>
      <c r="BB95" s="3272"/>
      <c r="BC95" s="3272"/>
      <c r="BD95" s="3272"/>
      <c r="BE95" s="3272"/>
      <c r="BF95" s="3272"/>
      <c r="BG95" s="3272"/>
      <c r="BH95" s="3272"/>
      <c r="BI95" s="3272"/>
      <c r="BJ95" s="3398"/>
      <c r="BK95" s="3198"/>
      <c r="BL95" s="3198"/>
      <c r="BM95" s="3199"/>
      <c r="BN95" s="3398"/>
      <c r="BO95" s="2544"/>
      <c r="BP95" s="2544"/>
      <c r="BQ95" s="3361"/>
      <c r="BR95" s="3398"/>
      <c r="BS95" s="3361"/>
      <c r="BT95" s="3361"/>
      <c r="BU95" s="3394"/>
    </row>
    <row r="96" spans="1:73" s="1542" customFormat="1" ht="40.5" customHeight="1" x14ac:dyDescent="0.25">
      <c r="A96" s="3389"/>
      <c r="B96" s="1590"/>
      <c r="C96" s="1589"/>
      <c r="D96" s="1590"/>
      <c r="E96" s="3224"/>
      <c r="F96" s="3224"/>
      <c r="G96" s="3213"/>
      <c r="H96" s="3214"/>
      <c r="I96" s="3213"/>
      <c r="J96" s="3214"/>
      <c r="K96" s="3206"/>
      <c r="L96" s="2771"/>
      <c r="M96" s="3206"/>
      <c r="N96" s="2771"/>
      <c r="O96" s="3206"/>
      <c r="P96" s="3206"/>
      <c r="Q96" s="3206"/>
      <c r="R96" s="2771"/>
      <c r="S96" s="3355"/>
      <c r="T96" s="3356"/>
      <c r="U96" s="2771"/>
      <c r="V96" s="2835"/>
      <c r="W96" s="3395" t="s">
        <v>2375</v>
      </c>
      <c r="X96" s="1591">
        <v>0</v>
      </c>
      <c r="Y96" s="1591">
        <v>0</v>
      </c>
      <c r="Z96" s="1591">
        <v>0</v>
      </c>
      <c r="AA96" s="1181" t="s">
        <v>2371</v>
      </c>
      <c r="AB96" s="1462">
        <v>20</v>
      </c>
      <c r="AC96" s="903" t="s">
        <v>1830</v>
      </c>
      <c r="AD96" s="3272"/>
      <c r="AE96" s="3272"/>
      <c r="AF96" s="3272"/>
      <c r="AG96" s="3272"/>
      <c r="AH96" s="3272"/>
      <c r="AI96" s="3272"/>
      <c r="AJ96" s="3272"/>
      <c r="AK96" s="3272"/>
      <c r="AL96" s="3272"/>
      <c r="AM96" s="3272"/>
      <c r="AN96" s="3272"/>
      <c r="AO96" s="3272"/>
      <c r="AP96" s="3272"/>
      <c r="AQ96" s="3272"/>
      <c r="AR96" s="3272"/>
      <c r="AS96" s="3272"/>
      <c r="AT96" s="3272"/>
      <c r="AU96" s="3272"/>
      <c r="AV96" s="3272"/>
      <c r="AW96" s="3272"/>
      <c r="AX96" s="3272"/>
      <c r="AY96" s="3272"/>
      <c r="AZ96" s="3272"/>
      <c r="BA96" s="3272"/>
      <c r="BB96" s="3272"/>
      <c r="BC96" s="3272"/>
      <c r="BD96" s="3272"/>
      <c r="BE96" s="3272"/>
      <c r="BF96" s="3272"/>
      <c r="BG96" s="3272"/>
      <c r="BH96" s="3272"/>
      <c r="BI96" s="3272"/>
      <c r="BJ96" s="3398"/>
      <c r="BK96" s="3198"/>
      <c r="BL96" s="3198"/>
      <c r="BM96" s="3199"/>
      <c r="BN96" s="3398"/>
      <c r="BO96" s="2544"/>
      <c r="BP96" s="2544"/>
      <c r="BQ96" s="3361"/>
      <c r="BR96" s="3398"/>
      <c r="BS96" s="3361"/>
      <c r="BT96" s="3361"/>
      <c r="BU96" s="3394"/>
    </row>
    <row r="97" spans="1:73" s="1542" customFormat="1" ht="40.5" customHeight="1" x14ac:dyDescent="0.25">
      <c r="A97" s="3389"/>
      <c r="B97" s="1590"/>
      <c r="C97" s="1589"/>
      <c r="D97" s="1590"/>
      <c r="E97" s="3224"/>
      <c r="F97" s="3224"/>
      <c r="G97" s="3213"/>
      <c r="H97" s="3214"/>
      <c r="I97" s="3213"/>
      <c r="J97" s="3214"/>
      <c r="K97" s="3206"/>
      <c r="L97" s="2771"/>
      <c r="M97" s="3206"/>
      <c r="N97" s="2771"/>
      <c r="O97" s="3206"/>
      <c r="P97" s="3206"/>
      <c r="Q97" s="3206"/>
      <c r="R97" s="2771"/>
      <c r="S97" s="3355"/>
      <c r="T97" s="3356"/>
      <c r="U97" s="2771"/>
      <c r="V97" s="2835"/>
      <c r="W97" s="3395"/>
      <c r="X97" s="1591">
        <v>5000000</v>
      </c>
      <c r="Y97" s="1591">
        <v>4000000</v>
      </c>
      <c r="Z97" s="1591">
        <v>4000000</v>
      </c>
      <c r="AA97" s="1181" t="s">
        <v>2376</v>
      </c>
      <c r="AB97" s="1462">
        <v>20</v>
      </c>
      <c r="AC97" s="903" t="s">
        <v>1830</v>
      </c>
      <c r="AD97" s="3272"/>
      <c r="AE97" s="3272"/>
      <c r="AF97" s="3272"/>
      <c r="AG97" s="3272"/>
      <c r="AH97" s="3272"/>
      <c r="AI97" s="3272"/>
      <c r="AJ97" s="3272"/>
      <c r="AK97" s="3272"/>
      <c r="AL97" s="3272"/>
      <c r="AM97" s="3272"/>
      <c r="AN97" s="3272"/>
      <c r="AO97" s="3272"/>
      <c r="AP97" s="3272"/>
      <c r="AQ97" s="3272"/>
      <c r="AR97" s="3272"/>
      <c r="AS97" s="3272"/>
      <c r="AT97" s="3272"/>
      <c r="AU97" s="3272"/>
      <c r="AV97" s="3272"/>
      <c r="AW97" s="3272"/>
      <c r="AX97" s="3272"/>
      <c r="AY97" s="3272"/>
      <c r="AZ97" s="3272"/>
      <c r="BA97" s="3272"/>
      <c r="BB97" s="3272"/>
      <c r="BC97" s="3272"/>
      <c r="BD97" s="3272"/>
      <c r="BE97" s="3272"/>
      <c r="BF97" s="3272"/>
      <c r="BG97" s="3272"/>
      <c r="BH97" s="3272"/>
      <c r="BI97" s="3272"/>
      <c r="BJ97" s="3398"/>
      <c r="BK97" s="3198"/>
      <c r="BL97" s="3198"/>
      <c r="BM97" s="3199"/>
      <c r="BN97" s="3398"/>
      <c r="BO97" s="2544"/>
      <c r="BP97" s="2544"/>
      <c r="BQ97" s="3361"/>
      <c r="BR97" s="3398"/>
      <c r="BS97" s="3361"/>
      <c r="BT97" s="3361"/>
      <c r="BU97" s="3394"/>
    </row>
    <row r="98" spans="1:73" s="1542" customFormat="1" ht="40.5" customHeight="1" x14ac:dyDescent="0.25">
      <c r="A98" s="3389"/>
      <c r="B98" s="1590"/>
      <c r="C98" s="1589"/>
      <c r="D98" s="1590"/>
      <c r="E98" s="3224"/>
      <c r="F98" s="3224"/>
      <c r="G98" s="3213"/>
      <c r="H98" s="3214"/>
      <c r="I98" s="3213"/>
      <c r="J98" s="3214"/>
      <c r="K98" s="3206"/>
      <c r="L98" s="2771"/>
      <c r="M98" s="3206"/>
      <c r="N98" s="2771"/>
      <c r="O98" s="3206"/>
      <c r="P98" s="3206"/>
      <c r="Q98" s="3206"/>
      <c r="R98" s="2771"/>
      <c r="S98" s="3355"/>
      <c r="T98" s="3356"/>
      <c r="U98" s="2771"/>
      <c r="V98" s="2835"/>
      <c r="W98" s="3395"/>
      <c r="X98" s="1591">
        <v>4000000</v>
      </c>
      <c r="Y98" s="1591">
        <v>0</v>
      </c>
      <c r="Z98" s="1591">
        <v>0</v>
      </c>
      <c r="AA98" s="1181" t="s">
        <v>2377</v>
      </c>
      <c r="AB98" s="1462">
        <v>20</v>
      </c>
      <c r="AC98" s="903" t="s">
        <v>1830</v>
      </c>
      <c r="AD98" s="3272"/>
      <c r="AE98" s="3272"/>
      <c r="AF98" s="3272"/>
      <c r="AG98" s="3272"/>
      <c r="AH98" s="3272"/>
      <c r="AI98" s="3272"/>
      <c r="AJ98" s="3272"/>
      <c r="AK98" s="3272"/>
      <c r="AL98" s="3272"/>
      <c r="AM98" s="3272"/>
      <c r="AN98" s="3272"/>
      <c r="AO98" s="3272"/>
      <c r="AP98" s="3272"/>
      <c r="AQ98" s="3272"/>
      <c r="AR98" s="3272"/>
      <c r="AS98" s="3272"/>
      <c r="AT98" s="3272"/>
      <c r="AU98" s="3272"/>
      <c r="AV98" s="3272"/>
      <c r="AW98" s="3272"/>
      <c r="AX98" s="3272"/>
      <c r="AY98" s="3272"/>
      <c r="AZ98" s="3272"/>
      <c r="BA98" s="3272"/>
      <c r="BB98" s="3272"/>
      <c r="BC98" s="3272"/>
      <c r="BD98" s="3272"/>
      <c r="BE98" s="3272"/>
      <c r="BF98" s="3272"/>
      <c r="BG98" s="3272"/>
      <c r="BH98" s="3272"/>
      <c r="BI98" s="3272"/>
      <c r="BJ98" s="3398"/>
      <c r="BK98" s="3198"/>
      <c r="BL98" s="3198"/>
      <c r="BM98" s="3199"/>
      <c r="BN98" s="3398"/>
      <c r="BO98" s="2544"/>
      <c r="BP98" s="2544"/>
      <c r="BQ98" s="3361"/>
      <c r="BR98" s="3398"/>
      <c r="BS98" s="3361"/>
      <c r="BT98" s="3361"/>
      <c r="BU98" s="3394"/>
    </row>
    <row r="99" spans="1:73" s="1542" customFormat="1" ht="40.5" customHeight="1" x14ac:dyDescent="0.25">
      <c r="A99" s="3389"/>
      <c r="B99" s="1590"/>
      <c r="C99" s="1589"/>
      <c r="D99" s="1590"/>
      <c r="E99" s="3224"/>
      <c r="F99" s="3224"/>
      <c r="G99" s="3213"/>
      <c r="H99" s="3214"/>
      <c r="I99" s="3213"/>
      <c r="J99" s="3214"/>
      <c r="K99" s="3206"/>
      <c r="L99" s="2771"/>
      <c r="M99" s="3206"/>
      <c r="N99" s="2771"/>
      <c r="O99" s="3206"/>
      <c r="P99" s="3206"/>
      <c r="Q99" s="3206"/>
      <c r="R99" s="2771"/>
      <c r="S99" s="3355"/>
      <c r="T99" s="3356"/>
      <c r="U99" s="2771"/>
      <c r="V99" s="2835"/>
      <c r="W99" s="3395"/>
      <c r="X99" s="1591">
        <v>5000000</v>
      </c>
      <c r="Y99" s="1591">
        <v>1289500</v>
      </c>
      <c r="Z99" s="1591">
        <v>1289500</v>
      </c>
      <c r="AA99" s="1181" t="s">
        <v>2378</v>
      </c>
      <c r="AB99" s="1462">
        <v>88</v>
      </c>
      <c r="AC99" s="901" t="s">
        <v>2255</v>
      </c>
      <c r="AD99" s="3272"/>
      <c r="AE99" s="3272"/>
      <c r="AF99" s="3272"/>
      <c r="AG99" s="3272"/>
      <c r="AH99" s="3272"/>
      <c r="AI99" s="3272"/>
      <c r="AJ99" s="3272"/>
      <c r="AK99" s="3272"/>
      <c r="AL99" s="3272"/>
      <c r="AM99" s="3272"/>
      <c r="AN99" s="3272"/>
      <c r="AO99" s="3272"/>
      <c r="AP99" s="3272"/>
      <c r="AQ99" s="3272"/>
      <c r="AR99" s="3272"/>
      <c r="AS99" s="3272"/>
      <c r="AT99" s="3272"/>
      <c r="AU99" s="3272"/>
      <c r="AV99" s="3272"/>
      <c r="AW99" s="3272"/>
      <c r="AX99" s="3272"/>
      <c r="AY99" s="3272"/>
      <c r="AZ99" s="3272"/>
      <c r="BA99" s="3272"/>
      <c r="BB99" s="3272"/>
      <c r="BC99" s="3272"/>
      <c r="BD99" s="3272"/>
      <c r="BE99" s="3272"/>
      <c r="BF99" s="3272"/>
      <c r="BG99" s="3272"/>
      <c r="BH99" s="3272"/>
      <c r="BI99" s="3272"/>
      <c r="BJ99" s="3398"/>
      <c r="BK99" s="3198"/>
      <c r="BL99" s="3198"/>
      <c r="BM99" s="3199"/>
      <c r="BN99" s="3398"/>
      <c r="BO99" s="2544"/>
      <c r="BP99" s="2544"/>
      <c r="BQ99" s="3361"/>
      <c r="BR99" s="3398"/>
      <c r="BS99" s="3361"/>
      <c r="BT99" s="3361"/>
      <c r="BU99" s="3394"/>
    </row>
    <row r="100" spans="1:73" s="1542" customFormat="1" ht="40.5" customHeight="1" x14ac:dyDescent="0.25">
      <c r="A100" s="3389"/>
      <c r="B100" s="1590"/>
      <c r="C100" s="1589"/>
      <c r="D100" s="1590"/>
      <c r="E100" s="3224"/>
      <c r="F100" s="3224"/>
      <c r="G100" s="3213"/>
      <c r="H100" s="3214"/>
      <c r="I100" s="3213"/>
      <c r="J100" s="3214"/>
      <c r="K100" s="3206"/>
      <c r="L100" s="2771"/>
      <c r="M100" s="3206"/>
      <c r="N100" s="2771"/>
      <c r="O100" s="3206"/>
      <c r="P100" s="3206"/>
      <c r="Q100" s="3206"/>
      <c r="R100" s="2771"/>
      <c r="S100" s="3355"/>
      <c r="T100" s="3356"/>
      <c r="U100" s="2771"/>
      <c r="V100" s="2835"/>
      <c r="W100" s="3396"/>
      <c r="X100" s="1591">
        <v>3000000</v>
      </c>
      <c r="Y100" s="1591">
        <v>2975000</v>
      </c>
      <c r="Z100" s="1591">
        <v>2975000</v>
      </c>
      <c r="AA100" s="900" t="s">
        <v>2379</v>
      </c>
      <c r="AB100" s="1512">
        <v>88</v>
      </c>
      <c r="AC100" s="901" t="s">
        <v>2255</v>
      </c>
      <c r="AD100" s="3272"/>
      <c r="AE100" s="3272"/>
      <c r="AF100" s="3272"/>
      <c r="AG100" s="3272"/>
      <c r="AH100" s="3272"/>
      <c r="AI100" s="3272"/>
      <c r="AJ100" s="3272"/>
      <c r="AK100" s="3272"/>
      <c r="AL100" s="3272"/>
      <c r="AM100" s="3272"/>
      <c r="AN100" s="3272"/>
      <c r="AO100" s="3272"/>
      <c r="AP100" s="3272"/>
      <c r="AQ100" s="3272"/>
      <c r="AR100" s="3272"/>
      <c r="AS100" s="3272"/>
      <c r="AT100" s="3272"/>
      <c r="AU100" s="3272"/>
      <c r="AV100" s="3272"/>
      <c r="AW100" s="3272"/>
      <c r="AX100" s="3272"/>
      <c r="AY100" s="3272"/>
      <c r="AZ100" s="3272"/>
      <c r="BA100" s="3272"/>
      <c r="BB100" s="3272"/>
      <c r="BC100" s="3272"/>
      <c r="BD100" s="3272"/>
      <c r="BE100" s="3272"/>
      <c r="BF100" s="3272"/>
      <c r="BG100" s="3272"/>
      <c r="BH100" s="3272"/>
      <c r="BI100" s="3272"/>
      <c r="BJ100" s="3398"/>
      <c r="BK100" s="3198"/>
      <c r="BL100" s="3198"/>
      <c r="BM100" s="3199"/>
      <c r="BN100" s="3398"/>
      <c r="BO100" s="2544"/>
      <c r="BP100" s="2544"/>
      <c r="BQ100" s="3361"/>
      <c r="BR100" s="3398"/>
      <c r="BS100" s="3361"/>
      <c r="BT100" s="3361"/>
      <c r="BU100" s="3394"/>
    </row>
    <row r="101" spans="1:73" s="1542" customFormat="1" ht="40.5" customHeight="1" x14ac:dyDescent="0.25">
      <c r="A101" s="3389"/>
      <c r="B101" s="1590"/>
      <c r="C101" s="1589"/>
      <c r="D101" s="1590"/>
      <c r="E101" s="3224"/>
      <c r="F101" s="3224"/>
      <c r="G101" s="3213"/>
      <c r="H101" s="3214"/>
      <c r="I101" s="3213"/>
      <c r="J101" s="3214"/>
      <c r="K101" s="3206"/>
      <c r="L101" s="2771"/>
      <c r="M101" s="3206"/>
      <c r="N101" s="2771"/>
      <c r="O101" s="3206"/>
      <c r="P101" s="3206"/>
      <c r="Q101" s="3206"/>
      <c r="R101" s="2771"/>
      <c r="S101" s="3355"/>
      <c r="T101" s="3356"/>
      <c r="U101" s="2771"/>
      <c r="V101" s="2835"/>
      <c r="W101" s="3395" t="s">
        <v>2380</v>
      </c>
      <c r="X101" s="1591">
        <v>4000000</v>
      </c>
      <c r="Y101" s="1591">
        <v>1000000</v>
      </c>
      <c r="Z101" s="1591">
        <v>1000000</v>
      </c>
      <c r="AA101" s="1181" t="s">
        <v>2376</v>
      </c>
      <c r="AB101" s="1462">
        <v>20</v>
      </c>
      <c r="AC101" s="903" t="s">
        <v>1830</v>
      </c>
      <c r="AD101" s="3272"/>
      <c r="AE101" s="3272"/>
      <c r="AF101" s="3272"/>
      <c r="AG101" s="3272"/>
      <c r="AH101" s="3272"/>
      <c r="AI101" s="3272"/>
      <c r="AJ101" s="3272"/>
      <c r="AK101" s="3272"/>
      <c r="AL101" s="3272"/>
      <c r="AM101" s="3272"/>
      <c r="AN101" s="3272"/>
      <c r="AO101" s="3272"/>
      <c r="AP101" s="3272"/>
      <c r="AQ101" s="3272"/>
      <c r="AR101" s="3272"/>
      <c r="AS101" s="3272"/>
      <c r="AT101" s="3272"/>
      <c r="AU101" s="3272"/>
      <c r="AV101" s="3272"/>
      <c r="AW101" s="3272"/>
      <c r="AX101" s="3272"/>
      <c r="AY101" s="3272"/>
      <c r="AZ101" s="3272"/>
      <c r="BA101" s="3272"/>
      <c r="BB101" s="3272"/>
      <c r="BC101" s="3272"/>
      <c r="BD101" s="3272"/>
      <c r="BE101" s="3272"/>
      <c r="BF101" s="3272"/>
      <c r="BG101" s="3272"/>
      <c r="BH101" s="3272"/>
      <c r="BI101" s="3272"/>
      <c r="BJ101" s="3398"/>
      <c r="BK101" s="3198"/>
      <c r="BL101" s="3198"/>
      <c r="BM101" s="3199"/>
      <c r="BN101" s="3398"/>
      <c r="BO101" s="2544"/>
      <c r="BP101" s="2544"/>
      <c r="BQ101" s="3361"/>
      <c r="BR101" s="3398"/>
      <c r="BS101" s="3361"/>
      <c r="BT101" s="3361"/>
      <c r="BU101" s="3394"/>
    </row>
    <row r="102" spans="1:73" s="1542" customFormat="1" ht="40.5" customHeight="1" x14ac:dyDescent="0.25">
      <c r="A102" s="3389"/>
      <c r="B102" s="1590"/>
      <c r="C102" s="1589"/>
      <c r="D102" s="1590"/>
      <c r="E102" s="3224"/>
      <c r="F102" s="3224"/>
      <c r="G102" s="3213"/>
      <c r="H102" s="3214"/>
      <c r="I102" s="3213"/>
      <c r="J102" s="3214"/>
      <c r="K102" s="3206"/>
      <c r="L102" s="2771"/>
      <c r="M102" s="3206"/>
      <c r="N102" s="2771"/>
      <c r="O102" s="3206"/>
      <c r="P102" s="3206"/>
      <c r="Q102" s="3206"/>
      <c r="R102" s="2771"/>
      <c r="S102" s="3355"/>
      <c r="T102" s="3356"/>
      <c r="U102" s="2771"/>
      <c r="V102" s="2835"/>
      <c r="W102" s="3395"/>
      <c r="X102" s="1591">
        <v>4000000</v>
      </c>
      <c r="Y102" s="1591">
        <v>4000000</v>
      </c>
      <c r="Z102" s="1591">
        <v>4000000</v>
      </c>
      <c r="AA102" s="1181" t="s">
        <v>2381</v>
      </c>
      <c r="AB102" s="1462">
        <v>88</v>
      </c>
      <c r="AC102" s="901" t="s">
        <v>2255</v>
      </c>
      <c r="AD102" s="3272"/>
      <c r="AE102" s="3272"/>
      <c r="AF102" s="3272"/>
      <c r="AG102" s="3272"/>
      <c r="AH102" s="3272"/>
      <c r="AI102" s="3272"/>
      <c r="AJ102" s="3272"/>
      <c r="AK102" s="3272"/>
      <c r="AL102" s="3272"/>
      <c r="AM102" s="3272"/>
      <c r="AN102" s="3272"/>
      <c r="AO102" s="3272"/>
      <c r="AP102" s="3272"/>
      <c r="AQ102" s="3272"/>
      <c r="AR102" s="3272"/>
      <c r="AS102" s="3272"/>
      <c r="AT102" s="3272"/>
      <c r="AU102" s="3272"/>
      <c r="AV102" s="3272"/>
      <c r="AW102" s="3272"/>
      <c r="AX102" s="3272"/>
      <c r="AY102" s="3272"/>
      <c r="AZ102" s="3272"/>
      <c r="BA102" s="3272"/>
      <c r="BB102" s="3272"/>
      <c r="BC102" s="3272"/>
      <c r="BD102" s="3272"/>
      <c r="BE102" s="3272"/>
      <c r="BF102" s="3272"/>
      <c r="BG102" s="3272"/>
      <c r="BH102" s="3272"/>
      <c r="BI102" s="3272"/>
      <c r="BJ102" s="3398"/>
      <c r="BK102" s="3198"/>
      <c r="BL102" s="3198"/>
      <c r="BM102" s="3199"/>
      <c r="BN102" s="3398"/>
      <c r="BO102" s="2544"/>
      <c r="BP102" s="2544"/>
      <c r="BQ102" s="3361"/>
      <c r="BR102" s="3398"/>
      <c r="BS102" s="3361"/>
      <c r="BT102" s="3361"/>
      <c r="BU102" s="3394"/>
    </row>
    <row r="103" spans="1:73" s="1542" customFormat="1" ht="46.5" customHeight="1" x14ac:dyDescent="0.25">
      <c r="A103" s="3389"/>
      <c r="B103" s="1590"/>
      <c r="C103" s="1634"/>
      <c r="D103" s="1653"/>
      <c r="E103" s="3358"/>
      <c r="F103" s="3358"/>
      <c r="G103" s="3213"/>
      <c r="H103" s="3359"/>
      <c r="I103" s="3213"/>
      <c r="J103" s="3359"/>
      <c r="K103" s="3349"/>
      <c r="L103" s="2771"/>
      <c r="M103" s="3206"/>
      <c r="N103" s="2771"/>
      <c r="O103" s="3206"/>
      <c r="P103" s="3206"/>
      <c r="Q103" s="3206"/>
      <c r="R103" s="2771"/>
      <c r="S103" s="3355"/>
      <c r="T103" s="3356"/>
      <c r="U103" s="2771"/>
      <c r="V103" s="2835"/>
      <c r="W103" s="3395"/>
      <c r="X103" s="1591">
        <v>1000000</v>
      </c>
      <c r="Y103" s="1591">
        <v>0</v>
      </c>
      <c r="Z103" s="1591">
        <v>0</v>
      </c>
      <c r="AA103" s="1181" t="s">
        <v>2374</v>
      </c>
      <c r="AB103" s="1462">
        <v>88</v>
      </c>
      <c r="AC103" s="1654" t="s">
        <v>2255</v>
      </c>
      <c r="AD103" s="3272"/>
      <c r="AE103" s="3272"/>
      <c r="AF103" s="3272"/>
      <c r="AG103" s="3272"/>
      <c r="AH103" s="3272"/>
      <c r="AI103" s="3272"/>
      <c r="AJ103" s="3272"/>
      <c r="AK103" s="3272"/>
      <c r="AL103" s="3272"/>
      <c r="AM103" s="3272"/>
      <c r="AN103" s="3272"/>
      <c r="AO103" s="3272"/>
      <c r="AP103" s="3272"/>
      <c r="AQ103" s="3272"/>
      <c r="AR103" s="3272"/>
      <c r="AS103" s="3272"/>
      <c r="AT103" s="3272"/>
      <c r="AU103" s="3272"/>
      <c r="AV103" s="3272"/>
      <c r="AW103" s="3272"/>
      <c r="AX103" s="3272"/>
      <c r="AY103" s="3272"/>
      <c r="AZ103" s="3272"/>
      <c r="BA103" s="3272"/>
      <c r="BB103" s="3272"/>
      <c r="BC103" s="3272"/>
      <c r="BD103" s="3272"/>
      <c r="BE103" s="3272"/>
      <c r="BF103" s="3272"/>
      <c r="BG103" s="3272"/>
      <c r="BH103" s="3272"/>
      <c r="BI103" s="3272"/>
      <c r="BJ103" s="3398"/>
      <c r="BK103" s="3198"/>
      <c r="BL103" s="3198"/>
      <c r="BM103" s="3199"/>
      <c r="BN103" s="3398"/>
      <c r="BO103" s="2544"/>
      <c r="BP103" s="2544"/>
      <c r="BQ103" s="3361"/>
      <c r="BR103" s="3398"/>
      <c r="BS103" s="3361"/>
      <c r="BT103" s="3361"/>
      <c r="BU103" s="3394"/>
    </row>
    <row r="104" spans="1:73" ht="25.5" customHeight="1" x14ac:dyDescent="0.25">
      <c r="A104" s="49"/>
      <c r="B104" s="1414"/>
      <c r="C104" s="1655">
        <v>45</v>
      </c>
      <c r="D104" s="3298" t="s">
        <v>66</v>
      </c>
      <c r="E104" s="3299"/>
      <c r="F104" s="3397"/>
      <c r="G104" s="3397"/>
      <c r="H104" s="3397"/>
      <c r="I104" s="1656"/>
      <c r="J104" s="1494"/>
      <c r="K104" s="1656"/>
      <c r="L104" s="1489"/>
      <c r="M104" s="1657"/>
      <c r="N104" s="1489"/>
      <c r="O104" s="1636"/>
      <c r="P104" s="1636"/>
      <c r="Q104" s="1636"/>
      <c r="R104" s="1637"/>
      <c r="S104" s="1638"/>
      <c r="T104" s="1639"/>
      <c r="U104" s="1637"/>
      <c r="V104" s="1637"/>
      <c r="W104" s="1658"/>
      <c r="X104" s="1625"/>
      <c r="Y104" s="1625"/>
      <c r="Z104" s="1625"/>
      <c r="AA104" s="1642"/>
      <c r="AB104" s="1642"/>
      <c r="AC104" s="1635"/>
      <c r="AD104" s="1643"/>
      <c r="AE104" s="1643"/>
      <c r="AF104" s="1643"/>
      <c r="AG104" s="1643"/>
      <c r="AH104" s="1659"/>
      <c r="AI104" s="1659"/>
      <c r="AJ104" s="1659"/>
      <c r="AK104" s="1659"/>
      <c r="AL104" s="1659"/>
      <c r="AM104" s="1659"/>
      <c r="AN104" s="1659"/>
      <c r="AO104" s="1659"/>
      <c r="AP104" s="1659"/>
      <c r="AQ104" s="1659"/>
      <c r="AR104" s="1659"/>
      <c r="AS104" s="1659"/>
      <c r="AT104" s="1659"/>
      <c r="AU104" s="1659"/>
      <c r="AV104" s="1659"/>
      <c r="AW104" s="1659"/>
      <c r="AX104" s="1659"/>
      <c r="AY104" s="1659"/>
      <c r="AZ104" s="1659"/>
      <c r="BA104" s="1659"/>
      <c r="BB104" s="1659"/>
      <c r="BC104" s="1659"/>
      <c r="BD104" s="1659"/>
      <c r="BE104" s="1659"/>
      <c r="BF104" s="1659"/>
      <c r="BG104" s="1659"/>
      <c r="BH104" s="1659"/>
      <c r="BI104" s="1659"/>
      <c r="BJ104" s="1659"/>
      <c r="BK104" s="1659"/>
      <c r="BL104" s="1659"/>
      <c r="BM104" s="1659"/>
      <c r="BN104" s="1659"/>
      <c r="BO104" s="1659"/>
      <c r="BP104" s="1659"/>
      <c r="BQ104" s="1645"/>
      <c r="BR104" s="1645"/>
      <c r="BS104" s="1645"/>
      <c r="BT104" s="1645"/>
      <c r="BU104" s="1646"/>
    </row>
    <row r="105" spans="1:73" s="1542" customFormat="1" ht="29.25" customHeight="1" x14ac:dyDescent="0.25">
      <c r="A105" s="3389"/>
      <c r="B105" s="3391"/>
      <c r="C105" s="1660"/>
      <c r="D105" s="1661"/>
      <c r="E105" s="1540">
        <v>4501</v>
      </c>
      <c r="F105" s="3222" t="s">
        <v>2382</v>
      </c>
      <c r="G105" s="3223"/>
      <c r="H105" s="3223"/>
      <c r="I105" s="3223"/>
      <c r="J105" s="3223"/>
      <c r="K105" s="3223"/>
      <c r="L105" s="3223"/>
      <c r="M105" s="3223"/>
      <c r="N105" s="3223"/>
      <c r="O105" s="1601"/>
      <c r="P105" s="1601"/>
      <c r="Q105" s="1601"/>
      <c r="R105" s="1604"/>
      <c r="S105" s="1601"/>
      <c r="T105" s="1648"/>
      <c r="U105" s="1604"/>
      <c r="V105" s="1604"/>
      <c r="W105" s="1606"/>
      <c r="X105" s="1662"/>
      <c r="Y105" s="1662"/>
      <c r="Z105" s="1662"/>
      <c r="AA105" s="1601"/>
      <c r="AB105" s="1602"/>
      <c r="AC105" s="1606"/>
      <c r="AD105" s="1601"/>
      <c r="AE105" s="1601"/>
      <c r="AF105" s="1601"/>
      <c r="AG105" s="1601"/>
      <c r="AH105" s="1601"/>
      <c r="AI105" s="1601"/>
      <c r="AJ105" s="1601"/>
      <c r="AK105" s="1601"/>
      <c r="AL105" s="1601"/>
      <c r="AM105" s="1601"/>
      <c r="AN105" s="1601"/>
      <c r="AO105" s="1601"/>
      <c r="AP105" s="1601"/>
      <c r="AQ105" s="1601"/>
      <c r="AR105" s="1601"/>
      <c r="AS105" s="1601"/>
      <c r="AT105" s="1601"/>
      <c r="AU105" s="1601"/>
      <c r="AV105" s="1601"/>
      <c r="AW105" s="1601"/>
      <c r="AX105" s="1601"/>
      <c r="AY105" s="1601"/>
      <c r="AZ105" s="1601"/>
      <c r="BA105" s="1601"/>
      <c r="BB105" s="1601"/>
      <c r="BC105" s="1601"/>
      <c r="BD105" s="1601"/>
      <c r="BE105" s="1601"/>
      <c r="BF105" s="1601"/>
      <c r="BG105" s="1601"/>
      <c r="BH105" s="1601"/>
      <c r="BI105" s="1601"/>
      <c r="BJ105" s="1601"/>
      <c r="BK105" s="1601"/>
      <c r="BL105" s="1601"/>
      <c r="BM105" s="1601"/>
      <c r="BN105" s="1601"/>
      <c r="BO105" s="1601"/>
      <c r="BP105" s="1601"/>
      <c r="BQ105" s="1601"/>
      <c r="BR105" s="1601"/>
      <c r="BS105" s="1601"/>
      <c r="BT105" s="1601"/>
      <c r="BU105" s="1663"/>
    </row>
    <row r="106" spans="1:73" s="1542" customFormat="1" ht="42" customHeight="1" x14ac:dyDescent="0.25">
      <c r="A106" s="3389"/>
      <c r="B106" s="3391"/>
      <c r="C106" s="1631"/>
      <c r="D106" s="1661"/>
      <c r="E106" s="3224"/>
      <c r="F106" s="3224"/>
      <c r="G106" s="3213" t="s">
        <v>20</v>
      </c>
      <c r="H106" s="3393" t="s">
        <v>2383</v>
      </c>
      <c r="I106" s="3213">
        <v>4501029</v>
      </c>
      <c r="J106" s="3393" t="s">
        <v>2384</v>
      </c>
      <c r="K106" s="3213" t="s">
        <v>20</v>
      </c>
      <c r="L106" s="3204" t="s">
        <v>2385</v>
      </c>
      <c r="M106" s="3213">
        <v>450102900</v>
      </c>
      <c r="N106" s="3204" t="s">
        <v>2386</v>
      </c>
      <c r="O106" s="3387">
        <v>5</v>
      </c>
      <c r="P106" s="3387">
        <v>5</v>
      </c>
      <c r="Q106" s="3388" t="s">
        <v>2387</v>
      </c>
      <c r="R106" s="3204" t="s">
        <v>2388</v>
      </c>
      <c r="S106" s="3384">
        <f>SUM(X106:X126)/T106</f>
        <v>1</v>
      </c>
      <c r="T106" s="3385">
        <f>SUM(X106:X126)</f>
        <v>4387879528.3299999</v>
      </c>
      <c r="U106" s="3204" t="s">
        <v>2389</v>
      </c>
      <c r="V106" s="3204" t="s">
        <v>2390</v>
      </c>
      <c r="W106" s="3364" t="s">
        <v>2391</v>
      </c>
      <c r="X106" s="1591">
        <v>283797599</v>
      </c>
      <c r="Y106" s="1591">
        <v>0</v>
      </c>
      <c r="Z106" s="1591">
        <v>0</v>
      </c>
      <c r="AA106" s="1664" t="s">
        <v>2392</v>
      </c>
      <c r="AB106" s="1220">
        <v>42</v>
      </c>
      <c r="AC106" s="905" t="s">
        <v>2393</v>
      </c>
      <c r="AD106" s="3378">
        <v>291786</v>
      </c>
      <c r="AE106" s="3378">
        <v>291786</v>
      </c>
      <c r="AF106" s="3378">
        <v>270331</v>
      </c>
      <c r="AG106" s="3378">
        <v>270331</v>
      </c>
      <c r="AH106" s="3378">
        <v>102045</v>
      </c>
      <c r="AI106" s="3378">
        <v>102045</v>
      </c>
      <c r="AJ106" s="3378">
        <v>39183</v>
      </c>
      <c r="AK106" s="3378">
        <v>39183</v>
      </c>
      <c r="AL106" s="3378">
        <v>310195</v>
      </c>
      <c r="AM106" s="3378">
        <v>310195</v>
      </c>
      <c r="AN106" s="3378">
        <v>110694</v>
      </c>
      <c r="AO106" s="3378">
        <v>110694</v>
      </c>
      <c r="AP106" s="3378">
        <v>2145</v>
      </c>
      <c r="AQ106" s="3378"/>
      <c r="AR106" s="3378">
        <v>12718</v>
      </c>
      <c r="AS106" s="3378"/>
      <c r="AT106" s="3378">
        <v>26</v>
      </c>
      <c r="AU106" s="3378"/>
      <c r="AV106" s="3378">
        <v>37</v>
      </c>
      <c r="AW106" s="3378"/>
      <c r="AX106" s="3378">
        <v>0</v>
      </c>
      <c r="AY106" s="3378"/>
      <c r="AZ106" s="3378">
        <v>0</v>
      </c>
      <c r="BA106" s="3378"/>
      <c r="BB106" s="3378">
        <v>44350</v>
      </c>
      <c r="BC106" s="3378"/>
      <c r="BD106" s="3378">
        <v>21944</v>
      </c>
      <c r="BE106" s="3378"/>
      <c r="BF106" s="3378">
        <v>75687</v>
      </c>
      <c r="BG106" s="3378"/>
      <c r="BH106" s="3378">
        <f>+AD106+AF106</f>
        <v>562117</v>
      </c>
      <c r="BI106" s="3378">
        <f>+AE106+AG106</f>
        <v>562117</v>
      </c>
      <c r="BJ106" s="3374">
        <v>4</v>
      </c>
      <c r="BK106" s="3380">
        <f>SUM(Y106:Y126)</f>
        <v>1133578214.1600001</v>
      </c>
      <c r="BL106" s="3380">
        <f>SUM(Z106:Z126)</f>
        <v>1133578214.1600001</v>
      </c>
      <c r="BM106" s="3381">
        <f>BL106/BK106</f>
        <v>1</v>
      </c>
      <c r="BN106" s="3374">
        <v>42</v>
      </c>
      <c r="BO106" s="2763" t="s">
        <v>2394</v>
      </c>
      <c r="BP106" s="2763" t="s">
        <v>2252</v>
      </c>
      <c r="BQ106" s="3377">
        <v>44198</v>
      </c>
      <c r="BR106" s="3360">
        <v>44249</v>
      </c>
      <c r="BS106" s="3377">
        <v>44195</v>
      </c>
      <c r="BT106" s="3360">
        <v>44560</v>
      </c>
      <c r="BU106" s="3363" t="s">
        <v>2395</v>
      </c>
    </row>
    <row r="107" spans="1:73" s="1542" customFormat="1" ht="42" customHeight="1" x14ac:dyDescent="0.25">
      <c r="A107" s="3389"/>
      <c r="B107" s="3391"/>
      <c r="C107" s="1631"/>
      <c r="D107" s="1661"/>
      <c r="E107" s="3224"/>
      <c r="F107" s="3224"/>
      <c r="G107" s="3213"/>
      <c r="H107" s="3393"/>
      <c r="I107" s="3213"/>
      <c r="J107" s="3393"/>
      <c r="K107" s="3213"/>
      <c r="L107" s="3204"/>
      <c r="M107" s="3213"/>
      <c r="N107" s="3204"/>
      <c r="O107" s="3387"/>
      <c r="P107" s="3387"/>
      <c r="Q107" s="3388"/>
      <c r="R107" s="3204"/>
      <c r="S107" s="3384"/>
      <c r="T107" s="3385"/>
      <c r="U107" s="3204"/>
      <c r="V107" s="3204"/>
      <c r="W107" s="3386"/>
      <c r="X107" s="1591">
        <v>80000000</v>
      </c>
      <c r="Y107" s="1591">
        <v>0</v>
      </c>
      <c r="Z107" s="1591">
        <v>0</v>
      </c>
      <c r="AA107" s="1664" t="s">
        <v>2396</v>
      </c>
      <c r="AB107" s="1220">
        <v>42</v>
      </c>
      <c r="AC107" s="905" t="s">
        <v>2393</v>
      </c>
      <c r="AD107" s="3378"/>
      <c r="AE107" s="3378"/>
      <c r="AF107" s="3378"/>
      <c r="AG107" s="3378"/>
      <c r="AH107" s="3378"/>
      <c r="AI107" s="3378"/>
      <c r="AJ107" s="3378"/>
      <c r="AK107" s="3378"/>
      <c r="AL107" s="3378"/>
      <c r="AM107" s="3378"/>
      <c r="AN107" s="3378"/>
      <c r="AO107" s="3378"/>
      <c r="AP107" s="3378"/>
      <c r="AQ107" s="3378"/>
      <c r="AR107" s="3378"/>
      <c r="AS107" s="3378"/>
      <c r="AT107" s="3378"/>
      <c r="AU107" s="3378"/>
      <c r="AV107" s="3378"/>
      <c r="AW107" s="3378"/>
      <c r="AX107" s="3378"/>
      <c r="AY107" s="3378"/>
      <c r="AZ107" s="3378"/>
      <c r="BA107" s="3378"/>
      <c r="BB107" s="3378"/>
      <c r="BC107" s="3378"/>
      <c r="BD107" s="3378"/>
      <c r="BE107" s="3378"/>
      <c r="BF107" s="3378"/>
      <c r="BG107" s="3378"/>
      <c r="BH107" s="3378"/>
      <c r="BI107" s="3378"/>
      <c r="BJ107" s="3375"/>
      <c r="BK107" s="3375"/>
      <c r="BL107" s="3375"/>
      <c r="BM107" s="3382"/>
      <c r="BN107" s="3375"/>
      <c r="BO107" s="2764"/>
      <c r="BP107" s="2764"/>
      <c r="BQ107" s="3377"/>
      <c r="BR107" s="3361"/>
      <c r="BS107" s="3377"/>
      <c r="BT107" s="3361"/>
      <c r="BU107" s="3363"/>
    </row>
    <row r="108" spans="1:73" s="1542" customFormat="1" ht="42" customHeight="1" x14ac:dyDescent="0.25">
      <c r="A108" s="3389"/>
      <c r="B108" s="3391"/>
      <c r="C108" s="1631"/>
      <c r="D108" s="1661"/>
      <c r="E108" s="3224"/>
      <c r="F108" s="3224"/>
      <c r="G108" s="3213"/>
      <c r="H108" s="3393"/>
      <c r="I108" s="3213"/>
      <c r="J108" s="3393"/>
      <c r="K108" s="3213"/>
      <c r="L108" s="3204"/>
      <c r="M108" s="3213"/>
      <c r="N108" s="3204"/>
      <c r="O108" s="3387"/>
      <c r="P108" s="3387"/>
      <c r="Q108" s="3388"/>
      <c r="R108" s="3204"/>
      <c r="S108" s="3384"/>
      <c r="T108" s="3385"/>
      <c r="U108" s="3204"/>
      <c r="V108" s="3204"/>
      <c r="W108" s="3365"/>
      <c r="X108" s="1591">
        <v>1234817274</v>
      </c>
      <c r="Y108" s="1591">
        <v>0</v>
      </c>
      <c r="Z108" s="1591">
        <v>0</v>
      </c>
      <c r="AA108" s="1664" t="s">
        <v>2397</v>
      </c>
      <c r="AB108" s="1220">
        <v>92</v>
      </c>
      <c r="AC108" s="905" t="s">
        <v>2398</v>
      </c>
      <c r="AD108" s="3378"/>
      <c r="AE108" s="3378"/>
      <c r="AF108" s="3378"/>
      <c r="AG108" s="3378"/>
      <c r="AH108" s="3378"/>
      <c r="AI108" s="3378"/>
      <c r="AJ108" s="3378"/>
      <c r="AK108" s="3378"/>
      <c r="AL108" s="3378"/>
      <c r="AM108" s="3378"/>
      <c r="AN108" s="3378"/>
      <c r="AO108" s="3378"/>
      <c r="AP108" s="3378"/>
      <c r="AQ108" s="3378"/>
      <c r="AR108" s="3378"/>
      <c r="AS108" s="3378"/>
      <c r="AT108" s="3378"/>
      <c r="AU108" s="3378"/>
      <c r="AV108" s="3378"/>
      <c r="AW108" s="3378"/>
      <c r="AX108" s="3378"/>
      <c r="AY108" s="3378"/>
      <c r="AZ108" s="3378"/>
      <c r="BA108" s="3378"/>
      <c r="BB108" s="3378"/>
      <c r="BC108" s="3378"/>
      <c r="BD108" s="3378"/>
      <c r="BE108" s="3378"/>
      <c r="BF108" s="3378"/>
      <c r="BG108" s="3378"/>
      <c r="BH108" s="3378"/>
      <c r="BI108" s="3378"/>
      <c r="BJ108" s="3375"/>
      <c r="BK108" s="3375"/>
      <c r="BL108" s="3375"/>
      <c r="BM108" s="3382"/>
      <c r="BN108" s="3375"/>
      <c r="BO108" s="2764"/>
      <c r="BP108" s="2764"/>
      <c r="BQ108" s="3377"/>
      <c r="BR108" s="3361"/>
      <c r="BS108" s="3377"/>
      <c r="BT108" s="3361"/>
      <c r="BU108" s="3363"/>
    </row>
    <row r="109" spans="1:73" s="1542" customFormat="1" ht="36.75" customHeight="1" x14ac:dyDescent="0.25">
      <c r="A109" s="3389"/>
      <c r="B109" s="3391"/>
      <c r="C109" s="1631"/>
      <c r="D109" s="1661"/>
      <c r="E109" s="3224"/>
      <c r="F109" s="3224"/>
      <c r="G109" s="3213"/>
      <c r="H109" s="3393"/>
      <c r="I109" s="3213"/>
      <c r="J109" s="3393"/>
      <c r="K109" s="3213"/>
      <c r="L109" s="3204"/>
      <c r="M109" s="3213"/>
      <c r="N109" s="3204"/>
      <c r="O109" s="3387"/>
      <c r="P109" s="3387"/>
      <c r="Q109" s="3388"/>
      <c r="R109" s="3204"/>
      <c r="S109" s="3384"/>
      <c r="T109" s="3385"/>
      <c r="U109" s="3204"/>
      <c r="V109" s="3204"/>
      <c r="W109" s="1665" t="s">
        <v>2399</v>
      </c>
      <c r="X109" s="1591">
        <v>100000000</v>
      </c>
      <c r="Y109" s="1591">
        <v>89883067.540000007</v>
      </c>
      <c r="Z109" s="1591">
        <v>89883067.540000007</v>
      </c>
      <c r="AA109" s="1664" t="s">
        <v>2400</v>
      </c>
      <c r="AB109" s="1220">
        <v>42</v>
      </c>
      <c r="AC109" s="905" t="s">
        <v>2393</v>
      </c>
      <c r="AD109" s="3378"/>
      <c r="AE109" s="3378"/>
      <c r="AF109" s="3378"/>
      <c r="AG109" s="3378"/>
      <c r="AH109" s="3378"/>
      <c r="AI109" s="3378"/>
      <c r="AJ109" s="3378"/>
      <c r="AK109" s="3378"/>
      <c r="AL109" s="3378"/>
      <c r="AM109" s="3378"/>
      <c r="AN109" s="3378"/>
      <c r="AO109" s="3378"/>
      <c r="AP109" s="3378"/>
      <c r="AQ109" s="3378"/>
      <c r="AR109" s="3378"/>
      <c r="AS109" s="3378"/>
      <c r="AT109" s="3378"/>
      <c r="AU109" s="3378"/>
      <c r="AV109" s="3378"/>
      <c r="AW109" s="3378"/>
      <c r="AX109" s="3378"/>
      <c r="AY109" s="3378"/>
      <c r="AZ109" s="3378"/>
      <c r="BA109" s="3378"/>
      <c r="BB109" s="3378"/>
      <c r="BC109" s="3378"/>
      <c r="BD109" s="3378"/>
      <c r="BE109" s="3378"/>
      <c r="BF109" s="3378"/>
      <c r="BG109" s="3378"/>
      <c r="BH109" s="3378"/>
      <c r="BI109" s="3378"/>
      <c r="BJ109" s="3375"/>
      <c r="BK109" s="3375"/>
      <c r="BL109" s="3375"/>
      <c r="BM109" s="3382"/>
      <c r="BN109" s="3375"/>
      <c r="BO109" s="2764"/>
      <c r="BP109" s="2764"/>
      <c r="BQ109" s="3377"/>
      <c r="BR109" s="3361"/>
      <c r="BS109" s="3377"/>
      <c r="BT109" s="3361"/>
      <c r="BU109" s="3363"/>
    </row>
    <row r="110" spans="1:73" s="1542" customFormat="1" ht="51" customHeight="1" x14ac:dyDescent="0.25">
      <c r="A110" s="3389"/>
      <c r="B110" s="3391"/>
      <c r="C110" s="1631"/>
      <c r="D110" s="1661"/>
      <c r="E110" s="3224"/>
      <c r="F110" s="3224"/>
      <c r="G110" s="3213"/>
      <c r="H110" s="3393"/>
      <c r="I110" s="3213"/>
      <c r="J110" s="3393"/>
      <c r="K110" s="3213"/>
      <c r="L110" s="3204"/>
      <c r="M110" s="3213"/>
      <c r="N110" s="3204"/>
      <c r="O110" s="3387"/>
      <c r="P110" s="3387"/>
      <c r="Q110" s="3388"/>
      <c r="R110" s="3204"/>
      <c r="S110" s="3384"/>
      <c r="T110" s="3385"/>
      <c r="U110" s="3204"/>
      <c r="V110" s="3204"/>
      <c r="W110" s="3364" t="s">
        <v>2401</v>
      </c>
      <c r="X110" s="1591">
        <v>352385127</v>
      </c>
      <c r="Y110" s="1591">
        <v>292868238</v>
      </c>
      <c r="Z110" s="1591">
        <v>292868238</v>
      </c>
      <c r="AA110" s="1664" t="s">
        <v>2402</v>
      </c>
      <c r="AB110" s="1220">
        <v>42</v>
      </c>
      <c r="AC110" s="905" t="s">
        <v>2393</v>
      </c>
      <c r="AD110" s="3378"/>
      <c r="AE110" s="3378"/>
      <c r="AF110" s="3378"/>
      <c r="AG110" s="3378"/>
      <c r="AH110" s="3378"/>
      <c r="AI110" s="3378"/>
      <c r="AJ110" s="3378"/>
      <c r="AK110" s="3378"/>
      <c r="AL110" s="3378"/>
      <c r="AM110" s="3378"/>
      <c r="AN110" s="3378"/>
      <c r="AO110" s="3378"/>
      <c r="AP110" s="3378"/>
      <c r="AQ110" s="3378"/>
      <c r="AR110" s="3378"/>
      <c r="AS110" s="3378"/>
      <c r="AT110" s="3378"/>
      <c r="AU110" s="3378"/>
      <c r="AV110" s="3378"/>
      <c r="AW110" s="3378"/>
      <c r="AX110" s="3378"/>
      <c r="AY110" s="3378"/>
      <c r="AZ110" s="3378"/>
      <c r="BA110" s="3378"/>
      <c r="BB110" s="3378"/>
      <c r="BC110" s="3378"/>
      <c r="BD110" s="3378"/>
      <c r="BE110" s="3378"/>
      <c r="BF110" s="3378"/>
      <c r="BG110" s="3378"/>
      <c r="BH110" s="3378"/>
      <c r="BI110" s="3378"/>
      <c r="BJ110" s="3375"/>
      <c r="BK110" s="3375"/>
      <c r="BL110" s="3375"/>
      <c r="BM110" s="3382"/>
      <c r="BN110" s="3375"/>
      <c r="BO110" s="2764"/>
      <c r="BP110" s="2764"/>
      <c r="BQ110" s="3377"/>
      <c r="BR110" s="3361"/>
      <c r="BS110" s="3377"/>
      <c r="BT110" s="3361"/>
      <c r="BU110" s="3363"/>
    </row>
    <row r="111" spans="1:73" s="1542" customFormat="1" ht="51" customHeight="1" x14ac:dyDescent="0.25">
      <c r="A111" s="3389"/>
      <c r="B111" s="3391"/>
      <c r="C111" s="1631"/>
      <c r="D111" s="1661"/>
      <c r="E111" s="3224"/>
      <c r="F111" s="3224"/>
      <c r="G111" s="3213"/>
      <c r="H111" s="3393"/>
      <c r="I111" s="3213"/>
      <c r="J111" s="3393"/>
      <c r="K111" s="3213"/>
      <c r="L111" s="3204"/>
      <c r="M111" s="3213"/>
      <c r="N111" s="3204"/>
      <c r="O111" s="3387"/>
      <c r="P111" s="3387"/>
      <c r="Q111" s="3388"/>
      <c r="R111" s="3204"/>
      <c r="S111" s="3384"/>
      <c r="T111" s="3385"/>
      <c r="U111" s="3204"/>
      <c r="V111" s="3204"/>
      <c r="W111" s="3365"/>
      <c r="X111" s="1591">
        <v>315614874</v>
      </c>
      <c r="Y111" s="1591">
        <v>0</v>
      </c>
      <c r="Z111" s="1591">
        <v>0</v>
      </c>
      <c r="AA111" s="1664" t="s">
        <v>2403</v>
      </c>
      <c r="AB111" s="1220">
        <v>92</v>
      </c>
      <c r="AC111" s="905" t="s">
        <v>2398</v>
      </c>
      <c r="AD111" s="3378"/>
      <c r="AE111" s="3378"/>
      <c r="AF111" s="3378"/>
      <c r="AG111" s="3378"/>
      <c r="AH111" s="3378"/>
      <c r="AI111" s="3378"/>
      <c r="AJ111" s="3378"/>
      <c r="AK111" s="3378"/>
      <c r="AL111" s="3378"/>
      <c r="AM111" s="3378"/>
      <c r="AN111" s="3378"/>
      <c r="AO111" s="3378"/>
      <c r="AP111" s="3378"/>
      <c r="AQ111" s="3378"/>
      <c r="AR111" s="3378"/>
      <c r="AS111" s="3378"/>
      <c r="AT111" s="3378"/>
      <c r="AU111" s="3378"/>
      <c r="AV111" s="3378"/>
      <c r="AW111" s="3378"/>
      <c r="AX111" s="3378"/>
      <c r="AY111" s="3378"/>
      <c r="AZ111" s="3378"/>
      <c r="BA111" s="3378"/>
      <c r="BB111" s="3378"/>
      <c r="BC111" s="3378"/>
      <c r="BD111" s="3378"/>
      <c r="BE111" s="3378"/>
      <c r="BF111" s="3378"/>
      <c r="BG111" s="3378"/>
      <c r="BH111" s="3378"/>
      <c r="BI111" s="3378"/>
      <c r="BJ111" s="3375"/>
      <c r="BK111" s="3375"/>
      <c r="BL111" s="3375"/>
      <c r="BM111" s="3382"/>
      <c r="BN111" s="3375"/>
      <c r="BO111" s="2764"/>
      <c r="BP111" s="2764"/>
      <c r="BQ111" s="3377"/>
      <c r="BR111" s="3361"/>
      <c r="BS111" s="3377"/>
      <c r="BT111" s="3361"/>
      <c r="BU111" s="3363"/>
    </row>
    <row r="112" spans="1:73" s="1542" customFormat="1" ht="40.5" customHeight="1" x14ac:dyDescent="0.25">
      <c r="A112" s="3389"/>
      <c r="B112" s="3391"/>
      <c r="C112" s="1631"/>
      <c r="D112" s="1661"/>
      <c r="E112" s="3224"/>
      <c r="F112" s="3224"/>
      <c r="G112" s="3213"/>
      <c r="H112" s="3393"/>
      <c r="I112" s="3213"/>
      <c r="J112" s="3393"/>
      <c r="K112" s="3213"/>
      <c r="L112" s="3204"/>
      <c r="M112" s="3213"/>
      <c r="N112" s="3204"/>
      <c r="O112" s="3387"/>
      <c r="P112" s="3387"/>
      <c r="Q112" s="3388"/>
      <c r="R112" s="3204"/>
      <c r="S112" s="3384"/>
      <c r="T112" s="3385"/>
      <c r="U112" s="3204"/>
      <c r="V112" s="3204"/>
      <c r="W112" s="3366" t="s">
        <v>2404</v>
      </c>
      <c r="X112" s="1591">
        <v>22000000</v>
      </c>
      <c r="Y112" s="1591"/>
      <c r="Z112" s="1591"/>
      <c r="AA112" s="1664" t="s">
        <v>2392</v>
      </c>
      <c r="AB112" s="1220">
        <v>42</v>
      </c>
      <c r="AC112" s="905" t="s">
        <v>2393</v>
      </c>
      <c r="AD112" s="3378"/>
      <c r="AE112" s="3378"/>
      <c r="AF112" s="3378"/>
      <c r="AG112" s="3378"/>
      <c r="AH112" s="3378"/>
      <c r="AI112" s="3378"/>
      <c r="AJ112" s="3378"/>
      <c r="AK112" s="3378"/>
      <c r="AL112" s="3378"/>
      <c r="AM112" s="3378"/>
      <c r="AN112" s="3378"/>
      <c r="AO112" s="3378"/>
      <c r="AP112" s="3378"/>
      <c r="AQ112" s="3378"/>
      <c r="AR112" s="3378"/>
      <c r="AS112" s="3378"/>
      <c r="AT112" s="3378"/>
      <c r="AU112" s="3378"/>
      <c r="AV112" s="3378"/>
      <c r="AW112" s="3378"/>
      <c r="AX112" s="3378"/>
      <c r="AY112" s="3378"/>
      <c r="AZ112" s="3378"/>
      <c r="BA112" s="3378"/>
      <c r="BB112" s="3378"/>
      <c r="BC112" s="3378"/>
      <c r="BD112" s="3378"/>
      <c r="BE112" s="3378"/>
      <c r="BF112" s="3378"/>
      <c r="BG112" s="3378"/>
      <c r="BH112" s="3378"/>
      <c r="BI112" s="3378"/>
      <c r="BJ112" s="3375"/>
      <c r="BK112" s="3375"/>
      <c r="BL112" s="3375"/>
      <c r="BM112" s="3382"/>
      <c r="BN112" s="3375"/>
      <c r="BO112" s="2764"/>
      <c r="BP112" s="2764"/>
      <c r="BQ112" s="3377"/>
      <c r="BR112" s="3361"/>
      <c r="BS112" s="3377"/>
      <c r="BT112" s="3361"/>
      <c r="BU112" s="3363"/>
    </row>
    <row r="113" spans="1:73" s="1542" customFormat="1" ht="38.25" customHeight="1" x14ac:dyDescent="0.25">
      <c r="A113" s="3389"/>
      <c r="B113" s="3391"/>
      <c r="C113" s="1631"/>
      <c r="D113" s="1661"/>
      <c r="E113" s="3224"/>
      <c r="F113" s="3224"/>
      <c r="G113" s="3213"/>
      <c r="H113" s="3393"/>
      <c r="I113" s="3213"/>
      <c r="J113" s="3393"/>
      <c r="K113" s="3213"/>
      <c r="L113" s="3204"/>
      <c r="M113" s="3213"/>
      <c r="N113" s="3204"/>
      <c r="O113" s="3387"/>
      <c r="P113" s="3387"/>
      <c r="Q113" s="3388"/>
      <c r="R113" s="3204"/>
      <c r="S113" s="3384"/>
      <c r="T113" s="3385"/>
      <c r="U113" s="3204"/>
      <c r="V113" s="3204"/>
      <c r="W113" s="3367"/>
      <c r="X113" s="1591">
        <v>7000000</v>
      </c>
      <c r="Y113" s="1591">
        <v>7000000</v>
      </c>
      <c r="Z113" s="1591">
        <v>7000000</v>
      </c>
      <c r="AA113" s="1664" t="s">
        <v>2405</v>
      </c>
      <c r="AB113" s="1220">
        <v>42</v>
      </c>
      <c r="AC113" s="905" t="s">
        <v>2393</v>
      </c>
      <c r="AD113" s="3378"/>
      <c r="AE113" s="3378"/>
      <c r="AF113" s="3378"/>
      <c r="AG113" s="3378"/>
      <c r="AH113" s="3378"/>
      <c r="AI113" s="3378"/>
      <c r="AJ113" s="3378"/>
      <c r="AK113" s="3378"/>
      <c r="AL113" s="3378"/>
      <c r="AM113" s="3378"/>
      <c r="AN113" s="3378"/>
      <c r="AO113" s="3378"/>
      <c r="AP113" s="3378"/>
      <c r="AQ113" s="3378"/>
      <c r="AR113" s="3378"/>
      <c r="AS113" s="3378"/>
      <c r="AT113" s="3378"/>
      <c r="AU113" s="3378"/>
      <c r="AV113" s="3378"/>
      <c r="AW113" s="3378"/>
      <c r="AX113" s="3378"/>
      <c r="AY113" s="3378"/>
      <c r="AZ113" s="3378"/>
      <c r="BA113" s="3378"/>
      <c r="BB113" s="3378"/>
      <c r="BC113" s="3378"/>
      <c r="BD113" s="3378"/>
      <c r="BE113" s="3378"/>
      <c r="BF113" s="3378"/>
      <c r="BG113" s="3378"/>
      <c r="BH113" s="3378"/>
      <c r="BI113" s="3378"/>
      <c r="BJ113" s="3375"/>
      <c r="BK113" s="3375"/>
      <c r="BL113" s="3375"/>
      <c r="BM113" s="3382"/>
      <c r="BN113" s="3375"/>
      <c r="BO113" s="2764"/>
      <c r="BP113" s="2764"/>
      <c r="BQ113" s="3377"/>
      <c r="BR113" s="3361"/>
      <c r="BS113" s="3377"/>
      <c r="BT113" s="3361"/>
      <c r="BU113" s="3363"/>
    </row>
    <row r="114" spans="1:73" s="1542" customFormat="1" ht="64.5" customHeight="1" x14ac:dyDescent="0.25">
      <c r="A114" s="3389"/>
      <c r="B114" s="3391"/>
      <c r="C114" s="1631"/>
      <c r="D114" s="1661"/>
      <c r="E114" s="3224"/>
      <c r="F114" s="3224"/>
      <c r="G114" s="3213"/>
      <c r="H114" s="3393"/>
      <c r="I114" s="3213"/>
      <c r="J114" s="3393"/>
      <c r="K114" s="3213"/>
      <c r="L114" s="3204"/>
      <c r="M114" s="3213"/>
      <c r="N114" s="3204"/>
      <c r="O114" s="3387"/>
      <c r="P114" s="3387"/>
      <c r="Q114" s="3388"/>
      <c r="R114" s="3204"/>
      <c r="S114" s="3384"/>
      <c r="T114" s="3385"/>
      <c r="U114" s="3204"/>
      <c r="V114" s="3204"/>
      <c r="W114" s="1666" t="s">
        <v>2406</v>
      </c>
      <c r="X114" s="1591">
        <v>50000000</v>
      </c>
      <c r="Y114" s="1591">
        <v>34000000</v>
      </c>
      <c r="Z114" s="1591">
        <v>34000000</v>
      </c>
      <c r="AA114" s="1664" t="s">
        <v>2405</v>
      </c>
      <c r="AB114" s="1220">
        <v>42</v>
      </c>
      <c r="AC114" s="905" t="s">
        <v>2393</v>
      </c>
      <c r="AD114" s="3378"/>
      <c r="AE114" s="3378"/>
      <c r="AF114" s="3378"/>
      <c r="AG114" s="3378"/>
      <c r="AH114" s="3378"/>
      <c r="AI114" s="3378"/>
      <c r="AJ114" s="3378"/>
      <c r="AK114" s="3378"/>
      <c r="AL114" s="3378"/>
      <c r="AM114" s="3378"/>
      <c r="AN114" s="3378"/>
      <c r="AO114" s="3378"/>
      <c r="AP114" s="3378"/>
      <c r="AQ114" s="3378"/>
      <c r="AR114" s="3378"/>
      <c r="AS114" s="3378"/>
      <c r="AT114" s="3378"/>
      <c r="AU114" s="3378"/>
      <c r="AV114" s="3378"/>
      <c r="AW114" s="3378"/>
      <c r="AX114" s="3378"/>
      <c r="AY114" s="3378"/>
      <c r="AZ114" s="3378"/>
      <c r="BA114" s="3378"/>
      <c r="BB114" s="3378"/>
      <c r="BC114" s="3378"/>
      <c r="BD114" s="3378"/>
      <c r="BE114" s="3378"/>
      <c r="BF114" s="3378"/>
      <c r="BG114" s="3378"/>
      <c r="BH114" s="3378"/>
      <c r="BI114" s="3378"/>
      <c r="BJ114" s="3375"/>
      <c r="BK114" s="3375"/>
      <c r="BL114" s="3375"/>
      <c r="BM114" s="3382"/>
      <c r="BN114" s="3375"/>
      <c r="BO114" s="2764"/>
      <c r="BP114" s="2764"/>
      <c r="BQ114" s="3377"/>
      <c r="BR114" s="3361"/>
      <c r="BS114" s="3377"/>
      <c r="BT114" s="3361"/>
      <c r="BU114" s="3363"/>
    </row>
    <row r="115" spans="1:73" s="1542" customFormat="1" ht="30" customHeight="1" x14ac:dyDescent="0.25">
      <c r="A115" s="3389"/>
      <c r="B115" s="3391"/>
      <c r="C115" s="1631"/>
      <c r="D115" s="1661"/>
      <c r="E115" s="3224"/>
      <c r="F115" s="3224"/>
      <c r="G115" s="3213"/>
      <c r="H115" s="3393"/>
      <c r="I115" s="3213"/>
      <c r="J115" s="3393"/>
      <c r="K115" s="3213"/>
      <c r="L115" s="3204"/>
      <c r="M115" s="3213"/>
      <c r="N115" s="3204"/>
      <c r="O115" s="3387"/>
      <c r="P115" s="3387"/>
      <c r="Q115" s="3388"/>
      <c r="R115" s="3204"/>
      <c r="S115" s="3384"/>
      <c r="T115" s="3385"/>
      <c r="U115" s="3204"/>
      <c r="V115" s="3204"/>
      <c r="W115" s="1666" t="s">
        <v>2407</v>
      </c>
      <c r="X115" s="1591">
        <v>64541249</v>
      </c>
      <c r="Y115" s="1591">
        <v>54000000</v>
      </c>
      <c r="Z115" s="1591">
        <v>54000000</v>
      </c>
      <c r="AA115" s="1664" t="s">
        <v>2405</v>
      </c>
      <c r="AB115" s="1220">
        <v>42</v>
      </c>
      <c r="AC115" s="905" t="s">
        <v>2393</v>
      </c>
      <c r="AD115" s="3378"/>
      <c r="AE115" s="3378"/>
      <c r="AF115" s="3378"/>
      <c r="AG115" s="3378"/>
      <c r="AH115" s="3378"/>
      <c r="AI115" s="3378"/>
      <c r="AJ115" s="3378"/>
      <c r="AK115" s="3378"/>
      <c r="AL115" s="3378"/>
      <c r="AM115" s="3378"/>
      <c r="AN115" s="3378"/>
      <c r="AO115" s="3378"/>
      <c r="AP115" s="3378"/>
      <c r="AQ115" s="3378"/>
      <c r="AR115" s="3378"/>
      <c r="AS115" s="3378"/>
      <c r="AT115" s="3378"/>
      <c r="AU115" s="3378"/>
      <c r="AV115" s="3378"/>
      <c r="AW115" s="3378"/>
      <c r="AX115" s="3378"/>
      <c r="AY115" s="3378"/>
      <c r="AZ115" s="3378"/>
      <c r="BA115" s="3378"/>
      <c r="BB115" s="3378"/>
      <c r="BC115" s="3378"/>
      <c r="BD115" s="3378"/>
      <c r="BE115" s="3378"/>
      <c r="BF115" s="3378"/>
      <c r="BG115" s="3378"/>
      <c r="BH115" s="3378"/>
      <c r="BI115" s="3378"/>
      <c r="BJ115" s="3375"/>
      <c r="BK115" s="3375"/>
      <c r="BL115" s="3375"/>
      <c r="BM115" s="3382"/>
      <c r="BN115" s="3375"/>
      <c r="BO115" s="2764"/>
      <c r="BP115" s="2764"/>
      <c r="BQ115" s="3377"/>
      <c r="BR115" s="3361"/>
      <c r="BS115" s="3377"/>
      <c r="BT115" s="3361"/>
      <c r="BU115" s="3363"/>
    </row>
    <row r="116" spans="1:73" s="1542" customFormat="1" ht="30" customHeight="1" x14ac:dyDescent="0.25">
      <c r="A116" s="3389"/>
      <c r="B116" s="3391"/>
      <c r="C116" s="1631"/>
      <c r="D116" s="1661"/>
      <c r="E116" s="3224"/>
      <c r="F116" s="3224"/>
      <c r="G116" s="3213"/>
      <c r="H116" s="3393"/>
      <c r="I116" s="3213"/>
      <c r="J116" s="3393"/>
      <c r="K116" s="3213"/>
      <c r="L116" s="3204"/>
      <c r="M116" s="3213"/>
      <c r="N116" s="3204"/>
      <c r="O116" s="3387"/>
      <c r="P116" s="3387"/>
      <c r="Q116" s="3388"/>
      <c r="R116" s="3204"/>
      <c r="S116" s="3384"/>
      <c r="T116" s="3385"/>
      <c r="U116" s="3204"/>
      <c r="V116" s="3204"/>
      <c r="W116" s="3366" t="s">
        <v>2408</v>
      </c>
      <c r="X116" s="1591">
        <v>0</v>
      </c>
      <c r="Y116" s="1591"/>
      <c r="Z116" s="1591"/>
      <c r="AA116" s="1667" t="s">
        <v>2409</v>
      </c>
      <c r="AB116" s="3335">
        <v>42</v>
      </c>
      <c r="AC116" s="3337" t="s">
        <v>2393</v>
      </c>
      <c r="AD116" s="3378"/>
      <c r="AE116" s="3378"/>
      <c r="AF116" s="3378"/>
      <c r="AG116" s="3378"/>
      <c r="AH116" s="3378"/>
      <c r="AI116" s="3378"/>
      <c r="AJ116" s="3378"/>
      <c r="AK116" s="3378"/>
      <c r="AL116" s="3378"/>
      <c r="AM116" s="3378"/>
      <c r="AN116" s="3378"/>
      <c r="AO116" s="3378"/>
      <c r="AP116" s="3378"/>
      <c r="AQ116" s="3378"/>
      <c r="AR116" s="3378"/>
      <c r="AS116" s="3378"/>
      <c r="AT116" s="3378"/>
      <c r="AU116" s="3378"/>
      <c r="AV116" s="3378"/>
      <c r="AW116" s="3378"/>
      <c r="AX116" s="3378"/>
      <c r="AY116" s="3378"/>
      <c r="AZ116" s="3378"/>
      <c r="BA116" s="3378"/>
      <c r="BB116" s="3378"/>
      <c r="BC116" s="3378"/>
      <c r="BD116" s="3378"/>
      <c r="BE116" s="3378"/>
      <c r="BF116" s="3378"/>
      <c r="BG116" s="3378"/>
      <c r="BH116" s="3378"/>
      <c r="BI116" s="3378"/>
      <c r="BJ116" s="3375"/>
      <c r="BK116" s="3375"/>
      <c r="BL116" s="3375"/>
      <c r="BM116" s="3382"/>
      <c r="BN116" s="3375"/>
      <c r="BO116" s="2764"/>
      <c r="BP116" s="2764"/>
      <c r="BQ116" s="3377"/>
      <c r="BR116" s="3361"/>
      <c r="BS116" s="3377"/>
      <c r="BT116" s="3361"/>
      <c r="BU116" s="3363"/>
    </row>
    <row r="117" spans="1:73" s="1542" customFormat="1" ht="38.25" customHeight="1" x14ac:dyDescent="0.25">
      <c r="A117" s="3389"/>
      <c r="B117" s="3391"/>
      <c r="C117" s="1631"/>
      <c r="D117" s="1661"/>
      <c r="E117" s="3224"/>
      <c r="F117" s="3224"/>
      <c r="G117" s="3213"/>
      <c r="H117" s="3393"/>
      <c r="I117" s="3213"/>
      <c r="J117" s="3393"/>
      <c r="K117" s="3213"/>
      <c r="L117" s="3204"/>
      <c r="M117" s="3213"/>
      <c r="N117" s="3204"/>
      <c r="O117" s="3387"/>
      <c r="P117" s="3387"/>
      <c r="Q117" s="3388"/>
      <c r="R117" s="3204"/>
      <c r="S117" s="3384"/>
      <c r="T117" s="3385"/>
      <c r="U117" s="3204"/>
      <c r="V117" s="3204"/>
      <c r="W117" s="3367"/>
      <c r="X117" s="1591">
        <v>48000000</v>
      </c>
      <c r="Y117" s="1591"/>
      <c r="Z117" s="1591"/>
      <c r="AA117" s="1664" t="s">
        <v>2402</v>
      </c>
      <c r="AB117" s="3368"/>
      <c r="AC117" s="3369"/>
      <c r="AD117" s="3378"/>
      <c r="AE117" s="3378"/>
      <c r="AF117" s="3378"/>
      <c r="AG117" s="3378"/>
      <c r="AH117" s="3378"/>
      <c r="AI117" s="3378"/>
      <c r="AJ117" s="3378"/>
      <c r="AK117" s="3378"/>
      <c r="AL117" s="3378"/>
      <c r="AM117" s="3378"/>
      <c r="AN117" s="3378"/>
      <c r="AO117" s="3378"/>
      <c r="AP117" s="3378"/>
      <c r="AQ117" s="3378"/>
      <c r="AR117" s="3378"/>
      <c r="AS117" s="3378"/>
      <c r="AT117" s="3378"/>
      <c r="AU117" s="3378"/>
      <c r="AV117" s="3378"/>
      <c r="AW117" s="3378"/>
      <c r="AX117" s="3378"/>
      <c r="AY117" s="3378"/>
      <c r="AZ117" s="3378"/>
      <c r="BA117" s="3378"/>
      <c r="BB117" s="3378"/>
      <c r="BC117" s="3378"/>
      <c r="BD117" s="3378"/>
      <c r="BE117" s="3378"/>
      <c r="BF117" s="3378"/>
      <c r="BG117" s="3378"/>
      <c r="BH117" s="3378"/>
      <c r="BI117" s="3378"/>
      <c r="BJ117" s="3375"/>
      <c r="BK117" s="3375"/>
      <c r="BL117" s="3375"/>
      <c r="BM117" s="3382"/>
      <c r="BN117" s="3375"/>
      <c r="BO117" s="2764"/>
      <c r="BP117" s="2764"/>
      <c r="BQ117" s="3377"/>
      <c r="BR117" s="3361"/>
      <c r="BS117" s="3377"/>
      <c r="BT117" s="3361"/>
      <c r="BU117" s="3363"/>
    </row>
    <row r="118" spans="1:73" s="1542" customFormat="1" ht="38.25" customHeight="1" x14ac:dyDescent="0.25">
      <c r="A118" s="3389"/>
      <c r="B118" s="3391"/>
      <c r="C118" s="1631"/>
      <c r="D118" s="1661"/>
      <c r="E118" s="3224"/>
      <c r="F118" s="3224"/>
      <c r="G118" s="3213"/>
      <c r="H118" s="3393"/>
      <c r="I118" s="3213"/>
      <c r="J118" s="3393"/>
      <c r="K118" s="3213"/>
      <c r="L118" s="3204"/>
      <c r="M118" s="3213"/>
      <c r="N118" s="3204"/>
      <c r="O118" s="3387"/>
      <c r="P118" s="3387"/>
      <c r="Q118" s="3388"/>
      <c r="R118" s="3204"/>
      <c r="S118" s="3384"/>
      <c r="T118" s="3385"/>
      <c r="U118" s="3204"/>
      <c r="V118" s="3204"/>
      <c r="W118" s="1668" t="s">
        <v>2410</v>
      </c>
      <c r="X118" s="1591">
        <v>25000000</v>
      </c>
      <c r="Y118" s="1591">
        <v>24992000</v>
      </c>
      <c r="Z118" s="1591">
        <v>24992000</v>
      </c>
      <c r="AA118" s="1667" t="s">
        <v>2411</v>
      </c>
      <c r="AB118" s="1220">
        <v>42</v>
      </c>
      <c r="AC118" s="905" t="s">
        <v>2393</v>
      </c>
      <c r="AD118" s="3378"/>
      <c r="AE118" s="3378"/>
      <c r="AF118" s="3378"/>
      <c r="AG118" s="3378"/>
      <c r="AH118" s="3378"/>
      <c r="AI118" s="3378"/>
      <c r="AJ118" s="3378"/>
      <c r="AK118" s="3378"/>
      <c r="AL118" s="3378"/>
      <c r="AM118" s="3378"/>
      <c r="AN118" s="3378"/>
      <c r="AO118" s="3378"/>
      <c r="AP118" s="3378"/>
      <c r="AQ118" s="3378"/>
      <c r="AR118" s="3378"/>
      <c r="AS118" s="3378"/>
      <c r="AT118" s="3378"/>
      <c r="AU118" s="3378"/>
      <c r="AV118" s="3378"/>
      <c r="AW118" s="3378"/>
      <c r="AX118" s="3378"/>
      <c r="AY118" s="3378"/>
      <c r="AZ118" s="3378"/>
      <c r="BA118" s="3378"/>
      <c r="BB118" s="3378"/>
      <c r="BC118" s="3378"/>
      <c r="BD118" s="3378"/>
      <c r="BE118" s="3378"/>
      <c r="BF118" s="3378"/>
      <c r="BG118" s="3378"/>
      <c r="BH118" s="3378"/>
      <c r="BI118" s="3378"/>
      <c r="BJ118" s="3375"/>
      <c r="BK118" s="3375"/>
      <c r="BL118" s="3375"/>
      <c r="BM118" s="3382"/>
      <c r="BN118" s="3375"/>
      <c r="BO118" s="2764"/>
      <c r="BP118" s="2764"/>
      <c r="BQ118" s="3377"/>
      <c r="BR118" s="3361"/>
      <c r="BS118" s="3377"/>
      <c r="BT118" s="3361"/>
      <c r="BU118" s="3363"/>
    </row>
    <row r="119" spans="1:73" s="1542" customFormat="1" ht="62.25" customHeight="1" x14ac:dyDescent="0.25">
      <c r="A119" s="3389"/>
      <c r="B119" s="3391"/>
      <c r="C119" s="1631"/>
      <c r="D119" s="1661"/>
      <c r="E119" s="3224"/>
      <c r="F119" s="3224"/>
      <c r="G119" s="3213"/>
      <c r="H119" s="3393"/>
      <c r="I119" s="3213"/>
      <c r="J119" s="3393"/>
      <c r="K119" s="3213"/>
      <c r="L119" s="3204"/>
      <c r="M119" s="3213"/>
      <c r="N119" s="3204"/>
      <c r="O119" s="3387"/>
      <c r="P119" s="3387"/>
      <c r="Q119" s="3388"/>
      <c r="R119" s="3204"/>
      <c r="S119" s="3384"/>
      <c r="T119" s="3385"/>
      <c r="U119" s="3204"/>
      <c r="V119" s="3204"/>
      <c r="W119" s="1666" t="s">
        <v>2412</v>
      </c>
      <c r="X119" s="1591">
        <v>11540000</v>
      </c>
      <c r="Y119" s="1591">
        <v>11540000</v>
      </c>
      <c r="Z119" s="1591">
        <v>11540000</v>
      </c>
      <c r="AA119" s="1664" t="s">
        <v>2405</v>
      </c>
      <c r="AB119" s="1220">
        <v>42</v>
      </c>
      <c r="AC119" s="905" t="s">
        <v>2393</v>
      </c>
      <c r="AD119" s="3378"/>
      <c r="AE119" s="3378"/>
      <c r="AF119" s="3378"/>
      <c r="AG119" s="3378"/>
      <c r="AH119" s="3378"/>
      <c r="AI119" s="3378"/>
      <c r="AJ119" s="3378"/>
      <c r="AK119" s="3378"/>
      <c r="AL119" s="3378"/>
      <c r="AM119" s="3378"/>
      <c r="AN119" s="3378"/>
      <c r="AO119" s="3378"/>
      <c r="AP119" s="3378"/>
      <c r="AQ119" s="3378"/>
      <c r="AR119" s="3378"/>
      <c r="AS119" s="3378"/>
      <c r="AT119" s="3378"/>
      <c r="AU119" s="3378"/>
      <c r="AV119" s="3378"/>
      <c r="AW119" s="3378"/>
      <c r="AX119" s="3378"/>
      <c r="AY119" s="3378"/>
      <c r="AZ119" s="3378"/>
      <c r="BA119" s="3378"/>
      <c r="BB119" s="3378"/>
      <c r="BC119" s="3378"/>
      <c r="BD119" s="3378"/>
      <c r="BE119" s="3378"/>
      <c r="BF119" s="3378"/>
      <c r="BG119" s="3378"/>
      <c r="BH119" s="3378"/>
      <c r="BI119" s="3378"/>
      <c r="BJ119" s="3375"/>
      <c r="BK119" s="3375"/>
      <c r="BL119" s="3375"/>
      <c r="BM119" s="3382"/>
      <c r="BN119" s="3375"/>
      <c r="BO119" s="2764"/>
      <c r="BP119" s="2764"/>
      <c r="BQ119" s="3377"/>
      <c r="BR119" s="3361"/>
      <c r="BS119" s="3377"/>
      <c r="BT119" s="3361"/>
      <c r="BU119" s="3363"/>
    </row>
    <row r="120" spans="1:73" s="1542" customFormat="1" ht="31.5" customHeight="1" x14ac:dyDescent="0.25">
      <c r="A120" s="3389"/>
      <c r="B120" s="3391"/>
      <c r="C120" s="1631"/>
      <c r="D120" s="1661"/>
      <c r="E120" s="3224"/>
      <c r="F120" s="3224"/>
      <c r="G120" s="3213"/>
      <c r="H120" s="3393"/>
      <c r="I120" s="3213"/>
      <c r="J120" s="3393"/>
      <c r="K120" s="3213"/>
      <c r="L120" s="3204"/>
      <c r="M120" s="3213"/>
      <c r="N120" s="3204"/>
      <c r="O120" s="3387"/>
      <c r="P120" s="3387"/>
      <c r="Q120" s="3388"/>
      <c r="R120" s="3204"/>
      <c r="S120" s="3384"/>
      <c r="T120" s="3385"/>
      <c r="U120" s="3204"/>
      <c r="V120" s="3204"/>
      <c r="W120" s="3366" t="s">
        <v>2413</v>
      </c>
      <c r="X120" s="1591">
        <v>71000000</v>
      </c>
      <c r="Y120" s="1591"/>
      <c r="Z120" s="1591"/>
      <c r="AA120" s="1669" t="s">
        <v>2402</v>
      </c>
      <c r="AB120" s="1220">
        <v>42</v>
      </c>
      <c r="AC120" s="905" t="s">
        <v>2393</v>
      </c>
      <c r="AD120" s="3378"/>
      <c r="AE120" s="3378"/>
      <c r="AF120" s="3378"/>
      <c r="AG120" s="3378"/>
      <c r="AH120" s="3378"/>
      <c r="AI120" s="3378"/>
      <c r="AJ120" s="3378"/>
      <c r="AK120" s="3378"/>
      <c r="AL120" s="3378"/>
      <c r="AM120" s="3378"/>
      <c r="AN120" s="3378"/>
      <c r="AO120" s="3378"/>
      <c r="AP120" s="3378"/>
      <c r="AQ120" s="3378"/>
      <c r="AR120" s="3378"/>
      <c r="AS120" s="3378"/>
      <c r="AT120" s="3378"/>
      <c r="AU120" s="3378"/>
      <c r="AV120" s="3378"/>
      <c r="AW120" s="3378"/>
      <c r="AX120" s="3378"/>
      <c r="AY120" s="3378"/>
      <c r="AZ120" s="3378"/>
      <c r="BA120" s="3378"/>
      <c r="BB120" s="3378"/>
      <c r="BC120" s="3378"/>
      <c r="BD120" s="3378"/>
      <c r="BE120" s="3378"/>
      <c r="BF120" s="3378"/>
      <c r="BG120" s="3378"/>
      <c r="BH120" s="3378"/>
      <c r="BI120" s="3378"/>
      <c r="BJ120" s="3375"/>
      <c r="BK120" s="3375"/>
      <c r="BL120" s="3375"/>
      <c r="BM120" s="3382"/>
      <c r="BN120" s="3375"/>
      <c r="BO120" s="2764"/>
      <c r="BP120" s="2764"/>
      <c r="BQ120" s="3377"/>
      <c r="BR120" s="3361"/>
      <c r="BS120" s="3377"/>
      <c r="BT120" s="3361"/>
      <c r="BU120" s="3363"/>
    </row>
    <row r="121" spans="1:73" s="1542" customFormat="1" ht="33.75" customHeight="1" x14ac:dyDescent="0.25">
      <c r="A121" s="3389"/>
      <c r="B121" s="3391"/>
      <c r="C121" s="1631"/>
      <c r="D121" s="1661"/>
      <c r="E121" s="3224"/>
      <c r="F121" s="3224"/>
      <c r="G121" s="3213"/>
      <c r="H121" s="3393"/>
      <c r="I121" s="3213"/>
      <c r="J121" s="3393"/>
      <c r="K121" s="3213"/>
      <c r="L121" s="3204"/>
      <c r="M121" s="3213"/>
      <c r="N121" s="3204"/>
      <c r="O121" s="3387"/>
      <c r="P121" s="3387"/>
      <c r="Q121" s="3388"/>
      <c r="R121" s="3204"/>
      <c r="S121" s="3384"/>
      <c r="T121" s="3385"/>
      <c r="U121" s="3204"/>
      <c r="V121" s="3204"/>
      <c r="W121" s="3370"/>
      <c r="X121" s="1591">
        <v>50000000</v>
      </c>
      <c r="Y121" s="1591"/>
      <c r="Z121" s="1591"/>
      <c r="AA121" s="1664" t="s">
        <v>2400</v>
      </c>
      <c r="AB121" s="1220">
        <v>42</v>
      </c>
      <c r="AC121" s="905" t="s">
        <v>2393</v>
      </c>
      <c r="AD121" s="3378"/>
      <c r="AE121" s="3378"/>
      <c r="AF121" s="3378"/>
      <c r="AG121" s="3378"/>
      <c r="AH121" s="3378"/>
      <c r="AI121" s="3378"/>
      <c r="AJ121" s="3378"/>
      <c r="AK121" s="3378"/>
      <c r="AL121" s="3378"/>
      <c r="AM121" s="3378"/>
      <c r="AN121" s="3378"/>
      <c r="AO121" s="3378"/>
      <c r="AP121" s="3378"/>
      <c r="AQ121" s="3378"/>
      <c r="AR121" s="3378"/>
      <c r="AS121" s="3378"/>
      <c r="AT121" s="3378"/>
      <c r="AU121" s="3378"/>
      <c r="AV121" s="3378"/>
      <c r="AW121" s="3378"/>
      <c r="AX121" s="3378"/>
      <c r="AY121" s="3378"/>
      <c r="AZ121" s="3378"/>
      <c r="BA121" s="3378"/>
      <c r="BB121" s="3378"/>
      <c r="BC121" s="3378"/>
      <c r="BD121" s="3378"/>
      <c r="BE121" s="3378"/>
      <c r="BF121" s="3378"/>
      <c r="BG121" s="3378"/>
      <c r="BH121" s="3378"/>
      <c r="BI121" s="3378"/>
      <c r="BJ121" s="3375"/>
      <c r="BK121" s="3375"/>
      <c r="BL121" s="3375"/>
      <c r="BM121" s="3382"/>
      <c r="BN121" s="3375"/>
      <c r="BO121" s="2764"/>
      <c r="BP121" s="2764"/>
      <c r="BQ121" s="3377"/>
      <c r="BR121" s="3361"/>
      <c r="BS121" s="3377"/>
      <c r="BT121" s="3361"/>
      <c r="BU121" s="3363"/>
    </row>
    <row r="122" spans="1:73" s="1542" customFormat="1" ht="30" customHeight="1" x14ac:dyDescent="0.25">
      <c r="A122" s="3389"/>
      <c r="B122" s="3391"/>
      <c r="C122" s="1631"/>
      <c r="D122" s="1661"/>
      <c r="E122" s="3224"/>
      <c r="F122" s="3224"/>
      <c r="G122" s="3213"/>
      <c r="H122" s="3393"/>
      <c r="I122" s="3213"/>
      <c r="J122" s="3393"/>
      <c r="K122" s="3213"/>
      <c r="L122" s="3204"/>
      <c r="M122" s="3213"/>
      <c r="N122" s="3204"/>
      <c r="O122" s="3387"/>
      <c r="P122" s="3387"/>
      <c r="Q122" s="3388"/>
      <c r="R122" s="3204"/>
      <c r="S122" s="3384"/>
      <c r="T122" s="3385"/>
      <c r="U122" s="3204"/>
      <c r="V122" s="3204"/>
      <c r="W122" s="3367"/>
      <c r="X122" s="1591">
        <v>19000000</v>
      </c>
      <c r="Y122" s="1591">
        <v>19000000</v>
      </c>
      <c r="Z122" s="1591">
        <v>19000000</v>
      </c>
      <c r="AA122" s="1664" t="s">
        <v>2405</v>
      </c>
      <c r="AB122" s="1220">
        <v>42</v>
      </c>
      <c r="AC122" s="890" t="s">
        <v>2393</v>
      </c>
      <c r="AD122" s="3378"/>
      <c r="AE122" s="3378"/>
      <c r="AF122" s="3378"/>
      <c r="AG122" s="3378"/>
      <c r="AH122" s="3378"/>
      <c r="AI122" s="3378"/>
      <c r="AJ122" s="3378"/>
      <c r="AK122" s="3378"/>
      <c r="AL122" s="3378"/>
      <c r="AM122" s="3378"/>
      <c r="AN122" s="3378"/>
      <c r="AO122" s="3378"/>
      <c r="AP122" s="3378"/>
      <c r="AQ122" s="3378"/>
      <c r="AR122" s="3378"/>
      <c r="AS122" s="3378"/>
      <c r="AT122" s="3378"/>
      <c r="AU122" s="3378"/>
      <c r="AV122" s="3378"/>
      <c r="AW122" s="3378"/>
      <c r="AX122" s="3378"/>
      <c r="AY122" s="3378"/>
      <c r="AZ122" s="3378"/>
      <c r="BA122" s="3378"/>
      <c r="BB122" s="3378"/>
      <c r="BC122" s="3378"/>
      <c r="BD122" s="3378"/>
      <c r="BE122" s="3378"/>
      <c r="BF122" s="3378"/>
      <c r="BG122" s="3378"/>
      <c r="BH122" s="3378"/>
      <c r="BI122" s="3378"/>
      <c r="BJ122" s="3375"/>
      <c r="BK122" s="3375"/>
      <c r="BL122" s="3375"/>
      <c r="BM122" s="3382"/>
      <c r="BN122" s="3375"/>
      <c r="BO122" s="2764"/>
      <c r="BP122" s="2764"/>
      <c r="BQ122" s="3377"/>
      <c r="BR122" s="3361"/>
      <c r="BS122" s="3377"/>
      <c r="BT122" s="3361"/>
      <c r="BU122" s="3363"/>
    </row>
    <row r="123" spans="1:73" s="1542" customFormat="1" ht="39.950000000000003" customHeight="1" x14ac:dyDescent="0.25">
      <c r="A123" s="3389"/>
      <c r="B123" s="3391"/>
      <c r="C123" s="1631"/>
      <c r="D123" s="1661"/>
      <c r="E123" s="3224"/>
      <c r="F123" s="3224"/>
      <c r="G123" s="3213"/>
      <c r="H123" s="3393"/>
      <c r="I123" s="3213"/>
      <c r="J123" s="3393"/>
      <c r="K123" s="3213"/>
      <c r="L123" s="3204"/>
      <c r="M123" s="3213"/>
      <c r="N123" s="3204"/>
      <c r="O123" s="3387"/>
      <c r="P123" s="3387"/>
      <c r="Q123" s="3388"/>
      <c r="R123" s="3204"/>
      <c r="S123" s="3384"/>
      <c r="T123" s="3385"/>
      <c r="U123" s="3204"/>
      <c r="V123" s="3204"/>
      <c r="W123" s="1670" t="s">
        <v>2414</v>
      </c>
      <c r="X123" s="1591">
        <v>50000000</v>
      </c>
      <c r="Y123" s="1591"/>
      <c r="Z123" s="1591"/>
      <c r="AA123" s="1664" t="s">
        <v>2402</v>
      </c>
      <c r="AB123" s="1671">
        <v>42</v>
      </c>
      <c r="AC123" s="903" t="s">
        <v>2393</v>
      </c>
      <c r="AD123" s="3379"/>
      <c r="AE123" s="3379"/>
      <c r="AF123" s="3379"/>
      <c r="AG123" s="3379"/>
      <c r="AH123" s="3379"/>
      <c r="AI123" s="3379"/>
      <c r="AJ123" s="3379"/>
      <c r="AK123" s="3379"/>
      <c r="AL123" s="3379"/>
      <c r="AM123" s="3379"/>
      <c r="AN123" s="3379"/>
      <c r="AO123" s="3379"/>
      <c r="AP123" s="3379"/>
      <c r="AQ123" s="3379"/>
      <c r="AR123" s="3379"/>
      <c r="AS123" s="3379"/>
      <c r="AT123" s="3379"/>
      <c r="AU123" s="3379"/>
      <c r="AV123" s="3379"/>
      <c r="AW123" s="3379"/>
      <c r="AX123" s="3379"/>
      <c r="AY123" s="3379"/>
      <c r="AZ123" s="3379"/>
      <c r="BA123" s="3379"/>
      <c r="BB123" s="3379"/>
      <c r="BC123" s="3379"/>
      <c r="BD123" s="3379"/>
      <c r="BE123" s="3379"/>
      <c r="BF123" s="3379"/>
      <c r="BG123" s="3379"/>
      <c r="BH123" s="3379"/>
      <c r="BI123" s="3379"/>
      <c r="BJ123" s="3375"/>
      <c r="BK123" s="3375"/>
      <c r="BL123" s="3375"/>
      <c r="BM123" s="3382"/>
      <c r="BN123" s="3375"/>
      <c r="BO123" s="2764"/>
      <c r="BP123" s="2764"/>
      <c r="BQ123" s="3377"/>
      <c r="BR123" s="3361"/>
      <c r="BS123" s="3377"/>
      <c r="BT123" s="3361"/>
      <c r="BU123" s="3363"/>
    </row>
    <row r="124" spans="1:73" s="1542" customFormat="1" ht="39.950000000000003" customHeight="1" x14ac:dyDescent="0.25">
      <c r="A124" s="3389"/>
      <c r="B124" s="3391"/>
      <c r="C124" s="1631"/>
      <c r="D124" s="1661"/>
      <c r="E124" s="3224"/>
      <c r="F124" s="3224"/>
      <c r="G124" s="3213"/>
      <c r="H124" s="3393"/>
      <c r="I124" s="3213"/>
      <c r="J124" s="3393"/>
      <c r="K124" s="3213"/>
      <c r="L124" s="3204"/>
      <c r="M124" s="3213"/>
      <c r="N124" s="3204"/>
      <c r="O124" s="3387"/>
      <c r="P124" s="3387"/>
      <c r="Q124" s="3388"/>
      <c r="R124" s="3204"/>
      <c r="S124" s="3384"/>
      <c r="T124" s="3385"/>
      <c r="U124" s="3204"/>
      <c r="V124" s="3204"/>
      <c r="W124" s="3371" t="s">
        <v>2415</v>
      </c>
      <c r="X124" s="1591">
        <v>29918751</v>
      </c>
      <c r="Y124" s="1591">
        <v>29877898.289999999</v>
      </c>
      <c r="Z124" s="1591">
        <v>29877898.289999999</v>
      </c>
      <c r="AA124" s="1664" t="s">
        <v>2405</v>
      </c>
      <c r="AB124" s="1671">
        <v>42</v>
      </c>
      <c r="AC124" s="903" t="s">
        <v>2393</v>
      </c>
      <c r="AD124" s="3379"/>
      <c r="AE124" s="3379"/>
      <c r="AF124" s="3379"/>
      <c r="AG124" s="3379"/>
      <c r="AH124" s="3379"/>
      <c r="AI124" s="3379"/>
      <c r="AJ124" s="3379"/>
      <c r="AK124" s="3379"/>
      <c r="AL124" s="3379"/>
      <c r="AM124" s="3379"/>
      <c r="AN124" s="3379"/>
      <c r="AO124" s="3379"/>
      <c r="AP124" s="3379"/>
      <c r="AQ124" s="3379"/>
      <c r="AR124" s="3379"/>
      <c r="AS124" s="3379"/>
      <c r="AT124" s="3379"/>
      <c r="AU124" s="3379"/>
      <c r="AV124" s="3379"/>
      <c r="AW124" s="3379"/>
      <c r="AX124" s="3379"/>
      <c r="AY124" s="3379"/>
      <c r="AZ124" s="3379"/>
      <c r="BA124" s="3379"/>
      <c r="BB124" s="3379"/>
      <c r="BC124" s="3379"/>
      <c r="BD124" s="3379"/>
      <c r="BE124" s="3379"/>
      <c r="BF124" s="3379"/>
      <c r="BG124" s="3379"/>
      <c r="BH124" s="3379"/>
      <c r="BI124" s="3379"/>
      <c r="BJ124" s="3375"/>
      <c r="BK124" s="3375"/>
      <c r="BL124" s="3375"/>
      <c r="BM124" s="3382"/>
      <c r="BN124" s="3375"/>
      <c r="BO124" s="2764"/>
      <c r="BP124" s="2764"/>
      <c r="BQ124" s="3377"/>
      <c r="BR124" s="3361"/>
      <c r="BS124" s="3377"/>
      <c r="BT124" s="3361"/>
      <c r="BU124" s="3363"/>
    </row>
    <row r="125" spans="1:73" s="1542" customFormat="1" ht="39.950000000000003" customHeight="1" x14ac:dyDescent="0.25">
      <c r="A125" s="3389"/>
      <c r="B125" s="3391"/>
      <c r="C125" s="1631"/>
      <c r="D125" s="1661"/>
      <c r="E125" s="3224"/>
      <c r="F125" s="3224"/>
      <c r="G125" s="3213"/>
      <c r="H125" s="3393"/>
      <c r="I125" s="3213"/>
      <c r="J125" s="3393"/>
      <c r="K125" s="3213"/>
      <c r="L125" s="3204"/>
      <c r="M125" s="3213"/>
      <c r="N125" s="3204"/>
      <c r="O125" s="3387"/>
      <c r="P125" s="3387"/>
      <c r="Q125" s="3388"/>
      <c r="R125" s="3204"/>
      <c r="S125" s="3384"/>
      <c r="T125" s="3385"/>
      <c r="U125" s="3204"/>
      <c r="V125" s="3204"/>
      <c r="W125" s="3372"/>
      <c r="X125" s="1591">
        <v>460000000</v>
      </c>
      <c r="Y125" s="1591">
        <v>460000000</v>
      </c>
      <c r="Z125" s="1591">
        <v>460000000</v>
      </c>
      <c r="AA125" s="1664" t="s">
        <v>2416</v>
      </c>
      <c r="AB125" s="1671">
        <v>42</v>
      </c>
      <c r="AC125" s="903" t="s">
        <v>2393</v>
      </c>
      <c r="AD125" s="3379"/>
      <c r="AE125" s="3379"/>
      <c r="AF125" s="3379"/>
      <c r="AG125" s="3379"/>
      <c r="AH125" s="3379"/>
      <c r="AI125" s="3379"/>
      <c r="AJ125" s="3379"/>
      <c r="AK125" s="3379"/>
      <c r="AL125" s="3379"/>
      <c r="AM125" s="3379"/>
      <c r="AN125" s="3379"/>
      <c r="AO125" s="3379"/>
      <c r="AP125" s="3379"/>
      <c r="AQ125" s="3379"/>
      <c r="AR125" s="3379"/>
      <c r="AS125" s="3379"/>
      <c r="AT125" s="3379"/>
      <c r="AU125" s="3379"/>
      <c r="AV125" s="3379"/>
      <c r="AW125" s="3379"/>
      <c r="AX125" s="3379"/>
      <c r="AY125" s="3379"/>
      <c r="AZ125" s="3379"/>
      <c r="BA125" s="3379"/>
      <c r="BB125" s="3379"/>
      <c r="BC125" s="3379"/>
      <c r="BD125" s="3379"/>
      <c r="BE125" s="3379"/>
      <c r="BF125" s="3379"/>
      <c r="BG125" s="3379"/>
      <c r="BH125" s="3379"/>
      <c r="BI125" s="3379"/>
      <c r="BJ125" s="3375"/>
      <c r="BK125" s="3375"/>
      <c r="BL125" s="3375"/>
      <c r="BM125" s="3382"/>
      <c r="BN125" s="3375"/>
      <c r="BO125" s="2764"/>
      <c r="BP125" s="2764"/>
      <c r="BQ125" s="3377"/>
      <c r="BR125" s="3361"/>
      <c r="BS125" s="3377"/>
      <c r="BT125" s="3361"/>
      <c r="BU125" s="3363"/>
    </row>
    <row r="126" spans="1:73" s="1542" customFormat="1" ht="68.25" customHeight="1" x14ac:dyDescent="0.25">
      <c r="A126" s="3389"/>
      <c r="B126" s="3391"/>
      <c r="C126" s="1631"/>
      <c r="D126" s="1661"/>
      <c r="E126" s="3224"/>
      <c r="F126" s="3224"/>
      <c r="G126" s="3213"/>
      <c r="H126" s="3393"/>
      <c r="I126" s="3213"/>
      <c r="J126" s="3393"/>
      <c r="K126" s="3213"/>
      <c r="L126" s="3204"/>
      <c r="M126" s="3213"/>
      <c r="N126" s="3204"/>
      <c r="O126" s="3387"/>
      <c r="P126" s="3387"/>
      <c r="Q126" s="3388"/>
      <c r="R126" s="3204"/>
      <c r="S126" s="3384"/>
      <c r="T126" s="3385"/>
      <c r="U126" s="3204"/>
      <c r="V126" s="3204"/>
      <c r="W126" s="3373"/>
      <c r="X126" s="1591">
        <v>1113264654.3299999</v>
      </c>
      <c r="Y126" s="1591">
        <v>110417010.33</v>
      </c>
      <c r="Z126" s="1591">
        <v>110417010.33</v>
      </c>
      <c r="AA126" s="1664" t="s">
        <v>2417</v>
      </c>
      <c r="AB126" s="1671">
        <v>92</v>
      </c>
      <c r="AC126" s="889" t="s">
        <v>2418</v>
      </c>
      <c r="AD126" s="3378"/>
      <c r="AE126" s="3378"/>
      <c r="AF126" s="3378"/>
      <c r="AG126" s="3378"/>
      <c r="AH126" s="3378"/>
      <c r="AI126" s="3378"/>
      <c r="AJ126" s="3378"/>
      <c r="AK126" s="3378"/>
      <c r="AL126" s="3378"/>
      <c r="AM126" s="3378"/>
      <c r="AN126" s="3378"/>
      <c r="AO126" s="3378"/>
      <c r="AP126" s="3378"/>
      <c r="AQ126" s="3378"/>
      <c r="AR126" s="3378"/>
      <c r="AS126" s="3378"/>
      <c r="AT126" s="3378"/>
      <c r="AU126" s="3378"/>
      <c r="AV126" s="3378"/>
      <c r="AW126" s="3378"/>
      <c r="AX126" s="3378"/>
      <c r="AY126" s="3378"/>
      <c r="AZ126" s="3378"/>
      <c r="BA126" s="3378"/>
      <c r="BB126" s="3378"/>
      <c r="BC126" s="3378"/>
      <c r="BD126" s="3378"/>
      <c r="BE126" s="3378"/>
      <c r="BF126" s="3378"/>
      <c r="BG126" s="3378"/>
      <c r="BH126" s="3378"/>
      <c r="BI126" s="3378"/>
      <c r="BJ126" s="3376"/>
      <c r="BK126" s="3376"/>
      <c r="BL126" s="3376"/>
      <c r="BM126" s="3383"/>
      <c r="BN126" s="3376"/>
      <c r="BO126" s="2765"/>
      <c r="BP126" s="2765"/>
      <c r="BQ126" s="3377"/>
      <c r="BR126" s="3362"/>
      <c r="BS126" s="3377"/>
      <c r="BT126" s="3362"/>
      <c r="BU126" s="3363"/>
    </row>
    <row r="127" spans="1:73" s="1542" customFormat="1" ht="57.75" customHeight="1" x14ac:dyDescent="0.25">
      <c r="A127" s="3389"/>
      <c r="B127" s="3391"/>
      <c r="C127" s="1631"/>
      <c r="D127" s="1661"/>
      <c r="E127" s="3224"/>
      <c r="F127" s="3224"/>
      <c r="G127" s="3213">
        <v>4501001</v>
      </c>
      <c r="H127" s="3214" t="s">
        <v>2419</v>
      </c>
      <c r="I127" s="3213">
        <v>4501001</v>
      </c>
      <c r="J127" s="3214" t="s">
        <v>2419</v>
      </c>
      <c r="K127" s="3206">
        <v>450100100</v>
      </c>
      <c r="L127" s="2771" t="s">
        <v>2420</v>
      </c>
      <c r="M127" s="3206">
        <v>4501000100</v>
      </c>
      <c r="N127" s="2771" t="s">
        <v>2421</v>
      </c>
      <c r="O127" s="3206">
        <v>12</v>
      </c>
      <c r="P127" s="3206">
        <v>12</v>
      </c>
      <c r="Q127" s="3206" t="s">
        <v>2422</v>
      </c>
      <c r="R127" s="2771" t="s">
        <v>2423</v>
      </c>
      <c r="S127" s="3355">
        <f>SUM(X127:X130)/T127</f>
        <v>1</v>
      </c>
      <c r="T127" s="3356">
        <f>SUM(X127:X130)</f>
        <v>49500000</v>
      </c>
      <c r="U127" s="2681" t="s">
        <v>2279</v>
      </c>
      <c r="V127" s="2771" t="s">
        <v>2424</v>
      </c>
      <c r="W127" s="3333" t="s">
        <v>2425</v>
      </c>
      <c r="X127" s="1591">
        <v>23500000</v>
      </c>
      <c r="Y127" s="1591">
        <v>21955499</v>
      </c>
      <c r="Z127" s="1591">
        <v>21955499</v>
      </c>
      <c r="AA127" s="1181" t="s">
        <v>2426</v>
      </c>
      <c r="AB127" s="1220">
        <v>20</v>
      </c>
      <c r="AC127" s="905" t="s">
        <v>1830</v>
      </c>
      <c r="AD127" s="3351">
        <v>291786</v>
      </c>
      <c r="AE127" s="3354">
        <v>291786</v>
      </c>
      <c r="AF127" s="3348">
        <v>270331</v>
      </c>
      <c r="AG127" s="3348">
        <v>270331</v>
      </c>
      <c r="AH127" s="3348">
        <v>102045</v>
      </c>
      <c r="AI127" s="3348">
        <v>102045</v>
      </c>
      <c r="AJ127" s="3348">
        <v>39183</v>
      </c>
      <c r="AK127" s="3348">
        <v>39183</v>
      </c>
      <c r="AL127" s="3348">
        <v>310195</v>
      </c>
      <c r="AM127" s="3348">
        <v>310195</v>
      </c>
      <c r="AN127" s="3348">
        <v>110694</v>
      </c>
      <c r="AO127" s="3348">
        <v>110694</v>
      </c>
      <c r="AP127" s="3348">
        <v>2145</v>
      </c>
      <c r="AQ127" s="3348"/>
      <c r="AR127" s="3348">
        <v>12718</v>
      </c>
      <c r="AS127" s="3342"/>
      <c r="AT127" s="3342">
        <v>26</v>
      </c>
      <c r="AU127" s="3342"/>
      <c r="AV127" s="3342">
        <v>37</v>
      </c>
      <c r="AW127" s="3342"/>
      <c r="AX127" s="3342">
        <v>0</v>
      </c>
      <c r="AY127" s="3342"/>
      <c r="AZ127" s="3342">
        <v>0</v>
      </c>
      <c r="BA127" s="3342"/>
      <c r="BB127" s="3343">
        <v>44350</v>
      </c>
      <c r="BC127" s="3342"/>
      <c r="BD127" s="3343">
        <v>21944</v>
      </c>
      <c r="BE127" s="3342"/>
      <c r="BF127" s="3343">
        <v>75687</v>
      </c>
      <c r="BG127" s="3342"/>
      <c r="BH127" s="3343">
        <f>+AD127+AF127</f>
        <v>562117</v>
      </c>
      <c r="BI127" s="3343">
        <f>+AE127+AG127</f>
        <v>562117</v>
      </c>
      <c r="BJ127" s="3331">
        <v>2</v>
      </c>
      <c r="BK127" s="3346">
        <f>SUM(Y127:Y130)</f>
        <v>46916499</v>
      </c>
      <c r="BL127" s="3346">
        <f>SUM(Z127:Z130)</f>
        <v>46916499</v>
      </c>
      <c r="BM127" s="3338">
        <f>+BL127/BK127</f>
        <v>1</v>
      </c>
      <c r="BN127" s="3331">
        <v>20</v>
      </c>
      <c r="BO127" s="3340" t="s">
        <v>1</v>
      </c>
      <c r="BP127" s="3340" t="s">
        <v>2252</v>
      </c>
      <c r="BQ127" s="3329">
        <v>44198</v>
      </c>
      <c r="BR127" s="3329">
        <v>44278</v>
      </c>
      <c r="BS127" s="3329">
        <v>44560</v>
      </c>
      <c r="BT127" s="3329">
        <v>44560</v>
      </c>
      <c r="BU127" s="3331" t="s">
        <v>2253</v>
      </c>
    </row>
    <row r="128" spans="1:73" s="1542" customFormat="1" ht="57.75" customHeight="1" x14ac:dyDescent="0.25">
      <c r="A128" s="3389"/>
      <c r="B128" s="3391"/>
      <c r="C128" s="1631"/>
      <c r="D128" s="1661"/>
      <c r="E128" s="3224"/>
      <c r="F128" s="3224"/>
      <c r="G128" s="3213"/>
      <c r="H128" s="3214"/>
      <c r="I128" s="3213"/>
      <c r="J128" s="3214"/>
      <c r="K128" s="3206"/>
      <c r="L128" s="2771"/>
      <c r="M128" s="3206"/>
      <c r="N128" s="2771"/>
      <c r="O128" s="3206"/>
      <c r="P128" s="3206"/>
      <c r="Q128" s="3206"/>
      <c r="R128" s="2771"/>
      <c r="S128" s="3355"/>
      <c r="T128" s="3356"/>
      <c r="U128" s="2771"/>
      <c r="V128" s="2771"/>
      <c r="W128" s="3350"/>
      <c r="X128" s="1591">
        <v>25000000</v>
      </c>
      <c r="Y128" s="1591">
        <v>23961000</v>
      </c>
      <c r="Z128" s="1591">
        <v>23961000</v>
      </c>
      <c r="AA128" s="1181" t="s">
        <v>2427</v>
      </c>
      <c r="AB128" s="1462">
        <v>88</v>
      </c>
      <c r="AC128" s="901" t="s">
        <v>2255</v>
      </c>
      <c r="AD128" s="3352"/>
      <c r="AE128" s="3206"/>
      <c r="AF128" s="3206"/>
      <c r="AG128" s="3206"/>
      <c r="AH128" s="3206"/>
      <c r="AI128" s="3206"/>
      <c r="AJ128" s="3206"/>
      <c r="AK128" s="3206"/>
      <c r="AL128" s="3206"/>
      <c r="AM128" s="3206"/>
      <c r="AN128" s="3206"/>
      <c r="AO128" s="3206"/>
      <c r="AP128" s="3206"/>
      <c r="AQ128" s="3206"/>
      <c r="AR128" s="3206"/>
      <c r="AS128" s="3307"/>
      <c r="AT128" s="3307"/>
      <c r="AU128" s="3307"/>
      <c r="AV128" s="3307"/>
      <c r="AW128" s="3307"/>
      <c r="AX128" s="3307"/>
      <c r="AY128" s="3307"/>
      <c r="AZ128" s="3307"/>
      <c r="BA128" s="3307"/>
      <c r="BB128" s="3344"/>
      <c r="BC128" s="3307"/>
      <c r="BD128" s="3344"/>
      <c r="BE128" s="3307"/>
      <c r="BF128" s="3344"/>
      <c r="BG128" s="3307"/>
      <c r="BH128" s="3344"/>
      <c r="BI128" s="3344"/>
      <c r="BJ128" s="3332"/>
      <c r="BK128" s="3347"/>
      <c r="BL128" s="3347"/>
      <c r="BM128" s="3339"/>
      <c r="BN128" s="3332"/>
      <c r="BO128" s="3341"/>
      <c r="BP128" s="3341"/>
      <c r="BQ128" s="3330"/>
      <c r="BR128" s="3330"/>
      <c r="BS128" s="3330"/>
      <c r="BT128" s="3330"/>
      <c r="BU128" s="3332"/>
    </row>
    <row r="129" spans="1:73" s="1542" customFormat="1" ht="39" customHeight="1" x14ac:dyDescent="0.25">
      <c r="A129" s="3389"/>
      <c r="B129" s="3391"/>
      <c r="C129" s="1631"/>
      <c r="D129" s="1661"/>
      <c r="E129" s="3224"/>
      <c r="F129" s="3224"/>
      <c r="G129" s="3213"/>
      <c r="H129" s="3214"/>
      <c r="I129" s="3213"/>
      <c r="J129" s="3214"/>
      <c r="K129" s="3206"/>
      <c r="L129" s="2771"/>
      <c r="M129" s="3206"/>
      <c r="N129" s="2771"/>
      <c r="O129" s="3206"/>
      <c r="P129" s="3206"/>
      <c r="Q129" s="3206"/>
      <c r="R129" s="2771"/>
      <c r="S129" s="3355"/>
      <c r="T129" s="3356"/>
      <c r="U129" s="2771"/>
      <c r="V129" s="2771"/>
      <c r="W129" s="3333" t="s">
        <v>2428</v>
      </c>
      <c r="X129" s="1591">
        <v>1000000</v>
      </c>
      <c r="Y129" s="1591">
        <v>1000000</v>
      </c>
      <c r="Z129" s="1591">
        <v>1000000</v>
      </c>
      <c r="AA129" s="1181" t="s">
        <v>2426</v>
      </c>
      <c r="AB129" s="3335">
        <v>20</v>
      </c>
      <c r="AC129" s="3337" t="s">
        <v>1830</v>
      </c>
      <c r="AD129" s="3352"/>
      <c r="AE129" s="3206"/>
      <c r="AF129" s="3206"/>
      <c r="AG129" s="3206"/>
      <c r="AH129" s="3206"/>
      <c r="AI129" s="3206"/>
      <c r="AJ129" s="3206"/>
      <c r="AK129" s="3206"/>
      <c r="AL129" s="3206"/>
      <c r="AM129" s="3206"/>
      <c r="AN129" s="3206"/>
      <c r="AO129" s="3206"/>
      <c r="AP129" s="3206"/>
      <c r="AQ129" s="3206"/>
      <c r="AR129" s="3206"/>
      <c r="AS129" s="3307"/>
      <c r="AT129" s="3307"/>
      <c r="AU129" s="3307"/>
      <c r="AV129" s="3307"/>
      <c r="AW129" s="3307"/>
      <c r="AX129" s="3307"/>
      <c r="AY129" s="3307"/>
      <c r="AZ129" s="3307"/>
      <c r="BA129" s="3307"/>
      <c r="BB129" s="3344"/>
      <c r="BC129" s="3307"/>
      <c r="BD129" s="3344"/>
      <c r="BE129" s="3307"/>
      <c r="BF129" s="3344"/>
      <c r="BG129" s="3307"/>
      <c r="BH129" s="3344"/>
      <c r="BI129" s="3344"/>
      <c r="BJ129" s="3332"/>
      <c r="BK129" s="3347"/>
      <c r="BL129" s="3347"/>
      <c r="BM129" s="3339"/>
      <c r="BN129" s="3332"/>
      <c r="BO129" s="3341"/>
      <c r="BP129" s="3341"/>
      <c r="BQ129" s="3330"/>
      <c r="BR129" s="3330"/>
      <c r="BS129" s="3330"/>
      <c r="BT129" s="3330"/>
      <c r="BU129" s="3332"/>
    </row>
    <row r="130" spans="1:73" s="1542" customFormat="1" ht="64.5" customHeight="1" x14ac:dyDescent="0.25">
      <c r="A130" s="3390"/>
      <c r="B130" s="3392"/>
      <c r="C130" s="1672"/>
      <c r="D130" s="1673"/>
      <c r="E130" s="3358"/>
      <c r="F130" s="3358"/>
      <c r="G130" s="3213"/>
      <c r="H130" s="3359"/>
      <c r="I130" s="3213"/>
      <c r="J130" s="3214"/>
      <c r="K130" s="3206"/>
      <c r="L130" s="2771"/>
      <c r="M130" s="3206"/>
      <c r="N130" s="2771"/>
      <c r="O130" s="3206"/>
      <c r="P130" s="3206"/>
      <c r="Q130" s="3206"/>
      <c r="R130" s="2771"/>
      <c r="S130" s="3355"/>
      <c r="T130" s="3356"/>
      <c r="U130" s="3357"/>
      <c r="V130" s="2771"/>
      <c r="W130" s="3334"/>
      <c r="X130" s="1591">
        <v>0</v>
      </c>
      <c r="Y130" s="1591"/>
      <c r="Z130" s="1591"/>
      <c r="AA130" s="1181" t="s">
        <v>2429</v>
      </c>
      <c r="AB130" s="3336"/>
      <c r="AC130" s="2835"/>
      <c r="AD130" s="3353"/>
      <c r="AE130" s="3207"/>
      <c r="AF130" s="3349"/>
      <c r="AG130" s="3349"/>
      <c r="AH130" s="3349"/>
      <c r="AI130" s="3349"/>
      <c r="AJ130" s="3349"/>
      <c r="AK130" s="3349"/>
      <c r="AL130" s="3349"/>
      <c r="AM130" s="3349"/>
      <c r="AN130" s="3349"/>
      <c r="AO130" s="3349"/>
      <c r="AP130" s="3349"/>
      <c r="AQ130" s="3349"/>
      <c r="AR130" s="3349"/>
      <c r="AS130" s="3308"/>
      <c r="AT130" s="3308"/>
      <c r="AU130" s="3308"/>
      <c r="AV130" s="3308"/>
      <c r="AW130" s="3308"/>
      <c r="AX130" s="3308"/>
      <c r="AY130" s="3308"/>
      <c r="AZ130" s="3308"/>
      <c r="BA130" s="3308"/>
      <c r="BB130" s="3345"/>
      <c r="BC130" s="3308"/>
      <c r="BD130" s="3345"/>
      <c r="BE130" s="3308"/>
      <c r="BF130" s="3345"/>
      <c r="BG130" s="3308"/>
      <c r="BH130" s="3345"/>
      <c r="BI130" s="3345"/>
      <c r="BJ130" s="3332"/>
      <c r="BK130" s="3347"/>
      <c r="BL130" s="3347"/>
      <c r="BM130" s="3339"/>
      <c r="BN130" s="3332"/>
      <c r="BO130" s="3341"/>
      <c r="BP130" s="3341"/>
      <c r="BQ130" s="3330"/>
      <c r="BR130" s="3330"/>
      <c r="BS130" s="3330"/>
      <c r="BT130" s="3330"/>
      <c r="BU130" s="3332"/>
    </row>
    <row r="131" spans="1:73" ht="27.75" customHeight="1" x14ac:dyDescent="0.25">
      <c r="A131" s="1674">
        <v>3</v>
      </c>
      <c r="B131" s="3324" t="s">
        <v>524</v>
      </c>
      <c r="C131" s="3325"/>
      <c r="D131" s="3325"/>
      <c r="E131" s="3325"/>
      <c r="F131" s="3325"/>
      <c r="G131" s="3325"/>
      <c r="H131" s="3325"/>
      <c r="I131" s="1421"/>
      <c r="J131" s="1424"/>
      <c r="K131" s="1423"/>
      <c r="L131" s="1424"/>
      <c r="M131" s="1423"/>
      <c r="N131" s="1424"/>
      <c r="O131" s="1423"/>
      <c r="P131" s="1423"/>
      <c r="Q131" s="1423"/>
      <c r="R131" s="1424"/>
      <c r="S131" s="1423"/>
      <c r="T131" s="1675"/>
      <c r="U131" s="1424"/>
      <c r="V131" s="1424"/>
      <c r="W131" s="1424"/>
      <c r="X131" s="1676"/>
      <c r="Y131" s="1676"/>
      <c r="Z131" s="1676"/>
      <c r="AA131" s="1421"/>
      <c r="AB131" s="1423"/>
      <c r="AC131" s="1424"/>
      <c r="AD131" s="1423"/>
      <c r="AE131" s="1423"/>
      <c r="AF131" s="1423"/>
      <c r="AG131" s="1423"/>
      <c r="AH131" s="1423"/>
      <c r="AI131" s="1423"/>
      <c r="AJ131" s="1423"/>
      <c r="AK131" s="1423"/>
      <c r="AL131" s="1423"/>
      <c r="AM131" s="1423"/>
      <c r="AN131" s="1423"/>
      <c r="AO131" s="1423"/>
      <c r="AP131" s="1423"/>
      <c r="AQ131" s="1423"/>
      <c r="AR131" s="1423"/>
      <c r="AS131" s="1423"/>
      <c r="AT131" s="1423"/>
      <c r="AU131" s="1423"/>
      <c r="AV131" s="1423"/>
      <c r="AW131" s="1423"/>
      <c r="AX131" s="1423"/>
      <c r="AY131" s="1423"/>
      <c r="AZ131" s="1423"/>
      <c r="BA131" s="1423"/>
      <c r="BB131" s="1423"/>
      <c r="BC131" s="1423"/>
      <c r="BD131" s="1423"/>
      <c r="BE131" s="1423"/>
      <c r="BF131" s="1423"/>
      <c r="BG131" s="1423"/>
      <c r="BH131" s="1423"/>
      <c r="BI131" s="1423"/>
      <c r="BJ131" s="1423"/>
      <c r="BK131" s="1423"/>
      <c r="BL131" s="1423"/>
      <c r="BM131" s="1423"/>
      <c r="BN131" s="1423"/>
      <c r="BO131" s="1423"/>
      <c r="BP131" s="1423"/>
      <c r="BQ131" s="1423"/>
      <c r="BR131" s="1423"/>
      <c r="BS131" s="1423"/>
      <c r="BT131" s="1423"/>
      <c r="BU131" s="1677"/>
    </row>
    <row r="132" spans="1:73" ht="27.75" customHeight="1" x14ac:dyDescent="0.25">
      <c r="A132" s="908"/>
      <c r="B132" s="897"/>
      <c r="C132" s="115">
        <v>32</v>
      </c>
      <c r="D132" s="3218" t="s">
        <v>2008</v>
      </c>
      <c r="E132" s="2578"/>
      <c r="F132" s="3219"/>
      <c r="G132" s="3219"/>
      <c r="H132" s="3219"/>
      <c r="I132" s="3219"/>
      <c r="J132" s="1433"/>
      <c r="K132" s="788"/>
      <c r="L132" s="1433"/>
      <c r="M132" s="788"/>
      <c r="N132" s="1433"/>
      <c r="O132" s="788"/>
      <c r="P132" s="788"/>
      <c r="Q132" s="788"/>
      <c r="R132" s="1433"/>
      <c r="S132" s="1678"/>
      <c r="T132" s="1679"/>
      <c r="U132" s="1680"/>
      <c r="V132" s="1680"/>
      <c r="W132" s="1680"/>
      <c r="X132" s="1681"/>
      <c r="Y132" s="1681"/>
      <c r="Z132" s="1681"/>
      <c r="AA132" s="1678"/>
      <c r="AB132" s="1678"/>
      <c r="AC132" s="1680"/>
      <c r="AD132" s="1678"/>
      <c r="AE132" s="1678"/>
      <c r="AF132" s="1678"/>
      <c r="AG132" s="1678"/>
      <c r="AH132" s="1678"/>
      <c r="AI132" s="1678"/>
      <c r="AJ132" s="1678"/>
      <c r="AK132" s="1678"/>
      <c r="AL132" s="1678"/>
      <c r="AM132" s="1678"/>
      <c r="AN132" s="1678"/>
      <c r="AO132" s="1678"/>
      <c r="AP132" s="1678"/>
      <c r="AQ132" s="1678"/>
      <c r="AR132" s="1678"/>
      <c r="AS132" s="1678"/>
      <c r="AT132" s="1678"/>
      <c r="AU132" s="1678"/>
      <c r="AV132" s="1678"/>
      <c r="AW132" s="1678"/>
      <c r="AX132" s="1678"/>
      <c r="AY132" s="1678"/>
      <c r="AZ132" s="1678"/>
      <c r="BA132" s="1678"/>
      <c r="BB132" s="1678"/>
      <c r="BC132" s="1678"/>
      <c r="BD132" s="1678"/>
      <c r="BE132" s="1678"/>
      <c r="BF132" s="1678"/>
      <c r="BG132" s="1678"/>
      <c r="BH132" s="1678"/>
      <c r="BI132" s="1678"/>
      <c r="BJ132" s="1678"/>
      <c r="BK132" s="1678"/>
      <c r="BL132" s="1678"/>
      <c r="BM132" s="1678"/>
      <c r="BN132" s="1678"/>
      <c r="BO132" s="1678"/>
      <c r="BP132" s="1678"/>
      <c r="BQ132" s="1678"/>
      <c r="BR132" s="1678"/>
      <c r="BS132" s="1678"/>
      <c r="BT132" s="1678"/>
      <c r="BU132" s="1682"/>
    </row>
    <row r="133" spans="1:73" ht="27" customHeight="1" x14ac:dyDescent="0.25">
      <c r="A133" s="1631"/>
      <c r="B133" s="1661"/>
      <c r="C133" s="1660"/>
      <c r="D133" s="1661"/>
      <c r="E133" s="1647">
        <v>3205</v>
      </c>
      <c r="F133" s="3326" t="s">
        <v>587</v>
      </c>
      <c r="G133" s="3223"/>
      <c r="H133" s="3223"/>
      <c r="I133" s="3223"/>
      <c r="J133" s="3223"/>
      <c r="K133" s="3223"/>
      <c r="L133" s="3223"/>
      <c r="M133" s="3223"/>
      <c r="N133" s="3223"/>
      <c r="O133" s="3223"/>
      <c r="P133" s="3223"/>
      <c r="Q133" s="3223"/>
      <c r="R133" s="3223"/>
      <c r="S133" s="1602"/>
      <c r="T133" s="1652"/>
      <c r="U133" s="1606"/>
      <c r="V133" s="1606"/>
      <c r="W133" s="1606"/>
      <c r="X133" s="1603"/>
      <c r="Y133" s="1603"/>
      <c r="Z133" s="1603"/>
      <c r="AA133" s="1601"/>
      <c r="AB133" s="1601"/>
      <c r="AC133" s="1604"/>
      <c r="AD133" s="1602"/>
      <c r="AE133" s="1602"/>
      <c r="AF133" s="1602"/>
      <c r="AG133" s="1602"/>
      <c r="AH133" s="1602"/>
      <c r="AI133" s="1602"/>
      <c r="AJ133" s="1602"/>
      <c r="AK133" s="1602"/>
      <c r="AL133" s="1602"/>
      <c r="AM133" s="1602"/>
      <c r="AN133" s="1602"/>
      <c r="AO133" s="1602"/>
      <c r="AP133" s="1602"/>
      <c r="AQ133" s="1602"/>
      <c r="AR133" s="1602"/>
      <c r="AS133" s="1602"/>
      <c r="AT133" s="1602"/>
      <c r="AU133" s="1602"/>
      <c r="AV133" s="1602"/>
      <c r="AW133" s="1602"/>
      <c r="AX133" s="1602"/>
      <c r="AY133" s="1602"/>
      <c r="AZ133" s="1602"/>
      <c r="BA133" s="1602"/>
      <c r="BB133" s="1602"/>
      <c r="BC133" s="1602"/>
      <c r="BD133" s="1602"/>
      <c r="BE133" s="1602"/>
      <c r="BF133" s="1602"/>
      <c r="BG133" s="1602"/>
      <c r="BH133" s="1602"/>
      <c r="BI133" s="1602"/>
      <c r="BJ133" s="1602"/>
      <c r="BK133" s="1602"/>
      <c r="BL133" s="1602"/>
      <c r="BM133" s="1602"/>
      <c r="BN133" s="1602"/>
      <c r="BO133" s="1602"/>
      <c r="BP133" s="1602"/>
      <c r="BQ133" s="1602"/>
      <c r="BR133" s="1602"/>
      <c r="BS133" s="1602"/>
      <c r="BT133" s="1602"/>
      <c r="BU133" s="1649"/>
    </row>
    <row r="134" spans="1:73" ht="92.25" customHeight="1" x14ac:dyDescent="0.25">
      <c r="A134" s="1631"/>
      <c r="B134" s="1661"/>
      <c r="C134" s="1631"/>
      <c r="D134" s="1661"/>
      <c r="E134" s="3300"/>
      <c r="F134" s="3300"/>
      <c r="G134" s="3287">
        <v>3205002</v>
      </c>
      <c r="H134" s="3290" t="s">
        <v>2430</v>
      </c>
      <c r="I134" s="3287">
        <v>3205002</v>
      </c>
      <c r="J134" s="3290" t="s">
        <v>2430</v>
      </c>
      <c r="K134" s="3321">
        <v>320500200</v>
      </c>
      <c r="L134" s="3312" t="s">
        <v>2431</v>
      </c>
      <c r="M134" s="3321">
        <v>320500200</v>
      </c>
      <c r="N134" s="3312" t="s">
        <v>2431</v>
      </c>
      <c r="O134" s="3153">
        <v>3</v>
      </c>
      <c r="P134" s="3153">
        <v>2</v>
      </c>
      <c r="Q134" s="3153" t="s">
        <v>2432</v>
      </c>
      <c r="R134" s="3312" t="s">
        <v>2433</v>
      </c>
      <c r="S134" s="3315">
        <f>SUM(X134:X137)/T134</f>
        <v>1</v>
      </c>
      <c r="T134" s="3317">
        <f>SUM(X134:X137)</f>
        <v>243850000</v>
      </c>
      <c r="U134" s="2688" t="s">
        <v>2434</v>
      </c>
      <c r="V134" s="3319" t="s">
        <v>2435</v>
      </c>
      <c r="W134" s="3296" t="s">
        <v>2436</v>
      </c>
      <c r="X134" s="1536">
        <v>31000000</v>
      </c>
      <c r="Y134" s="1536">
        <v>26000000</v>
      </c>
      <c r="Z134" s="1536">
        <v>26000000</v>
      </c>
      <c r="AA134" s="1181" t="s">
        <v>2437</v>
      </c>
      <c r="AB134" s="1599">
        <v>20</v>
      </c>
      <c r="AC134" s="906" t="s">
        <v>1830</v>
      </c>
      <c r="AD134" s="3309">
        <v>181571</v>
      </c>
      <c r="AE134" s="3306">
        <v>99</v>
      </c>
      <c r="AF134" s="3306">
        <v>173060</v>
      </c>
      <c r="AG134" s="3306">
        <v>87</v>
      </c>
      <c r="AH134" s="3306">
        <v>98942</v>
      </c>
      <c r="AI134" s="3306"/>
      <c r="AJ134" s="3306">
        <v>114369</v>
      </c>
      <c r="AK134" s="3306"/>
      <c r="AL134" s="3306">
        <v>114368</v>
      </c>
      <c r="AM134" s="3306">
        <v>186</v>
      </c>
      <c r="AN134" s="3306">
        <v>26952</v>
      </c>
      <c r="AO134" s="3304"/>
      <c r="AP134" s="3304"/>
      <c r="AQ134" s="3304"/>
      <c r="AR134" s="3304"/>
      <c r="AS134" s="3304"/>
      <c r="AT134" s="3304"/>
      <c r="AU134" s="3304"/>
      <c r="AV134" s="3304"/>
      <c r="AW134" s="3304"/>
      <c r="AX134" s="3304"/>
      <c r="AY134" s="3304"/>
      <c r="AZ134" s="3304"/>
      <c r="BA134" s="3304"/>
      <c r="BB134" s="3304"/>
      <c r="BC134" s="3304"/>
      <c r="BD134" s="3304"/>
      <c r="BE134" s="3304"/>
      <c r="BF134" s="3304"/>
      <c r="BG134" s="3304"/>
      <c r="BH134" s="3304">
        <f>+AD134+AF134</f>
        <v>354631</v>
      </c>
      <c r="BI134" s="3304">
        <f>+AE134+AG134</f>
        <v>186</v>
      </c>
      <c r="BJ134" s="3167">
        <v>5</v>
      </c>
      <c r="BK134" s="3261">
        <f>SUM(Y134:Y137)</f>
        <v>100601333</v>
      </c>
      <c r="BL134" s="3261">
        <f>SUM(Z134:Z137)</f>
        <v>100601333</v>
      </c>
      <c r="BM134" s="3264">
        <f>BL134/BK134</f>
        <v>1</v>
      </c>
      <c r="BN134" s="3167">
        <v>20</v>
      </c>
      <c r="BO134" s="3268" t="s">
        <v>1</v>
      </c>
      <c r="BP134" s="3268" t="s">
        <v>2293</v>
      </c>
      <c r="BQ134" s="3302">
        <v>44198</v>
      </c>
      <c r="BR134" s="3302">
        <v>44251</v>
      </c>
      <c r="BS134" s="3294">
        <v>44560</v>
      </c>
      <c r="BT134" s="3294">
        <v>44560</v>
      </c>
      <c r="BU134" s="3167" t="s">
        <v>2253</v>
      </c>
    </row>
    <row r="135" spans="1:73" ht="92.25" customHeight="1" x14ac:dyDescent="0.25">
      <c r="A135" s="1631"/>
      <c r="B135" s="1661"/>
      <c r="C135" s="1631"/>
      <c r="D135" s="1661"/>
      <c r="E135" s="3300"/>
      <c r="F135" s="3300"/>
      <c r="G135" s="3287"/>
      <c r="H135" s="3289"/>
      <c r="I135" s="3287"/>
      <c r="J135" s="3289"/>
      <c r="K135" s="3322"/>
      <c r="L135" s="3313"/>
      <c r="M135" s="3322"/>
      <c r="N135" s="3313"/>
      <c r="O135" s="3152"/>
      <c r="P135" s="3152"/>
      <c r="Q135" s="3152"/>
      <c r="R135" s="3313"/>
      <c r="S135" s="3316"/>
      <c r="T135" s="3318"/>
      <c r="U135" s="3314"/>
      <c r="V135" s="2975"/>
      <c r="W135" s="3320"/>
      <c r="X135" s="1536">
        <v>159220000</v>
      </c>
      <c r="Y135" s="1536">
        <v>29463000</v>
      </c>
      <c r="Z135" s="1536">
        <v>29463000</v>
      </c>
      <c r="AA135" s="1181" t="s">
        <v>2438</v>
      </c>
      <c r="AB135" s="1683">
        <v>88</v>
      </c>
      <c r="AC135" s="888" t="s">
        <v>2255</v>
      </c>
      <c r="AD135" s="3310"/>
      <c r="AE135" s="3307"/>
      <c r="AF135" s="3307"/>
      <c r="AG135" s="3307"/>
      <c r="AH135" s="3307"/>
      <c r="AI135" s="3307"/>
      <c r="AJ135" s="3307"/>
      <c r="AK135" s="3307"/>
      <c r="AL135" s="3307"/>
      <c r="AM135" s="3307"/>
      <c r="AN135" s="3307"/>
      <c r="AO135" s="3305"/>
      <c r="AP135" s="3305"/>
      <c r="AQ135" s="3305"/>
      <c r="AR135" s="3305"/>
      <c r="AS135" s="3305"/>
      <c r="AT135" s="3305"/>
      <c r="AU135" s="3305"/>
      <c r="AV135" s="3305"/>
      <c r="AW135" s="3305"/>
      <c r="AX135" s="3305"/>
      <c r="AY135" s="3305"/>
      <c r="AZ135" s="3305"/>
      <c r="BA135" s="3305"/>
      <c r="BB135" s="3305"/>
      <c r="BC135" s="3305"/>
      <c r="BD135" s="3305"/>
      <c r="BE135" s="3305"/>
      <c r="BF135" s="3305"/>
      <c r="BG135" s="3305"/>
      <c r="BH135" s="3305"/>
      <c r="BI135" s="3305"/>
      <c r="BJ135" s="3168"/>
      <c r="BK135" s="3262"/>
      <c r="BL135" s="3262"/>
      <c r="BM135" s="3265"/>
      <c r="BN135" s="3168"/>
      <c r="BO135" s="3269"/>
      <c r="BP135" s="3269"/>
      <c r="BQ135" s="3303"/>
      <c r="BR135" s="3303"/>
      <c r="BS135" s="3295"/>
      <c r="BT135" s="3295"/>
      <c r="BU135" s="3168"/>
    </row>
    <row r="136" spans="1:73" ht="92.25" customHeight="1" x14ac:dyDescent="0.25">
      <c r="A136" s="1631"/>
      <c r="B136" s="1661"/>
      <c r="C136" s="1631"/>
      <c r="D136" s="1661"/>
      <c r="E136" s="3300"/>
      <c r="F136" s="3300"/>
      <c r="G136" s="3287"/>
      <c r="H136" s="3289"/>
      <c r="I136" s="3287"/>
      <c r="J136" s="3289"/>
      <c r="K136" s="3322"/>
      <c r="L136" s="3313"/>
      <c r="M136" s="3322"/>
      <c r="N136" s="3313"/>
      <c r="O136" s="3152"/>
      <c r="P136" s="3152"/>
      <c r="Q136" s="3152"/>
      <c r="R136" s="3313"/>
      <c r="S136" s="3316"/>
      <c r="T136" s="3318"/>
      <c r="U136" s="3314"/>
      <c r="V136" s="2975"/>
      <c r="W136" s="3296" t="s">
        <v>2439</v>
      </c>
      <c r="X136" s="1536">
        <v>14000000</v>
      </c>
      <c r="Y136" s="1536">
        <v>12582500</v>
      </c>
      <c r="Z136" s="1536">
        <v>12582500</v>
      </c>
      <c r="AA136" s="900" t="s">
        <v>2437</v>
      </c>
      <c r="AB136" s="1683">
        <v>20</v>
      </c>
      <c r="AC136" s="888" t="s">
        <v>1830</v>
      </c>
      <c r="AD136" s="3310"/>
      <c r="AE136" s="3307"/>
      <c r="AF136" s="3307"/>
      <c r="AG136" s="3307"/>
      <c r="AH136" s="3307"/>
      <c r="AI136" s="3307"/>
      <c r="AJ136" s="3307"/>
      <c r="AK136" s="3307"/>
      <c r="AL136" s="3307"/>
      <c r="AM136" s="3307"/>
      <c r="AN136" s="3307"/>
      <c r="AO136" s="3305"/>
      <c r="AP136" s="3305"/>
      <c r="AQ136" s="3305"/>
      <c r="AR136" s="3305"/>
      <c r="AS136" s="3305"/>
      <c r="AT136" s="3305"/>
      <c r="AU136" s="3305"/>
      <c r="AV136" s="3305"/>
      <c r="AW136" s="3305"/>
      <c r="AX136" s="3305"/>
      <c r="AY136" s="3305"/>
      <c r="AZ136" s="3305"/>
      <c r="BA136" s="3305"/>
      <c r="BB136" s="3305"/>
      <c r="BC136" s="3305"/>
      <c r="BD136" s="3305"/>
      <c r="BE136" s="3305"/>
      <c r="BF136" s="3305"/>
      <c r="BG136" s="3305"/>
      <c r="BH136" s="3305"/>
      <c r="BI136" s="3305"/>
      <c r="BJ136" s="3168"/>
      <c r="BK136" s="3262"/>
      <c r="BL136" s="3262"/>
      <c r="BM136" s="3265"/>
      <c r="BN136" s="3168"/>
      <c r="BO136" s="3269"/>
      <c r="BP136" s="3269"/>
      <c r="BQ136" s="3303"/>
      <c r="BR136" s="3303"/>
      <c r="BS136" s="3295"/>
      <c r="BT136" s="3295"/>
      <c r="BU136" s="3168"/>
    </row>
    <row r="137" spans="1:73" ht="88.5" customHeight="1" x14ac:dyDescent="0.25">
      <c r="A137" s="1631"/>
      <c r="B137" s="1661"/>
      <c r="C137" s="541"/>
      <c r="D137" s="1673"/>
      <c r="E137" s="3301"/>
      <c r="F137" s="3301"/>
      <c r="G137" s="3288"/>
      <c r="H137" s="3327"/>
      <c r="I137" s="3288"/>
      <c r="J137" s="3328"/>
      <c r="K137" s="3323"/>
      <c r="L137" s="3314"/>
      <c r="M137" s="3323"/>
      <c r="N137" s="3314"/>
      <c r="O137" s="3151"/>
      <c r="P137" s="3151"/>
      <c r="Q137" s="3151"/>
      <c r="R137" s="3314"/>
      <c r="S137" s="3316"/>
      <c r="T137" s="3318"/>
      <c r="U137" s="3314"/>
      <c r="V137" s="2975"/>
      <c r="W137" s="3297"/>
      <c r="X137" s="1591">
        <v>39630000</v>
      </c>
      <c r="Y137" s="1591">
        <v>32555833</v>
      </c>
      <c r="Z137" s="1591">
        <v>32555833</v>
      </c>
      <c r="AA137" s="1181" t="s">
        <v>2438</v>
      </c>
      <c r="AB137" s="1684">
        <v>88</v>
      </c>
      <c r="AC137" s="906" t="s">
        <v>2255</v>
      </c>
      <c r="AD137" s="3311"/>
      <c r="AE137" s="3308"/>
      <c r="AF137" s="3308"/>
      <c r="AG137" s="3308"/>
      <c r="AH137" s="3308"/>
      <c r="AI137" s="3308"/>
      <c r="AJ137" s="3308"/>
      <c r="AK137" s="3308"/>
      <c r="AL137" s="3308"/>
      <c r="AM137" s="3308"/>
      <c r="AN137" s="3308"/>
      <c r="AO137" s="3305"/>
      <c r="AP137" s="3305"/>
      <c r="AQ137" s="3305"/>
      <c r="AR137" s="3305"/>
      <c r="AS137" s="3305"/>
      <c r="AT137" s="3305"/>
      <c r="AU137" s="3305"/>
      <c r="AV137" s="3305"/>
      <c r="AW137" s="3305"/>
      <c r="AX137" s="3305"/>
      <c r="AY137" s="3305"/>
      <c r="AZ137" s="3305"/>
      <c r="BA137" s="3305"/>
      <c r="BB137" s="3305"/>
      <c r="BC137" s="3305"/>
      <c r="BD137" s="3305"/>
      <c r="BE137" s="3305"/>
      <c r="BF137" s="3305"/>
      <c r="BG137" s="3305"/>
      <c r="BH137" s="3305"/>
      <c r="BI137" s="3305"/>
      <c r="BJ137" s="3168"/>
      <c r="BK137" s="3263"/>
      <c r="BL137" s="3263"/>
      <c r="BM137" s="3266"/>
      <c r="BN137" s="3267"/>
      <c r="BO137" s="3270"/>
      <c r="BP137" s="3269"/>
      <c r="BQ137" s="3303"/>
      <c r="BR137" s="3303"/>
      <c r="BS137" s="3295"/>
      <c r="BT137" s="3295"/>
      <c r="BU137" s="3168"/>
    </row>
    <row r="138" spans="1:73" ht="15.75" x14ac:dyDescent="0.25">
      <c r="A138" s="1631"/>
      <c r="B138" s="1661"/>
      <c r="C138" s="176">
        <v>45</v>
      </c>
      <c r="D138" s="3298" t="s">
        <v>66</v>
      </c>
      <c r="E138" s="3299"/>
      <c r="F138" s="3299"/>
      <c r="G138" s="3299"/>
      <c r="H138" s="3299"/>
      <c r="I138" s="1685"/>
      <c r="J138" s="1686"/>
      <c r="K138" s="1687"/>
      <c r="L138" s="1686"/>
      <c r="M138" s="1687"/>
      <c r="N138" s="1686"/>
      <c r="O138" s="1688"/>
      <c r="P138" s="1688"/>
      <c r="Q138" s="1688"/>
      <c r="R138" s="1686"/>
      <c r="S138" s="1689"/>
      <c r="T138" s="1690"/>
      <c r="U138" s="1686"/>
      <c r="V138" s="1691"/>
      <c r="W138" s="1637"/>
      <c r="X138" s="1625"/>
      <c r="Y138" s="1625"/>
      <c r="Z138" s="1625"/>
      <c r="AA138" s="1685"/>
      <c r="AB138" s="1692"/>
      <c r="AC138" s="1693"/>
      <c r="AD138" s="1643"/>
      <c r="AE138" s="1643"/>
      <c r="AF138" s="1643"/>
      <c r="AG138" s="1643"/>
      <c r="AH138" s="1643"/>
      <c r="AI138" s="1643"/>
      <c r="AJ138" s="1643"/>
      <c r="AK138" s="1643"/>
      <c r="AL138" s="1643"/>
      <c r="AM138" s="1643"/>
      <c r="AN138" s="1643"/>
      <c r="AO138" s="1643"/>
      <c r="AP138" s="1643"/>
      <c r="AQ138" s="1643"/>
      <c r="AR138" s="1643"/>
      <c r="AS138" s="1643"/>
      <c r="AT138" s="1643"/>
      <c r="AU138" s="1643"/>
      <c r="AV138" s="1643"/>
      <c r="AW138" s="1643"/>
      <c r="AX138" s="1643"/>
      <c r="AY138" s="1643"/>
      <c r="AZ138" s="1643"/>
      <c r="BA138" s="1643"/>
      <c r="BB138" s="1643"/>
      <c r="BC138" s="1643"/>
      <c r="BD138" s="1643"/>
      <c r="BE138" s="1643"/>
      <c r="BF138" s="1643"/>
      <c r="BG138" s="1643"/>
      <c r="BH138" s="1643"/>
      <c r="BI138" s="1643"/>
      <c r="BJ138" s="1643"/>
      <c r="BK138" s="1643"/>
      <c r="BL138" s="1643"/>
      <c r="BM138" s="1643"/>
      <c r="BN138" s="1643"/>
      <c r="BO138" s="1643"/>
      <c r="BP138" s="1643"/>
      <c r="BQ138" s="1694"/>
      <c r="BR138" s="1694"/>
      <c r="BS138" s="1694"/>
      <c r="BT138" s="1694"/>
      <c r="BU138" s="1695"/>
    </row>
    <row r="139" spans="1:73" s="1545" customFormat="1" ht="38.1" customHeight="1" x14ac:dyDescent="0.25">
      <c r="A139" s="1631"/>
      <c r="B139" s="1590"/>
      <c r="C139" s="1580"/>
      <c r="D139" s="1590"/>
      <c r="E139" s="1540">
        <v>4503</v>
      </c>
      <c r="F139" s="3222" t="s">
        <v>2440</v>
      </c>
      <c r="G139" s="3223"/>
      <c r="H139" s="3223"/>
      <c r="I139" s="3223"/>
      <c r="J139" s="3223"/>
      <c r="K139" s="3223"/>
      <c r="L139" s="3223"/>
      <c r="M139" s="3223"/>
      <c r="N139" s="1604"/>
      <c r="O139" s="1601"/>
      <c r="P139" s="1601"/>
      <c r="Q139" s="1601"/>
      <c r="R139" s="1604"/>
      <c r="S139" s="1601"/>
      <c r="T139" s="1648"/>
      <c r="U139" s="1604"/>
      <c r="V139" s="1604"/>
      <c r="W139" s="1606"/>
      <c r="X139" s="1603"/>
      <c r="Y139" s="1603"/>
      <c r="Z139" s="1603"/>
      <c r="AA139" s="1601"/>
      <c r="AB139" s="1602"/>
      <c r="AC139" s="1606"/>
      <c r="AD139" s="1602"/>
      <c r="AE139" s="1602"/>
      <c r="AF139" s="1602"/>
      <c r="AG139" s="1602"/>
      <c r="AH139" s="1602"/>
      <c r="AI139" s="1602"/>
      <c r="AJ139" s="1602"/>
      <c r="AK139" s="1602"/>
      <c r="AL139" s="1602"/>
      <c r="AM139" s="1602"/>
      <c r="AN139" s="1602"/>
      <c r="AO139" s="1602"/>
      <c r="AP139" s="1602"/>
      <c r="AQ139" s="1602"/>
      <c r="AR139" s="1602"/>
      <c r="AS139" s="1602"/>
      <c r="AT139" s="1602"/>
      <c r="AU139" s="1602"/>
      <c r="AV139" s="1602"/>
      <c r="AW139" s="1602"/>
      <c r="AX139" s="1602"/>
      <c r="AY139" s="1602"/>
      <c r="AZ139" s="1602"/>
      <c r="BA139" s="1602"/>
      <c r="BB139" s="1602"/>
      <c r="BC139" s="1602"/>
      <c r="BD139" s="1602"/>
      <c r="BE139" s="1602"/>
      <c r="BF139" s="1602"/>
      <c r="BG139" s="1602"/>
      <c r="BH139" s="1602"/>
      <c r="BI139" s="1602"/>
      <c r="BJ139" s="1602"/>
      <c r="BK139" s="1602"/>
      <c r="BL139" s="1602"/>
      <c r="BM139" s="1602"/>
      <c r="BN139" s="1602"/>
      <c r="BO139" s="1602"/>
      <c r="BP139" s="1602"/>
      <c r="BQ139" s="1602"/>
      <c r="BR139" s="1602"/>
      <c r="BS139" s="1602"/>
      <c r="BT139" s="1602"/>
      <c r="BU139" s="1649"/>
    </row>
    <row r="140" spans="1:73" ht="48" customHeight="1" x14ac:dyDescent="0.25">
      <c r="A140" s="1631"/>
      <c r="B140" s="3220"/>
      <c r="C140" s="1589"/>
      <c r="D140" s="1590"/>
      <c r="E140" s="3300"/>
      <c r="F140" s="3300"/>
      <c r="G140" s="3287">
        <v>4503002</v>
      </c>
      <c r="H140" s="3289" t="s">
        <v>2441</v>
      </c>
      <c r="I140" s="3287">
        <v>4503002</v>
      </c>
      <c r="J140" s="3289" t="s">
        <v>2441</v>
      </c>
      <c r="K140" s="3291">
        <v>450300200</v>
      </c>
      <c r="L140" s="3293" t="s">
        <v>277</v>
      </c>
      <c r="M140" s="3291">
        <v>450300200</v>
      </c>
      <c r="N140" s="3282" t="s">
        <v>277</v>
      </c>
      <c r="O140" s="3281">
        <v>4000</v>
      </c>
      <c r="P140" s="3281">
        <v>4790</v>
      </c>
      <c r="Q140" s="3281" t="s">
        <v>2442</v>
      </c>
      <c r="R140" s="3282" t="s">
        <v>2443</v>
      </c>
      <c r="S140" s="3233">
        <f>SUM(X140:X146)/SUM(T140:T178)</f>
        <v>6.6248342534894852E-2</v>
      </c>
      <c r="T140" s="3283">
        <f>SUM(X140:X178)</f>
        <v>528315104.36000001</v>
      </c>
      <c r="U140" s="3273" t="s">
        <v>2444</v>
      </c>
      <c r="V140" s="3275" t="s">
        <v>2445</v>
      </c>
      <c r="W140" s="3255" t="s">
        <v>2446</v>
      </c>
      <c r="X140" s="1536">
        <v>14000000</v>
      </c>
      <c r="Y140" s="1536">
        <v>14000000</v>
      </c>
      <c r="Z140" s="1536">
        <v>14000000</v>
      </c>
      <c r="AA140" s="1181" t="s">
        <v>2447</v>
      </c>
      <c r="AB140" s="1696">
        <v>20</v>
      </c>
      <c r="AC140" s="895" t="s">
        <v>1830</v>
      </c>
      <c r="AD140" s="2951">
        <v>296582</v>
      </c>
      <c r="AE140" s="2951">
        <v>2468</v>
      </c>
      <c r="AF140" s="2951">
        <v>284952</v>
      </c>
      <c r="AG140" s="2951">
        <v>2322</v>
      </c>
      <c r="AH140" s="2951">
        <v>135545</v>
      </c>
      <c r="AI140" s="2951"/>
      <c r="AJ140" s="2951">
        <v>44254</v>
      </c>
      <c r="AK140" s="2951"/>
      <c r="AL140" s="2951">
        <v>309146</v>
      </c>
      <c r="AM140" s="2951"/>
      <c r="AN140" s="2951">
        <v>92589</v>
      </c>
      <c r="AO140" s="2951"/>
      <c r="AP140" s="2951">
        <v>2145</v>
      </c>
      <c r="AQ140" s="2951"/>
      <c r="AR140" s="2951">
        <v>12718</v>
      </c>
      <c r="AS140" s="2951"/>
      <c r="AT140" s="2951">
        <v>0</v>
      </c>
      <c r="AU140" s="2951"/>
      <c r="AV140" s="2951">
        <v>0</v>
      </c>
      <c r="AW140" s="2951"/>
      <c r="AX140" s="2951">
        <v>0</v>
      </c>
      <c r="AY140" s="2951"/>
      <c r="AZ140" s="2951">
        <v>0</v>
      </c>
      <c r="BA140" s="2951"/>
      <c r="BB140" s="2951">
        <v>0</v>
      </c>
      <c r="BC140" s="2951"/>
      <c r="BD140" s="2951">
        <v>0</v>
      </c>
      <c r="BE140" s="2951"/>
      <c r="BF140" s="2951">
        <v>0</v>
      </c>
      <c r="BG140" s="2951"/>
      <c r="BH140" s="2951">
        <f>+AD140+AF140</f>
        <v>581534</v>
      </c>
      <c r="BI140" s="2951">
        <f>+AE140+AG140</f>
        <v>4790</v>
      </c>
      <c r="BJ140" s="3254">
        <v>2</v>
      </c>
      <c r="BK140" s="3261">
        <f>SUM(Y140:Y178)</f>
        <v>291102723.06</v>
      </c>
      <c r="BL140" s="3261">
        <f>SUM(Z140:Z178)</f>
        <v>291102723.06</v>
      </c>
      <c r="BM140" s="3264">
        <f>BL140/BK140</f>
        <v>1</v>
      </c>
      <c r="BN140" s="3167">
        <v>20</v>
      </c>
      <c r="BO140" s="3268" t="s">
        <v>1</v>
      </c>
      <c r="BP140" s="3271" t="s">
        <v>2293</v>
      </c>
      <c r="BQ140" s="3253">
        <v>44198</v>
      </c>
      <c r="BR140" s="3253">
        <v>44250</v>
      </c>
      <c r="BS140" s="3253">
        <v>44560</v>
      </c>
      <c r="BT140" s="3253">
        <v>44552</v>
      </c>
      <c r="BU140" s="3254" t="s">
        <v>2253</v>
      </c>
    </row>
    <row r="141" spans="1:73" ht="36" customHeight="1" x14ac:dyDescent="0.25">
      <c r="A141" s="1631"/>
      <c r="B141" s="3220"/>
      <c r="C141" s="1589"/>
      <c r="D141" s="1590"/>
      <c r="E141" s="3300"/>
      <c r="F141" s="3300"/>
      <c r="G141" s="3287"/>
      <c r="H141" s="3289"/>
      <c r="I141" s="3287"/>
      <c r="J141" s="3289"/>
      <c r="K141" s="3291"/>
      <c r="L141" s="3293"/>
      <c r="M141" s="3291"/>
      <c r="N141" s="3282"/>
      <c r="O141" s="3281"/>
      <c r="P141" s="3281"/>
      <c r="Q141" s="3281"/>
      <c r="R141" s="3282"/>
      <c r="S141" s="3233"/>
      <c r="T141" s="3283"/>
      <c r="U141" s="3273"/>
      <c r="V141" s="3275"/>
      <c r="W141" s="3256"/>
      <c r="X141" s="1536">
        <v>12000000</v>
      </c>
      <c r="Y141" s="1536">
        <v>11148167</v>
      </c>
      <c r="Z141" s="1536">
        <v>11148167</v>
      </c>
      <c r="AA141" s="1181" t="s">
        <v>2448</v>
      </c>
      <c r="AB141" s="1696">
        <v>88</v>
      </c>
      <c r="AC141" s="906" t="s">
        <v>2255</v>
      </c>
      <c r="AD141" s="2952"/>
      <c r="AE141" s="2952"/>
      <c r="AF141" s="2952"/>
      <c r="AG141" s="2952"/>
      <c r="AH141" s="2952"/>
      <c r="AI141" s="2952"/>
      <c r="AJ141" s="2952"/>
      <c r="AK141" s="2952"/>
      <c r="AL141" s="2952"/>
      <c r="AM141" s="2952"/>
      <c r="AN141" s="2952"/>
      <c r="AO141" s="2952"/>
      <c r="AP141" s="2952"/>
      <c r="AQ141" s="2952"/>
      <c r="AR141" s="2952"/>
      <c r="AS141" s="2952"/>
      <c r="AT141" s="2952"/>
      <c r="AU141" s="2952"/>
      <c r="AV141" s="2952"/>
      <c r="AW141" s="2952"/>
      <c r="AX141" s="2952"/>
      <c r="AY141" s="2952"/>
      <c r="AZ141" s="2952"/>
      <c r="BA141" s="2952"/>
      <c r="BB141" s="2952"/>
      <c r="BC141" s="2952"/>
      <c r="BD141" s="2952"/>
      <c r="BE141" s="2952"/>
      <c r="BF141" s="2952"/>
      <c r="BG141" s="2952"/>
      <c r="BH141" s="2952"/>
      <c r="BI141" s="2952"/>
      <c r="BJ141" s="3254"/>
      <c r="BK141" s="3262"/>
      <c r="BL141" s="3262"/>
      <c r="BM141" s="3265"/>
      <c r="BN141" s="3168"/>
      <c r="BO141" s="3269"/>
      <c r="BP141" s="3271"/>
      <c r="BQ141" s="3253"/>
      <c r="BR141" s="3253"/>
      <c r="BS141" s="3253"/>
      <c r="BT141" s="3253"/>
      <c r="BU141" s="3254"/>
    </row>
    <row r="142" spans="1:73" ht="39.75" customHeight="1" x14ac:dyDescent="0.25">
      <c r="A142" s="1631"/>
      <c r="B142" s="3220"/>
      <c r="C142" s="1589"/>
      <c r="D142" s="1590"/>
      <c r="E142" s="3300"/>
      <c r="F142" s="3300"/>
      <c r="G142" s="3288"/>
      <c r="H142" s="3289"/>
      <c r="I142" s="3288"/>
      <c r="J142" s="3289"/>
      <c r="K142" s="3291"/>
      <c r="L142" s="3282"/>
      <c r="M142" s="3291"/>
      <c r="N142" s="3282"/>
      <c r="O142" s="3281"/>
      <c r="P142" s="3281"/>
      <c r="Q142" s="3281"/>
      <c r="R142" s="3282"/>
      <c r="S142" s="3233"/>
      <c r="T142" s="3283"/>
      <c r="U142" s="3273"/>
      <c r="V142" s="3275"/>
      <c r="W142" s="3255" t="s">
        <v>2449</v>
      </c>
      <c r="X142" s="1536">
        <v>2000000</v>
      </c>
      <c r="Y142" s="1536"/>
      <c r="Z142" s="1536"/>
      <c r="AA142" s="1181" t="s">
        <v>2447</v>
      </c>
      <c r="AB142" s="1696">
        <v>20</v>
      </c>
      <c r="AC142" s="895" t="s">
        <v>1830</v>
      </c>
      <c r="AD142" s="2952"/>
      <c r="AE142" s="2952"/>
      <c r="AF142" s="2952"/>
      <c r="AG142" s="2952"/>
      <c r="AH142" s="2952"/>
      <c r="AI142" s="2952"/>
      <c r="AJ142" s="2952"/>
      <c r="AK142" s="2952"/>
      <c r="AL142" s="2952"/>
      <c r="AM142" s="2952"/>
      <c r="AN142" s="2952"/>
      <c r="AO142" s="2952"/>
      <c r="AP142" s="2952"/>
      <c r="AQ142" s="2952"/>
      <c r="AR142" s="2952"/>
      <c r="AS142" s="2952"/>
      <c r="AT142" s="2952"/>
      <c r="AU142" s="2952"/>
      <c r="AV142" s="2952"/>
      <c r="AW142" s="2952"/>
      <c r="AX142" s="2952"/>
      <c r="AY142" s="2952"/>
      <c r="AZ142" s="2952"/>
      <c r="BA142" s="2952"/>
      <c r="BB142" s="2952"/>
      <c r="BC142" s="2952"/>
      <c r="BD142" s="2952"/>
      <c r="BE142" s="2952"/>
      <c r="BF142" s="2952"/>
      <c r="BG142" s="2952"/>
      <c r="BH142" s="2952"/>
      <c r="BI142" s="2952"/>
      <c r="BJ142" s="3254"/>
      <c r="BK142" s="3262"/>
      <c r="BL142" s="3262"/>
      <c r="BM142" s="3265"/>
      <c r="BN142" s="3168"/>
      <c r="BO142" s="3269"/>
      <c r="BP142" s="3271"/>
      <c r="BQ142" s="3253"/>
      <c r="BR142" s="3253"/>
      <c r="BS142" s="3253"/>
      <c r="BT142" s="3253"/>
      <c r="BU142" s="3254"/>
    </row>
    <row r="143" spans="1:73" ht="39.75" customHeight="1" x14ac:dyDescent="0.25">
      <c r="A143" s="1631"/>
      <c r="B143" s="3220"/>
      <c r="C143" s="1589"/>
      <c r="D143" s="1590"/>
      <c r="E143" s="3300"/>
      <c r="F143" s="3300"/>
      <c r="G143" s="3288"/>
      <c r="H143" s="3289"/>
      <c r="I143" s="3288"/>
      <c r="J143" s="3289"/>
      <c r="K143" s="3291"/>
      <c r="L143" s="3282"/>
      <c r="M143" s="3291"/>
      <c r="N143" s="3282"/>
      <c r="O143" s="3281"/>
      <c r="P143" s="3281"/>
      <c r="Q143" s="3281"/>
      <c r="R143" s="3282"/>
      <c r="S143" s="3233"/>
      <c r="T143" s="3283"/>
      <c r="U143" s="3273"/>
      <c r="V143" s="3241"/>
      <c r="W143" s="3256"/>
      <c r="X143" s="1536">
        <v>0</v>
      </c>
      <c r="Y143" s="1536"/>
      <c r="Z143" s="1536"/>
      <c r="AA143" s="1181" t="s">
        <v>2450</v>
      </c>
      <c r="AB143" s="1696">
        <v>88</v>
      </c>
      <c r="AC143" s="906" t="s">
        <v>2255</v>
      </c>
      <c r="AD143" s="2952"/>
      <c r="AE143" s="2952"/>
      <c r="AF143" s="2952"/>
      <c r="AG143" s="2952"/>
      <c r="AH143" s="2952"/>
      <c r="AI143" s="2952"/>
      <c r="AJ143" s="2952"/>
      <c r="AK143" s="2952"/>
      <c r="AL143" s="2952"/>
      <c r="AM143" s="2952"/>
      <c r="AN143" s="2952"/>
      <c r="AO143" s="2952"/>
      <c r="AP143" s="2952"/>
      <c r="AQ143" s="2952"/>
      <c r="AR143" s="2952"/>
      <c r="AS143" s="2952"/>
      <c r="AT143" s="2952"/>
      <c r="AU143" s="2952"/>
      <c r="AV143" s="2952"/>
      <c r="AW143" s="2952"/>
      <c r="AX143" s="2952"/>
      <c r="AY143" s="2952"/>
      <c r="AZ143" s="2952"/>
      <c r="BA143" s="2952"/>
      <c r="BB143" s="2952"/>
      <c r="BC143" s="2952"/>
      <c r="BD143" s="2952"/>
      <c r="BE143" s="2952"/>
      <c r="BF143" s="2952"/>
      <c r="BG143" s="2952"/>
      <c r="BH143" s="2952"/>
      <c r="BI143" s="2952"/>
      <c r="BJ143" s="3254"/>
      <c r="BK143" s="3262"/>
      <c r="BL143" s="3262"/>
      <c r="BM143" s="3265"/>
      <c r="BN143" s="3168"/>
      <c r="BO143" s="3269"/>
      <c r="BP143" s="3271"/>
      <c r="BQ143" s="3253"/>
      <c r="BR143" s="3253"/>
      <c r="BS143" s="3253"/>
      <c r="BT143" s="3253"/>
      <c r="BU143" s="3254"/>
    </row>
    <row r="144" spans="1:73" ht="39.75" customHeight="1" x14ac:dyDescent="0.25">
      <c r="A144" s="1631"/>
      <c r="B144" s="3220"/>
      <c r="C144" s="1589"/>
      <c r="D144" s="1590"/>
      <c r="E144" s="3300"/>
      <c r="F144" s="3300"/>
      <c r="G144" s="3288"/>
      <c r="H144" s="3289"/>
      <c r="I144" s="3288"/>
      <c r="J144" s="3289"/>
      <c r="K144" s="3291"/>
      <c r="L144" s="3282"/>
      <c r="M144" s="3291"/>
      <c r="N144" s="3282"/>
      <c r="O144" s="3281"/>
      <c r="P144" s="3281"/>
      <c r="Q144" s="3281"/>
      <c r="R144" s="3282"/>
      <c r="S144" s="3233"/>
      <c r="T144" s="3283"/>
      <c r="U144" s="3273"/>
      <c r="V144" s="3241"/>
      <c r="W144" s="3255" t="s">
        <v>2451</v>
      </c>
      <c r="X144" s="1536">
        <v>0</v>
      </c>
      <c r="Y144" s="1536"/>
      <c r="Z144" s="1536"/>
      <c r="AA144" s="1181" t="s">
        <v>2447</v>
      </c>
      <c r="AB144" s="1696"/>
      <c r="AC144" s="895"/>
      <c r="AD144" s="2952"/>
      <c r="AE144" s="2952"/>
      <c r="AF144" s="2952"/>
      <c r="AG144" s="2952"/>
      <c r="AH144" s="2952"/>
      <c r="AI144" s="2952"/>
      <c r="AJ144" s="2952"/>
      <c r="AK144" s="2952"/>
      <c r="AL144" s="2952"/>
      <c r="AM144" s="2952"/>
      <c r="AN144" s="2952"/>
      <c r="AO144" s="2952"/>
      <c r="AP144" s="2952"/>
      <c r="AQ144" s="2952"/>
      <c r="AR144" s="2952"/>
      <c r="AS144" s="2952"/>
      <c r="AT144" s="2952"/>
      <c r="AU144" s="2952"/>
      <c r="AV144" s="2952"/>
      <c r="AW144" s="2952"/>
      <c r="AX144" s="2952"/>
      <c r="AY144" s="2952"/>
      <c r="AZ144" s="2952"/>
      <c r="BA144" s="2952"/>
      <c r="BB144" s="2952"/>
      <c r="BC144" s="2952"/>
      <c r="BD144" s="2952"/>
      <c r="BE144" s="2952"/>
      <c r="BF144" s="2952"/>
      <c r="BG144" s="2952"/>
      <c r="BH144" s="2952"/>
      <c r="BI144" s="2952"/>
      <c r="BJ144" s="3254"/>
      <c r="BK144" s="3262"/>
      <c r="BL144" s="3262"/>
      <c r="BM144" s="3265"/>
      <c r="BN144" s="3168"/>
      <c r="BO144" s="3269"/>
      <c r="BP144" s="3271"/>
      <c r="BQ144" s="3253"/>
      <c r="BR144" s="3253"/>
      <c r="BS144" s="3253"/>
      <c r="BT144" s="3253"/>
      <c r="BU144" s="3254"/>
    </row>
    <row r="145" spans="1:73" ht="39.75" customHeight="1" x14ac:dyDescent="0.25">
      <c r="A145" s="1631"/>
      <c r="B145" s="3220"/>
      <c r="C145" s="1589"/>
      <c r="D145" s="1590"/>
      <c r="E145" s="3300"/>
      <c r="F145" s="3300"/>
      <c r="G145" s="3288"/>
      <c r="H145" s="3289"/>
      <c r="I145" s="3288"/>
      <c r="J145" s="3289"/>
      <c r="K145" s="3291"/>
      <c r="L145" s="3282"/>
      <c r="M145" s="3291"/>
      <c r="N145" s="3282"/>
      <c r="O145" s="3281"/>
      <c r="P145" s="3281"/>
      <c r="Q145" s="3281"/>
      <c r="R145" s="3282"/>
      <c r="S145" s="3233"/>
      <c r="T145" s="3283"/>
      <c r="U145" s="3273"/>
      <c r="V145" s="3241"/>
      <c r="W145" s="3257"/>
      <c r="X145" s="1536">
        <v>2000000</v>
      </c>
      <c r="Y145" s="1536">
        <v>1993400</v>
      </c>
      <c r="Z145" s="1536">
        <v>1993400</v>
      </c>
      <c r="AA145" s="900" t="s">
        <v>2452</v>
      </c>
      <c r="AB145" s="1697">
        <v>20</v>
      </c>
      <c r="AC145" s="902" t="s">
        <v>1830</v>
      </c>
      <c r="AD145" s="2952"/>
      <c r="AE145" s="2952"/>
      <c r="AF145" s="2952"/>
      <c r="AG145" s="2952"/>
      <c r="AH145" s="2952"/>
      <c r="AI145" s="2952"/>
      <c r="AJ145" s="2952"/>
      <c r="AK145" s="2952"/>
      <c r="AL145" s="2952"/>
      <c r="AM145" s="2952"/>
      <c r="AN145" s="2952"/>
      <c r="AO145" s="2952"/>
      <c r="AP145" s="2952"/>
      <c r="AQ145" s="2952"/>
      <c r="AR145" s="2952"/>
      <c r="AS145" s="2952"/>
      <c r="AT145" s="2952"/>
      <c r="AU145" s="2952"/>
      <c r="AV145" s="2952"/>
      <c r="AW145" s="2952"/>
      <c r="AX145" s="2952"/>
      <c r="AY145" s="2952"/>
      <c r="AZ145" s="2952"/>
      <c r="BA145" s="2952"/>
      <c r="BB145" s="2952"/>
      <c r="BC145" s="2952"/>
      <c r="BD145" s="2952"/>
      <c r="BE145" s="2952"/>
      <c r="BF145" s="2952"/>
      <c r="BG145" s="2952"/>
      <c r="BH145" s="2952"/>
      <c r="BI145" s="2952"/>
      <c r="BJ145" s="3254"/>
      <c r="BK145" s="3262"/>
      <c r="BL145" s="3262"/>
      <c r="BM145" s="3265"/>
      <c r="BN145" s="3168"/>
      <c r="BO145" s="3269"/>
      <c r="BP145" s="3271"/>
      <c r="BQ145" s="3253"/>
      <c r="BR145" s="3253"/>
      <c r="BS145" s="3253"/>
      <c r="BT145" s="3253"/>
      <c r="BU145" s="3254"/>
    </row>
    <row r="146" spans="1:73" ht="52.5" customHeight="1" x14ac:dyDescent="0.25">
      <c r="A146" s="1631"/>
      <c r="B146" s="3220"/>
      <c r="C146" s="1589"/>
      <c r="D146" s="1590"/>
      <c r="E146" s="3300"/>
      <c r="F146" s="3300"/>
      <c r="G146" s="3288"/>
      <c r="H146" s="3290"/>
      <c r="I146" s="3288"/>
      <c r="J146" s="3290"/>
      <c r="K146" s="3292"/>
      <c r="L146" s="3282"/>
      <c r="M146" s="3292"/>
      <c r="N146" s="3282"/>
      <c r="O146" s="3281"/>
      <c r="P146" s="3281"/>
      <c r="Q146" s="3281"/>
      <c r="R146" s="3282"/>
      <c r="S146" s="3233"/>
      <c r="T146" s="3283"/>
      <c r="U146" s="3273"/>
      <c r="V146" s="3241"/>
      <c r="W146" s="3257"/>
      <c r="X146" s="1591">
        <v>5000000</v>
      </c>
      <c r="Y146" s="1591"/>
      <c r="Z146" s="1591"/>
      <c r="AA146" s="900" t="s">
        <v>2453</v>
      </c>
      <c r="AB146" s="1696">
        <v>88</v>
      </c>
      <c r="AC146" s="906" t="s">
        <v>2255</v>
      </c>
      <c r="AD146" s="3272"/>
      <c r="AE146" s="3272"/>
      <c r="AF146" s="3272"/>
      <c r="AG146" s="3272"/>
      <c r="AH146" s="3272"/>
      <c r="AI146" s="3272"/>
      <c r="AJ146" s="3272"/>
      <c r="AK146" s="3272"/>
      <c r="AL146" s="3272"/>
      <c r="AM146" s="3272"/>
      <c r="AN146" s="3272"/>
      <c r="AO146" s="3272"/>
      <c r="AP146" s="3272"/>
      <c r="AQ146" s="3272"/>
      <c r="AR146" s="3272"/>
      <c r="AS146" s="3272"/>
      <c r="AT146" s="3272"/>
      <c r="AU146" s="3272"/>
      <c r="AV146" s="3272"/>
      <c r="AW146" s="3272"/>
      <c r="AX146" s="3272"/>
      <c r="AY146" s="3272"/>
      <c r="AZ146" s="3272"/>
      <c r="BA146" s="3272"/>
      <c r="BB146" s="3272"/>
      <c r="BC146" s="3272"/>
      <c r="BD146" s="3272"/>
      <c r="BE146" s="3272"/>
      <c r="BF146" s="3272"/>
      <c r="BG146" s="3272"/>
      <c r="BH146" s="3272"/>
      <c r="BI146" s="3272"/>
      <c r="BJ146" s="3254"/>
      <c r="BK146" s="3262"/>
      <c r="BL146" s="3262"/>
      <c r="BM146" s="3265"/>
      <c r="BN146" s="3168"/>
      <c r="BO146" s="3269"/>
      <c r="BP146" s="3271"/>
      <c r="BQ146" s="3253"/>
      <c r="BR146" s="3253"/>
      <c r="BS146" s="3253"/>
      <c r="BT146" s="3253"/>
      <c r="BU146" s="3254"/>
    </row>
    <row r="147" spans="1:73" ht="49.5" customHeight="1" x14ac:dyDescent="0.25">
      <c r="A147" s="1631"/>
      <c r="B147" s="3220"/>
      <c r="C147" s="1589"/>
      <c r="D147" s="1590"/>
      <c r="E147" s="3300"/>
      <c r="F147" s="3300"/>
      <c r="G147" s="3237">
        <v>4503003</v>
      </c>
      <c r="H147" s="3226" t="s">
        <v>1725</v>
      </c>
      <c r="I147" s="3237">
        <v>4503003</v>
      </c>
      <c r="J147" s="3226" t="s">
        <v>1725</v>
      </c>
      <c r="K147" s="3249">
        <v>450300300</v>
      </c>
      <c r="L147" s="3231" t="s">
        <v>2454</v>
      </c>
      <c r="M147" s="3249">
        <v>450300300</v>
      </c>
      <c r="N147" s="3231" t="s">
        <v>2454</v>
      </c>
      <c r="O147" s="3232">
        <v>12</v>
      </c>
      <c r="P147" s="3232">
        <v>12</v>
      </c>
      <c r="Q147" s="3281"/>
      <c r="R147" s="3282"/>
      <c r="S147" s="3233">
        <f>SUM(X147:X171)/T140</f>
        <v>0.75865644016659362</v>
      </c>
      <c r="T147" s="3283"/>
      <c r="U147" s="3273"/>
      <c r="V147" s="3251" t="s">
        <v>2455</v>
      </c>
      <c r="W147" s="3258" t="s">
        <v>2456</v>
      </c>
      <c r="X147" s="1536">
        <v>10000000</v>
      </c>
      <c r="Y147" s="1536"/>
      <c r="Z147" s="1536"/>
      <c r="AA147" s="900" t="s">
        <v>2457</v>
      </c>
      <c r="AB147" s="1698">
        <v>20</v>
      </c>
      <c r="AC147" s="894" t="s">
        <v>1830</v>
      </c>
      <c r="AD147" s="2952"/>
      <c r="AE147" s="2952"/>
      <c r="AF147" s="2952"/>
      <c r="AG147" s="2952"/>
      <c r="AH147" s="2952"/>
      <c r="AI147" s="2952"/>
      <c r="AJ147" s="2952"/>
      <c r="AK147" s="2952"/>
      <c r="AL147" s="2952"/>
      <c r="AM147" s="2952"/>
      <c r="AN147" s="2952"/>
      <c r="AO147" s="2952"/>
      <c r="AP147" s="2952"/>
      <c r="AQ147" s="2952"/>
      <c r="AR147" s="2952"/>
      <c r="AS147" s="2952"/>
      <c r="AT147" s="2952"/>
      <c r="AU147" s="2952"/>
      <c r="AV147" s="2952"/>
      <c r="AW147" s="2952"/>
      <c r="AX147" s="2952"/>
      <c r="AY147" s="2952"/>
      <c r="AZ147" s="2952"/>
      <c r="BA147" s="2952"/>
      <c r="BB147" s="2952"/>
      <c r="BC147" s="2952"/>
      <c r="BD147" s="2952"/>
      <c r="BE147" s="2952"/>
      <c r="BF147" s="2952"/>
      <c r="BG147" s="2952"/>
      <c r="BH147" s="2952"/>
      <c r="BI147" s="2952"/>
      <c r="BJ147" s="3254"/>
      <c r="BK147" s="3262"/>
      <c r="BL147" s="3262"/>
      <c r="BM147" s="3265"/>
      <c r="BN147" s="3168"/>
      <c r="BO147" s="3269"/>
      <c r="BP147" s="3271"/>
      <c r="BQ147" s="3253"/>
      <c r="BR147" s="3253"/>
      <c r="BS147" s="3253"/>
      <c r="BT147" s="3253"/>
      <c r="BU147" s="3254"/>
    </row>
    <row r="148" spans="1:73" ht="49.5" customHeight="1" x14ac:dyDescent="0.25">
      <c r="A148" s="1631"/>
      <c r="B148" s="3220"/>
      <c r="C148" s="1589"/>
      <c r="D148" s="1590"/>
      <c r="E148" s="3300"/>
      <c r="F148" s="3300"/>
      <c r="G148" s="3237"/>
      <c r="H148" s="3227"/>
      <c r="I148" s="3237"/>
      <c r="J148" s="3227"/>
      <c r="K148" s="3250"/>
      <c r="L148" s="3231"/>
      <c r="M148" s="3250"/>
      <c r="N148" s="3231"/>
      <c r="O148" s="3232"/>
      <c r="P148" s="3232"/>
      <c r="Q148" s="3281"/>
      <c r="R148" s="3282"/>
      <c r="S148" s="3233"/>
      <c r="T148" s="3283"/>
      <c r="U148" s="3273"/>
      <c r="V148" s="3251"/>
      <c r="W148" s="3258"/>
      <c r="X148" s="1536">
        <v>10000000</v>
      </c>
      <c r="Y148" s="1536"/>
      <c r="Z148" s="1536"/>
      <c r="AA148" s="1181" t="s">
        <v>2458</v>
      </c>
      <c r="AB148" s="1696">
        <v>88</v>
      </c>
      <c r="AC148" s="906" t="s">
        <v>2255</v>
      </c>
      <c r="AD148" s="2952"/>
      <c r="AE148" s="2952"/>
      <c r="AF148" s="2952"/>
      <c r="AG148" s="2952"/>
      <c r="AH148" s="2952"/>
      <c r="AI148" s="2952"/>
      <c r="AJ148" s="2952"/>
      <c r="AK148" s="2952"/>
      <c r="AL148" s="2952"/>
      <c r="AM148" s="2952"/>
      <c r="AN148" s="2952"/>
      <c r="AO148" s="2952"/>
      <c r="AP148" s="2952"/>
      <c r="AQ148" s="2952"/>
      <c r="AR148" s="2952"/>
      <c r="AS148" s="2952"/>
      <c r="AT148" s="2952"/>
      <c r="AU148" s="2952"/>
      <c r="AV148" s="2952"/>
      <c r="AW148" s="2952"/>
      <c r="AX148" s="2952"/>
      <c r="AY148" s="2952"/>
      <c r="AZ148" s="2952"/>
      <c r="BA148" s="2952"/>
      <c r="BB148" s="2952"/>
      <c r="BC148" s="2952"/>
      <c r="BD148" s="2952"/>
      <c r="BE148" s="2952"/>
      <c r="BF148" s="2952"/>
      <c r="BG148" s="2952"/>
      <c r="BH148" s="2952"/>
      <c r="BI148" s="2952"/>
      <c r="BJ148" s="3254"/>
      <c r="BK148" s="3262"/>
      <c r="BL148" s="3262"/>
      <c r="BM148" s="3265"/>
      <c r="BN148" s="3168"/>
      <c r="BO148" s="3269"/>
      <c r="BP148" s="3271"/>
      <c r="BQ148" s="3253"/>
      <c r="BR148" s="3253"/>
      <c r="BS148" s="3253"/>
      <c r="BT148" s="3253"/>
      <c r="BU148" s="3254"/>
    </row>
    <row r="149" spans="1:73" ht="49.5" customHeight="1" x14ac:dyDescent="0.25">
      <c r="A149" s="1631"/>
      <c r="B149" s="3220"/>
      <c r="C149" s="1589"/>
      <c r="D149" s="1590"/>
      <c r="E149" s="3300"/>
      <c r="F149" s="3300"/>
      <c r="G149" s="3237"/>
      <c r="H149" s="3227"/>
      <c r="I149" s="3237"/>
      <c r="J149" s="3227"/>
      <c r="K149" s="3250"/>
      <c r="L149" s="3231"/>
      <c r="M149" s="3250"/>
      <c r="N149" s="3231"/>
      <c r="O149" s="3232"/>
      <c r="P149" s="3232"/>
      <c r="Q149" s="3281"/>
      <c r="R149" s="3282"/>
      <c r="S149" s="3233"/>
      <c r="T149" s="3283"/>
      <c r="U149" s="3273"/>
      <c r="V149" s="3251"/>
      <c r="W149" s="1699" t="s">
        <v>2459</v>
      </c>
      <c r="X149" s="1536">
        <v>30512500</v>
      </c>
      <c r="Y149" s="1536">
        <v>33226165</v>
      </c>
      <c r="Z149" s="1536">
        <v>33226165</v>
      </c>
      <c r="AA149" s="1181" t="s">
        <v>2460</v>
      </c>
      <c r="AB149" s="1696">
        <v>88</v>
      </c>
      <c r="AC149" s="906" t="s">
        <v>2255</v>
      </c>
      <c r="AD149" s="2952"/>
      <c r="AE149" s="2952"/>
      <c r="AF149" s="2952"/>
      <c r="AG149" s="2952"/>
      <c r="AH149" s="2952"/>
      <c r="AI149" s="2952"/>
      <c r="AJ149" s="2952"/>
      <c r="AK149" s="2952"/>
      <c r="AL149" s="2952"/>
      <c r="AM149" s="2952"/>
      <c r="AN149" s="2952"/>
      <c r="AO149" s="2952"/>
      <c r="AP149" s="2952"/>
      <c r="AQ149" s="2952"/>
      <c r="AR149" s="2952"/>
      <c r="AS149" s="2952"/>
      <c r="AT149" s="2952"/>
      <c r="AU149" s="2952"/>
      <c r="AV149" s="2952"/>
      <c r="AW149" s="2952"/>
      <c r="AX149" s="2952"/>
      <c r="AY149" s="2952"/>
      <c r="AZ149" s="2952"/>
      <c r="BA149" s="2952"/>
      <c r="BB149" s="2952"/>
      <c r="BC149" s="2952"/>
      <c r="BD149" s="2952"/>
      <c r="BE149" s="2952"/>
      <c r="BF149" s="2952"/>
      <c r="BG149" s="2952"/>
      <c r="BH149" s="2952"/>
      <c r="BI149" s="2952"/>
      <c r="BJ149" s="3254"/>
      <c r="BK149" s="3262"/>
      <c r="BL149" s="3262"/>
      <c r="BM149" s="3265"/>
      <c r="BN149" s="3168"/>
      <c r="BO149" s="3269"/>
      <c r="BP149" s="3271"/>
      <c r="BQ149" s="3253"/>
      <c r="BR149" s="3253"/>
      <c r="BS149" s="3253"/>
      <c r="BT149" s="3253"/>
      <c r="BU149" s="3254"/>
    </row>
    <row r="150" spans="1:73" ht="25.5" customHeight="1" x14ac:dyDescent="0.25">
      <c r="A150" s="1631"/>
      <c r="B150" s="3220"/>
      <c r="C150" s="1589"/>
      <c r="D150" s="1590"/>
      <c r="E150" s="3300"/>
      <c r="F150" s="3300"/>
      <c r="G150" s="3237"/>
      <c r="H150" s="3227"/>
      <c r="I150" s="3237"/>
      <c r="J150" s="3227"/>
      <c r="K150" s="3250"/>
      <c r="L150" s="3231"/>
      <c r="M150" s="3250"/>
      <c r="N150" s="3231"/>
      <c r="O150" s="3232"/>
      <c r="P150" s="3232"/>
      <c r="Q150" s="3281"/>
      <c r="R150" s="3282"/>
      <c r="S150" s="3233"/>
      <c r="T150" s="3283"/>
      <c r="U150" s="3273"/>
      <c r="V150" s="3251"/>
      <c r="W150" s="3258" t="s">
        <v>2461</v>
      </c>
      <c r="X150" s="1536">
        <v>28400000</v>
      </c>
      <c r="Y150" s="1536">
        <v>23381167</v>
      </c>
      <c r="Z150" s="1536">
        <v>23381167</v>
      </c>
      <c r="AA150" s="1181" t="s">
        <v>2462</v>
      </c>
      <c r="AB150" s="1700">
        <v>20</v>
      </c>
      <c r="AC150" s="893" t="s">
        <v>1830</v>
      </c>
      <c r="AD150" s="2952"/>
      <c r="AE150" s="2952"/>
      <c r="AF150" s="2952"/>
      <c r="AG150" s="2952"/>
      <c r="AH150" s="2952"/>
      <c r="AI150" s="2952"/>
      <c r="AJ150" s="2952"/>
      <c r="AK150" s="2952"/>
      <c r="AL150" s="2952"/>
      <c r="AM150" s="2952"/>
      <c r="AN150" s="2952"/>
      <c r="AO150" s="2952"/>
      <c r="AP150" s="2952"/>
      <c r="AQ150" s="2952"/>
      <c r="AR150" s="2952"/>
      <c r="AS150" s="2952"/>
      <c r="AT150" s="2952"/>
      <c r="AU150" s="2952"/>
      <c r="AV150" s="2952"/>
      <c r="AW150" s="2952"/>
      <c r="AX150" s="2952"/>
      <c r="AY150" s="2952"/>
      <c r="AZ150" s="2952"/>
      <c r="BA150" s="2952"/>
      <c r="BB150" s="2952"/>
      <c r="BC150" s="2952"/>
      <c r="BD150" s="2952"/>
      <c r="BE150" s="2952"/>
      <c r="BF150" s="2952"/>
      <c r="BG150" s="2952"/>
      <c r="BH150" s="2952"/>
      <c r="BI150" s="2952"/>
      <c r="BJ150" s="3254"/>
      <c r="BK150" s="3262"/>
      <c r="BL150" s="3262"/>
      <c r="BM150" s="3265"/>
      <c r="BN150" s="3168"/>
      <c r="BO150" s="3269"/>
      <c r="BP150" s="3271"/>
      <c r="BQ150" s="3253"/>
      <c r="BR150" s="3253"/>
      <c r="BS150" s="3253"/>
      <c r="BT150" s="3253"/>
      <c r="BU150" s="3254"/>
    </row>
    <row r="151" spans="1:73" ht="25.5" customHeight="1" x14ac:dyDescent="0.25">
      <c r="A151" s="1631"/>
      <c r="B151" s="3220"/>
      <c r="C151" s="1589"/>
      <c r="D151" s="1590"/>
      <c r="E151" s="3300"/>
      <c r="F151" s="3300"/>
      <c r="G151" s="3237"/>
      <c r="H151" s="3227"/>
      <c r="I151" s="3237"/>
      <c r="J151" s="3227"/>
      <c r="K151" s="3250"/>
      <c r="L151" s="3231"/>
      <c r="M151" s="3250"/>
      <c r="N151" s="3231"/>
      <c r="O151" s="3232"/>
      <c r="P151" s="3232"/>
      <c r="Q151" s="3281"/>
      <c r="R151" s="3282"/>
      <c r="S151" s="3233"/>
      <c r="T151" s="3283"/>
      <c r="U151" s="3273"/>
      <c r="V151" s="3251"/>
      <c r="W151" s="3258"/>
      <c r="X151" s="1536">
        <v>0</v>
      </c>
      <c r="Y151" s="1536"/>
      <c r="Z151" s="1536"/>
      <c r="AA151" s="1181" t="s">
        <v>2463</v>
      </c>
      <c r="AB151" s="1701">
        <v>20</v>
      </c>
      <c r="AC151" s="1702" t="s">
        <v>1830</v>
      </c>
      <c r="AD151" s="3272"/>
      <c r="AE151" s="3272"/>
      <c r="AF151" s="3272"/>
      <c r="AG151" s="3272"/>
      <c r="AH151" s="3272"/>
      <c r="AI151" s="3272"/>
      <c r="AJ151" s="3272"/>
      <c r="AK151" s="3272"/>
      <c r="AL151" s="3272"/>
      <c r="AM151" s="3272"/>
      <c r="AN151" s="3272"/>
      <c r="AO151" s="3272"/>
      <c r="AP151" s="3272"/>
      <c r="AQ151" s="3272"/>
      <c r="AR151" s="3272"/>
      <c r="AS151" s="3272"/>
      <c r="AT151" s="3272"/>
      <c r="AU151" s="3272"/>
      <c r="AV151" s="3272"/>
      <c r="AW151" s="3272"/>
      <c r="AX151" s="3272"/>
      <c r="AY151" s="3272"/>
      <c r="AZ151" s="3272"/>
      <c r="BA151" s="3272"/>
      <c r="BB151" s="3272"/>
      <c r="BC151" s="3272"/>
      <c r="BD151" s="3272"/>
      <c r="BE151" s="3272"/>
      <c r="BF151" s="3272"/>
      <c r="BG151" s="3272"/>
      <c r="BH151" s="3272"/>
      <c r="BI151" s="3272"/>
      <c r="BJ151" s="3254"/>
      <c r="BK151" s="3262"/>
      <c r="BL151" s="3262"/>
      <c r="BM151" s="3265"/>
      <c r="BN151" s="3168"/>
      <c r="BO151" s="3269"/>
      <c r="BP151" s="3271"/>
      <c r="BQ151" s="3253"/>
      <c r="BR151" s="3253"/>
      <c r="BS151" s="3253"/>
      <c r="BT151" s="3253"/>
      <c r="BU151" s="3254"/>
    </row>
    <row r="152" spans="1:73" ht="25.5" customHeight="1" x14ac:dyDescent="0.25">
      <c r="A152" s="1631"/>
      <c r="B152" s="3220"/>
      <c r="C152" s="1589"/>
      <c r="D152" s="1590"/>
      <c r="E152" s="3300"/>
      <c r="F152" s="3300"/>
      <c r="G152" s="3237"/>
      <c r="H152" s="3227"/>
      <c r="I152" s="3237"/>
      <c r="J152" s="3227"/>
      <c r="K152" s="3250"/>
      <c r="L152" s="3231"/>
      <c r="M152" s="3250"/>
      <c r="N152" s="3231"/>
      <c r="O152" s="3232"/>
      <c r="P152" s="3232"/>
      <c r="Q152" s="3281"/>
      <c r="R152" s="3282"/>
      <c r="S152" s="3233"/>
      <c r="T152" s="3283"/>
      <c r="U152" s="3273"/>
      <c r="V152" s="3251"/>
      <c r="W152" s="3258"/>
      <c r="X152" s="1536">
        <v>6800000</v>
      </c>
      <c r="Y152" s="1536"/>
      <c r="Z152" s="1536"/>
      <c r="AA152" s="1181" t="s">
        <v>2464</v>
      </c>
      <c r="AB152" s="1700">
        <v>20</v>
      </c>
      <c r="AC152" s="893" t="s">
        <v>1830</v>
      </c>
      <c r="AD152" s="3272"/>
      <c r="AE152" s="3272"/>
      <c r="AF152" s="3272"/>
      <c r="AG152" s="3272"/>
      <c r="AH152" s="3272"/>
      <c r="AI152" s="3272"/>
      <c r="AJ152" s="3272"/>
      <c r="AK152" s="3272"/>
      <c r="AL152" s="3272"/>
      <c r="AM152" s="3272"/>
      <c r="AN152" s="3272"/>
      <c r="AO152" s="3272"/>
      <c r="AP152" s="3272"/>
      <c r="AQ152" s="3272"/>
      <c r="AR152" s="3272"/>
      <c r="AS152" s="3272"/>
      <c r="AT152" s="3272"/>
      <c r="AU152" s="3272"/>
      <c r="AV152" s="3272"/>
      <c r="AW152" s="3272"/>
      <c r="AX152" s="3272"/>
      <c r="AY152" s="3272"/>
      <c r="AZ152" s="3272"/>
      <c r="BA152" s="3272"/>
      <c r="BB152" s="3272"/>
      <c r="BC152" s="3272"/>
      <c r="BD152" s="3272"/>
      <c r="BE152" s="3272"/>
      <c r="BF152" s="3272"/>
      <c r="BG152" s="3272"/>
      <c r="BH152" s="3272"/>
      <c r="BI152" s="3272"/>
      <c r="BJ152" s="3254"/>
      <c r="BK152" s="3262"/>
      <c r="BL152" s="3262"/>
      <c r="BM152" s="3265"/>
      <c r="BN152" s="3168"/>
      <c r="BO152" s="3269"/>
      <c r="BP152" s="3271"/>
      <c r="BQ152" s="3253"/>
      <c r="BR152" s="3253"/>
      <c r="BS152" s="3253"/>
      <c r="BT152" s="3253"/>
      <c r="BU152" s="3254"/>
    </row>
    <row r="153" spans="1:73" ht="27.75" customHeight="1" x14ac:dyDescent="0.25">
      <c r="A153" s="1631"/>
      <c r="B153" s="3220"/>
      <c r="C153" s="1589"/>
      <c r="D153" s="1590"/>
      <c r="E153" s="3300"/>
      <c r="F153" s="3300"/>
      <c r="G153" s="3237"/>
      <c r="H153" s="3227"/>
      <c r="I153" s="3237"/>
      <c r="J153" s="3227"/>
      <c r="K153" s="3250"/>
      <c r="L153" s="3231"/>
      <c r="M153" s="3250"/>
      <c r="N153" s="3231"/>
      <c r="O153" s="3232"/>
      <c r="P153" s="3232"/>
      <c r="Q153" s="3281"/>
      <c r="R153" s="3282"/>
      <c r="S153" s="3233"/>
      <c r="T153" s="3283"/>
      <c r="U153" s="3273"/>
      <c r="V153" s="3251"/>
      <c r="W153" s="3258"/>
      <c r="X153" s="1591">
        <v>45415000</v>
      </c>
      <c r="Y153" s="1591">
        <v>37148999</v>
      </c>
      <c r="Z153" s="1591">
        <v>37148999</v>
      </c>
      <c r="AA153" s="1181" t="s">
        <v>2460</v>
      </c>
      <c r="AB153" s="1696">
        <v>88</v>
      </c>
      <c r="AC153" s="904" t="s">
        <v>2255</v>
      </c>
      <c r="AD153" s="3272"/>
      <c r="AE153" s="3272"/>
      <c r="AF153" s="3272"/>
      <c r="AG153" s="3272"/>
      <c r="AH153" s="3272"/>
      <c r="AI153" s="3272"/>
      <c r="AJ153" s="3272"/>
      <c r="AK153" s="3272"/>
      <c r="AL153" s="3272"/>
      <c r="AM153" s="3272"/>
      <c r="AN153" s="3272"/>
      <c r="AO153" s="3272"/>
      <c r="AP153" s="3272"/>
      <c r="AQ153" s="3272"/>
      <c r="AR153" s="3272"/>
      <c r="AS153" s="3272"/>
      <c r="AT153" s="3272"/>
      <c r="AU153" s="3272"/>
      <c r="AV153" s="3272"/>
      <c r="AW153" s="3272"/>
      <c r="AX153" s="3272"/>
      <c r="AY153" s="3272"/>
      <c r="AZ153" s="3272"/>
      <c r="BA153" s="3272"/>
      <c r="BB153" s="3272"/>
      <c r="BC153" s="3272"/>
      <c r="BD153" s="3272"/>
      <c r="BE153" s="3272"/>
      <c r="BF153" s="3272"/>
      <c r="BG153" s="3272"/>
      <c r="BH153" s="3272"/>
      <c r="BI153" s="3272"/>
      <c r="BJ153" s="3254"/>
      <c r="BK153" s="3262"/>
      <c r="BL153" s="3262"/>
      <c r="BM153" s="3265"/>
      <c r="BN153" s="3168"/>
      <c r="BO153" s="3269"/>
      <c r="BP153" s="3271"/>
      <c r="BQ153" s="3253"/>
      <c r="BR153" s="3253"/>
      <c r="BS153" s="3253"/>
      <c r="BT153" s="3253"/>
      <c r="BU153" s="3254"/>
    </row>
    <row r="154" spans="1:73" ht="60" customHeight="1" x14ac:dyDescent="0.25">
      <c r="A154" s="49"/>
      <c r="B154" s="3220"/>
      <c r="C154" s="909"/>
      <c r="D154" s="1414"/>
      <c r="E154" s="3300"/>
      <c r="F154" s="3300"/>
      <c r="G154" s="3237"/>
      <c r="H154" s="3227"/>
      <c r="I154" s="3237"/>
      <c r="J154" s="3227"/>
      <c r="K154" s="3250"/>
      <c r="L154" s="3231"/>
      <c r="M154" s="3250"/>
      <c r="N154" s="3231"/>
      <c r="O154" s="3232"/>
      <c r="P154" s="3232"/>
      <c r="Q154" s="3281"/>
      <c r="R154" s="3282"/>
      <c r="S154" s="3233"/>
      <c r="T154" s="3283"/>
      <c r="U154" s="3273"/>
      <c r="V154" s="3252"/>
      <c r="W154" s="3259" t="s">
        <v>2465</v>
      </c>
      <c r="X154" s="1536">
        <v>14400000</v>
      </c>
      <c r="Y154" s="1536">
        <v>14487334</v>
      </c>
      <c r="Z154" s="1536">
        <v>14487334</v>
      </c>
      <c r="AA154" s="1181" t="s">
        <v>2462</v>
      </c>
      <c r="AB154" s="1703">
        <v>20</v>
      </c>
      <c r="AC154" s="1704" t="s">
        <v>1830</v>
      </c>
      <c r="AD154" s="2952"/>
      <c r="AE154" s="2952"/>
      <c r="AF154" s="2952"/>
      <c r="AG154" s="2952"/>
      <c r="AH154" s="2952"/>
      <c r="AI154" s="2952"/>
      <c r="AJ154" s="2952"/>
      <c r="AK154" s="2952"/>
      <c r="AL154" s="2952"/>
      <c r="AM154" s="2952"/>
      <c r="AN154" s="2952"/>
      <c r="AO154" s="2952"/>
      <c r="AP154" s="2952"/>
      <c r="AQ154" s="2952"/>
      <c r="AR154" s="2952"/>
      <c r="AS154" s="2952"/>
      <c r="AT154" s="2952"/>
      <c r="AU154" s="2952"/>
      <c r="AV154" s="2952"/>
      <c r="AW154" s="2952"/>
      <c r="AX154" s="2952"/>
      <c r="AY154" s="2952"/>
      <c r="AZ154" s="2952"/>
      <c r="BA154" s="2952"/>
      <c r="BB154" s="2952"/>
      <c r="BC154" s="2952"/>
      <c r="BD154" s="2952"/>
      <c r="BE154" s="2952"/>
      <c r="BF154" s="2952"/>
      <c r="BG154" s="2952"/>
      <c r="BH154" s="2952"/>
      <c r="BI154" s="2952"/>
      <c r="BJ154" s="3254"/>
      <c r="BK154" s="3262"/>
      <c r="BL154" s="3262"/>
      <c r="BM154" s="3265"/>
      <c r="BN154" s="3168"/>
      <c r="BO154" s="3269"/>
      <c r="BP154" s="3271"/>
      <c r="BQ154" s="3253"/>
      <c r="BR154" s="3253"/>
      <c r="BS154" s="3253"/>
      <c r="BT154" s="3253"/>
      <c r="BU154" s="3254"/>
    </row>
    <row r="155" spans="1:73" ht="60" customHeight="1" x14ac:dyDescent="0.25">
      <c r="A155" s="49"/>
      <c r="B155" s="3220"/>
      <c r="C155" s="909"/>
      <c r="D155" s="1414"/>
      <c r="E155" s="3300"/>
      <c r="F155" s="3300"/>
      <c r="G155" s="3237"/>
      <c r="H155" s="3227"/>
      <c r="I155" s="3237"/>
      <c r="J155" s="3227"/>
      <c r="K155" s="3250"/>
      <c r="L155" s="3231"/>
      <c r="M155" s="3250"/>
      <c r="N155" s="3231"/>
      <c r="O155" s="3232"/>
      <c r="P155" s="3232"/>
      <c r="Q155" s="3281"/>
      <c r="R155" s="3282"/>
      <c r="S155" s="3233"/>
      <c r="T155" s="3283"/>
      <c r="U155" s="3273"/>
      <c r="V155" s="3252"/>
      <c r="W155" s="3260"/>
      <c r="X155" s="1536">
        <v>18845000</v>
      </c>
      <c r="Y155" s="1536">
        <v>14492333</v>
      </c>
      <c r="Z155" s="1536">
        <v>14492333</v>
      </c>
      <c r="AA155" s="900" t="s">
        <v>2460</v>
      </c>
      <c r="AB155" s="1696">
        <v>88</v>
      </c>
      <c r="AC155" s="906" t="s">
        <v>2255</v>
      </c>
      <c r="AD155" s="3272"/>
      <c r="AE155" s="3272"/>
      <c r="AF155" s="3272"/>
      <c r="AG155" s="3272"/>
      <c r="AH155" s="3272"/>
      <c r="AI155" s="3272"/>
      <c r="AJ155" s="3272"/>
      <c r="AK155" s="3272"/>
      <c r="AL155" s="3272"/>
      <c r="AM155" s="3272"/>
      <c r="AN155" s="3272"/>
      <c r="AO155" s="3272"/>
      <c r="AP155" s="3272"/>
      <c r="AQ155" s="3272"/>
      <c r="AR155" s="3272"/>
      <c r="AS155" s="3272"/>
      <c r="AT155" s="3272"/>
      <c r="AU155" s="3272"/>
      <c r="AV155" s="3272"/>
      <c r="AW155" s="3272"/>
      <c r="AX155" s="3272"/>
      <c r="AY155" s="3272"/>
      <c r="AZ155" s="3272"/>
      <c r="BA155" s="3272"/>
      <c r="BB155" s="3272"/>
      <c r="BC155" s="3272"/>
      <c r="BD155" s="3272"/>
      <c r="BE155" s="3272"/>
      <c r="BF155" s="3272"/>
      <c r="BG155" s="3272"/>
      <c r="BH155" s="3272"/>
      <c r="BI155" s="3272"/>
      <c r="BJ155" s="3254"/>
      <c r="BK155" s="3262"/>
      <c r="BL155" s="3262"/>
      <c r="BM155" s="3265"/>
      <c r="BN155" s="3168"/>
      <c r="BO155" s="3269"/>
      <c r="BP155" s="3271"/>
      <c r="BQ155" s="3253"/>
      <c r="BR155" s="3253"/>
      <c r="BS155" s="3253"/>
      <c r="BT155" s="3253"/>
      <c r="BU155" s="3254"/>
    </row>
    <row r="156" spans="1:73" ht="33.75" customHeight="1" x14ac:dyDescent="0.25">
      <c r="A156" s="1631"/>
      <c r="B156" s="3220"/>
      <c r="C156" s="1589"/>
      <c r="D156" s="1590"/>
      <c r="E156" s="3300"/>
      <c r="F156" s="3300"/>
      <c r="G156" s="3237"/>
      <c r="H156" s="3227"/>
      <c r="I156" s="3237"/>
      <c r="J156" s="3227"/>
      <c r="K156" s="3250"/>
      <c r="L156" s="3231"/>
      <c r="M156" s="3250"/>
      <c r="N156" s="3231"/>
      <c r="O156" s="3232"/>
      <c r="P156" s="3232"/>
      <c r="Q156" s="3281"/>
      <c r="R156" s="3282"/>
      <c r="S156" s="3233"/>
      <c r="T156" s="3283"/>
      <c r="U156" s="3273"/>
      <c r="V156" s="3251"/>
      <c r="W156" s="3258" t="s">
        <v>2466</v>
      </c>
      <c r="X156" s="1536">
        <v>10000000</v>
      </c>
      <c r="Y156" s="1536">
        <v>9901969</v>
      </c>
      <c r="Z156" s="1536">
        <v>9901969</v>
      </c>
      <c r="AA156" s="1538" t="s">
        <v>2467</v>
      </c>
      <c r="AB156" s="1698">
        <v>20</v>
      </c>
      <c r="AC156" s="894" t="s">
        <v>1830</v>
      </c>
      <c r="AD156" s="2952"/>
      <c r="AE156" s="2952"/>
      <c r="AF156" s="2952"/>
      <c r="AG156" s="2952"/>
      <c r="AH156" s="2952"/>
      <c r="AI156" s="2952"/>
      <c r="AJ156" s="2952"/>
      <c r="AK156" s="2952"/>
      <c r="AL156" s="2952"/>
      <c r="AM156" s="2952"/>
      <c r="AN156" s="2952"/>
      <c r="AO156" s="2952"/>
      <c r="AP156" s="2952"/>
      <c r="AQ156" s="2952"/>
      <c r="AR156" s="2952"/>
      <c r="AS156" s="2952"/>
      <c r="AT156" s="2952"/>
      <c r="AU156" s="2952"/>
      <c r="AV156" s="2952"/>
      <c r="AW156" s="2952"/>
      <c r="AX156" s="2952"/>
      <c r="AY156" s="2952"/>
      <c r="AZ156" s="2952"/>
      <c r="BA156" s="2952"/>
      <c r="BB156" s="2952"/>
      <c r="BC156" s="2952"/>
      <c r="BD156" s="2952"/>
      <c r="BE156" s="2952"/>
      <c r="BF156" s="2952"/>
      <c r="BG156" s="2952"/>
      <c r="BH156" s="2952"/>
      <c r="BI156" s="2952"/>
      <c r="BJ156" s="3254"/>
      <c r="BK156" s="3262"/>
      <c r="BL156" s="3262"/>
      <c r="BM156" s="3265"/>
      <c r="BN156" s="3168"/>
      <c r="BO156" s="3269"/>
      <c r="BP156" s="3271"/>
      <c r="BQ156" s="3253"/>
      <c r="BR156" s="3253"/>
      <c r="BS156" s="3253"/>
      <c r="BT156" s="3253"/>
      <c r="BU156" s="3254"/>
    </row>
    <row r="157" spans="1:73" ht="33.75" customHeight="1" x14ac:dyDescent="0.25">
      <c r="A157" s="1631"/>
      <c r="B157" s="3220"/>
      <c r="C157" s="1589"/>
      <c r="D157" s="1590"/>
      <c r="E157" s="3300"/>
      <c r="F157" s="3300"/>
      <c r="G157" s="3237"/>
      <c r="H157" s="3227"/>
      <c r="I157" s="3237"/>
      <c r="J157" s="3227"/>
      <c r="K157" s="3250"/>
      <c r="L157" s="3231"/>
      <c r="M157" s="3250"/>
      <c r="N157" s="3231"/>
      <c r="O157" s="3232"/>
      <c r="P157" s="3232"/>
      <c r="Q157" s="3281"/>
      <c r="R157" s="3282"/>
      <c r="S157" s="3233"/>
      <c r="T157" s="3283"/>
      <c r="U157" s="3273"/>
      <c r="V157" s="3251"/>
      <c r="W157" s="3258"/>
      <c r="X157" s="1536">
        <v>5200000</v>
      </c>
      <c r="Y157" s="1536"/>
      <c r="Z157" s="1536"/>
      <c r="AA157" s="1538" t="s">
        <v>2463</v>
      </c>
      <c r="AB157" s="1703">
        <v>20</v>
      </c>
      <c r="AC157" s="1704" t="s">
        <v>1830</v>
      </c>
      <c r="AD157" s="2952"/>
      <c r="AE157" s="2952"/>
      <c r="AF157" s="2952"/>
      <c r="AG157" s="2952"/>
      <c r="AH157" s="2952"/>
      <c r="AI157" s="2952"/>
      <c r="AJ157" s="2952"/>
      <c r="AK157" s="2952"/>
      <c r="AL157" s="2952"/>
      <c r="AM157" s="2952"/>
      <c r="AN157" s="2952"/>
      <c r="AO157" s="2952"/>
      <c r="AP157" s="2952"/>
      <c r="AQ157" s="2952"/>
      <c r="AR157" s="2952"/>
      <c r="AS157" s="2952"/>
      <c r="AT157" s="2952"/>
      <c r="AU157" s="2952"/>
      <c r="AV157" s="2952"/>
      <c r="AW157" s="2952"/>
      <c r="AX157" s="2952"/>
      <c r="AY157" s="2952"/>
      <c r="AZ157" s="2952"/>
      <c r="BA157" s="2952"/>
      <c r="BB157" s="2952"/>
      <c r="BC157" s="2952"/>
      <c r="BD157" s="2952"/>
      <c r="BE157" s="2952"/>
      <c r="BF157" s="2952"/>
      <c r="BG157" s="2952"/>
      <c r="BH157" s="2952"/>
      <c r="BI157" s="2952"/>
      <c r="BJ157" s="3254"/>
      <c r="BK157" s="3262"/>
      <c r="BL157" s="3262"/>
      <c r="BM157" s="3265"/>
      <c r="BN157" s="3168"/>
      <c r="BO157" s="3269"/>
      <c r="BP157" s="3271"/>
      <c r="BQ157" s="3253"/>
      <c r="BR157" s="3253"/>
      <c r="BS157" s="3253"/>
      <c r="BT157" s="3253"/>
      <c r="BU157" s="3254"/>
    </row>
    <row r="158" spans="1:73" ht="33.75" customHeight="1" x14ac:dyDescent="0.25">
      <c r="A158" s="1631"/>
      <c r="B158" s="3220"/>
      <c r="C158" s="1589"/>
      <c r="D158" s="1590"/>
      <c r="E158" s="3300"/>
      <c r="F158" s="3300"/>
      <c r="G158" s="3237"/>
      <c r="H158" s="3227"/>
      <c r="I158" s="3237"/>
      <c r="J158" s="3227"/>
      <c r="K158" s="3250"/>
      <c r="L158" s="3231"/>
      <c r="M158" s="3250"/>
      <c r="N158" s="3231"/>
      <c r="O158" s="3232"/>
      <c r="P158" s="3232"/>
      <c r="Q158" s="3281"/>
      <c r="R158" s="3282"/>
      <c r="S158" s="3233"/>
      <c r="T158" s="3283"/>
      <c r="U158" s="3273"/>
      <c r="V158" s="3251"/>
      <c r="W158" s="3258"/>
      <c r="X158" s="1536">
        <v>36000000</v>
      </c>
      <c r="Y158" s="1536">
        <v>30681025.059999999</v>
      </c>
      <c r="Z158" s="1536">
        <v>30681025.059999999</v>
      </c>
      <c r="AA158" s="1538" t="s">
        <v>2468</v>
      </c>
      <c r="AB158" s="1696">
        <v>88</v>
      </c>
      <c r="AC158" s="906" t="s">
        <v>2255</v>
      </c>
      <c r="AD158" s="3272"/>
      <c r="AE158" s="3272"/>
      <c r="AF158" s="3272"/>
      <c r="AG158" s="3272"/>
      <c r="AH158" s="3272"/>
      <c r="AI158" s="3272"/>
      <c r="AJ158" s="3272"/>
      <c r="AK158" s="3272"/>
      <c r="AL158" s="3272"/>
      <c r="AM158" s="3272"/>
      <c r="AN158" s="3272"/>
      <c r="AO158" s="3272"/>
      <c r="AP158" s="3272"/>
      <c r="AQ158" s="3272"/>
      <c r="AR158" s="3272"/>
      <c r="AS158" s="3272"/>
      <c r="AT158" s="3272"/>
      <c r="AU158" s="3272"/>
      <c r="AV158" s="3272"/>
      <c r="AW158" s="3272"/>
      <c r="AX158" s="3272"/>
      <c r="AY158" s="3272"/>
      <c r="AZ158" s="3272"/>
      <c r="BA158" s="3272"/>
      <c r="BB158" s="3272"/>
      <c r="BC158" s="3272"/>
      <c r="BD158" s="3272"/>
      <c r="BE158" s="3272"/>
      <c r="BF158" s="3272"/>
      <c r="BG158" s="3272"/>
      <c r="BH158" s="3272"/>
      <c r="BI158" s="3272"/>
      <c r="BJ158" s="3254"/>
      <c r="BK158" s="3262"/>
      <c r="BL158" s="3262"/>
      <c r="BM158" s="3265"/>
      <c r="BN158" s="3168"/>
      <c r="BO158" s="3269"/>
      <c r="BP158" s="3271"/>
      <c r="BQ158" s="3253"/>
      <c r="BR158" s="3253"/>
      <c r="BS158" s="3253"/>
      <c r="BT158" s="3253"/>
      <c r="BU158" s="3254"/>
    </row>
    <row r="159" spans="1:73" ht="33.75" customHeight="1" x14ac:dyDescent="0.25">
      <c r="A159" s="1631"/>
      <c r="B159" s="3220"/>
      <c r="C159" s="1589"/>
      <c r="D159" s="1590"/>
      <c r="E159" s="3300"/>
      <c r="F159" s="3300"/>
      <c r="G159" s="3237"/>
      <c r="H159" s="3227"/>
      <c r="I159" s="3237"/>
      <c r="J159" s="3227"/>
      <c r="K159" s="3250"/>
      <c r="L159" s="3231"/>
      <c r="M159" s="3250"/>
      <c r="N159" s="3231"/>
      <c r="O159" s="3232"/>
      <c r="P159" s="3232"/>
      <c r="Q159" s="3281"/>
      <c r="R159" s="3282"/>
      <c r="S159" s="3233"/>
      <c r="T159" s="3283"/>
      <c r="U159" s="3273"/>
      <c r="V159" s="3251"/>
      <c r="W159" s="3258"/>
      <c r="X159" s="1591">
        <v>20000000</v>
      </c>
      <c r="Y159" s="1591"/>
      <c r="Z159" s="1591"/>
      <c r="AA159" s="1538" t="s">
        <v>2469</v>
      </c>
      <c r="AB159" s="1696">
        <v>88</v>
      </c>
      <c r="AC159" s="906" t="s">
        <v>2255</v>
      </c>
      <c r="AD159" s="3272"/>
      <c r="AE159" s="3272"/>
      <c r="AF159" s="3272"/>
      <c r="AG159" s="3272"/>
      <c r="AH159" s="3272"/>
      <c r="AI159" s="3272"/>
      <c r="AJ159" s="3272"/>
      <c r="AK159" s="3272"/>
      <c r="AL159" s="3272"/>
      <c r="AM159" s="3272"/>
      <c r="AN159" s="3272"/>
      <c r="AO159" s="3272"/>
      <c r="AP159" s="3272"/>
      <c r="AQ159" s="3272"/>
      <c r="AR159" s="3272"/>
      <c r="AS159" s="3272"/>
      <c r="AT159" s="3272"/>
      <c r="AU159" s="3272"/>
      <c r="AV159" s="3272"/>
      <c r="AW159" s="3272"/>
      <c r="AX159" s="3272"/>
      <c r="AY159" s="3272"/>
      <c r="AZ159" s="3272"/>
      <c r="BA159" s="3272"/>
      <c r="BB159" s="3272"/>
      <c r="BC159" s="3272"/>
      <c r="BD159" s="3272"/>
      <c r="BE159" s="3272"/>
      <c r="BF159" s="3272"/>
      <c r="BG159" s="3272"/>
      <c r="BH159" s="3272"/>
      <c r="BI159" s="3272"/>
      <c r="BJ159" s="3254"/>
      <c r="BK159" s="3262"/>
      <c r="BL159" s="3262"/>
      <c r="BM159" s="3265"/>
      <c r="BN159" s="3168"/>
      <c r="BO159" s="3269"/>
      <c r="BP159" s="3271"/>
      <c r="BQ159" s="3253"/>
      <c r="BR159" s="3253"/>
      <c r="BS159" s="3253"/>
      <c r="BT159" s="3253"/>
      <c r="BU159" s="3254"/>
    </row>
    <row r="160" spans="1:73" ht="26.25" customHeight="1" x14ac:dyDescent="0.25">
      <c r="A160" s="1631"/>
      <c r="B160" s="3220"/>
      <c r="C160" s="1589"/>
      <c r="D160" s="1590"/>
      <c r="E160" s="3300"/>
      <c r="F160" s="3300"/>
      <c r="G160" s="3237"/>
      <c r="H160" s="3227"/>
      <c r="I160" s="3237"/>
      <c r="J160" s="3227"/>
      <c r="K160" s="3250"/>
      <c r="L160" s="3231"/>
      <c r="M160" s="3250"/>
      <c r="N160" s="3231"/>
      <c r="O160" s="3232"/>
      <c r="P160" s="3232"/>
      <c r="Q160" s="3281"/>
      <c r="R160" s="3282"/>
      <c r="S160" s="3233"/>
      <c r="T160" s="3283"/>
      <c r="U160" s="3273"/>
      <c r="V160" s="3251"/>
      <c r="W160" s="3258"/>
      <c r="X160" s="1591">
        <v>20000000</v>
      </c>
      <c r="Y160" s="1591"/>
      <c r="Z160" s="1591"/>
      <c r="AA160" s="1538" t="s">
        <v>2470</v>
      </c>
      <c r="AB160" s="1696">
        <v>88</v>
      </c>
      <c r="AC160" s="906" t="s">
        <v>2255</v>
      </c>
      <c r="AD160" s="3272"/>
      <c r="AE160" s="3272"/>
      <c r="AF160" s="3272"/>
      <c r="AG160" s="3272"/>
      <c r="AH160" s="3272"/>
      <c r="AI160" s="3272"/>
      <c r="AJ160" s="3272"/>
      <c r="AK160" s="3272"/>
      <c r="AL160" s="3272"/>
      <c r="AM160" s="3272"/>
      <c r="AN160" s="3272"/>
      <c r="AO160" s="3272"/>
      <c r="AP160" s="3272"/>
      <c r="AQ160" s="3272"/>
      <c r="AR160" s="3272"/>
      <c r="AS160" s="3272"/>
      <c r="AT160" s="3272"/>
      <c r="AU160" s="3272"/>
      <c r="AV160" s="3272"/>
      <c r="AW160" s="3272"/>
      <c r="AX160" s="3272"/>
      <c r="AY160" s="3272"/>
      <c r="AZ160" s="3272"/>
      <c r="BA160" s="3272"/>
      <c r="BB160" s="3272"/>
      <c r="BC160" s="3272"/>
      <c r="BD160" s="3272"/>
      <c r="BE160" s="3272"/>
      <c r="BF160" s="3272"/>
      <c r="BG160" s="3272"/>
      <c r="BH160" s="3272"/>
      <c r="BI160" s="3272"/>
      <c r="BJ160" s="3254"/>
      <c r="BK160" s="3262"/>
      <c r="BL160" s="3262"/>
      <c r="BM160" s="3265"/>
      <c r="BN160" s="3168"/>
      <c r="BO160" s="3269"/>
      <c r="BP160" s="3271"/>
      <c r="BQ160" s="3253"/>
      <c r="BR160" s="3253"/>
      <c r="BS160" s="3253"/>
      <c r="BT160" s="3253"/>
      <c r="BU160" s="3254"/>
    </row>
    <row r="161" spans="1:73" ht="26.25" customHeight="1" x14ac:dyDescent="0.25">
      <c r="A161" s="1631"/>
      <c r="B161" s="3220"/>
      <c r="C161" s="1589"/>
      <c r="D161" s="1590"/>
      <c r="E161" s="3300"/>
      <c r="F161" s="3300"/>
      <c r="G161" s="3237"/>
      <c r="H161" s="3227"/>
      <c r="I161" s="3237"/>
      <c r="J161" s="3227"/>
      <c r="K161" s="3250"/>
      <c r="L161" s="3231"/>
      <c r="M161" s="3250"/>
      <c r="N161" s="3231"/>
      <c r="O161" s="3232"/>
      <c r="P161" s="3232"/>
      <c r="Q161" s="3281"/>
      <c r="R161" s="3282"/>
      <c r="S161" s="3233"/>
      <c r="T161" s="3283"/>
      <c r="U161" s="3273"/>
      <c r="V161" s="3251"/>
      <c r="W161" s="1699" t="s">
        <v>2471</v>
      </c>
      <c r="X161" s="1591">
        <v>50000000</v>
      </c>
      <c r="Y161" s="1591">
        <v>31238173</v>
      </c>
      <c r="Z161" s="1591">
        <v>31238173</v>
      </c>
      <c r="AA161" s="1538" t="s">
        <v>2472</v>
      </c>
      <c r="AB161" s="1696">
        <v>88</v>
      </c>
      <c r="AC161" s="906" t="s">
        <v>2255</v>
      </c>
      <c r="AD161" s="3272"/>
      <c r="AE161" s="3272"/>
      <c r="AF161" s="3272"/>
      <c r="AG161" s="3272"/>
      <c r="AH161" s="3272"/>
      <c r="AI161" s="3272"/>
      <c r="AJ161" s="3272"/>
      <c r="AK161" s="3272"/>
      <c r="AL161" s="3272"/>
      <c r="AM161" s="3272"/>
      <c r="AN161" s="3272"/>
      <c r="AO161" s="3272"/>
      <c r="AP161" s="3272"/>
      <c r="AQ161" s="3272"/>
      <c r="AR161" s="3272"/>
      <c r="AS161" s="3272"/>
      <c r="AT161" s="3272"/>
      <c r="AU161" s="3272"/>
      <c r="AV161" s="3272"/>
      <c r="AW161" s="3272"/>
      <c r="AX161" s="3272"/>
      <c r="AY161" s="3272"/>
      <c r="AZ161" s="3272"/>
      <c r="BA161" s="3272"/>
      <c r="BB161" s="3272"/>
      <c r="BC161" s="3272"/>
      <c r="BD161" s="3272"/>
      <c r="BE161" s="3272"/>
      <c r="BF161" s="3272"/>
      <c r="BG161" s="3272"/>
      <c r="BH161" s="3272"/>
      <c r="BI161" s="3272"/>
      <c r="BJ161" s="3254"/>
      <c r="BK161" s="3262"/>
      <c r="BL161" s="3262"/>
      <c r="BM161" s="3265"/>
      <c r="BN161" s="3168"/>
      <c r="BO161" s="3269"/>
      <c r="BP161" s="3271"/>
      <c r="BQ161" s="3253"/>
      <c r="BR161" s="3253"/>
      <c r="BS161" s="3253"/>
      <c r="BT161" s="3253"/>
      <c r="BU161" s="3254"/>
    </row>
    <row r="162" spans="1:73" ht="37.5" customHeight="1" x14ac:dyDescent="0.25">
      <c r="A162" s="1631"/>
      <c r="B162" s="3220"/>
      <c r="C162" s="1589"/>
      <c r="D162" s="1590"/>
      <c r="E162" s="3300"/>
      <c r="F162" s="3300"/>
      <c r="G162" s="3237"/>
      <c r="H162" s="3227"/>
      <c r="I162" s="3237"/>
      <c r="J162" s="3227"/>
      <c r="K162" s="3250"/>
      <c r="L162" s="3231"/>
      <c r="M162" s="3250"/>
      <c r="N162" s="3231"/>
      <c r="O162" s="3232"/>
      <c r="P162" s="3232"/>
      <c r="Q162" s="3281"/>
      <c r="R162" s="3282"/>
      <c r="S162" s="3233"/>
      <c r="T162" s="3283"/>
      <c r="U162" s="3273"/>
      <c r="V162" s="3251"/>
      <c r="W162" s="3276" t="s">
        <v>2473</v>
      </c>
      <c r="X162" s="1536">
        <v>2700000</v>
      </c>
      <c r="Y162" s="1536"/>
      <c r="Z162" s="1536"/>
      <c r="AA162" s="1538" t="s">
        <v>2463</v>
      </c>
      <c r="AB162" s="1703">
        <v>20</v>
      </c>
      <c r="AC162" s="1704" t="s">
        <v>1830</v>
      </c>
      <c r="AD162" s="2952"/>
      <c r="AE162" s="2952"/>
      <c r="AF162" s="2952"/>
      <c r="AG162" s="2952"/>
      <c r="AH162" s="2952"/>
      <c r="AI162" s="2952"/>
      <c r="AJ162" s="2952"/>
      <c r="AK162" s="2952"/>
      <c r="AL162" s="2952"/>
      <c r="AM162" s="2952"/>
      <c r="AN162" s="2952"/>
      <c r="AO162" s="2952"/>
      <c r="AP162" s="2952"/>
      <c r="AQ162" s="2952"/>
      <c r="AR162" s="2952"/>
      <c r="AS162" s="2952"/>
      <c r="AT162" s="2952"/>
      <c r="AU162" s="2952"/>
      <c r="AV162" s="2952"/>
      <c r="AW162" s="2952"/>
      <c r="AX162" s="2952"/>
      <c r="AY162" s="2952"/>
      <c r="AZ162" s="2952"/>
      <c r="BA162" s="2952"/>
      <c r="BB162" s="2952"/>
      <c r="BC162" s="2952"/>
      <c r="BD162" s="2952"/>
      <c r="BE162" s="2952"/>
      <c r="BF162" s="2952"/>
      <c r="BG162" s="2952"/>
      <c r="BH162" s="2952"/>
      <c r="BI162" s="2952"/>
      <c r="BJ162" s="3254"/>
      <c r="BK162" s="3262"/>
      <c r="BL162" s="3262"/>
      <c r="BM162" s="3265"/>
      <c r="BN162" s="3168"/>
      <c r="BO162" s="3269"/>
      <c r="BP162" s="3271"/>
      <c r="BQ162" s="3253"/>
      <c r="BR162" s="3253"/>
      <c r="BS162" s="3253"/>
      <c r="BT162" s="3253"/>
      <c r="BU162" s="3254"/>
    </row>
    <row r="163" spans="1:73" ht="37.5" customHeight="1" x14ac:dyDescent="0.25">
      <c r="A163" s="1631"/>
      <c r="B163" s="3220"/>
      <c r="C163" s="1589"/>
      <c r="D163" s="1590"/>
      <c r="E163" s="3300"/>
      <c r="F163" s="3300"/>
      <c r="G163" s="3237"/>
      <c r="H163" s="3227"/>
      <c r="I163" s="3237"/>
      <c r="J163" s="3227"/>
      <c r="K163" s="3250"/>
      <c r="L163" s="3231"/>
      <c r="M163" s="3250"/>
      <c r="N163" s="3231"/>
      <c r="O163" s="3232"/>
      <c r="P163" s="3232"/>
      <c r="Q163" s="3281"/>
      <c r="R163" s="3282"/>
      <c r="S163" s="3233"/>
      <c r="T163" s="3283"/>
      <c r="U163" s="3273"/>
      <c r="V163" s="3251"/>
      <c r="W163" s="3277"/>
      <c r="X163" s="1536">
        <v>5000000</v>
      </c>
      <c r="Y163" s="1536"/>
      <c r="Z163" s="1536"/>
      <c r="AA163" s="1538" t="s">
        <v>2474</v>
      </c>
      <c r="AB163" s="1696">
        <v>88</v>
      </c>
      <c r="AC163" s="906" t="s">
        <v>2255</v>
      </c>
      <c r="AD163" s="3272"/>
      <c r="AE163" s="3272"/>
      <c r="AF163" s="3272"/>
      <c r="AG163" s="3272"/>
      <c r="AH163" s="3272"/>
      <c r="AI163" s="3272"/>
      <c r="AJ163" s="3272"/>
      <c r="AK163" s="3272"/>
      <c r="AL163" s="3272"/>
      <c r="AM163" s="3272"/>
      <c r="AN163" s="3272"/>
      <c r="AO163" s="3272"/>
      <c r="AP163" s="3272"/>
      <c r="AQ163" s="3272"/>
      <c r="AR163" s="3272"/>
      <c r="AS163" s="3272"/>
      <c r="AT163" s="3272"/>
      <c r="AU163" s="3272"/>
      <c r="AV163" s="3272"/>
      <c r="AW163" s="3272"/>
      <c r="AX163" s="3272"/>
      <c r="AY163" s="3272"/>
      <c r="AZ163" s="3272"/>
      <c r="BA163" s="3272"/>
      <c r="BB163" s="3272"/>
      <c r="BC163" s="3272"/>
      <c r="BD163" s="3272"/>
      <c r="BE163" s="3272"/>
      <c r="BF163" s="3272"/>
      <c r="BG163" s="3272"/>
      <c r="BH163" s="3272"/>
      <c r="BI163" s="3272"/>
      <c r="BJ163" s="3254"/>
      <c r="BK163" s="3262"/>
      <c r="BL163" s="3262"/>
      <c r="BM163" s="3265"/>
      <c r="BN163" s="3168"/>
      <c r="BO163" s="3269"/>
      <c r="BP163" s="3271"/>
      <c r="BQ163" s="3253"/>
      <c r="BR163" s="3253"/>
      <c r="BS163" s="3253"/>
      <c r="BT163" s="3253"/>
      <c r="BU163" s="3254"/>
    </row>
    <row r="164" spans="1:73" ht="37.5" customHeight="1" x14ac:dyDescent="0.25">
      <c r="A164" s="1631"/>
      <c r="B164" s="3220"/>
      <c r="C164" s="1589"/>
      <c r="D164" s="1590"/>
      <c r="E164" s="3300"/>
      <c r="F164" s="3300"/>
      <c r="G164" s="3237"/>
      <c r="H164" s="3227"/>
      <c r="I164" s="3237"/>
      <c r="J164" s="3227"/>
      <c r="K164" s="3250"/>
      <c r="L164" s="3231"/>
      <c r="M164" s="3250"/>
      <c r="N164" s="3231"/>
      <c r="O164" s="3232"/>
      <c r="P164" s="3232"/>
      <c r="Q164" s="3281"/>
      <c r="R164" s="3282"/>
      <c r="S164" s="3233"/>
      <c r="T164" s="3283"/>
      <c r="U164" s="3273"/>
      <c r="V164" s="3251"/>
      <c r="W164" s="1705" t="s">
        <v>2475</v>
      </c>
      <c r="X164" s="1536">
        <v>42727156.359999999</v>
      </c>
      <c r="Y164" s="1536"/>
      <c r="Z164" s="1536"/>
      <c r="AA164" s="1538" t="s">
        <v>2476</v>
      </c>
      <c r="AB164" s="1696">
        <v>88</v>
      </c>
      <c r="AC164" s="906" t="s">
        <v>2255</v>
      </c>
      <c r="AD164" s="3272"/>
      <c r="AE164" s="3272"/>
      <c r="AF164" s="3272"/>
      <c r="AG164" s="3272"/>
      <c r="AH164" s="3272"/>
      <c r="AI164" s="3272"/>
      <c r="AJ164" s="3272"/>
      <c r="AK164" s="3272"/>
      <c r="AL164" s="3272"/>
      <c r="AM164" s="3272"/>
      <c r="AN164" s="3272"/>
      <c r="AO164" s="3272"/>
      <c r="AP164" s="3272"/>
      <c r="AQ164" s="3272"/>
      <c r="AR164" s="3272"/>
      <c r="AS164" s="3272"/>
      <c r="AT164" s="3272"/>
      <c r="AU164" s="3272"/>
      <c r="AV164" s="3272"/>
      <c r="AW164" s="3272"/>
      <c r="AX164" s="3272"/>
      <c r="AY164" s="3272"/>
      <c r="AZ164" s="3272"/>
      <c r="BA164" s="3272"/>
      <c r="BB164" s="3272"/>
      <c r="BC164" s="3272"/>
      <c r="BD164" s="3272"/>
      <c r="BE164" s="3272"/>
      <c r="BF164" s="3272"/>
      <c r="BG164" s="3272"/>
      <c r="BH164" s="3272"/>
      <c r="BI164" s="3272"/>
      <c r="BJ164" s="3254"/>
      <c r="BK164" s="3262"/>
      <c r="BL164" s="3262"/>
      <c r="BM164" s="3265"/>
      <c r="BN164" s="3168"/>
      <c r="BO164" s="3269"/>
      <c r="BP164" s="3271"/>
      <c r="BQ164" s="3253"/>
      <c r="BR164" s="3253"/>
      <c r="BS164" s="3253"/>
      <c r="BT164" s="3253"/>
      <c r="BU164" s="3254"/>
    </row>
    <row r="165" spans="1:73" ht="57" customHeight="1" x14ac:dyDescent="0.25">
      <c r="A165" s="1631"/>
      <c r="B165" s="3220"/>
      <c r="C165" s="1589"/>
      <c r="D165" s="1590"/>
      <c r="E165" s="3300"/>
      <c r="F165" s="3300"/>
      <c r="G165" s="3237"/>
      <c r="H165" s="3227"/>
      <c r="I165" s="3237"/>
      <c r="J165" s="3227"/>
      <c r="K165" s="3250"/>
      <c r="L165" s="3231"/>
      <c r="M165" s="3250"/>
      <c r="N165" s="3231"/>
      <c r="O165" s="3232"/>
      <c r="P165" s="3232"/>
      <c r="Q165" s="3281"/>
      <c r="R165" s="3282"/>
      <c r="S165" s="3233"/>
      <c r="T165" s="3283"/>
      <c r="U165" s="3273"/>
      <c r="V165" s="3252"/>
      <c r="W165" s="3278" t="s">
        <v>2477</v>
      </c>
      <c r="X165" s="1536">
        <v>0</v>
      </c>
      <c r="Y165" s="1536"/>
      <c r="Z165" s="1536"/>
      <c r="AA165" s="1538" t="s">
        <v>2457</v>
      </c>
      <c r="AB165" s="1703">
        <v>20</v>
      </c>
      <c r="AC165" s="1704" t="s">
        <v>1830</v>
      </c>
      <c r="AD165" s="2952"/>
      <c r="AE165" s="2952"/>
      <c r="AF165" s="2952"/>
      <c r="AG165" s="2952"/>
      <c r="AH165" s="2952"/>
      <c r="AI165" s="2952"/>
      <c r="AJ165" s="2952"/>
      <c r="AK165" s="2952"/>
      <c r="AL165" s="2952"/>
      <c r="AM165" s="2952"/>
      <c r="AN165" s="2952"/>
      <c r="AO165" s="2952"/>
      <c r="AP165" s="2952"/>
      <c r="AQ165" s="2952"/>
      <c r="AR165" s="2952"/>
      <c r="AS165" s="2952"/>
      <c r="AT165" s="2952"/>
      <c r="AU165" s="2952"/>
      <c r="AV165" s="2952"/>
      <c r="AW165" s="2952"/>
      <c r="AX165" s="2952"/>
      <c r="AY165" s="2952"/>
      <c r="AZ165" s="2952"/>
      <c r="BA165" s="2952"/>
      <c r="BB165" s="2952"/>
      <c r="BC165" s="2952"/>
      <c r="BD165" s="2952"/>
      <c r="BE165" s="2952"/>
      <c r="BF165" s="2952"/>
      <c r="BG165" s="2952"/>
      <c r="BH165" s="2952"/>
      <c r="BI165" s="2952"/>
      <c r="BJ165" s="3254"/>
      <c r="BK165" s="3262"/>
      <c r="BL165" s="3262"/>
      <c r="BM165" s="3265"/>
      <c r="BN165" s="3168"/>
      <c r="BO165" s="3269"/>
      <c r="BP165" s="3271"/>
      <c r="BQ165" s="3253"/>
      <c r="BR165" s="3253"/>
      <c r="BS165" s="3253"/>
      <c r="BT165" s="3253"/>
      <c r="BU165" s="3254"/>
    </row>
    <row r="166" spans="1:73" ht="57" customHeight="1" x14ac:dyDescent="0.25">
      <c r="A166" s="1631"/>
      <c r="B166" s="3220"/>
      <c r="C166" s="1589"/>
      <c r="D166" s="1590"/>
      <c r="E166" s="3300"/>
      <c r="F166" s="3300"/>
      <c r="G166" s="3237"/>
      <c r="H166" s="3227"/>
      <c r="I166" s="3237"/>
      <c r="J166" s="3227"/>
      <c r="K166" s="3250"/>
      <c r="L166" s="3231"/>
      <c r="M166" s="3250"/>
      <c r="N166" s="3231"/>
      <c r="O166" s="3232"/>
      <c r="P166" s="3232"/>
      <c r="Q166" s="3281"/>
      <c r="R166" s="3282"/>
      <c r="S166" s="3233"/>
      <c r="T166" s="3283"/>
      <c r="U166" s="3273"/>
      <c r="V166" s="3252"/>
      <c r="W166" s="3276"/>
      <c r="X166" s="1536">
        <v>4200000</v>
      </c>
      <c r="Y166" s="1536"/>
      <c r="Z166" s="1536"/>
      <c r="AA166" s="1279" t="s">
        <v>2462</v>
      </c>
      <c r="AB166" s="1700">
        <v>20</v>
      </c>
      <c r="AC166" s="893" t="s">
        <v>1830</v>
      </c>
      <c r="AD166" s="3272"/>
      <c r="AE166" s="3272"/>
      <c r="AF166" s="3272"/>
      <c r="AG166" s="3272"/>
      <c r="AH166" s="3272"/>
      <c r="AI166" s="3272"/>
      <c r="AJ166" s="3272"/>
      <c r="AK166" s="3272"/>
      <c r="AL166" s="3272"/>
      <c r="AM166" s="3272"/>
      <c r="AN166" s="3272"/>
      <c r="AO166" s="3272"/>
      <c r="AP166" s="3272"/>
      <c r="AQ166" s="3272"/>
      <c r="AR166" s="3272"/>
      <c r="AS166" s="3272"/>
      <c r="AT166" s="3272"/>
      <c r="AU166" s="3272"/>
      <c r="AV166" s="3272"/>
      <c r="AW166" s="3272"/>
      <c r="AX166" s="3272"/>
      <c r="AY166" s="3272"/>
      <c r="AZ166" s="3272"/>
      <c r="BA166" s="3272"/>
      <c r="BB166" s="3272"/>
      <c r="BC166" s="3272"/>
      <c r="BD166" s="3272"/>
      <c r="BE166" s="3272"/>
      <c r="BF166" s="3272"/>
      <c r="BG166" s="3272"/>
      <c r="BH166" s="3272"/>
      <c r="BI166" s="3272"/>
      <c r="BJ166" s="3254"/>
      <c r="BK166" s="3262"/>
      <c r="BL166" s="3262"/>
      <c r="BM166" s="3265"/>
      <c r="BN166" s="3168"/>
      <c r="BO166" s="3269"/>
      <c r="BP166" s="3271"/>
      <c r="BQ166" s="3253"/>
      <c r="BR166" s="3253"/>
      <c r="BS166" s="3253"/>
      <c r="BT166" s="3253"/>
      <c r="BU166" s="3254"/>
    </row>
    <row r="167" spans="1:73" ht="57" customHeight="1" x14ac:dyDescent="0.25">
      <c r="A167" s="1631"/>
      <c r="B167" s="3220"/>
      <c r="C167" s="1589"/>
      <c r="D167" s="1590"/>
      <c r="E167" s="3300"/>
      <c r="F167" s="3300"/>
      <c r="G167" s="3237"/>
      <c r="H167" s="3227"/>
      <c r="I167" s="3237"/>
      <c r="J167" s="3227"/>
      <c r="K167" s="3250"/>
      <c r="L167" s="3231"/>
      <c r="M167" s="3250"/>
      <c r="N167" s="3231"/>
      <c r="O167" s="3232"/>
      <c r="P167" s="3232"/>
      <c r="Q167" s="3281"/>
      <c r="R167" s="3282"/>
      <c r="S167" s="3233"/>
      <c r="T167" s="3283"/>
      <c r="U167" s="3273"/>
      <c r="V167" s="3252"/>
      <c r="W167" s="3279"/>
      <c r="X167" s="1536">
        <v>13110000</v>
      </c>
      <c r="Y167" s="1536">
        <v>7051889</v>
      </c>
      <c r="Z167" s="1536">
        <v>7051889</v>
      </c>
      <c r="AA167" s="900" t="s">
        <v>2460</v>
      </c>
      <c r="AB167" s="1696">
        <v>88</v>
      </c>
      <c r="AC167" s="906" t="s">
        <v>2255</v>
      </c>
      <c r="AD167" s="3272"/>
      <c r="AE167" s="3272"/>
      <c r="AF167" s="3272"/>
      <c r="AG167" s="3272"/>
      <c r="AH167" s="3272"/>
      <c r="AI167" s="3272"/>
      <c r="AJ167" s="3272"/>
      <c r="AK167" s="3272"/>
      <c r="AL167" s="3272"/>
      <c r="AM167" s="3272"/>
      <c r="AN167" s="3272"/>
      <c r="AO167" s="3272"/>
      <c r="AP167" s="3272"/>
      <c r="AQ167" s="3272"/>
      <c r="AR167" s="3272"/>
      <c r="AS167" s="3272"/>
      <c r="AT167" s="3272"/>
      <c r="AU167" s="3272"/>
      <c r="AV167" s="3272"/>
      <c r="AW167" s="3272"/>
      <c r="AX167" s="3272"/>
      <c r="AY167" s="3272"/>
      <c r="AZ167" s="3272"/>
      <c r="BA167" s="3272"/>
      <c r="BB167" s="3272"/>
      <c r="BC167" s="3272"/>
      <c r="BD167" s="3272"/>
      <c r="BE167" s="3272"/>
      <c r="BF167" s="3272"/>
      <c r="BG167" s="3272"/>
      <c r="BH167" s="3272"/>
      <c r="BI167" s="3272"/>
      <c r="BJ167" s="3254"/>
      <c r="BK167" s="3262"/>
      <c r="BL167" s="3262"/>
      <c r="BM167" s="3265"/>
      <c r="BN167" s="3168"/>
      <c r="BO167" s="3269"/>
      <c r="BP167" s="3271"/>
      <c r="BQ167" s="3253"/>
      <c r="BR167" s="3253"/>
      <c r="BS167" s="3253"/>
      <c r="BT167" s="3253"/>
      <c r="BU167" s="3254"/>
    </row>
    <row r="168" spans="1:73" ht="43.5" customHeight="1" x14ac:dyDescent="0.25">
      <c r="A168" s="1631"/>
      <c r="B168" s="3220"/>
      <c r="C168" s="1589"/>
      <c r="D168" s="1590"/>
      <c r="E168" s="3300"/>
      <c r="F168" s="3300"/>
      <c r="G168" s="3237"/>
      <c r="H168" s="3227"/>
      <c r="I168" s="3237"/>
      <c r="J168" s="3227"/>
      <c r="K168" s="3250"/>
      <c r="L168" s="3231"/>
      <c r="M168" s="3250"/>
      <c r="N168" s="3231"/>
      <c r="O168" s="3232"/>
      <c r="P168" s="3232"/>
      <c r="Q168" s="3281"/>
      <c r="R168" s="3282"/>
      <c r="S168" s="3233"/>
      <c r="T168" s="3283"/>
      <c r="U168" s="3273"/>
      <c r="V168" s="3252"/>
      <c r="W168" s="3280" t="s">
        <v>2478</v>
      </c>
      <c r="X168" s="1536">
        <v>0</v>
      </c>
      <c r="Y168" s="1536"/>
      <c r="Z168" s="1536"/>
      <c r="AA168" s="1181" t="s">
        <v>2457</v>
      </c>
      <c r="AB168" s="1706">
        <v>20</v>
      </c>
      <c r="AC168" s="893" t="s">
        <v>1830</v>
      </c>
      <c r="AD168" s="2952"/>
      <c r="AE168" s="2952"/>
      <c r="AF168" s="2952"/>
      <c r="AG168" s="2952"/>
      <c r="AH168" s="2952"/>
      <c r="AI168" s="2952"/>
      <c r="AJ168" s="2952"/>
      <c r="AK168" s="2952"/>
      <c r="AL168" s="2952"/>
      <c r="AM168" s="2952"/>
      <c r="AN168" s="2952"/>
      <c r="AO168" s="2952"/>
      <c r="AP168" s="2952"/>
      <c r="AQ168" s="2952"/>
      <c r="AR168" s="2952"/>
      <c r="AS168" s="2952"/>
      <c r="AT168" s="2952"/>
      <c r="AU168" s="2952"/>
      <c r="AV168" s="2952"/>
      <c r="AW168" s="2952"/>
      <c r="AX168" s="2952"/>
      <c r="AY168" s="2952"/>
      <c r="AZ168" s="2952"/>
      <c r="BA168" s="2952"/>
      <c r="BB168" s="2952"/>
      <c r="BC168" s="2952"/>
      <c r="BD168" s="2952"/>
      <c r="BE168" s="2952"/>
      <c r="BF168" s="2952"/>
      <c r="BG168" s="2952"/>
      <c r="BH168" s="2952"/>
      <c r="BI168" s="2952"/>
      <c r="BJ168" s="3254"/>
      <c r="BK168" s="3262"/>
      <c r="BL168" s="3262"/>
      <c r="BM168" s="3265"/>
      <c r="BN168" s="3168"/>
      <c r="BO168" s="3269"/>
      <c r="BP168" s="3271"/>
      <c r="BQ168" s="3253"/>
      <c r="BR168" s="3253"/>
      <c r="BS168" s="3253"/>
      <c r="BT168" s="3253"/>
      <c r="BU168" s="3254"/>
    </row>
    <row r="169" spans="1:73" ht="43.5" customHeight="1" x14ac:dyDescent="0.25">
      <c r="A169" s="1631"/>
      <c r="B169" s="3220"/>
      <c r="C169" s="1589"/>
      <c r="D169" s="1590"/>
      <c r="E169" s="3300"/>
      <c r="F169" s="3300"/>
      <c r="G169" s="3237"/>
      <c r="H169" s="3227"/>
      <c r="I169" s="3237"/>
      <c r="J169" s="3227"/>
      <c r="K169" s="3250"/>
      <c r="L169" s="3231"/>
      <c r="M169" s="3250"/>
      <c r="N169" s="3231"/>
      <c r="O169" s="3232"/>
      <c r="P169" s="3232"/>
      <c r="Q169" s="3281"/>
      <c r="R169" s="3282"/>
      <c r="S169" s="3233"/>
      <c r="T169" s="3283"/>
      <c r="U169" s="3273"/>
      <c r="V169" s="3252"/>
      <c r="W169" s="3276"/>
      <c r="X169" s="1536">
        <v>0</v>
      </c>
      <c r="Y169" s="1536"/>
      <c r="Z169" s="1536"/>
      <c r="AA169" s="1181" t="s">
        <v>2479</v>
      </c>
      <c r="AB169" s="1706">
        <v>20</v>
      </c>
      <c r="AC169" s="893" t="s">
        <v>1830</v>
      </c>
      <c r="AD169" s="2952"/>
      <c r="AE169" s="2952"/>
      <c r="AF169" s="2952"/>
      <c r="AG169" s="2952"/>
      <c r="AH169" s="2952"/>
      <c r="AI169" s="2952"/>
      <c r="AJ169" s="2952"/>
      <c r="AK169" s="2952"/>
      <c r="AL169" s="2952"/>
      <c r="AM169" s="2952"/>
      <c r="AN169" s="2952"/>
      <c r="AO169" s="2952"/>
      <c r="AP169" s="2952"/>
      <c r="AQ169" s="2952"/>
      <c r="AR169" s="2952"/>
      <c r="AS169" s="2952"/>
      <c r="AT169" s="2952"/>
      <c r="AU169" s="2952"/>
      <c r="AV169" s="2952"/>
      <c r="AW169" s="2952"/>
      <c r="AX169" s="2952"/>
      <c r="AY169" s="2952"/>
      <c r="AZ169" s="2952"/>
      <c r="BA169" s="2952"/>
      <c r="BB169" s="2952"/>
      <c r="BC169" s="2952"/>
      <c r="BD169" s="2952"/>
      <c r="BE169" s="2952"/>
      <c r="BF169" s="2952"/>
      <c r="BG169" s="2952"/>
      <c r="BH169" s="2952"/>
      <c r="BI169" s="2952"/>
      <c r="BJ169" s="3254"/>
      <c r="BK169" s="3262"/>
      <c r="BL169" s="3262"/>
      <c r="BM169" s="3265"/>
      <c r="BN169" s="3168"/>
      <c r="BO169" s="3269"/>
      <c r="BP169" s="3271"/>
      <c r="BQ169" s="3253"/>
      <c r="BR169" s="3253"/>
      <c r="BS169" s="3253"/>
      <c r="BT169" s="3253"/>
      <c r="BU169" s="3254"/>
    </row>
    <row r="170" spans="1:73" ht="43.5" customHeight="1" x14ac:dyDescent="0.25">
      <c r="A170" s="1631"/>
      <c r="B170" s="3220"/>
      <c r="C170" s="1589"/>
      <c r="D170" s="1590"/>
      <c r="E170" s="3300"/>
      <c r="F170" s="3300"/>
      <c r="G170" s="3237"/>
      <c r="H170" s="3227"/>
      <c r="I170" s="3237"/>
      <c r="J170" s="3227"/>
      <c r="K170" s="3250"/>
      <c r="L170" s="3231"/>
      <c r="M170" s="3250"/>
      <c r="N170" s="3231"/>
      <c r="O170" s="3232"/>
      <c r="P170" s="3232"/>
      <c r="Q170" s="3281"/>
      <c r="R170" s="3282"/>
      <c r="S170" s="3233"/>
      <c r="T170" s="3283"/>
      <c r="U170" s="3273"/>
      <c r="V170" s="3252"/>
      <c r="W170" s="3276"/>
      <c r="X170" s="1536">
        <v>12500000</v>
      </c>
      <c r="Y170" s="1536"/>
      <c r="Z170" s="1536"/>
      <c r="AA170" s="1181" t="s">
        <v>2463</v>
      </c>
      <c r="AB170" s="1706">
        <v>20</v>
      </c>
      <c r="AC170" s="893" t="s">
        <v>1830</v>
      </c>
      <c r="AD170" s="2952"/>
      <c r="AE170" s="2952"/>
      <c r="AF170" s="2952"/>
      <c r="AG170" s="2952"/>
      <c r="AH170" s="2952"/>
      <c r="AI170" s="2952"/>
      <c r="AJ170" s="2952"/>
      <c r="AK170" s="2952"/>
      <c r="AL170" s="2952"/>
      <c r="AM170" s="2952"/>
      <c r="AN170" s="2952"/>
      <c r="AO170" s="2952"/>
      <c r="AP170" s="2952"/>
      <c r="AQ170" s="2952"/>
      <c r="AR170" s="2952"/>
      <c r="AS170" s="2952"/>
      <c r="AT170" s="2952"/>
      <c r="AU170" s="2952"/>
      <c r="AV170" s="2952"/>
      <c r="AW170" s="2952"/>
      <c r="AX170" s="2952"/>
      <c r="AY170" s="2952"/>
      <c r="AZ170" s="2952"/>
      <c r="BA170" s="2952"/>
      <c r="BB170" s="2952"/>
      <c r="BC170" s="2952"/>
      <c r="BD170" s="2952"/>
      <c r="BE170" s="2952"/>
      <c r="BF170" s="2952"/>
      <c r="BG170" s="2952"/>
      <c r="BH170" s="2952"/>
      <c r="BI170" s="2952"/>
      <c r="BJ170" s="3254"/>
      <c r="BK170" s="3262"/>
      <c r="BL170" s="3262"/>
      <c r="BM170" s="3265"/>
      <c r="BN170" s="3168"/>
      <c r="BO170" s="3269"/>
      <c r="BP170" s="3271"/>
      <c r="BQ170" s="3253"/>
      <c r="BR170" s="3253"/>
      <c r="BS170" s="3253"/>
      <c r="BT170" s="3253"/>
      <c r="BU170" s="3254"/>
    </row>
    <row r="171" spans="1:73" ht="42" customHeight="1" x14ac:dyDescent="0.25">
      <c r="A171" s="1631"/>
      <c r="B171" s="3220"/>
      <c r="C171" s="1589"/>
      <c r="D171" s="1590"/>
      <c r="E171" s="3300"/>
      <c r="F171" s="3300"/>
      <c r="G171" s="3237"/>
      <c r="H171" s="3227"/>
      <c r="I171" s="3237"/>
      <c r="J171" s="3227"/>
      <c r="K171" s="3250"/>
      <c r="L171" s="3231"/>
      <c r="M171" s="3250"/>
      <c r="N171" s="3231"/>
      <c r="O171" s="3232"/>
      <c r="P171" s="3232"/>
      <c r="Q171" s="3281"/>
      <c r="R171" s="3282"/>
      <c r="S171" s="3233"/>
      <c r="T171" s="3283"/>
      <c r="U171" s="3273"/>
      <c r="V171" s="3252"/>
      <c r="W171" s="3277"/>
      <c r="X171" s="1591">
        <v>15000000</v>
      </c>
      <c r="Y171" s="1591"/>
      <c r="Z171" s="1591"/>
      <c r="AA171" s="1181" t="s">
        <v>2480</v>
      </c>
      <c r="AB171" s="1696">
        <v>88</v>
      </c>
      <c r="AC171" s="906" t="s">
        <v>2255</v>
      </c>
      <c r="AD171" s="3272"/>
      <c r="AE171" s="3272"/>
      <c r="AF171" s="3272"/>
      <c r="AG171" s="3272"/>
      <c r="AH171" s="3272"/>
      <c r="AI171" s="3272"/>
      <c r="AJ171" s="3272"/>
      <c r="AK171" s="3272"/>
      <c r="AL171" s="3272"/>
      <c r="AM171" s="3272"/>
      <c r="AN171" s="3272"/>
      <c r="AO171" s="3272"/>
      <c r="AP171" s="3272"/>
      <c r="AQ171" s="3272"/>
      <c r="AR171" s="3272"/>
      <c r="AS171" s="3272"/>
      <c r="AT171" s="3272"/>
      <c r="AU171" s="3272"/>
      <c r="AV171" s="3272"/>
      <c r="AW171" s="3272"/>
      <c r="AX171" s="3272"/>
      <c r="AY171" s="3272"/>
      <c r="AZ171" s="3272"/>
      <c r="BA171" s="3272"/>
      <c r="BB171" s="3272"/>
      <c r="BC171" s="3272"/>
      <c r="BD171" s="3272"/>
      <c r="BE171" s="3272"/>
      <c r="BF171" s="3272"/>
      <c r="BG171" s="3272"/>
      <c r="BH171" s="3272"/>
      <c r="BI171" s="3272"/>
      <c r="BJ171" s="3254"/>
      <c r="BK171" s="3262"/>
      <c r="BL171" s="3262"/>
      <c r="BM171" s="3265"/>
      <c r="BN171" s="3168"/>
      <c r="BO171" s="3269"/>
      <c r="BP171" s="3271"/>
      <c r="BQ171" s="3253"/>
      <c r="BR171" s="3253"/>
      <c r="BS171" s="3253"/>
      <c r="BT171" s="3253"/>
      <c r="BU171" s="3254"/>
    </row>
    <row r="172" spans="1:73" ht="71.25" customHeight="1" x14ac:dyDescent="0.25">
      <c r="A172" s="1631"/>
      <c r="B172" s="3220"/>
      <c r="C172" s="1589"/>
      <c r="D172" s="1590"/>
      <c r="E172" s="3300"/>
      <c r="F172" s="3300"/>
      <c r="G172" s="3225" t="s">
        <v>20</v>
      </c>
      <c r="H172" s="3226" t="s">
        <v>2481</v>
      </c>
      <c r="I172" s="3225">
        <v>4503016</v>
      </c>
      <c r="J172" s="3226" t="s">
        <v>2482</v>
      </c>
      <c r="K172" s="3229" t="s">
        <v>20</v>
      </c>
      <c r="L172" s="3231" t="s">
        <v>2483</v>
      </c>
      <c r="M172" s="3229">
        <v>450301600</v>
      </c>
      <c r="N172" s="3231" t="s">
        <v>2484</v>
      </c>
      <c r="O172" s="3232">
        <v>1</v>
      </c>
      <c r="P172" s="3232">
        <v>1</v>
      </c>
      <c r="Q172" s="3281"/>
      <c r="R172" s="3282"/>
      <c r="S172" s="3233">
        <f>SUM(X172:X178)/SUM(T140:T178)</f>
        <v>0.17509521729851152</v>
      </c>
      <c r="T172" s="3283"/>
      <c r="U172" s="3273"/>
      <c r="V172" s="3234" t="s">
        <v>2485</v>
      </c>
      <c r="W172" s="3284" t="s">
        <v>2486</v>
      </c>
      <c r="X172" s="1591">
        <v>9600000</v>
      </c>
      <c r="Y172" s="1591">
        <v>8947500</v>
      </c>
      <c r="Z172" s="1591">
        <v>8947500</v>
      </c>
      <c r="AA172" s="1181" t="s">
        <v>2487</v>
      </c>
      <c r="AB172" s="1707">
        <v>20</v>
      </c>
      <c r="AC172" s="1708" t="s">
        <v>1830</v>
      </c>
      <c r="AD172" s="3272"/>
      <c r="AE172" s="3272"/>
      <c r="AF172" s="3272"/>
      <c r="AG172" s="3272"/>
      <c r="AH172" s="3272"/>
      <c r="AI172" s="3272"/>
      <c r="AJ172" s="3272"/>
      <c r="AK172" s="3272"/>
      <c r="AL172" s="3272"/>
      <c r="AM172" s="3272"/>
      <c r="AN172" s="3272"/>
      <c r="AO172" s="3272"/>
      <c r="AP172" s="3272"/>
      <c r="AQ172" s="3272"/>
      <c r="AR172" s="3272"/>
      <c r="AS172" s="3272"/>
      <c r="AT172" s="3272"/>
      <c r="AU172" s="3272"/>
      <c r="AV172" s="3272"/>
      <c r="AW172" s="3272"/>
      <c r="AX172" s="3272"/>
      <c r="AY172" s="3272"/>
      <c r="AZ172" s="3272"/>
      <c r="BA172" s="3272"/>
      <c r="BB172" s="3272"/>
      <c r="BC172" s="3272"/>
      <c r="BD172" s="3272"/>
      <c r="BE172" s="3272"/>
      <c r="BF172" s="3272"/>
      <c r="BG172" s="3272"/>
      <c r="BH172" s="3272"/>
      <c r="BI172" s="3272"/>
      <c r="BJ172" s="3254"/>
      <c r="BK172" s="3262"/>
      <c r="BL172" s="3262"/>
      <c r="BM172" s="3265"/>
      <c r="BN172" s="3168"/>
      <c r="BO172" s="3269"/>
      <c r="BP172" s="3271"/>
      <c r="BQ172" s="3253"/>
      <c r="BR172" s="3253"/>
      <c r="BS172" s="3253"/>
      <c r="BT172" s="3253"/>
      <c r="BU172" s="3254"/>
    </row>
    <row r="173" spans="1:73" ht="48" customHeight="1" x14ac:dyDescent="0.25">
      <c r="A173" s="1631"/>
      <c r="B173" s="3220"/>
      <c r="C173" s="1589"/>
      <c r="D173" s="1590"/>
      <c r="E173" s="3300"/>
      <c r="F173" s="3300"/>
      <c r="G173" s="3225"/>
      <c r="H173" s="3227"/>
      <c r="I173" s="3225"/>
      <c r="J173" s="3227"/>
      <c r="K173" s="3230"/>
      <c r="L173" s="3231"/>
      <c r="M173" s="3230"/>
      <c r="N173" s="3231"/>
      <c r="O173" s="3232"/>
      <c r="P173" s="3232"/>
      <c r="Q173" s="3281"/>
      <c r="R173" s="3282"/>
      <c r="S173" s="3233"/>
      <c r="T173" s="3283"/>
      <c r="U173" s="3273"/>
      <c r="V173" s="3234"/>
      <c r="W173" s="3285"/>
      <c r="X173" s="1591">
        <v>0</v>
      </c>
      <c r="Y173" s="1591"/>
      <c r="Z173" s="1591"/>
      <c r="AA173" s="1279" t="s">
        <v>2488</v>
      </c>
      <c r="AB173" s="1709">
        <v>20</v>
      </c>
      <c r="AC173" s="1702" t="s">
        <v>1830</v>
      </c>
      <c r="AD173" s="3272"/>
      <c r="AE173" s="3272"/>
      <c r="AF173" s="3272"/>
      <c r="AG173" s="3272"/>
      <c r="AH173" s="3272"/>
      <c r="AI173" s="3272"/>
      <c r="AJ173" s="3272"/>
      <c r="AK173" s="3272"/>
      <c r="AL173" s="3272"/>
      <c r="AM173" s="3272"/>
      <c r="AN173" s="3272"/>
      <c r="AO173" s="3272"/>
      <c r="AP173" s="3272"/>
      <c r="AQ173" s="3272"/>
      <c r="AR173" s="3272"/>
      <c r="AS173" s="3272"/>
      <c r="AT173" s="3272"/>
      <c r="AU173" s="3272"/>
      <c r="AV173" s="3272"/>
      <c r="AW173" s="3272"/>
      <c r="AX173" s="3272"/>
      <c r="AY173" s="3272"/>
      <c r="AZ173" s="3272"/>
      <c r="BA173" s="3272"/>
      <c r="BB173" s="3272"/>
      <c r="BC173" s="3272"/>
      <c r="BD173" s="3272"/>
      <c r="BE173" s="3272"/>
      <c r="BF173" s="3272"/>
      <c r="BG173" s="3272"/>
      <c r="BH173" s="3272"/>
      <c r="BI173" s="3272"/>
      <c r="BJ173" s="3254"/>
      <c r="BK173" s="3262"/>
      <c r="BL173" s="3262"/>
      <c r="BM173" s="3265"/>
      <c r="BN173" s="3168"/>
      <c r="BO173" s="3269"/>
      <c r="BP173" s="3271"/>
      <c r="BQ173" s="3253"/>
      <c r="BR173" s="3253"/>
      <c r="BS173" s="3253"/>
      <c r="BT173" s="3253"/>
      <c r="BU173" s="3254"/>
    </row>
    <row r="174" spans="1:73" ht="48" customHeight="1" x14ac:dyDescent="0.25">
      <c r="A174" s="1631"/>
      <c r="B174" s="3220"/>
      <c r="C174" s="1589"/>
      <c r="D174" s="1590"/>
      <c r="E174" s="3300"/>
      <c r="F174" s="3300"/>
      <c r="G174" s="3225"/>
      <c r="H174" s="3227"/>
      <c r="I174" s="3225"/>
      <c r="J174" s="3227"/>
      <c r="K174" s="3230"/>
      <c r="L174" s="3231"/>
      <c r="M174" s="3230"/>
      <c r="N174" s="3231"/>
      <c r="O174" s="3232"/>
      <c r="P174" s="3232"/>
      <c r="Q174" s="3281"/>
      <c r="R174" s="3282"/>
      <c r="S174" s="3233"/>
      <c r="T174" s="3283"/>
      <c r="U174" s="3274"/>
      <c r="V174" s="3234"/>
      <c r="W174" s="3285"/>
      <c r="X174" s="1591">
        <v>6600000</v>
      </c>
      <c r="Y174" s="1591"/>
      <c r="Z174" s="1591"/>
      <c r="AA174" s="1181" t="s">
        <v>2489</v>
      </c>
      <c r="AB174" s="1710">
        <v>20</v>
      </c>
      <c r="AC174" s="1702" t="s">
        <v>1830</v>
      </c>
      <c r="AD174" s="3272"/>
      <c r="AE174" s="3272"/>
      <c r="AF174" s="3272"/>
      <c r="AG174" s="3272"/>
      <c r="AH174" s="3272"/>
      <c r="AI174" s="3272"/>
      <c r="AJ174" s="3272"/>
      <c r="AK174" s="3272"/>
      <c r="AL174" s="3272"/>
      <c r="AM174" s="3272"/>
      <c r="AN174" s="3272"/>
      <c r="AO174" s="3272"/>
      <c r="AP174" s="3272"/>
      <c r="AQ174" s="3272"/>
      <c r="AR174" s="3272"/>
      <c r="AS174" s="3272"/>
      <c r="AT174" s="3272"/>
      <c r="AU174" s="3272"/>
      <c r="AV174" s="3272"/>
      <c r="AW174" s="3272"/>
      <c r="AX174" s="3272"/>
      <c r="AY174" s="3272"/>
      <c r="AZ174" s="3272"/>
      <c r="BA174" s="3272"/>
      <c r="BB174" s="3272"/>
      <c r="BC174" s="3272"/>
      <c r="BD174" s="3272"/>
      <c r="BE174" s="3272"/>
      <c r="BF174" s="3272"/>
      <c r="BG174" s="3272"/>
      <c r="BH174" s="3272"/>
      <c r="BI174" s="3272"/>
      <c r="BJ174" s="3254"/>
      <c r="BK174" s="3262"/>
      <c r="BL174" s="3262"/>
      <c r="BM174" s="3265"/>
      <c r="BN174" s="3168"/>
      <c r="BO174" s="3269"/>
      <c r="BP174" s="3271"/>
      <c r="BQ174" s="3253"/>
      <c r="BR174" s="3253"/>
      <c r="BS174" s="3253"/>
      <c r="BT174" s="3253"/>
      <c r="BU174" s="3254"/>
    </row>
    <row r="175" spans="1:73" ht="48" customHeight="1" x14ac:dyDescent="0.25">
      <c r="A175" s="1631"/>
      <c r="B175" s="3220"/>
      <c r="C175" s="1589"/>
      <c r="D175" s="1590"/>
      <c r="E175" s="3300"/>
      <c r="F175" s="3300"/>
      <c r="G175" s="3225"/>
      <c r="H175" s="3227"/>
      <c r="I175" s="3225"/>
      <c r="J175" s="3227"/>
      <c r="K175" s="3230"/>
      <c r="L175" s="3231"/>
      <c r="M175" s="3230"/>
      <c r="N175" s="3231"/>
      <c r="O175" s="3232"/>
      <c r="P175" s="3232"/>
      <c r="Q175" s="3281"/>
      <c r="R175" s="3282"/>
      <c r="S175" s="3233"/>
      <c r="T175" s="3283"/>
      <c r="U175" s="3274"/>
      <c r="V175" s="3234"/>
      <c r="W175" s="3286"/>
      <c r="X175" s="1591">
        <v>27000000</v>
      </c>
      <c r="Y175" s="1591">
        <v>11861333</v>
      </c>
      <c r="Z175" s="1591">
        <v>11861333</v>
      </c>
      <c r="AA175" s="1181" t="s">
        <v>2490</v>
      </c>
      <c r="AB175" s="1592">
        <v>88</v>
      </c>
      <c r="AC175" s="906" t="s">
        <v>2255</v>
      </c>
      <c r="AD175" s="3272"/>
      <c r="AE175" s="3272"/>
      <c r="AF175" s="3272"/>
      <c r="AG175" s="3272"/>
      <c r="AH175" s="3272"/>
      <c r="AI175" s="3272"/>
      <c r="AJ175" s="3272"/>
      <c r="AK175" s="3272"/>
      <c r="AL175" s="3272"/>
      <c r="AM175" s="3272"/>
      <c r="AN175" s="3272"/>
      <c r="AO175" s="3272"/>
      <c r="AP175" s="3272"/>
      <c r="AQ175" s="3272"/>
      <c r="AR175" s="3272"/>
      <c r="AS175" s="3272"/>
      <c r="AT175" s="3272"/>
      <c r="AU175" s="3272"/>
      <c r="AV175" s="3272"/>
      <c r="AW175" s="3272"/>
      <c r="AX175" s="3272"/>
      <c r="AY175" s="3272"/>
      <c r="AZ175" s="3272"/>
      <c r="BA175" s="3272"/>
      <c r="BB175" s="3272"/>
      <c r="BC175" s="3272"/>
      <c r="BD175" s="3272"/>
      <c r="BE175" s="3272"/>
      <c r="BF175" s="3272"/>
      <c r="BG175" s="3272"/>
      <c r="BH175" s="3272"/>
      <c r="BI175" s="3272"/>
      <c r="BJ175" s="3254"/>
      <c r="BK175" s="3262"/>
      <c r="BL175" s="3262"/>
      <c r="BM175" s="3265"/>
      <c r="BN175" s="3168"/>
      <c r="BO175" s="3269"/>
      <c r="BP175" s="3271"/>
      <c r="BQ175" s="3253"/>
      <c r="BR175" s="3253"/>
      <c r="BS175" s="3253"/>
      <c r="BT175" s="3253"/>
      <c r="BU175" s="3254"/>
    </row>
    <row r="176" spans="1:73" ht="48" customHeight="1" x14ac:dyDescent="0.25">
      <c r="A176" s="1631"/>
      <c r="B176" s="3220"/>
      <c r="C176" s="1589"/>
      <c r="D176" s="1590"/>
      <c r="E176" s="3300"/>
      <c r="F176" s="3300"/>
      <c r="G176" s="3225"/>
      <c r="H176" s="3227"/>
      <c r="I176" s="3225"/>
      <c r="J176" s="3227"/>
      <c r="K176" s="3230"/>
      <c r="L176" s="3231"/>
      <c r="M176" s="3230"/>
      <c r="N176" s="3231"/>
      <c r="O176" s="3232"/>
      <c r="P176" s="3232"/>
      <c r="Q176" s="3281"/>
      <c r="R176" s="3282"/>
      <c r="S176" s="3233"/>
      <c r="T176" s="3283"/>
      <c r="U176" s="3274"/>
      <c r="V176" s="3234"/>
      <c r="W176" s="3284" t="s">
        <v>2491</v>
      </c>
      <c r="X176" s="1591">
        <v>0</v>
      </c>
      <c r="Y176" s="1591"/>
      <c r="Z176" s="1591"/>
      <c r="AA176" s="1181" t="s">
        <v>2488</v>
      </c>
      <c r="AB176" s="1709">
        <v>20</v>
      </c>
      <c r="AC176" s="1702" t="s">
        <v>1830</v>
      </c>
      <c r="AD176" s="3272"/>
      <c r="AE176" s="3272"/>
      <c r="AF176" s="3272"/>
      <c r="AG176" s="3272"/>
      <c r="AH176" s="3272"/>
      <c r="AI176" s="3272"/>
      <c r="AJ176" s="3272"/>
      <c r="AK176" s="3272"/>
      <c r="AL176" s="3272"/>
      <c r="AM176" s="3272"/>
      <c r="AN176" s="3272"/>
      <c r="AO176" s="3272"/>
      <c r="AP176" s="3272"/>
      <c r="AQ176" s="3272"/>
      <c r="AR176" s="3272"/>
      <c r="AS176" s="3272"/>
      <c r="AT176" s="3272"/>
      <c r="AU176" s="3272"/>
      <c r="AV176" s="3272"/>
      <c r="AW176" s="3272"/>
      <c r="AX176" s="3272"/>
      <c r="AY176" s="3272"/>
      <c r="AZ176" s="3272"/>
      <c r="BA176" s="3272"/>
      <c r="BB176" s="3272"/>
      <c r="BC176" s="3272"/>
      <c r="BD176" s="3272"/>
      <c r="BE176" s="3272"/>
      <c r="BF176" s="3272"/>
      <c r="BG176" s="3272"/>
      <c r="BH176" s="3272"/>
      <c r="BI176" s="3272"/>
      <c r="BJ176" s="3254"/>
      <c r="BK176" s="3262"/>
      <c r="BL176" s="3262"/>
      <c r="BM176" s="3265"/>
      <c r="BN176" s="3168"/>
      <c r="BO176" s="3269"/>
      <c r="BP176" s="3271"/>
      <c r="BQ176" s="3253"/>
      <c r="BR176" s="3253"/>
      <c r="BS176" s="3253"/>
      <c r="BT176" s="3253"/>
      <c r="BU176" s="3254"/>
    </row>
    <row r="177" spans="1:73" ht="48" customHeight="1" x14ac:dyDescent="0.25">
      <c r="A177" s="1631"/>
      <c r="B177" s="3220"/>
      <c r="C177" s="1589"/>
      <c r="D177" s="1590"/>
      <c r="E177" s="3300"/>
      <c r="F177" s="3300"/>
      <c r="G177" s="3225"/>
      <c r="H177" s="3227"/>
      <c r="I177" s="3225"/>
      <c r="J177" s="3227"/>
      <c r="K177" s="3230"/>
      <c r="L177" s="3231"/>
      <c r="M177" s="3230"/>
      <c r="N177" s="3231"/>
      <c r="O177" s="3232"/>
      <c r="P177" s="3232"/>
      <c r="Q177" s="3281"/>
      <c r="R177" s="3282"/>
      <c r="S177" s="3233"/>
      <c r="T177" s="3283"/>
      <c r="U177" s="3274"/>
      <c r="V177" s="3234"/>
      <c r="W177" s="3285"/>
      <c r="X177" s="1591">
        <v>13800000</v>
      </c>
      <c r="Y177" s="1591">
        <v>9791601</v>
      </c>
      <c r="Z177" s="1591">
        <v>9791601</v>
      </c>
      <c r="AA177" s="1181" t="s">
        <v>2489</v>
      </c>
      <c r="AB177" s="1709">
        <v>20</v>
      </c>
      <c r="AC177" s="1702" t="s">
        <v>1830</v>
      </c>
      <c r="AD177" s="3272"/>
      <c r="AE177" s="3272"/>
      <c r="AF177" s="3272"/>
      <c r="AG177" s="3272"/>
      <c r="AH177" s="3272"/>
      <c r="AI177" s="3272"/>
      <c r="AJ177" s="3272"/>
      <c r="AK177" s="3272"/>
      <c r="AL177" s="3272"/>
      <c r="AM177" s="3272"/>
      <c r="AN177" s="3272"/>
      <c r="AO177" s="3272"/>
      <c r="AP177" s="3272"/>
      <c r="AQ177" s="3272"/>
      <c r="AR177" s="3272"/>
      <c r="AS177" s="3272"/>
      <c r="AT177" s="3272"/>
      <c r="AU177" s="3272"/>
      <c r="AV177" s="3272"/>
      <c r="AW177" s="3272"/>
      <c r="AX177" s="3272"/>
      <c r="AY177" s="3272"/>
      <c r="AZ177" s="3272"/>
      <c r="BA177" s="3272"/>
      <c r="BB177" s="3272"/>
      <c r="BC177" s="3272"/>
      <c r="BD177" s="3272"/>
      <c r="BE177" s="3272"/>
      <c r="BF177" s="3272"/>
      <c r="BG177" s="3272"/>
      <c r="BH177" s="3272"/>
      <c r="BI177" s="3272"/>
      <c r="BJ177" s="3254"/>
      <c r="BK177" s="3262"/>
      <c r="BL177" s="3262"/>
      <c r="BM177" s="3265"/>
      <c r="BN177" s="3168"/>
      <c r="BO177" s="3269"/>
      <c r="BP177" s="3271"/>
      <c r="BQ177" s="3253"/>
      <c r="BR177" s="3253"/>
      <c r="BS177" s="3253"/>
      <c r="BT177" s="3253"/>
      <c r="BU177" s="3254"/>
    </row>
    <row r="178" spans="1:73" ht="50.1" customHeight="1" x14ac:dyDescent="0.25">
      <c r="A178" s="541"/>
      <c r="B178" s="3221"/>
      <c r="C178" s="1634"/>
      <c r="D178" s="1611"/>
      <c r="E178" s="3301"/>
      <c r="F178" s="3301"/>
      <c r="G178" s="3225"/>
      <c r="H178" s="3235"/>
      <c r="I178" s="3225"/>
      <c r="J178" s="3227"/>
      <c r="K178" s="3230"/>
      <c r="L178" s="3231"/>
      <c r="M178" s="3230"/>
      <c r="N178" s="3231"/>
      <c r="O178" s="3232"/>
      <c r="P178" s="3232"/>
      <c r="Q178" s="3281"/>
      <c r="R178" s="3282"/>
      <c r="S178" s="3233"/>
      <c r="T178" s="3283"/>
      <c r="U178" s="3274"/>
      <c r="V178" s="3234"/>
      <c r="W178" s="3286"/>
      <c r="X178" s="1591">
        <v>35505448</v>
      </c>
      <c r="Y178" s="1591">
        <v>31751668</v>
      </c>
      <c r="Z178" s="1591">
        <v>31751668</v>
      </c>
      <c r="AA178" s="1181" t="s">
        <v>2492</v>
      </c>
      <c r="AB178" s="1592">
        <v>88</v>
      </c>
      <c r="AC178" s="906" t="s">
        <v>2255</v>
      </c>
      <c r="AD178" s="3272"/>
      <c r="AE178" s="3272"/>
      <c r="AF178" s="3272"/>
      <c r="AG178" s="3272"/>
      <c r="AH178" s="3272"/>
      <c r="AI178" s="3272"/>
      <c r="AJ178" s="3272"/>
      <c r="AK178" s="3272"/>
      <c r="AL178" s="3272"/>
      <c r="AM178" s="3272"/>
      <c r="AN178" s="3272"/>
      <c r="AO178" s="3272"/>
      <c r="AP178" s="3272"/>
      <c r="AQ178" s="3272"/>
      <c r="AR178" s="3272"/>
      <c r="AS178" s="3272"/>
      <c r="AT178" s="3272"/>
      <c r="AU178" s="3272"/>
      <c r="AV178" s="3272"/>
      <c r="AW178" s="3272"/>
      <c r="AX178" s="3272"/>
      <c r="AY178" s="3272"/>
      <c r="AZ178" s="3272"/>
      <c r="BA178" s="3272"/>
      <c r="BB178" s="3272"/>
      <c r="BC178" s="3272"/>
      <c r="BD178" s="3272"/>
      <c r="BE178" s="3272"/>
      <c r="BF178" s="3272"/>
      <c r="BG178" s="3272"/>
      <c r="BH178" s="3272"/>
      <c r="BI178" s="3272"/>
      <c r="BJ178" s="3254"/>
      <c r="BK178" s="3263"/>
      <c r="BL178" s="3263"/>
      <c r="BM178" s="3266"/>
      <c r="BN178" s="3267"/>
      <c r="BO178" s="3270"/>
      <c r="BP178" s="3271"/>
      <c r="BQ178" s="3253"/>
      <c r="BR178" s="3253"/>
      <c r="BS178" s="3253"/>
      <c r="BT178" s="3253"/>
      <c r="BU178" s="3254"/>
    </row>
    <row r="179" spans="1:73" ht="27" customHeight="1" x14ac:dyDescent="0.25">
      <c r="A179" s="1539">
        <v>4</v>
      </c>
      <c r="B179" s="3216" t="s">
        <v>2242</v>
      </c>
      <c r="C179" s="3217"/>
      <c r="D179" s="3217"/>
      <c r="E179" s="3217"/>
      <c r="F179" s="3217"/>
      <c r="G179" s="3217"/>
      <c r="H179" s="3217"/>
      <c r="I179" s="1421"/>
      <c r="J179" s="1424"/>
      <c r="K179" s="1423"/>
      <c r="L179" s="1422"/>
      <c r="M179" s="1423"/>
      <c r="N179" s="1422"/>
      <c r="O179" s="1421"/>
      <c r="P179" s="1421"/>
      <c r="Q179" s="1421"/>
      <c r="R179" s="1422"/>
      <c r="S179" s="1421"/>
      <c r="T179" s="1711"/>
      <c r="U179" s="1424"/>
      <c r="V179" s="1424"/>
      <c r="W179" s="1424"/>
      <c r="X179" s="1676"/>
      <c r="Y179" s="1676"/>
      <c r="Z179" s="1676"/>
      <c r="AA179" s="1421"/>
      <c r="AB179" s="1423"/>
      <c r="AC179" s="1424"/>
      <c r="AD179" s="1423"/>
      <c r="AE179" s="1423"/>
      <c r="AF179" s="1423"/>
      <c r="AG179" s="1423"/>
      <c r="AH179" s="1423"/>
      <c r="AI179" s="1423"/>
      <c r="AJ179" s="1423"/>
      <c r="AK179" s="1423"/>
      <c r="AL179" s="1423"/>
      <c r="AM179" s="1423"/>
      <c r="AN179" s="1423"/>
      <c r="AO179" s="1423"/>
      <c r="AP179" s="1423"/>
      <c r="AQ179" s="1423"/>
      <c r="AR179" s="1423"/>
      <c r="AS179" s="1423"/>
      <c r="AT179" s="1423"/>
      <c r="AU179" s="1423"/>
      <c r="AV179" s="1423"/>
      <c r="AW179" s="1423"/>
      <c r="AX179" s="1423"/>
      <c r="AY179" s="1423"/>
      <c r="AZ179" s="1423"/>
      <c r="BA179" s="1423"/>
      <c r="BB179" s="1423"/>
      <c r="BC179" s="1423"/>
      <c r="BD179" s="1423"/>
      <c r="BE179" s="1423"/>
      <c r="BF179" s="1423"/>
      <c r="BG179" s="1423"/>
      <c r="BH179" s="1423"/>
      <c r="BI179" s="1423"/>
      <c r="BJ179" s="1423"/>
      <c r="BK179" s="1423"/>
      <c r="BL179" s="1423"/>
      <c r="BM179" s="1423"/>
      <c r="BN179" s="1423"/>
      <c r="BO179" s="1423"/>
      <c r="BP179" s="1423"/>
      <c r="BQ179" s="1423"/>
      <c r="BR179" s="1423"/>
      <c r="BS179" s="1423"/>
      <c r="BT179" s="1423"/>
      <c r="BU179" s="1677"/>
    </row>
    <row r="180" spans="1:73" ht="27" customHeight="1" x14ac:dyDescent="0.25">
      <c r="A180" s="908"/>
      <c r="B180" s="87"/>
      <c r="C180" s="115">
        <v>45</v>
      </c>
      <c r="D180" s="3218" t="s">
        <v>66</v>
      </c>
      <c r="E180" s="2578"/>
      <c r="F180" s="3219"/>
      <c r="G180" s="3219"/>
      <c r="H180" s="3219"/>
      <c r="I180" s="788"/>
      <c r="J180" s="1433"/>
      <c r="K180" s="788"/>
      <c r="L180" s="1433"/>
      <c r="M180" s="788"/>
      <c r="N180" s="1433"/>
      <c r="O180" s="788"/>
      <c r="P180" s="788"/>
      <c r="Q180" s="788"/>
      <c r="R180" s="1680"/>
      <c r="S180" s="1678"/>
      <c r="T180" s="1679"/>
      <c r="U180" s="1680"/>
      <c r="V180" s="1680"/>
      <c r="W180" s="1680"/>
      <c r="X180" s="1681"/>
      <c r="Y180" s="1681"/>
      <c r="Z180" s="1681"/>
      <c r="AA180" s="1678"/>
      <c r="AB180" s="1678"/>
      <c r="AC180" s="1680"/>
      <c r="AD180" s="1678"/>
      <c r="AE180" s="1678"/>
      <c r="AF180" s="1678"/>
      <c r="AG180" s="1678"/>
      <c r="AH180" s="1678"/>
      <c r="AI180" s="1678"/>
      <c r="AJ180" s="1678"/>
      <c r="AK180" s="1678"/>
      <c r="AL180" s="1678"/>
      <c r="AM180" s="1678"/>
      <c r="AN180" s="1678"/>
      <c r="AO180" s="1678"/>
      <c r="AP180" s="1678"/>
      <c r="AQ180" s="1678"/>
      <c r="AR180" s="1678"/>
      <c r="AS180" s="1678"/>
      <c r="AT180" s="1678"/>
      <c r="AU180" s="1678"/>
      <c r="AV180" s="1678"/>
      <c r="AW180" s="1678"/>
      <c r="AX180" s="1678"/>
      <c r="AY180" s="1678"/>
      <c r="AZ180" s="1678"/>
      <c r="BA180" s="1678"/>
      <c r="BB180" s="1678"/>
      <c r="BC180" s="1678"/>
      <c r="BD180" s="1678"/>
      <c r="BE180" s="1678"/>
      <c r="BF180" s="1678"/>
      <c r="BG180" s="1678"/>
      <c r="BH180" s="1678"/>
      <c r="BI180" s="1678"/>
      <c r="BJ180" s="1678"/>
      <c r="BK180" s="1678"/>
      <c r="BL180" s="1678"/>
      <c r="BM180" s="1678"/>
      <c r="BN180" s="1678"/>
      <c r="BO180" s="1678"/>
      <c r="BP180" s="1678"/>
      <c r="BQ180" s="1678"/>
      <c r="BR180" s="1678"/>
      <c r="BS180" s="1678"/>
      <c r="BT180" s="1678"/>
      <c r="BU180" s="1682"/>
    </row>
    <row r="181" spans="1:73" ht="27" customHeight="1" x14ac:dyDescent="0.25">
      <c r="A181" s="1631"/>
      <c r="B181" s="3220"/>
      <c r="C181" s="1580"/>
      <c r="D181" s="1590"/>
      <c r="E181" s="1540">
        <v>4502</v>
      </c>
      <c r="F181" s="3222" t="s">
        <v>245</v>
      </c>
      <c r="G181" s="3223"/>
      <c r="H181" s="3223"/>
      <c r="I181" s="3223"/>
      <c r="J181" s="3223"/>
      <c r="K181" s="3223"/>
      <c r="L181" s="3223"/>
      <c r="M181" s="3223"/>
      <c r="N181" s="3223"/>
      <c r="O181" s="3223"/>
      <c r="P181" s="3223"/>
      <c r="Q181" s="3223"/>
      <c r="R181" s="1606"/>
      <c r="S181" s="1602"/>
      <c r="T181" s="1648"/>
      <c r="U181" s="1606"/>
      <c r="V181" s="1606"/>
      <c r="W181" s="1606"/>
      <c r="X181" s="1603"/>
      <c r="Y181" s="1603"/>
      <c r="Z181" s="1603"/>
      <c r="AA181" s="1601"/>
      <c r="AB181" s="1602"/>
      <c r="AC181" s="1604"/>
      <c r="AD181" s="1602"/>
      <c r="AE181" s="1602"/>
      <c r="AF181" s="1602"/>
      <c r="AG181" s="1602"/>
      <c r="AH181" s="1602"/>
      <c r="AI181" s="1602"/>
      <c r="AJ181" s="1602"/>
      <c r="AK181" s="1602"/>
      <c r="AL181" s="1602"/>
      <c r="AM181" s="1602"/>
      <c r="AN181" s="1602"/>
      <c r="AO181" s="1602"/>
      <c r="AP181" s="1602"/>
      <c r="AQ181" s="1602"/>
      <c r="AR181" s="1602"/>
      <c r="AS181" s="1602"/>
      <c r="AT181" s="1602"/>
      <c r="AU181" s="1602"/>
      <c r="AV181" s="1602"/>
      <c r="AW181" s="1602"/>
      <c r="AX181" s="1602"/>
      <c r="AY181" s="1602"/>
      <c r="AZ181" s="1602"/>
      <c r="BA181" s="1602"/>
      <c r="BB181" s="1602"/>
      <c r="BC181" s="1602"/>
      <c r="BD181" s="1602"/>
      <c r="BE181" s="1602"/>
      <c r="BF181" s="1602"/>
      <c r="BG181" s="1602"/>
      <c r="BH181" s="1602"/>
      <c r="BI181" s="1602"/>
      <c r="BJ181" s="1602"/>
      <c r="BK181" s="1602"/>
      <c r="BL181" s="1602"/>
      <c r="BM181" s="1602"/>
      <c r="BN181" s="1602"/>
      <c r="BO181" s="1602"/>
      <c r="BP181" s="1602"/>
      <c r="BQ181" s="1602"/>
      <c r="BR181" s="1602"/>
      <c r="BS181" s="1602"/>
      <c r="BT181" s="1602"/>
      <c r="BU181" s="1649"/>
    </row>
    <row r="182" spans="1:73" ht="38.25" customHeight="1" x14ac:dyDescent="0.25">
      <c r="A182" s="49"/>
      <c r="B182" s="3220"/>
      <c r="C182" s="1589"/>
      <c r="D182" s="1590"/>
      <c r="E182" s="3224"/>
      <c r="F182" s="3224"/>
      <c r="G182" s="3212">
        <v>4502024</v>
      </c>
      <c r="H182" s="3214" t="s">
        <v>1563</v>
      </c>
      <c r="I182" s="3212">
        <v>4502024</v>
      </c>
      <c r="J182" s="3214" t="s">
        <v>1563</v>
      </c>
      <c r="K182" s="3206">
        <v>450202400</v>
      </c>
      <c r="L182" s="2771" t="s">
        <v>2493</v>
      </c>
      <c r="M182" s="3206">
        <v>450202400</v>
      </c>
      <c r="N182" s="2771" t="s">
        <v>2493</v>
      </c>
      <c r="O182" s="3206">
        <v>10</v>
      </c>
      <c r="P182" s="3206">
        <v>10</v>
      </c>
      <c r="Q182" s="3206" t="s">
        <v>2494</v>
      </c>
      <c r="R182" s="2681" t="s">
        <v>1563</v>
      </c>
      <c r="S182" s="3208">
        <f>SUM(X182:X196)/T182</f>
        <v>1</v>
      </c>
      <c r="T182" s="3210">
        <f>SUM(X182:X196)</f>
        <v>89000000</v>
      </c>
      <c r="U182" s="3236" t="s">
        <v>2495</v>
      </c>
      <c r="V182" s="2681" t="s">
        <v>2496</v>
      </c>
      <c r="W182" s="1712" t="s">
        <v>2497</v>
      </c>
      <c r="X182" s="1536">
        <v>2000000</v>
      </c>
      <c r="Y182" s="1536">
        <v>1089580</v>
      </c>
      <c r="Z182" s="1536">
        <v>1089580</v>
      </c>
      <c r="AA182" s="1181" t="s">
        <v>2498</v>
      </c>
      <c r="AB182" s="1671">
        <v>20</v>
      </c>
      <c r="AC182" s="903" t="s">
        <v>1830</v>
      </c>
      <c r="AD182" s="3200">
        <v>245646</v>
      </c>
      <c r="AE182" s="3200">
        <v>4000</v>
      </c>
      <c r="AF182" s="3200">
        <v>263994</v>
      </c>
      <c r="AG182" s="3200">
        <v>4000</v>
      </c>
      <c r="AH182" s="3200">
        <v>135592</v>
      </c>
      <c r="AI182" s="3200"/>
      <c r="AJ182" s="3200">
        <v>44252</v>
      </c>
      <c r="AK182" s="3200"/>
      <c r="AL182" s="3200">
        <v>237257</v>
      </c>
      <c r="AM182" s="3200"/>
      <c r="AN182" s="3200">
        <v>92539</v>
      </c>
      <c r="AO182" s="3200"/>
      <c r="AP182" s="3200">
        <v>2883</v>
      </c>
      <c r="AQ182" s="3200"/>
      <c r="AR182" s="3200">
        <v>6058</v>
      </c>
      <c r="AS182" s="3200"/>
      <c r="AT182" s="3200">
        <v>0</v>
      </c>
      <c r="AU182" s="3200"/>
      <c r="AV182" s="3200">
        <v>0</v>
      </c>
      <c r="AW182" s="3200"/>
      <c r="AX182" s="3200">
        <v>0</v>
      </c>
      <c r="AY182" s="3200"/>
      <c r="AZ182" s="3200">
        <v>0</v>
      </c>
      <c r="BA182" s="3200"/>
      <c r="BB182" s="3200">
        <v>0</v>
      </c>
      <c r="BC182" s="3200"/>
      <c r="BD182" s="3200">
        <v>42555</v>
      </c>
      <c r="BE182" s="3200"/>
      <c r="BF182" s="3200">
        <v>43342</v>
      </c>
      <c r="BG182" s="3200"/>
      <c r="BH182" s="3200">
        <f>+AD182+AF182</f>
        <v>509640</v>
      </c>
      <c r="BI182" s="3200">
        <f>+AE182+AG182</f>
        <v>8000</v>
      </c>
      <c r="BJ182" s="3140">
        <v>9</v>
      </c>
      <c r="BK182" s="3198">
        <f>SUM(Y182:Y196)</f>
        <v>73017284</v>
      </c>
      <c r="BL182" s="3198">
        <f>SUM(Z182:Z196)</f>
        <v>73017284</v>
      </c>
      <c r="BM182" s="3199">
        <f>+BL182/BK182</f>
        <v>1</v>
      </c>
      <c r="BN182" s="3140">
        <v>20</v>
      </c>
      <c r="BO182" s="3092" t="s">
        <v>1</v>
      </c>
      <c r="BP182" s="3092" t="s">
        <v>2307</v>
      </c>
      <c r="BQ182" s="2738">
        <v>44198</v>
      </c>
      <c r="BR182" s="3154">
        <v>44228</v>
      </c>
      <c r="BS182" s="2738">
        <v>44196</v>
      </c>
      <c r="BT182" s="2738">
        <v>44196</v>
      </c>
      <c r="BU182" s="3192" t="s">
        <v>2499</v>
      </c>
    </row>
    <row r="183" spans="1:73" ht="42.75" customHeight="1" x14ac:dyDescent="0.25">
      <c r="A183" s="49"/>
      <c r="B183" s="3220"/>
      <c r="C183" s="1589"/>
      <c r="D183" s="1590"/>
      <c r="E183" s="3224"/>
      <c r="F183" s="3224"/>
      <c r="G183" s="3213"/>
      <c r="H183" s="3214"/>
      <c r="I183" s="3213"/>
      <c r="J183" s="3214"/>
      <c r="K183" s="3206"/>
      <c r="L183" s="2771"/>
      <c r="M183" s="3206"/>
      <c r="N183" s="2771"/>
      <c r="O183" s="3206"/>
      <c r="P183" s="3206"/>
      <c r="Q183" s="3206"/>
      <c r="R183" s="2771"/>
      <c r="S183" s="3209"/>
      <c r="T183" s="3210"/>
      <c r="U183" s="3214"/>
      <c r="V183" s="2771"/>
      <c r="W183" s="1712" t="s">
        <v>2500</v>
      </c>
      <c r="X183" s="1536">
        <v>1000000</v>
      </c>
      <c r="Y183" s="1536"/>
      <c r="Z183" s="1536"/>
      <c r="AA183" s="1181" t="s">
        <v>2501</v>
      </c>
      <c r="AB183" s="1220">
        <v>20</v>
      </c>
      <c r="AC183" s="892" t="s">
        <v>1830</v>
      </c>
      <c r="AD183" s="3193"/>
      <c r="AE183" s="3193"/>
      <c r="AF183" s="3193"/>
      <c r="AG183" s="3193"/>
      <c r="AH183" s="3193"/>
      <c r="AI183" s="3193"/>
      <c r="AJ183" s="3193"/>
      <c r="AK183" s="3193"/>
      <c r="AL183" s="3193"/>
      <c r="AM183" s="3193"/>
      <c r="AN183" s="3193"/>
      <c r="AO183" s="3193"/>
      <c r="AP183" s="3193"/>
      <c r="AQ183" s="3193"/>
      <c r="AR183" s="3193"/>
      <c r="AS183" s="3193"/>
      <c r="AT183" s="3193"/>
      <c r="AU183" s="3193"/>
      <c r="AV183" s="3193"/>
      <c r="AW183" s="3193"/>
      <c r="AX183" s="3193"/>
      <c r="AY183" s="3193"/>
      <c r="AZ183" s="3193"/>
      <c r="BA183" s="3193"/>
      <c r="BB183" s="3193"/>
      <c r="BC183" s="3193"/>
      <c r="BD183" s="3193"/>
      <c r="BE183" s="3193"/>
      <c r="BF183" s="3193"/>
      <c r="BG183" s="3193"/>
      <c r="BH183" s="3193"/>
      <c r="BI183" s="3193"/>
      <c r="BJ183" s="3140"/>
      <c r="BK183" s="3198"/>
      <c r="BL183" s="3198"/>
      <c r="BM183" s="3199"/>
      <c r="BN183" s="3140"/>
      <c r="BO183" s="3092"/>
      <c r="BP183" s="3092"/>
      <c r="BQ183" s="2736"/>
      <c r="BR183" s="3140"/>
      <c r="BS183" s="2736"/>
      <c r="BT183" s="2736"/>
      <c r="BU183" s="3193"/>
    </row>
    <row r="184" spans="1:73" ht="53.1" customHeight="1" x14ac:dyDescent="0.25">
      <c r="A184" s="49"/>
      <c r="B184" s="3220"/>
      <c r="C184" s="1589"/>
      <c r="D184" s="1590"/>
      <c r="E184" s="3224"/>
      <c r="F184" s="3224"/>
      <c r="G184" s="3213"/>
      <c r="H184" s="3214"/>
      <c r="I184" s="3213"/>
      <c r="J184" s="3214"/>
      <c r="K184" s="3206"/>
      <c r="L184" s="2771"/>
      <c r="M184" s="3206"/>
      <c r="N184" s="2771"/>
      <c r="O184" s="3206"/>
      <c r="P184" s="3206"/>
      <c r="Q184" s="3206"/>
      <c r="R184" s="2771"/>
      <c r="S184" s="3209"/>
      <c r="T184" s="3210"/>
      <c r="U184" s="3214"/>
      <c r="V184" s="2771"/>
      <c r="W184" s="3195" t="s">
        <v>2502</v>
      </c>
      <c r="X184" s="1536">
        <v>13000000</v>
      </c>
      <c r="Y184" s="1536">
        <v>13000000</v>
      </c>
      <c r="Z184" s="1536">
        <v>13000000</v>
      </c>
      <c r="AA184" s="1181" t="s">
        <v>2503</v>
      </c>
      <c r="AB184" s="1220">
        <v>20</v>
      </c>
      <c r="AC184" s="892" t="s">
        <v>1830</v>
      </c>
      <c r="AD184" s="3193"/>
      <c r="AE184" s="3193"/>
      <c r="AF184" s="3193"/>
      <c r="AG184" s="3193"/>
      <c r="AH184" s="3193"/>
      <c r="AI184" s="3193"/>
      <c r="AJ184" s="3193"/>
      <c r="AK184" s="3193"/>
      <c r="AL184" s="3193"/>
      <c r="AM184" s="3193"/>
      <c r="AN184" s="3193"/>
      <c r="AO184" s="3193"/>
      <c r="AP184" s="3193"/>
      <c r="AQ184" s="3193"/>
      <c r="AR184" s="3193"/>
      <c r="AS184" s="3193"/>
      <c r="AT184" s="3193"/>
      <c r="AU184" s="3193"/>
      <c r="AV184" s="3193"/>
      <c r="AW184" s="3193"/>
      <c r="AX184" s="3193"/>
      <c r="AY184" s="3193"/>
      <c r="AZ184" s="3193"/>
      <c r="BA184" s="3193"/>
      <c r="BB184" s="3193"/>
      <c r="BC184" s="3193"/>
      <c r="BD184" s="3193"/>
      <c r="BE184" s="3193"/>
      <c r="BF184" s="3193"/>
      <c r="BG184" s="3193"/>
      <c r="BH184" s="3193"/>
      <c r="BI184" s="3193"/>
      <c r="BJ184" s="3140"/>
      <c r="BK184" s="3198"/>
      <c r="BL184" s="3198"/>
      <c r="BM184" s="3199"/>
      <c r="BN184" s="3140"/>
      <c r="BO184" s="3092"/>
      <c r="BP184" s="3092"/>
      <c r="BQ184" s="2736"/>
      <c r="BR184" s="3140"/>
      <c r="BS184" s="2736"/>
      <c r="BT184" s="2736"/>
      <c r="BU184" s="3193"/>
    </row>
    <row r="185" spans="1:73" ht="53.1" customHeight="1" x14ac:dyDescent="0.25">
      <c r="A185" s="49"/>
      <c r="B185" s="3220"/>
      <c r="C185" s="1589"/>
      <c r="D185" s="1590"/>
      <c r="E185" s="3224"/>
      <c r="F185" s="3224"/>
      <c r="G185" s="3213"/>
      <c r="H185" s="3214"/>
      <c r="I185" s="3213"/>
      <c r="J185" s="3214"/>
      <c r="K185" s="3206"/>
      <c r="L185" s="2771"/>
      <c r="M185" s="3206"/>
      <c r="N185" s="2771"/>
      <c r="O185" s="3206"/>
      <c r="P185" s="3206"/>
      <c r="Q185" s="3206"/>
      <c r="R185" s="2771"/>
      <c r="S185" s="3209"/>
      <c r="T185" s="3210"/>
      <c r="U185" s="3214"/>
      <c r="V185" s="2771"/>
      <c r="W185" s="3196"/>
      <c r="X185" s="1536">
        <v>14000000</v>
      </c>
      <c r="Y185" s="1536">
        <v>11000000</v>
      </c>
      <c r="Z185" s="1536">
        <v>11000000</v>
      </c>
      <c r="AA185" s="1181" t="s">
        <v>2504</v>
      </c>
      <c r="AB185" s="1512">
        <v>88</v>
      </c>
      <c r="AC185" s="901" t="s">
        <v>2255</v>
      </c>
      <c r="AD185" s="3193"/>
      <c r="AE185" s="3193"/>
      <c r="AF185" s="3193"/>
      <c r="AG185" s="3193"/>
      <c r="AH185" s="3193"/>
      <c r="AI185" s="3193"/>
      <c r="AJ185" s="3193"/>
      <c r="AK185" s="3193"/>
      <c r="AL185" s="3193"/>
      <c r="AM185" s="3193"/>
      <c r="AN185" s="3193"/>
      <c r="AO185" s="3193"/>
      <c r="AP185" s="3193"/>
      <c r="AQ185" s="3193"/>
      <c r="AR185" s="3193"/>
      <c r="AS185" s="3193"/>
      <c r="AT185" s="3193"/>
      <c r="AU185" s="3193"/>
      <c r="AV185" s="3193"/>
      <c r="AW185" s="3193"/>
      <c r="AX185" s="3193"/>
      <c r="AY185" s="3193"/>
      <c r="AZ185" s="3193"/>
      <c r="BA185" s="3193"/>
      <c r="BB185" s="3193"/>
      <c r="BC185" s="3193"/>
      <c r="BD185" s="3193"/>
      <c r="BE185" s="3193"/>
      <c r="BF185" s="3193"/>
      <c r="BG185" s="3193"/>
      <c r="BH185" s="3193"/>
      <c r="BI185" s="3193"/>
      <c r="BJ185" s="3140"/>
      <c r="BK185" s="3198"/>
      <c r="BL185" s="3198"/>
      <c r="BM185" s="3199"/>
      <c r="BN185" s="3140"/>
      <c r="BO185" s="3092"/>
      <c r="BP185" s="3092"/>
      <c r="BQ185" s="2736"/>
      <c r="BR185" s="3140"/>
      <c r="BS185" s="2736"/>
      <c r="BT185" s="2736"/>
      <c r="BU185" s="3193"/>
    </row>
    <row r="186" spans="1:73" ht="45" customHeight="1" x14ac:dyDescent="0.25">
      <c r="A186" s="49"/>
      <c r="B186" s="3220"/>
      <c r="C186" s="1589"/>
      <c r="D186" s="1590"/>
      <c r="E186" s="3224"/>
      <c r="F186" s="3224"/>
      <c r="G186" s="3213"/>
      <c r="H186" s="3214"/>
      <c r="I186" s="3213"/>
      <c r="J186" s="3214"/>
      <c r="K186" s="3206"/>
      <c r="L186" s="2771"/>
      <c r="M186" s="3206"/>
      <c r="N186" s="2771"/>
      <c r="O186" s="3206"/>
      <c r="P186" s="3206"/>
      <c r="Q186" s="3206"/>
      <c r="R186" s="2771"/>
      <c r="S186" s="3209"/>
      <c r="T186" s="3210"/>
      <c r="U186" s="3214"/>
      <c r="V186" s="2771"/>
      <c r="W186" s="3195" t="s">
        <v>2505</v>
      </c>
      <c r="X186" s="1536">
        <v>5000000</v>
      </c>
      <c r="Y186" s="1536">
        <v>4500000</v>
      </c>
      <c r="Z186" s="1536">
        <v>4500000</v>
      </c>
      <c r="AA186" s="1181" t="s">
        <v>2503</v>
      </c>
      <c r="AB186" s="1220">
        <v>20</v>
      </c>
      <c r="AC186" s="892" t="s">
        <v>1830</v>
      </c>
      <c r="AD186" s="3193"/>
      <c r="AE186" s="3193"/>
      <c r="AF186" s="3193"/>
      <c r="AG186" s="3193"/>
      <c r="AH186" s="3193"/>
      <c r="AI186" s="3193"/>
      <c r="AJ186" s="3193"/>
      <c r="AK186" s="3193"/>
      <c r="AL186" s="3193"/>
      <c r="AM186" s="3193"/>
      <c r="AN186" s="3193"/>
      <c r="AO186" s="3193"/>
      <c r="AP186" s="3193"/>
      <c r="AQ186" s="3193"/>
      <c r="AR186" s="3193"/>
      <c r="AS186" s="3193"/>
      <c r="AT186" s="3193"/>
      <c r="AU186" s="3193"/>
      <c r="AV186" s="3193"/>
      <c r="AW186" s="3193"/>
      <c r="AX186" s="3193"/>
      <c r="AY186" s="3193"/>
      <c r="AZ186" s="3193"/>
      <c r="BA186" s="3193"/>
      <c r="BB186" s="3193"/>
      <c r="BC186" s="3193"/>
      <c r="BD186" s="3193"/>
      <c r="BE186" s="3193"/>
      <c r="BF186" s="3193"/>
      <c r="BG186" s="3193"/>
      <c r="BH186" s="3193"/>
      <c r="BI186" s="3193"/>
      <c r="BJ186" s="3140"/>
      <c r="BK186" s="3198"/>
      <c r="BL186" s="3198"/>
      <c r="BM186" s="3199"/>
      <c r="BN186" s="3140"/>
      <c r="BO186" s="3092"/>
      <c r="BP186" s="3092"/>
      <c r="BQ186" s="2736"/>
      <c r="BR186" s="3140"/>
      <c r="BS186" s="2736"/>
      <c r="BT186" s="2736"/>
      <c r="BU186" s="3193"/>
    </row>
    <row r="187" spans="1:73" ht="45" customHeight="1" x14ac:dyDescent="0.25">
      <c r="A187" s="49"/>
      <c r="B187" s="3220"/>
      <c r="C187" s="1589"/>
      <c r="D187" s="1590"/>
      <c r="E187" s="3224"/>
      <c r="F187" s="3224"/>
      <c r="G187" s="3213"/>
      <c r="H187" s="3214"/>
      <c r="I187" s="3213"/>
      <c r="J187" s="3214"/>
      <c r="K187" s="3206"/>
      <c r="L187" s="2771"/>
      <c r="M187" s="3206"/>
      <c r="N187" s="2771"/>
      <c r="O187" s="3206"/>
      <c r="P187" s="3206"/>
      <c r="Q187" s="3206"/>
      <c r="R187" s="2771"/>
      <c r="S187" s="3209"/>
      <c r="T187" s="3210"/>
      <c r="U187" s="3214"/>
      <c r="V187" s="2771"/>
      <c r="W187" s="3196"/>
      <c r="X187" s="1536">
        <v>5000000</v>
      </c>
      <c r="Y187" s="1536">
        <v>5000000</v>
      </c>
      <c r="Z187" s="1536">
        <v>5000000</v>
      </c>
      <c r="AA187" s="1181" t="s">
        <v>2504</v>
      </c>
      <c r="AB187" s="1512">
        <v>88</v>
      </c>
      <c r="AC187" s="901" t="s">
        <v>2255</v>
      </c>
      <c r="AD187" s="3193"/>
      <c r="AE187" s="3193"/>
      <c r="AF187" s="3193"/>
      <c r="AG187" s="3193"/>
      <c r="AH187" s="3193"/>
      <c r="AI187" s="3193"/>
      <c r="AJ187" s="3193"/>
      <c r="AK187" s="3193"/>
      <c r="AL187" s="3193"/>
      <c r="AM187" s="3193"/>
      <c r="AN187" s="3193"/>
      <c r="AO187" s="3193"/>
      <c r="AP187" s="3193"/>
      <c r="AQ187" s="3193"/>
      <c r="AR187" s="3193"/>
      <c r="AS187" s="3193"/>
      <c r="AT187" s="3193"/>
      <c r="AU187" s="3193"/>
      <c r="AV187" s="3193"/>
      <c r="AW187" s="3193"/>
      <c r="AX187" s="3193"/>
      <c r="AY187" s="3193"/>
      <c r="AZ187" s="3193"/>
      <c r="BA187" s="3193"/>
      <c r="BB187" s="3193"/>
      <c r="BC187" s="3193"/>
      <c r="BD187" s="3193"/>
      <c r="BE187" s="3193"/>
      <c r="BF187" s="3193"/>
      <c r="BG187" s="3193"/>
      <c r="BH187" s="3193"/>
      <c r="BI187" s="3193"/>
      <c r="BJ187" s="3140"/>
      <c r="BK187" s="3198"/>
      <c r="BL187" s="3198"/>
      <c r="BM187" s="3199"/>
      <c r="BN187" s="3140"/>
      <c r="BO187" s="3092"/>
      <c r="BP187" s="3092"/>
      <c r="BQ187" s="2736"/>
      <c r="BR187" s="3140"/>
      <c r="BS187" s="2736"/>
      <c r="BT187" s="2736"/>
      <c r="BU187" s="3193"/>
    </row>
    <row r="188" spans="1:73" ht="53.1" customHeight="1" x14ac:dyDescent="0.25">
      <c r="A188" s="49"/>
      <c r="B188" s="3220"/>
      <c r="C188" s="1589"/>
      <c r="D188" s="1590"/>
      <c r="E188" s="3224"/>
      <c r="F188" s="3224"/>
      <c r="G188" s="3213"/>
      <c r="H188" s="3214"/>
      <c r="I188" s="3213"/>
      <c r="J188" s="3214"/>
      <c r="K188" s="3206"/>
      <c r="L188" s="2771"/>
      <c r="M188" s="3206"/>
      <c r="N188" s="2771"/>
      <c r="O188" s="3206"/>
      <c r="P188" s="3206"/>
      <c r="Q188" s="3206"/>
      <c r="R188" s="2771"/>
      <c r="S188" s="3209"/>
      <c r="T188" s="3210"/>
      <c r="U188" s="3214"/>
      <c r="V188" s="2771"/>
      <c r="W188" s="3195" t="s">
        <v>2506</v>
      </c>
      <c r="X188" s="1536">
        <v>9000000</v>
      </c>
      <c r="Y188" s="1536">
        <v>9000000</v>
      </c>
      <c r="Z188" s="1536">
        <v>9000000</v>
      </c>
      <c r="AA188" s="1181" t="s">
        <v>2503</v>
      </c>
      <c r="AB188" s="1220">
        <v>20</v>
      </c>
      <c r="AC188" s="892" t="s">
        <v>1830</v>
      </c>
      <c r="AD188" s="3193"/>
      <c r="AE188" s="3193"/>
      <c r="AF188" s="3193"/>
      <c r="AG188" s="3193"/>
      <c r="AH188" s="3193"/>
      <c r="AI188" s="3193"/>
      <c r="AJ188" s="3193"/>
      <c r="AK188" s="3193"/>
      <c r="AL188" s="3193"/>
      <c r="AM188" s="3193"/>
      <c r="AN188" s="3193"/>
      <c r="AO188" s="3193"/>
      <c r="AP188" s="3193"/>
      <c r="AQ188" s="3193"/>
      <c r="AR188" s="3193"/>
      <c r="AS188" s="3193"/>
      <c r="AT188" s="3193"/>
      <c r="AU188" s="3193"/>
      <c r="AV188" s="3193"/>
      <c r="AW188" s="3193"/>
      <c r="AX188" s="3193"/>
      <c r="AY188" s="3193"/>
      <c r="AZ188" s="3193"/>
      <c r="BA188" s="3193"/>
      <c r="BB188" s="3193"/>
      <c r="BC188" s="3193"/>
      <c r="BD188" s="3193"/>
      <c r="BE188" s="3193"/>
      <c r="BF188" s="3193"/>
      <c r="BG188" s="3193"/>
      <c r="BH188" s="3193"/>
      <c r="BI188" s="3193"/>
      <c r="BJ188" s="3140"/>
      <c r="BK188" s="3198"/>
      <c r="BL188" s="3198"/>
      <c r="BM188" s="3199"/>
      <c r="BN188" s="3140"/>
      <c r="BO188" s="3092"/>
      <c r="BP188" s="3092"/>
      <c r="BQ188" s="2736"/>
      <c r="BR188" s="3140"/>
      <c r="BS188" s="2736"/>
      <c r="BT188" s="2736"/>
      <c r="BU188" s="3193"/>
    </row>
    <row r="189" spans="1:73" ht="53.1" customHeight="1" x14ac:dyDescent="0.25">
      <c r="A189" s="49"/>
      <c r="B189" s="3220"/>
      <c r="C189" s="1589"/>
      <c r="D189" s="1590"/>
      <c r="E189" s="3224"/>
      <c r="F189" s="3224"/>
      <c r="G189" s="3213"/>
      <c r="H189" s="3214"/>
      <c r="I189" s="3213"/>
      <c r="J189" s="3214"/>
      <c r="K189" s="3206"/>
      <c r="L189" s="2771"/>
      <c r="M189" s="3206"/>
      <c r="N189" s="2771"/>
      <c r="O189" s="3206"/>
      <c r="P189" s="3206"/>
      <c r="Q189" s="3206"/>
      <c r="R189" s="2771"/>
      <c r="S189" s="3209"/>
      <c r="T189" s="3210"/>
      <c r="U189" s="3214"/>
      <c r="V189" s="2771"/>
      <c r="W189" s="3196"/>
      <c r="X189" s="1536">
        <v>5000000</v>
      </c>
      <c r="Y189" s="1536">
        <v>0</v>
      </c>
      <c r="Z189" s="1536">
        <v>0</v>
      </c>
      <c r="AA189" s="1181" t="s">
        <v>2504</v>
      </c>
      <c r="AB189" s="1512">
        <v>88</v>
      </c>
      <c r="AC189" s="901" t="s">
        <v>2255</v>
      </c>
      <c r="AD189" s="3193"/>
      <c r="AE189" s="3193"/>
      <c r="AF189" s="3193"/>
      <c r="AG189" s="3193"/>
      <c r="AH189" s="3193"/>
      <c r="AI189" s="3193"/>
      <c r="AJ189" s="3193"/>
      <c r="AK189" s="3193"/>
      <c r="AL189" s="3193"/>
      <c r="AM189" s="3193"/>
      <c r="AN189" s="3193"/>
      <c r="AO189" s="3193"/>
      <c r="AP189" s="3193"/>
      <c r="AQ189" s="3193"/>
      <c r="AR189" s="3193"/>
      <c r="AS189" s="3193"/>
      <c r="AT189" s="3193"/>
      <c r="AU189" s="3193"/>
      <c r="AV189" s="3193"/>
      <c r="AW189" s="3193"/>
      <c r="AX189" s="3193"/>
      <c r="AY189" s="3193"/>
      <c r="AZ189" s="3193"/>
      <c r="BA189" s="3193"/>
      <c r="BB189" s="3193"/>
      <c r="BC189" s="3193"/>
      <c r="BD189" s="3193"/>
      <c r="BE189" s="3193"/>
      <c r="BF189" s="3193"/>
      <c r="BG189" s="3193"/>
      <c r="BH189" s="3193"/>
      <c r="BI189" s="3193"/>
      <c r="BJ189" s="3140"/>
      <c r="BK189" s="3198"/>
      <c r="BL189" s="3198"/>
      <c r="BM189" s="3199"/>
      <c r="BN189" s="3140"/>
      <c r="BO189" s="3092"/>
      <c r="BP189" s="3092"/>
      <c r="BQ189" s="2736"/>
      <c r="BR189" s="3140"/>
      <c r="BS189" s="2736"/>
      <c r="BT189" s="2736"/>
      <c r="BU189" s="3193"/>
    </row>
    <row r="190" spans="1:73" ht="58.5" customHeight="1" x14ac:dyDescent="0.25">
      <c r="A190" s="49"/>
      <c r="B190" s="3220"/>
      <c r="C190" s="1589"/>
      <c r="D190" s="1590"/>
      <c r="E190" s="3224"/>
      <c r="F190" s="3224"/>
      <c r="G190" s="3213"/>
      <c r="H190" s="3214"/>
      <c r="I190" s="3213"/>
      <c r="J190" s="3214"/>
      <c r="K190" s="3206"/>
      <c r="L190" s="2771"/>
      <c r="M190" s="3206"/>
      <c r="N190" s="2771"/>
      <c r="O190" s="3206"/>
      <c r="P190" s="3206"/>
      <c r="Q190" s="3206"/>
      <c r="R190" s="2771"/>
      <c r="S190" s="3209"/>
      <c r="T190" s="3210"/>
      <c r="U190" s="3214"/>
      <c r="V190" s="2771"/>
      <c r="W190" s="3195" t="s">
        <v>2507</v>
      </c>
      <c r="X190" s="1536">
        <v>8000000</v>
      </c>
      <c r="Y190" s="1536">
        <v>7400333</v>
      </c>
      <c r="Z190" s="1536">
        <v>7400333</v>
      </c>
      <c r="AA190" s="1181" t="s">
        <v>2503</v>
      </c>
      <c r="AB190" s="1713">
        <v>20</v>
      </c>
      <c r="AC190" s="891" t="s">
        <v>1830</v>
      </c>
      <c r="AD190" s="3193"/>
      <c r="AE190" s="3193"/>
      <c r="AF190" s="3193"/>
      <c r="AG190" s="3193"/>
      <c r="AH190" s="3193"/>
      <c r="AI190" s="3193"/>
      <c r="AJ190" s="3193"/>
      <c r="AK190" s="3193"/>
      <c r="AL190" s="3193"/>
      <c r="AM190" s="3193"/>
      <c r="AN190" s="3193"/>
      <c r="AO190" s="3193"/>
      <c r="AP190" s="3193"/>
      <c r="AQ190" s="3193"/>
      <c r="AR190" s="3193"/>
      <c r="AS190" s="3193"/>
      <c r="AT190" s="3193"/>
      <c r="AU190" s="3193"/>
      <c r="AV190" s="3193"/>
      <c r="AW190" s="3193"/>
      <c r="AX190" s="3193"/>
      <c r="AY190" s="3193"/>
      <c r="AZ190" s="3193"/>
      <c r="BA190" s="3193"/>
      <c r="BB190" s="3193"/>
      <c r="BC190" s="3193"/>
      <c r="BD190" s="3193"/>
      <c r="BE190" s="3193"/>
      <c r="BF190" s="3193"/>
      <c r="BG190" s="3193"/>
      <c r="BH190" s="3193"/>
      <c r="BI190" s="3193"/>
      <c r="BJ190" s="3140"/>
      <c r="BK190" s="3198"/>
      <c r="BL190" s="3198"/>
      <c r="BM190" s="3199"/>
      <c r="BN190" s="3140"/>
      <c r="BO190" s="3092"/>
      <c r="BP190" s="3092"/>
      <c r="BQ190" s="2736"/>
      <c r="BR190" s="3140"/>
      <c r="BS190" s="2736"/>
      <c r="BT190" s="2736"/>
      <c r="BU190" s="3193"/>
    </row>
    <row r="191" spans="1:73" ht="58.5" customHeight="1" x14ac:dyDescent="0.25">
      <c r="A191" s="49"/>
      <c r="B191" s="3220"/>
      <c r="C191" s="1589"/>
      <c r="D191" s="1590"/>
      <c r="E191" s="3224"/>
      <c r="F191" s="3224"/>
      <c r="G191" s="3213"/>
      <c r="H191" s="3214"/>
      <c r="I191" s="3213"/>
      <c r="J191" s="3214"/>
      <c r="K191" s="3206"/>
      <c r="L191" s="2771"/>
      <c r="M191" s="3206"/>
      <c r="N191" s="2771"/>
      <c r="O191" s="3206"/>
      <c r="P191" s="3206"/>
      <c r="Q191" s="3206"/>
      <c r="R191" s="2771"/>
      <c r="S191" s="3209"/>
      <c r="T191" s="3210"/>
      <c r="U191" s="3214"/>
      <c r="V191" s="2771"/>
      <c r="W191" s="3196"/>
      <c r="X191" s="1536">
        <v>5000000</v>
      </c>
      <c r="Y191" s="1536">
        <v>4902371</v>
      </c>
      <c r="Z191" s="1536">
        <v>4902371</v>
      </c>
      <c r="AA191" s="1181" t="s">
        <v>2504</v>
      </c>
      <c r="AB191" s="1512">
        <v>88</v>
      </c>
      <c r="AC191" s="901" t="s">
        <v>2255</v>
      </c>
      <c r="AD191" s="3201"/>
      <c r="AE191" s="3201"/>
      <c r="AF191" s="3201"/>
      <c r="AG191" s="3201"/>
      <c r="AH191" s="3201"/>
      <c r="AI191" s="3201"/>
      <c r="AJ191" s="3201"/>
      <c r="AK191" s="3201"/>
      <c r="AL191" s="3201"/>
      <c r="AM191" s="3201"/>
      <c r="AN191" s="3201"/>
      <c r="AO191" s="3201"/>
      <c r="AP191" s="3201"/>
      <c r="AQ191" s="3201"/>
      <c r="AR191" s="3201"/>
      <c r="AS191" s="3201"/>
      <c r="AT191" s="3201"/>
      <c r="AU191" s="3201"/>
      <c r="AV191" s="3201"/>
      <c r="AW191" s="3201"/>
      <c r="AX191" s="3201"/>
      <c r="AY191" s="3201"/>
      <c r="AZ191" s="3201"/>
      <c r="BA191" s="3201"/>
      <c r="BB191" s="3201"/>
      <c r="BC191" s="3201"/>
      <c r="BD191" s="3201"/>
      <c r="BE191" s="3201"/>
      <c r="BF191" s="3201"/>
      <c r="BG191" s="3201"/>
      <c r="BH191" s="3201"/>
      <c r="BI191" s="3201"/>
      <c r="BJ191" s="3140"/>
      <c r="BK191" s="3198"/>
      <c r="BL191" s="3198"/>
      <c r="BM191" s="3199"/>
      <c r="BN191" s="3140"/>
      <c r="BO191" s="3092"/>
      <c r="BP191" s="3092"/>
      <c r="BQ191" s="2736"/>
      <c r="BR191" s="3140"/>
      <c r="BS191" s="2736"/>
      <c r="BT191" s="2736"/>
      <c r="BU191" s="3193"/>
    </row>
    <row r="192" spans="1:73" ht="61.5" customHeight="1" x14ac:dyDescent="0.25">
      <c r="A192" s="49"/>
      <c r="B192" s="3220"/>
      <c r="C192" s="1589"/>
      <c r="D192" s="1590"/>
      <c r="E192" s="3224"/>
      <c r="F192" s="3224"/>
      <c r="G192" s="3213"/>
      <c r="H192" s="3214"/>
      <c r="I192" s="3213"/>
      <c r="J192" s="3214"/>
      <c r="K192" s="3206"/>
      <c r="L192" s="2771"/>
      <c r="M192" s="3206"/>
      <c r="N192" s="2771"/>
      <c r="O192" s="3206"/>
      <c r="P192" s="3206"/>
      <c r="Q192" s="3206"/>
      <c r="R192" s="2771"/>
      <c r="S192" s="3209"/>
      <c r="T192" s="3210"/>
      <c r="U192" s="3214"/>
      <c r="V192" s="2771"/>
      <c r="W192" s="3195" t="s">
        <v>2508</v>
      </c>
      <c r="X192" s="1536">
        <v>9000000</v>
      </c>
      <c r="Y192" s="1536">
        <v>9000000</v>
      </c>
      <c r="Z192" s="1536">
        <v>9000000</v>
      </c>
      <c r="AA192" s="1181" t="s">
        <v>2503</v>
      </c>
      <c r="AB192" s="1633">
        <v>20</v>
      </c>
      <c r="AC192" s="903" t="s">
        <v>1830</v>
      </c>
      <c r="AD192" s="3201"/>
      <c r="AE192" s="3201"/>
      <c r="AF192" s="3201"/>
      <c r="AG192" s="3201"/>
      <c r="AH192" s="3201"/>
      <c r="AI192" s="3201"/>
      <c r="AJ192" s="3201"/>
      <c r="AK192" s="3201"/>
      <c r="AL192" s="3201"/>
      <c r="AM192" s="3201"/>
      <c r="AN192" s="3201"/>
      <c r="AO192" s="3201"/>
      <c r="AP192" s="3201"/>
      <c r="AQ192" s="3201"/>
      <c r="AR192" s="3201"/>
      <c r="AS192" s="3201"/>
      <c r="AT192" s="3201"/>
      <c r="AU192" s="3201"/>
      <c r="AV192" s="3201"/>
      <c r="AW192" s="3201"/>
      <c r="AX192" s="3201"/>
      <c r="AY192" s="3201"/>
      <c r="AZ192" s="3201"/>
      <c r="BA192" s="3201"/>
      <c r="BB192" s="3201"/>
      <c r="BC192" s="3201"/>
      <c r="BD192" s="3201"/>
      <c r="BE192" s="3201"/>
      <c r="BF192" s="3201"/>
      <c r="BG192" s="3201"/>
      <c r="BH192" s="3201"/>
      <c r="BI192" s="3201"/>
      <c r="BJ192" s="3140"/>
      <c r="BK192" s="3198"/>
      <c r="BL192" s="3198"/>
      <c r="BM192" s="3199"/>
      <c r="BN192" s="3140"/>
      <c r="BO192" s="3092"/>
      <c r="BP192" s="3092"/>
      <c r="BQ192" s="2736"/>
      <c r="BR192" s="3140"/>
      <c r="BS192" s="2736"/>
      <c r="BT192" s="2736"/>
      <c r="BU192" s="3193"/>
    </row>
    <row r="193" spans="1:73" ht="61.5" customHeight="1" x14ac:dyDescent="0.25">
      <c r="A193" s="49"/>
      <c r="B193" s="3220"/>
      <c r="C193" s="1589"/>
      <c r="D193" s="1590"/>
      <c r="E193" s="3224"/>
      <c r="F193" s="3224"/>
      <c r="G193" s="3213"/>
      <c r="H193" s="3214"/>
      <c r="I193" s="3213"/>
      <c r="J193" s="3214"/>
      <c r="K193" s="3206"/>
      <c r="L193" s="2771"/>
      <c r="M193" s="3206"/>
      <c r="N193" s="2771"/>
      <c r="O193" s="3206"/>
      <c r="P193" s="3206"/>
      <c r="Q193" s="3206"/>
      <c r="R193" s="2771"/>
      <c r="S193" s="3209"/>
      <c r="T193" s="3210"/>
      <c r="U193" s="3214"/>
      <c r="V193" s="2771"/>
      <c r="W193" s="3196"/>
      <c r="X193" s="1536">
        <v>10000000</v>
      </c>
      <c r="Y193" s="1536">
        <v>8125000</v>
      </c>
      <c r="Z193" s="1536">
        <v>8125000</v>
      </c>
      <c r="AA193" s="1181" t="s">
        <v>2504</v>
      </c>
      <c r="AB193" s="1512">
        <v>88</v>
      </c>
      <c r="AC193" s="901" t="s">
        <v>2255</v>
      </c>
      <c r="AD193" s="3201"/>
      <c r="AE193" s="3201"/>
      <c r="AF193" s="3201"/>
      <c r="AG193" s="3201"/>
      <c r="AH193" s="3201"/>
      <c r="AI193" s="3201"/>
      <c r="AJ193" s="3201"/>
      <c r="AK193" s="3201"/>
      <c r="AL193" s="3201"/>
      <c r="AM193" s="3201"/>
      <c r="AN193" s="3201"/>
      <c r="AO193" s="3201"/>
      <c r="AP193" s="3201"/>
      <c r="AQ193" s="3201"/>
      <c r="AR193" s="3201"/>
      <c r="AS193" s="3201"/>
      <c r="AT193" s="3201"/>
      <c r="AU193" s="3201"/>
      <c r="AV193" s="3201"/>
      <c r="AW193" s="3201"/>
      <c r="AX193" s="3201"/>
      <c r="AY193" s="3201"/>
      <c r="AZ193" s="3201"/>
      <c r="BA193" s="3201"/>
      <c r="BB193" s="3201"/>
      <c r="BC193" s="3201"/>
      <c r="BD193" s="3201"/>
      <c r="BE193" s="3201"/>
      <c r="BF193" s="3201"/>
      <c r="BG193" s="3201"/>
      <c r="BH193" s="3201"/>
      <c r="BI193" s="3201"/>
      <c r="BJ193" s="3140"/>
      <c r="BK193" s="3198"/>
      <c r="BL193" s="3198"/>
      <c r="BM193" s="3199"/>
      <c r="BN193" s="3140"/>
      <c r="BO193" s="3092"/>
      <c r="BP193" s="3092"/>
      <c r="BQ193" s="2736"/>
      <c r="BR193" s="3140"/>
      <c r="BS193" s="2736"/>
      <c r="BT193" s="2736"/>
      <c r="BU193" s="3193"/>
    </row>
    <row r="194" spans="1:73" ht="35.25" customHeight="1" x14ac:dyDescent="0.25">
      <c r="A194" s="49"/>
      <c r="B194" s="3220"/>
      <c r="C194" s="1589"/>
      <c r="D194" s="1590"/>
      <c r="E194" s="3224"/>
      <c r="F194" s="3224"/>
      <c r="G194" s="3213"/>
      <c r="H194" s="3214"/>
      <c r="I194" s="3213"/>
      <c r="J194" s="3214"/>
      <c r="K194" s="3206"/>
      <c r="L194" s="2771"/>
      <c r="M194" s="3206"/>
      <c r="N194" s="2771"/>
      <c r="O194" s="3206"/>
      <c r="P194" s="3206"/>
      <c r="Q194" s="3206"/>
      <c r="R194" s="2771"/>
      <c r="S194" s="3209"/>
      <c r="T194" s="3210"/>
      <c r="U194" s="3214"/>
      <c r="V194" s="2771"/>
      <c r="W194" s="3195" t="s">
        <v>2509</v>
      </c>
      <c r="X194" s="1536">
        <v>1000000</v>
      </c>
      <c r="Y194" s="1536"/>
      <c r="Z194" s="1536"/>
      <c r="AA194" s="1181" t="s">
        <v>2501</v>
      </c>
      <c r="AB194" s="3203">
        <v>20</v>
      </c>
      <c r="AC194" s="3204" t="s">
        <v>1830</v>
      </c>
      <c r="AD194" s="3201"/>
      <c r="AE194" s="3201"/>
      <c r="AF194" s="3201"/>
      <c r="AG194" s="3201"/>
      <c r="AH194" s="3201"/>
      <c r="AI194" s="3201"/>
      <c r="AJ194" s="3201"/>
      <c r="AK194" s="3201"/>
      <c r="AL194" s="3201"/>
      <c r="AM194" s="3201"/>
      <c r="AN194" s="3201"/>
      <c r="AO194" s="3201"/>
      <c r="AP194" s="3201"/>
      <c r="AQ194" s="3201"/>
      <c r="AR194" s="3201"/>
      <c r="AS194" s="3201"/>
      <c r="AT194" s="3201"/>
      <c r="AU194" s="3201"/>
      <c r="AV194" s="3201"/>
      <c r="AW194" s="3201"/>
      <c r="AX194" s="3201"/>
      <c r="AY194" s="3201"/>
      <c r="AZ194" s="3201"/>
      <c r="BA194" s="3201"/>
      <c r="BB194" s="3201"/>
      <c r="BC194" s="3201"/>
      <c r="BD194" s="3201"/>
      <c r="BE194" s="3201"/>
      <c r="BF194" s="3201"/>
      <c r="BG194" s="3201"/>
      <c r="BH194" s="3201"/>
      <c r="BI194" s="3201"/>
      <c r="BJ194" s="3140"/>
      <c r="BK194" s="3198"/>
      <c r="BL194" s="3198"/>
      <c r="BM194" s="3199"/>
      <c r="BN194" s="3140"/>
      <c r="BO194" s="3092"/>
      <c r="BP194" s="3092"/>
      <c r="BQ194" s="2736"/>
      <c r="BR194" s="3140"/>
      <c r="BS194" s="2736"/>
      <c r="BT194" s="2736"/>
      <c r="BU194" s="3193"/>
    </row>
    <row r="195" spans="1:73" ht="35.25" customHeight="1" x14ac:dyDescent="0.25">
      <c r="A195" s="49"/>
      <c r="B195" s="3220"/>
      <c r="C195" s="1589"/>
      <c r="D195" s="1590"/>
      <c r="E195" s="3224"/>
      <c r="F195" s="3224"/>
      <c r="G195" s="3213"/>
      <c r="H195" s="3214"/>
      <c r="I195" s="3213"/>
      <c r="J195" s="3214"/>
      <c r="K195" s="3206"/>
      <c r="L195" s="2771"/>
      <c r="M195" s="3206"/>
      <c r="N195" s="2771"/>
      <c r="O195" s="3206"/>
      <c r="P195" s="3206"/>
      <c r="Q195" s="3206"/>
      <c r="R195" s="2771"/>
      <c r="S195" s="3209"/>
      <c r="T195" s="3211"/>
      <c r="U195" s="3214"/>
      <c r="V195" s="2771"/>
      <c r="W195" s="3197"/>
      <c r="X195" s="1536">
        <v>1000000</v>
      </c>
      <c r="Y195" s="1536"/>
      <c r="Z195" s="1536"/>
      <c r="AA195" s="1181" t="s">
        <v>2498</v>
      </c>
      <c r="AB195" s="3203"/>
      <c r="AC195" s="3204"/>
      <c r="AD195" s="3201"/>
      <c r="AE195" s="3201"/>
      <c r="AF195" s="3201"/>
      <c r="AG195" s="3201"/>
      <c r="AH195" s="3201"/>
      <c r="AI195" s="3201"/>
      <c r="AJ195" s="3201"/>
      <c r="AK195" s="3201"/>
      <c r="AL195" s="3201"/>
      <c r="AM195" s="3201"/>
      <c r="AN195" s="3201"/>
      <c r="AO195" s="3201"/>
      <c r="AP195" s="3201"/>
      <c r="AQ195" s="3201"/>
      <c r="AR195" s="3201"/>
      <c r="AS195" s="3201"/>
      <c r="AT195" s="3201"/>
      <c r="AU195" s="3201"/>
      <c r="AV195" s="3201"/>
      <c r="AW195" s="3201"/>
      <c r="AX195" s="3201"/>
      <c r="AY195" s="3201"/>
      <c r="AZ195" s="3201"/>
      <c r="BA195" s="3201"/>
      <c r="BB195" s="3201"/>
      <c r="BC195" s="3201"/>
      <c r="BD195" s="3201"/>
      <c r="BE195" s="3201"/>
      <c r="BF195" s="3201"/>
      <c r="BG195" s="3201"/>
      <c r="BH195" s="3201"/>
      <c r="BI195" s="3201"/>
      <c r="BJ195" s="3140"/>
      <c r="BK195" s="3198"/>
      <c r="BL195" s="3198"/>
      <c r="BM195" s="3199"/>
      <c r="BN195" s="3140"/>
      <c r="BO195" s="3092"/>
      <c r="BP195" s="3092"/>
      <c r="BQ195" s="2736"/>
      <c r="BR195" s="3140"/>
      <c r="BS195" s="2736"/>
      <c r="BT195" s="2736"/>
      <c r="BU195" s="3193"/>
    </row>
    <row r="196" spans="1:73" ht="48.95" customHeight="1" x14ac:dyDescent="0.25">
      <c r="A196" s="49"/>
      <c r="B196" s="3220"/>
      <c r="C196" s="1589"/>
      <c r="D196" s="1590"/>
      <c r="E196" s="3224"/>
      <c r="F196" s="3224"/>
      <c r="G196" s="3213"/>
      <c r="H196" s="3215"/>
      <c r="I196" s="3213"/>
      <c r="J196" s="3215"/>
      <c r="K196" s="3207"/>
      <c r="L196" s="2772"/>
      <c r="M196" s="3207"/>
      <c r="N196" s="2772"/>
      <c r="O196" s="3207"/>
      <c r="P196" s="3207"/>
      <c r="Q196" s="3207"/>
      <c r="R196" s="2772"/>
      <c r="S196" s="3209"/>
      <c r="T196" s="3211"/>
      <c r="U196" s="3214"/>
      <c r="V196" s="2771"/>
      <c r="W196" s="3196"/>
      <c r="X196" s="1536">
        <v>1000000</v>
      </c>
      <c r="Y196" s="1536"/>
      <c r="Z196" s="1536"/>
      <c r="AA196" s="900" t="s">
        <v>2503</v>
      </c>
      <c r="AB196" s="3203"/>
      <c r="AC196" s="3205"/>
      <c r="AD196" s="3202"/>
      <c r="AE196" s="3202"/>
      <c r="AF196" s="3202"/>
      <c r="AG196" s="3202"/>
      <c r="AH196" s="3202"/>
      <c r="AI196" s="3202"/>
      <c r="AJ196" s="3202"/>
      <c r="AK196" s="3202"/>
      <c r="AL196" s="3202"/>
      <c r="AM196" s="3202"/>
      <c r="AN196" s="3202"/>
      <c r="AO196" s="3202"/>
      <c r="AP196" s="3202"/>
      <c r="AQ196" s="3202"/>
      <c r="AR196" s="3202"/>
      <c r="AS196" s="3202"/>
      <c r="AT196" s="3202"/>
      <c r="AU196" s="3202"/>
      <c r="AV196" s="3202"/>
      <c r="AW196" s="3202"/>
      <c r="AX196" s="3202"/>
      <c r="AY196" s="3202"/>
      <c r="AZ196" s="3202"/>
      <c r="BA196" s="3202"/>
      <c r="BB196" s="3202"/>
      <c r="BC196" s="3202"/>
      <c r="BD196" s="3202"/>
      <c r="BE196" s="3202"/>
      <c r="BF196" s="3202"/>
      <c r="BG196" s="3202"/>
      <c r="BH196" s="3202"/>
      <c r="BI196" s="3202"/>
      <c r="BJ196" s="3140"/>
      <c r="BK196" s="3198"/>
      <c r="BL196" s="3198"/>
      <c r="BM196" s="3199"/>
      <c r="BN196" s="3140"/>
      <c r="BO196" s="3092"/>
      <c r="BP196" s="3092"/>
      <c r="BQ196" s="2737"/>
      <c r="BR196" s="3140"/>
      <c r="BS196" s="2737"/>
      <c r="BT196" s="2737"/>
      <c r="BU196" s="3194"/>
    </row>
    <row r="197" spans="1:73" ht="75" customHeight="1" x14ac:dyDescent="0.25">
      <c r="A197" s="1631"/>
      <c r="B197" s="3220"/>
      <c r="C197" s="1589"/>
      <c r="D197" s="1590"/>
      <c r="E197" s="3224"/>
      <c r="F197" s="3224"/>
      <c r="G197" s="3237">
        <v>4502001</v>
      </c>
      <c r="H197" s="3226" t="s">
        <v>247</v>
      </c>
      <c r="I197" s="3237">
        <v>4502001</v>
      </c>
      <c r="J197" s="3226" t="s">
        <v>247</v>
      </c>
      <c r="K197" s="3175">
        <v>450200100</v>
      </c>
      <c r="L197" s="2975" t="s">
        <v>2510</v>
      </c>
      <c r="M197" s="3175">
        <v>450200100</v>
      </c>
      <c r="N197" s="2975" t="s">
        <v>249</v>
      </c>
      <c r="O197" s="3178">
        <v>3</v>
      </c>
      <c r="P197" s="3178">
        <v>3</v>
      </c>
      <c r="Q197" s="3181" t="s">
        <v>2511</v>
      </c>
      <c r="R197" s="3182" t="s">
        <v>2512</v>
      </c>
      <c r="S197" s="3238">
        <f>SUM(X197:X212)/T197</f>
        <v>0.43787011411883042</v>
      </c>
      <c r="T197" s="3239">
        <f>SUM(X197:X230)</f>
        <v>301626733</v>
      </c>
      <c r="U197" s="3241" t="s">
        <v>2513</v>
      </c>
      <c r="V197" s="3188" t="s">
        <v>2514</v>
      </c>
      <c r="W197" s="3147" t="s">
        <v>2515</v>
      </c>
      <c r="X197" s="1591">
        <v>38000000</v>
      </c>
      <c r="Y197" s="1591">
        <v>38700000</v>
      </c>
      <c r="Z197" s="1591">
        <v>38700000</v>
      </c>
      <c r="AA197" s="900" t="s">
        <v>2516</v>
      </c>
      <c r="AB197" s="1714">
        <v>20</v>
      </c>
      <c r="AC197" s="1702" t="s">
        <v>1830</v>
      </c>
      <c r="AD197" s="3167">
        <v>291786</v>
      </c>
      <c r="AE197" s="3167">
        <v>456</v>
      </c>
      <c r="AF197" s="3167">
        <v>270331</v>
      </c>
      <c r="AG197" s="3167">
        <v>492</v>
      </c>
      <c r="AH197" s="3167">
        <v>102045</v>
      </c>
      <c r="AI197" s="3167">
        <v>4</v>
      </c>
      <c r="AJ197" s="3167">
        <v>39183</v>
      </c>
      <c r="AK197" s="3167">
        <v>8</v>
      </c>
      <c r="AL197" s="3167">
        <v>310195</v>
      </c>
      <c r="AM197" s="3167">
        <v>560</v>
      </c>
      <c r="AN197" s="3167">
        <v>110694</v>
      </c>
      <c r="AO197" s="3167">
        <v>376</v>
      </c>
      <c r="AP197" s="3167">
        <v>2145</v>
      </c>
      <c r="AQ197" s="3167">
        <v>0</v>
      </c>
      <c r="AR197" s="3167">
        <v>12718</v>
      </c>
      <c r="AS197" s="3167">
        <v>0</v>
      </c>
      <c r="AT197" s="3167">
        <v>26</v>
      </c>
      <c r="AU197" s="3167">
        <v>0</v>
      </c>
      <c r="AV197" s="3167">
        <v>37</v>
      </c>
      <c r="AW197" s="3167">
        <v>0</v>
      </c>
      <c r="AX197" s="3167">
        <v>0</v>
      </c>
      <c r="AY197" s="3167">
        <v>0</v>
      </c>
      <c r="AZ197" s="3167">
        <v>0</v>
      </c>
      <c r="BA197" s="3167">
        <v>0</v>
      </c>
      <c r="BB197" s="3167">
        <v>44350</v>
      </c>
      <c r="BC197" s="3167">
        <v>2</v>
      </c>
      <c r="BD197" s="3167">
        <v>21944</v>
      </c>
      <c r="BE197" s="3167">
        <v>1</v>
      </c>
      <c r="BF197" s="3167">
        <v>75687</v>
      </c>
      <c r="BG197" s="3167">
        <v>1</v>
      </c>
      <c r="BH197" s="3155">
        <f>+AD197+AF197</f>
        <v>562117</v>
      </c>
      <c r="BI197" s="3155">
        <f>+AE197+AG197</f>
        <v>948</v>
      </c>
      <c r="BJ197" s="3140">
        <v>12</v>
      </c>
      <c r="BK197" s="3158">
        <f>SUM(Y197:Y230)</f>
        <v>267013708</v>
      </c>
      <c r="BL197" s="3158">
        <f>SUM(Z197:Z230)</f>
        <v>267013708</v>
      </c>
      <c r="BM197" s="3161">
        <f>+BL197/BK197</f>
        <v>1</v>
      </c>
      <c r="BN197" s="3164">
        <v>20</v>
      </c>
      <c r="BO197" s="3151" t="s">
        <v>1</v>
      </c>
      <c r="BP197" s="3092" t="s">
        <v>2252</v>
      </c>
      <c r="BQ197" s="3154">
        <v>44198</v>
      </c>
      <c r="BR197" s="3154">
        <v>44228</v>
      </c>
      <c r="BS197" s="3154">
        <v>44560</v>
      </c>
      <c r="BT197" s="3154">
        <v>44560</v>
      </c>
      <c r="BU197" s="3140" t="s">
        <v>2253</v>
      </c>
    </row>
    <row r="198" spans="1:73" ht="75" customHeight="1" x14ac:dyDescent="0.25">
      <c r="A198" s="1631"/>
      <c r="B198" s="3220"/>
      <c r="C198" s="1589"/>
      <c r="D198" s="1590"/>
      <c r="E198" s="3224"/>
      <c r="F198" s="3224"/>
      <c r="G198" s="3237"/>
      <c r="H198" s="3227"/>
      <c r="I198" s="3237"/>
      <c r="J198" s="3227"/>
      <c r="K198" s="3176"/>
      <c r="L198" s="3139"/>
      <c r="M198" s="3176"/>
      <c r="N198" s="3139"/>
      <c r="O198" s="3179"/>
      <c r="P198" s="3179"/>
      <c r="Q198" s="3137"/>
      <c r="R198" s="3183"/>
      <c r="S198" s="3238"/>
      <c r="T198" s="3239"/>
      <c r="U198" s="3242"/>
      <c r="V198" s="3189"/>
      <c r="W198" s="3148"/>
      <c r="X198" s="1591">
        <v>15000000</v>
      </c>
      <c r="Y198" s="1591">
        <v>15190000</v>
      </c>
      <c r="Z198" s="1591">
        <v>15190000</v>
      </c>
      <c r="AA198" s="1181" t="s">
        <v>2517</v>
      </c>
      <c r="AB198" s="1714">
        <v>88</v>
      </c>
      <c r="AC198" s="901" t="s">
        <v>2255</v>
      </c>
      <c r="AD198" s="3168"/>
      <c r="AE198" s="3168"/>
      <c r="AF198" s="3168"/>
      <c r="AG198" s="3168"/>
      <c r="AH198" s="3168"/>
      <c r="AI198" s="3168"/>
      <c r="AJ198" s="3168"/>
      <c r="AK198" s="3168"/>
      <c r="AL198" s="3168"/>
      <c r="AM198" s="3168"/>
      <c r="AN198" s="3168"/>
      <c r="AO198" s="3168"/>
      <c r="AP198" s="3168"/>
      <c r="AQ198" s="3168"/>
      <c r="AR198" s="3168"/>
      <c r="AS198" s="3168"/>
      <c r="AT198" s="3168"/>
      <c r="AU198" s="3168"/>
      <c r="AV198" s="3168"/>
      <c r="AW198" s="3168"/>
      <c r="AX198" s="3168"/>
      <c r="AY198" s="3168"/>
      <c r="AZ198" s="3168"/>
      <c r="BA198" s="3168"/>
      <c r="BB198" s="3168"/>
      <c r="BC198" s="3168"/>
      <c r="BD198" s="3168"/>
      <c r="BE198" s="3168"/>
      <c r="BF198" s="3168"/>
      <c r="BG198" s="3168"/>
      <c r="BH198" s="3156"/>
      <c r="BI198" s="3156"/>
      <c r="BJ198" s="3140"/>
      <c r="BK198" s="3159"/>
      <c r="BL198" s="3159"/>
      <c r="BM198" s="3162"/>
      <c r="BN198" s="3165"/>
      <c r="BO198" s="3152"/>
      <c r="BP198" s="3092"/>
      <c r="BQ198" s="3140"/>
      <c r="BR198" s="3140"/>
      <c r="BS198" s="3140"/>
      <c r="BT198" s="3140"/>
      <c r="BU198" s="3140"/>
    </row>
    <row r="199" spans="1:73" ht="62.25" customHeight="1" x14ac:dyDescent="0.25">
      <c r="A199" s="1631"/>
      <c r="B199" s="3220"/>
      <c r="C199" s="1589"/>
      <c r="D199" s="1590"/>
      <c r="E199" s="3224"/>
      <c r="F199" s="3224"/>
      <c r="G199" s="3237"/>
      <c r="H199" s="3227"/>
      <c r="I199" s="3237"/>
      <c r="J199" s="3227"/>
      <c r="K199" s="3176"/>
      <c r="L199" s="3139"/>
      <c r="M199" s="3176"/>
      <c r="N199" s="3139"/>
      <c r="O199" s="3179"/>
      <c r="P199" s="3179"/>
      <c r="Q199" s="3137"/>
      <c r="R199" s="3183"/>
      <c r="S199" s="3238"/>
      <c r="T199" s="3239"/>
      <c r="U199" s="3242"/>
      <c r="V199" s="3189"/>
      <c r="W199" s="3141" t="s">
        <v>2518</v>
      </c>
      <c r="X199" s="1591">
        <v>0</v>
      </c>
      <c r="Y199" s="1591"/>
      <c r="Z199" s="1591"/>
      <c r="AA199" s="1279" t="s">
        <v>2519</v>
      </c>
      <c r="AB199" s="3143">
        <v>20</v>
      </c>
      <c r="AC199" s="3144" t="s">
        <v>1830</v>
      </c>
      <c r="AD199" s="3168"/>
      <c r="AE199" s="3168"/>
      <c r="AF199" s="3168"/>
      <c r="AG199" s="3168"/>
      <c r="AH199" s="3168"/>
      <c r="AI199" s="3168"/>
      <c r="AJ199" s="3168"/>
      <c r="AK199" s="3168"/>
      <c r="AL199" s="3168"/>
      <c r="AM199" s="3168"/>
      <c r="AN199" s="3168"/>
      <c r="AO199" s="3168"/>
      <c r="AP199" s="3168"/>
      <c r="AQ199" s="3168"/>
      <c r="AR199" s="3168"/>
      <c r="AS199" s="3168"/>
      <c r="AT199" s="3168"/>
      <c r="AU199" s="3168"/>
      <c r="AV199" s="3168"/>
      <c r="AW199" s="3168"/>
      <c r="AX199" s="3168"/>
      <c r="AY199" s="3168"/>
      <c r="AZ199" s="3168"/>
      <c r="BA199" s="3168"/>
      <c r="BB199" s="3168"/>
      <c r="BC199" s="3168"/>
      <c r="BD199" s="3168"/>
      <c r="BE199" s="3168"/>
      <c r="BF199" s="3168"/>
      <c r="BG199" s="3168"/>
      <c r="BH199" s="3156"/>
      <c r="BI199" s="3156"/>
      <c r="BJ199" s="3140"/>
      <c r="BK199" s="3159"/>
      <c r="BL199" s="3159"/>
      <c r="BM199" s="3162"/>
      <c r="BN199" s="3165"/>
      <c r="BO199" s="3152"/>
      <c r="BP199" s="3092"/>
      <c r="BQ199" s="3140"/>
      <c r="BR199" s="3140"/>
      <c r="BS199" s="3140"/>
      <c r="BT199" s="3140"/>
      <c r="BU199" s="3140"/>
    </row>
    <row r="200" spans="1:73" ht="62.25" customHeight="1" x14ac:dyDescent="0.25">
      <c r="A200" s="1631"/>
      <c r="B200" s="3220"/>
      <c r="C200" s="1589"/>
      <c r="D200" s="1590"/>
      <c r="E200" s="3224"/>
      <c r="F200" s="3224"/>
      <c r="G200" s="3237"/>
      <c r="H200" s="3227"/>
      <c r="I200" s="3237"/>
      <c r="J200" s="3227"/>
      <c r="K200" s="3176"/>
      <c r="L200" s="3139"/>
      <c r="M200" s="3176"/>
      <c r="N200" s="3139"/>
      <c r="O200" s="3179"/>
      <c r="P200" s="3179"/>
      <c r="Q200" s="3137"/>
      <c r="R200" s="3183"/>
      <c r="S200" s="3238"/>
      <c r="T200" s="3239"/>
      <c r="U200" s="3242"/>
      <c r="V200" s="3189"/>
      <c r="W200" s="3142"/>
      <c r="X200" s="1591">
        <v>18000000</v>
      </c>
      <c r="Y200" s="1591">
        <v>15500000</v>
      </c>
      <c r="Z200" s="1591">
        <v>15500000</v>
      </c>
      <c r="AA200" s="1181" t="s">
        <v>2516</v>
      </c>
      <c r="AB200" s="3143"/>
      <c r="AC200" s="3144"/>
      <c r="AD200" s="3168"/>
      <c r="AE200" s="3168"/>
      <c r="AF200" s="3168"/>
      <c r="AG200" s="3168"/>
      <c r="AH200" s="3168"/>
      <c r="AI200" s="3168"/>
      <c r="AJ200" s="3168"/>
      <c r="AK200" s="3168"/>
      <c r="AL200" s="3168"/>
      <c r="AM200" s="3168"/>
      <c r="AN200" s="3168"/>
      <c r="AO200" s="3168"/>
      <c r="AP200" s="3168"/>
      <c r="AQ200" s="3168"/>
      <c r="AR200" s="3168"/>
      <c r="AS200" s="3168"/>
      <c r="AT200" s="3168"/>
      <c r="AU200" s="3168"/>
      <c r="AV200" s="3168"/>
      <c r="AW200" s="3168"/>
      <c r="AX200" s="3168"/>
      <c r="AY200" s="3168"/>
      <c r="AZ200" s="3168"/>
      <c r="BA200" s="3168"/>
      <c r="BB200" s="3168"/>
      <c r="BC200" s="3168"/>
      <c r="BD200" s="3168"/>
      <c r="BE200" s="3168"/>
      <c r="BF200" s="3168"/>
      <c r="BG200" s="3168"/>
      <c r="BH200" s="3156"/>
      <c r="BI200" s="3156"/>
      <c r="BJ200" s="3140"/>
      <c r="BK200" s="3159"/>
      <c r="BL200" s="3159"/>
      <c r="BM200" s="3162"/>
      <c r="BN200" s="3165"/>
      <c r="BO200" s="3152"/>
      <c r="BP200" s="3092"/>
      <c r="BQ200" s="3140"/>
      <c r="BR200" s="3140"/>
      <c r="BS200" s="3140"/>
      <c r="BT200" s="3140"/>
      <c r="BU200" s="3140"/>
    </row>
    <row r="201" spans="1:73" ht="53.25" customHeight="1" x14ac:dyDescent="0.25">
      <c r="A201" s="1631"/>
      <c r="B201" s="3220"/>
      <c r="C201" s="1589"/>
      <c r="D201" s="1590"/>
      <c r="E201" s="3224"/>
      <c r="F201" s="3224"/>
      <c r="G201" s="3237"/>
      <c r="H201" s="3227"/>
      <c r="I201" s="3237"/>
      <c r="J201" s="3227"/>
      <c r="K201" s="3176"/>
      <c r="L201" s="3139"/>
      <c r="M201" s="3176"/>
      <c r="N201" s="3139"/>
      <c r="O201" s="3179"/>
      <c r="P201" s="3179"/>
      <c r="Q201" s="3137"/>
      <c r="R201" s="3183"/>
      <c r="S201" s="3238"/>
      <c r="T201" s="3239"/>
      <c r="U201" s="3242"/>
      <c r="V201" s="3189"/>
      <c r="W201" s="1715" t="s">
        <v>2520</v>
      </c>
      <c r="X201" s="1591">
        <v>8000000</v>
      </c>
      <c r="Y201" s="1591">
        <v>3113000</v>
      </c>
      <c r="Z201" s="1591">
        <v>3113000</v>
      </c>
      <c r="AA201" s="1181" t="s">
        <v>2521</v>
      </c>
      <c r="AB201" s="1709">
        <v>20</v>
      </c>
      <c r="AC201" s="1708" t="s">
        <v>1830</v>
      </c>
      <c r="AD201" s="3168"/>
      <c r="AE201" s="3168"/>
      <c r="AF201" s="3168"/>
      <c r="AG201" s="3168"/>
      <c r="AH201" s="3168"/>
      <c r="AI201" s="3168"/>
      <c r="AJ201" s="3168"/>
      <c r="AK201" s="3168"/>
      <c r="AL201" s="3168"/>
      <c r="AM201" s="3168"/>
      <c r="AN201" s="3168"/>
      <c r="AO201" s="3168"/>
      <c r="AP201" s="3168"/>
      <c r="AQ201" s="3168"/>
      <c r="AR201" s="3168"/>
      <c r="AS201" s="3168"/>
      <c r="AT201" s="3168"/>
      <c r="AU201" s="3168"/>
      <c r="AV201" s="3168"/>
      <c r="AW201" s="3168"/>
      <c r="AX201" s="3168"/>
      <c r="AY201" s="3168"/>
      <c r="AZ201" s="3168"/>
      <c r="BA201" s="3168"/>
      <c r="BB201" s="3168"/>
      <c r="BC201" s="3168"/>
      <c r="BD201" s="3168"/>
      <c r="BE201" s="3168"/>
      <c r="BF201" s="3168"/>
      <c r="BG201" s="3168"/>
      <c r="BH201" s="3156"/>
      <c r="BI201" s="3156"/>
      <c r="BJ201" s="3140"/>
      <c r="BK201" s="3159"/>
      <c r="BL201" s="3159"/>
      <c r="BM201" s="3162"/>
      <c r="BN201" s="3165"/>
      <c r="BO201" s="3152"/>
      <c r="BP201" s="3092"/>
      <c r="BQ201" s="3140"/>
      <c r="BR201" s="3140"/>
      <c r="BS201" s="3140"/>
      <c r="BT201" s="3140"/>
      <c r="BU201" s="3140"/>
    </row>
    <row r="202" spans="1:73" ht="54.75" customHeight="1" x14ac:dyDescent="0.25">
      <c r="A202" s="1631"/>
      <c r="B202" s="3220"/>
      <c r="C202" s="1589"/>
      <c r="D202" s="1590"/>
      <c r="E202" s="3224"/>
      <c r="F202" s="3224"/>
      <c r="G202" s="3237"/>
      <c r="H202" s="3227"/>
      <c r="I202" s="3237"/>
      <c r="J202" s="3227"/>
      <c r="K202" s="3176"/>
      <c r="L202" s="3139"/>
      <c r="M202" s="3176"/>
      <c r="N202" s="3139"/>
      <c r="O202" s="3179"/>
      <c r="P202" s="3179"/>
      <c r="Q202" s="3137"/>
      <c r="R202" s="3183"/>
      <c r="S202" s="3238"/>
      <c r="T202" s="3239"/>
      <c r="U202" s="3242"/>
      <c r="V202" s="3189"/>
      <c r="W202" s="1715" t="s">
        <v>2522</v>
      </c>
      <c r="X202" s="1591">
        <v>6000000</v>
      </c>
      <c r="Y202" s="1591">
        <v>6000000</v>
      </c>
      <c r="Z202" s="1591">
        <v>6000000</v>
      </c>
      <c r="AA202" s="1181" t="s">
        <v>2516</v>
      </c>
      <c r="AB202" s="1709">
        <v>20</v>
      </c>
      <c r="AC202" s="1702" t="s">
        <v>1830</v>
      </c>
      <c r="AD202" s="3168"/>
      <c r="AE202" s="3168"/>
      <c r="AF202" s="3168"/>
      <c r="AG202" s="3168"/>
      <c r="AH202" s="3168"/>
      <c r="AI202" s="3168"/>
      <c r="AJ202" s="3168"/>
      <c r="AK202" s="3168"/>
      <c r="AL202" s="3168"/>
      <c r="AM202" s="3168"/>
      <c r="AN202" s="3168"/>
      <c r="AO202" s="3168"/>
      <c r="AP202" s="3168"/>
      <c r="AQ202" s="3168"/>
      <c r="AR202" s="3168"/>
      <c r="AS202" s="3168"/>
      <c r="AT202" s="3168"/>
      <c r="AU202" s="3168"/>
      <c r="AV202" s="3168"/>
      <c r="AW202" s="3168"/>
      <c r="AX202" s="3168"/>
      <c r="AY202" s="3168"/>
      <c r="AZ202" s="3168"/>
      <c r="BA202" s="3168"/>
      <c r="BB202" s="3168"/>
      <c r="BC202" s="3168"/>
      <c r="BD202" s="3168"/>
      <c r="BE202" s="3168"/>
      <c r="BF202" s="3168"/>
      <c r="BG202" s="3168"/>
      <c r="BH202" s="3156"/>
      <c r="BI202" s="3156"/>
      <c r="BJ202" s="3140"/>
      <c r="BK202" s="3159"/>
      <c r="BL202" s="3159"/>
      <c r="BM202" s="3162"/>
      <c r="BN202" s="3165"/>
      <c r="BO202" s="3152"/>
      <c r="BP202" s="3092"/>
      <c r="BQ202" s="3140"/>
      <c r="BR202" s="3140"/>
      <c r="BS202" s="3140"/>
      <c r="BT202" s="3140"/>
      <c r="BU202" s="3140"/>
    </row>
    <row r="203" spans="1:73" ht="71.25" customHeight="1" x14ac:dyDescent="0.25">
      <c r="A203" s="1631"/>
      <c r="B203" s="3220"/>
      <c r="C203" s="1589"/>
      <c r="D203" s="1590"/>
      <c r="E203" s="3224"/>
      <c r="F203" s="3224"/>
      <c r="G203" s="3237"/>
      <c r="H203" s="3227"/>
      <c r="I203" s="3237"/>
      <c r="J203" s="3227"/>
      <c r="K203" s="3176"/>
      <c r="L203" s="3139"/>
      <c r="M203" s="3176"/>
      <c r="N203" s="3139"/>
      <c r="O203" s="3179"/>
      <c r="P203" s="3179"/>
      <c r="Q203" s="3137"/>
      <c r="R203" s="3183"/>
      <c r="S203" s="3238"/>
      <c r="T203" s="3239"/>
      <c r="U203" s="3242"/>
      <c r="V203" s="3189"/>
      <c r="W203" s="1716" t="s">
        <v>2523</v>
      </c>
      <c r="X203" s="1591">
        <v>2000000</v>
      </c>
      <c r="Y203" s="1591">
        <v>2000000</v>
      </c>
      <c r="Z203" s="1591">
        <v>2000000</v>
      </c>
      <c r="AA203" s="1181" t="s">
        <v>2516</v>
      </c>
      <c r="AB203" s="1709">
        <v>20</v>
      </c>
      <c r="AC203" s="1702" t="s">
        <v>1830</v>
      </c>
      <c r="AD203" s="3168"/>
      <c r="AE203" s="3168"/>
      <c r="AF203" s="3168"/>
      <c r="AG203" s="3168"/>
      <c r="AH203" s="3168"/>
      <c r="AI203" s="3168"/>
      <c r="AJ203" s="3168"/>
      <c r="AK203" s="3168"/>
      <c r="AL203" s="3168"/>
      <c r="AM203" s="3168"/>
      <c r="AN203" s="3168"/>
      <c r="AO203" s="3168"/>
      <c r="AP203" s="3168"/>
      <c r="AQ203" s="3168"/>
      <c r="AR203" s="3168"/>
      <c r="AS203" s="3168"/>
      <c r="AT203" s="3168"/>
      <c r="AU203" s="3168"/>
      <c r="AV203" s="3168"/>
      <c r="AW203" s="3168"/>
      <c r="AX203" s="3168"/>
      <c r="AY203" s="3168"/>
      <c r="AZ203" s="3168"/>
      <c r="BA203" s="3168"/>
      <c r="BB203" s="3168"/>
      <c r="BC203" s="3168"/>
      <c r="BD203" s="3168"/>
      <c r="BE203" s="3168"/>
      <c r="BF203" s="3168"/>
      <c r="BG203" s="3168"/>
      <c r="BH203" s="3156"/>
      <c r="BI203" s="3156"/>
      <c r="BJ203" s="3140"/>
      <c r="BK203" s="3159"/>
      <c r="BL203" s="3159"/>
      <c r="BM203" s="3162"/>
      <c r="BN203" s="3165"/>
      <c r="BO203" s="3152"/>
      <c r="BP203" s="3092"/>
      <c r="BQ203" s="3140"/>
      <c r="BR203" s="3140"/>
      <c r="BS203" s="3140"/>
      <c r="BT203" s="3140"/>
      <c r="BU203" s="3140"/>
    </row>
    <row r="204" spans="1:73" ht="57" customHeight="1" x14ac:dyDescent="0.25">
      <c r="A204" s="1631"/>
      <c r="B204" s="3220"/>
      <c r="C204" s="1589"/>
      <c r="D204" s="1590"/>
      <c r="E204" s="3224"/>
      <c r="F204" s="3224"/>
      <c r="G204" s="3237"/>
      <c r="H204" s="3227"/>
      <c r="I204" s="3237"/>
      <c r="J204" s="3227"/>
      <c r="K204" s="3176"/>
      <c r="L204" s="3139"/>
      <c r="M204" s="3176"/>
      <c r="N204" s="3139"/>
      <c r="O204" s="3179"/>
      <c r="P204" s="3179"/>
      <c r="Q204" s="3137"/>
      <c r="R204" s="3183"/>
      <c r="S204" s="3238"/>
      <c r="T204" s="3239"/>
      <c r="U204" s="3242"/>
      <c r="V204" s="3189"/>
      <c r="W204" s="3145" t="s">
        <v>2524</v>
      </c>
      <c r="X204" s="1591">
        <v>2000000</v>
      </c>
      <c r="Y204" s="1591">
        <v>2000000</v>
      </c>
      <c r="Z204" s="1591">
        <v>2000000</v>
      </c>
      <c r="AA204" s="1181" t="s">
        <v>2525</v>
      </c>
      <c r="AB204" s="1709">
        <v>20</v>
      </c>
      <c r="AC204" s="1702" t="s">
        <v>1830</v>
      </c>
      <c r="AD204" s="3168"/>
      <c r="AE204" s="3168"/>
      <c r="AF204" s="3168"/>
      <c r="AG204" s="3168"/>
      <c r="AH204" s="3168"/>
      <c r="AI204" s="3168"/>
      <c r="AJ204" s="3168"/>
      <c r="AK204" s="3168"/>
      <c r="AL204" s="3168"/>
      <c r="AM204" s="3168"/>
      <c r="AN204" s="3168"/>
      <c r="AO204" s="3168"/>
      <c r="AP204" s="3168"/>
      <c r="AQ204" s="3168"/>
      <c r="AR204" s="3168"/>
      <c r="AS204" s="3168"/>
      <c r="AT204" s="3168"/>
      <c r="AU204" s="3168"/>
      <c r="AV204" s="3168"/>
      <c r="AW204" s="3168"/>
      <c r="AX204" s="3168"/>
      <c r="AY204" s="3168"/>
      <c r="AZ204" s="3168"/>
      <c r="BA204" s="3168"/>
      <c r="BB204" s="3168"/>
      <c r="BC204" s="3168"/>
      <c r="BD204" s="3168"/>
      <c r="BE204" s="3168"/>
      <c r="BF204" s="3168"/>
      <c r="BG204" s="3168"/>
      <c r="BH204" s="3156"/>
      <c r="BI204" s="3156"/>
      <c r="BJ204" s="3140"/>
      <c r="BK204" s="3159"/>
      <c r="BL204" s="3159"/>
      <c r="BM204" s="3162"/>
      <c r="BN204" s="3165"/>
      <c r="BO204" s="3152"/>
      <c r="BP204" s="3092"/>
      <c r="BQ204" s="3140"/>
      <c r="BR204" s="3140"/>
      <c r="BS204" s="3140"/>
      <c r="BT204" s="3140"/>
      <c r="BU204" s="3140"/>
    </row>
    <row r="205" spans="1:73" ht="57" customHeight="1" x14ac:dyDescent="0.25">
      <c r="A205" s="1631"/>
      <c r="B205" s="3220"/>
      <c r="C205" s="1589"/>
      <c r="D205" s="1590"/>
      <c r="E205" s="3224"/>
      <c r="F205" s="3224"/>
      <c r="G205" s="3237"/>
      <c r="H205" s="3227"/>
      <c r="I205" s="3237"/>
      <c r="J205" s="3227"/>
      <c r="K205" s="3176"/>
      <c r="L205" s="3139"/>
      <c r="M205" s="3176"/>
      <c r="N205" s="3139"/>
      <c r="O205" s="3179"/>
      <c r="P205" s="3179"/>
      <c r="Q205" s="3137"/>
      <c r="R205" s="3183"/>
      <c r="S205" s="3238"/>
      <c r="T205" s="3239"/>
      <c r="U205" s="3242"/>
      <c r="V205" s="3189"/>
      <c r="W205" s="3146"/>
      <c r="X205" s="1591">
        <v>3000000</v>
      </c>
      <c r="Y205" s="1591">
        <v>3000000</v>
      </c>
      <c r="Z205" s="1591">
        <v>3000000</v>
      </c>
      <c r="AA205" s="1181" t="s">
        <v>2526</v>
      </c>
      <c r="AB205" s="1709">
        <v>20</v>
      </c>
      <c r="AC205" s="1702" t="s">
        <v>1830</v>
      </c>
      <c r="AD205" s="3168"/>
      <c r="AE205" s="3168"/>
      <c r="AF205" s="3168"/>
      <c r="AG205" s="3168"/>
      <c r="AH205" s="3168"/>
      <c r="AI205" s="3168"/>
      <c r="AJ205" s="3168"/>
      <c r="AK205" s="3168"/>
      <c r="AL205" s="3168"/>
      <c r="AM205" s="3168"/>
      <c r="AN205" s="3168"/>
      <c r="AO205" s="3168"/>
      <c r="AP205" s="3168"/>
      <c r="AQ205" s="3168"/>
      <c r="AR205" s="3168"/>
      <c r="AS205" s="3168"/>
      <c r="AT205" s="3168"/>
      <c r="AU205" s="3168"/>
      <c r="AV205" s="3168"/>
      <c r="AW205" s="3168"/>
      <c r="AX205" s="3168"/>
      <c r="AY205" s="3168"/>
      <c r="AZ205" s="3168"/>
      <c r="BA205" s="3168"/>
      <c r="BB205" s="3168"/>
      <c r="BC205" s="3168"/>
      <c r="BD205" s="3168"/>
      <c r="BE205" s="3168"/>
      <c r="BF205" s="3168"/>
      <c r="BG205" s="3168"/>
      <c r="BH205" s="3156"/>
      <c r="BI205" s="3156"/>
      <c r="BJ205" s="3140"/>
      <c r="BK205" s="3159"/>
      <c r="BL205" s="3159"/>
      <c r="BM205" s="3162"/>
      <c r="BN205" s="3165"/>
      <c r="BO205" s="3152"/>
      <c r="BP205" s="3092"/>
      <c r="BQ205" s="3140"/>
      <c r="BR205" s="3140"/>
      <c r="BS205" s="3140"/>
      <c r="BT205" s="3140"/>
      <c r="BU205" s="3140"/>
    </row>
    <row r="206" spans="1:73" ht="44.25" customHeight="1" x14ac:dyDescent="0.25">
      <c r="A206" s="1631"/>
      <c r="B206" s="3220"/>
      <c r="C206" s="1589"/>
      <c r="D206" s="1590"/>
      <c r="E206" s="3224"/>
      <c r="F206" s="3224"/>
      <c r="G206" s="3237"/>
      <c r="H206" s="3227"/>
      <c r="I206" s="3237"/>
      <c r="J206" s="3227"/>
      <c r="K206" s="3176"/>
      <c r="L206" s="3139"/>
      <c r="M206" s="3176"/>
      <c r="N206" s="3139"/>
      <c r="O206" s="3179"/>
      <c r="P206" s="3179"/>
      <c r="Q206" s="3137"/>
      <c r="R206" s="3183"/>
      <c r="S206" s="3238"/>
      <c r="T206" s="3239"/>
      <c r="U206" s="3242"/>
      <c r="V206" s="3189"/>
      <c r="W206" s="3147" t="s">
        <v>2527</v>
      </c>
      <c r="X206" s="1591">
        <v>1333332</v>
      </c>
      <c r="Y206" s="1591">
        <v>266666</v>
      </c>
      <c r="Z206" s="1591">
        <v>266666</v>
      </c>
      <c r="AA206" s="1181" t="s">
        <v>2516</v>
      </c>
      <c r="AB206" s="1709">
        <v>20</v>
      </c>
      <c r="AC206" s="1702" t="s">
        <v>1830</v>
      </c>
      <c r="AD206" s="3168"/>
      <c r="AE206" s="3168"/>
      <c r="AF206" s="3168"/>
      <c r="AG206" s="3168"/>
      <c r="AH206" s="3168"/>
      <c r="AI206" s="3168"/>
      <c r="AJ206" s="3168"/>
      <c r="AK206" s="3168"/>
      <c r="AL206" s="3168"/>
      <c r="AM206" s="3168"/>
      <c r="AN206" s="3168"/>
      <c r="AO206" s="3168"/>
      <c r="AP206" s="3168"/>
      <c r="AQ206" s="3168"/>
      <c r="AR206" s="3168"/>
      <c r="AS206" s="3168"/>
      <c r="AT206" s="3168"/>
      <c r="AU206" s="3168"/>
      <c r="AV206" s="3168"/>
      <c r="AW206" s="3168"/>
      <c r="AX206" s="3168"/>
      <c r="AY206" s="3168"/>
      <c r="AZ206" s="3168"/>
      <c r="BA206" s="3168"/>
      <c r="BB206" s="3168"/>
      <c r="BC206" s="3168"/>
      <c r="BD206" s="3168"/>
      <c r="BE206" s="3168"/>
      <c r="BF206" s="3168"/>
      <c r="BG206" s="3168"/>
      <c r="BH206" s="3156"/>
      <c r="BI206" s="3156"/>
      <c r="BJ206" s="3140"/>
      <c r="BK206" s="3159"/>
      <c r="BL206" s="3159"/>
      <c r="BM206" s="3162"/>
      <c r="BN206" s="3165"/>
      <c r="BO206" s="3152"/>
      <c r="BP206" s="3092"/>
      <c r="BQ206" s="3140"/>
      <c r="BR206" s="3140"/>
      <c r="BS206" s="3140"/>
      <c r="BT206" s="3140"/>
      <c r="BU206" s="3140"/>
    </row>
    <row r="207" spans="1:73" ht="56.25" customHeight="1" x14ac:dyDescent="0.25">
      <c r="A207" s="1631"/>
      <c r="B207" s="3220"/>
      <c r="C207" s="1589"/>
      <c r="D207" s="1590"/>
      <c r="E207" s="3224"/>
      <c r="F207" s="3224"/>
      <c r="G207" s="3237"/>
      <c r="H207" s="3227"/>
      <c r="I207" s="3237"/>
      <c r="J207" s="3227"/>
      <c r="K207" s="3176"/>
      <c r="L207" s="3139"/>
      <c r="M207" s="3176"/>
      <c r="N207" s="3139"/>
      <c r="O207" s="3179"/>
      <c r="P207" s="3179"/>
      <c r="Q207" s="3137"/>
      <c r="R207" s="3183"/>
      <c r="S207" s="3238"/>
      <c r="T207" s="3239"/>
      <c r="U207" s="3242"/>
      <c r="V207" s="3189"/>
      <c r="W207" s="3148"/>
      <c r="X207" s="1591">
        <v>1000000</v>
      </c>
      <c r="Y207" s="1591">
        <v>1000000</v>
      </c>
      <c r="Z207" s="1591">
        <v>1000000</v>
      </c>
      <c r="AA207" s="1181" t="s">
        <v>2526</v>
      </c>
      <c r="AB207" s="1709">
        <v>20</v>
      </c>
      <c r="AC207" s="1702" t="s">
        <v>1830</v>
      </c>
      <c r="AD207" s="3168"/>
      <c r="AE207" s="3168"/>
      <c r="AF207" s="3168"/>
      <c r="AG207" s="3168"/>
      <c r="AH207" s="3168"/>
      <c r="AI207" s="3168"/>
      <c r="AJ207" s="3168"/>
      <c r="AK207" s="3168"/>
      <c r="AL207" s="3168"/>
      <c r="AM207" s="3168"/>
      <c r="AN207" s="3168"/>
      <c r="AO207" s="3168"/>
      <c r="AP207" s="3168"/>
      <c r="AQ207" s="3168"/>
      <c r="AR207" s="3168"/>
      <c r="AS207" s="3168"/>
      <c r="AT207" s="3168"/>
      <c r="AU207" s="3168"/>
      <c r="AV207" s="3168"/>
      <c r="AW207" s="3168"/>
      <c r="AX207" s="3168"/>
      <c r="AY207" s="3168"/>
      <c r="AZ207" s="3168"/>
      <c r="BA207" s="3168"/>
      <c r="BB207" s="3168"/>
      <c r="BC207" s="3168"/>
      <c r="BD207" s="3168"/>
      <c r="BE207" s="3168"/>
      <c r="BF207" s="3168"/>
      <c r="BG207" s="3168"/>
      <c r="BH207" s="3156"/>
      <c r="BI207" s="3156"/>
      <c r="BJ207" s="3140"/>
      <c r="BK207" s="3159"/>
      <c r="BL207" s="3159"/>
      <c r="BM207" s="3162"/>
      <c r="BN207" s="3165"/>
      <c r="BO207" s="3152"/>
      <c r="BP207" s="3092"/>
      <c r="BQ207" s="3140"/>
      <c r="BR207" s="3140"/>
      <c r="BS207" s="3140"/>
      <c r="BT207" s="3140"/>
      <c r="BU207" s="3140"/>
    </row>
    <row r="208" spans="1:73" ht="57" customHeight="1" x14ac:dyDescent="0.25">
      <c r="A208" s="1631"/>
      <c r="B208" s="3220"/>
      <c r="C208" s="1589"/>
      <c r="D208" s="1590"/>
      <c r="E208" s="3224"/>
      <c r="F208" s="3224"/>
      <c r="G208" s="3237"/>
      <c r="H208" s="3227"/>
      <c r="I208" s="3237"/>
      <c r="J208" s="3227"/>
      <c r="K208" s="3176"/>
      <c r="L208" s="3139"/>
      <c r="M208" s="3176"/>
      <c r="N208" s="3139"/>
      <c r="O208" s="3179"/>
      <c r="P208" s="3179"/>
      <c r="Q208" s="3137"/>
      <c r="R208" s="3183"/>
      <c r="S208" s="3238"/>
      <c r="T208" s="3239"/>
      <c r="U208" s="3242"/>
      <c r="V208" s="3189"/>
      <c r="W208" s="3147" t="s">
        <v>2528</v>
      </c>
      <c r="X208" s="1591">
        <v>3040000</v>
      </c>
      <c r="Y208" s="1591">
        <v>3040000</v>
      </c>
      <c r="Z208" s="1591">
        <v>3040000</v>
      </c>
      <c r="AA208" s="1181" t="s">
        <v>2516</v>
      </c>
      <c r="AB208" s="1709">
        <v>20</v>
      </c>
      <c r="AC208" s="1702" t="s">
        <v>1830</v>
      </c>
      <c r="AD208" s="3168"/>
      <c r="AE208" s="3168"/>
      <c r="AF208" s="3168"/>
      <c r="AG208" s="3168"/>
      <c r="AH208" s="3168"/>
      <c r="AI208" s="3168"/>
      <c r="AJ208" s="3168"/>
      <c r="AK208" s="3168"/>
      <c r="AL208" s="3168"/>
      <c r="AM208" s="3168"/>
      <c r="AN208" s="3168"/>
      <c r="AO208" s="3168"/>
      <c r="AP208" s="3168"/>
      <c r="AQ208" s="3168"/>
      <c r="AR208" s="3168"/>
      <c r="AS208" s="3168"/>
      <c r="AT208" s="3168"/>
      <c r="AU208" s="3168"/>
      <c r="AV208" s="3168"/>
      <c r="AW208" s="3168"/>
      <c r="AX208" s="3168"/>
      <c r="AY208" s="3168"/>
      <c r="AZ208" s="3168"/>
      <c r="BA208" s="3168"/>
      <c r="BB208" s="3168"/>
      <c r="BC208" s="3168"/>
      <c r="BD208" s="3168"/>
      <c r="BE208" s="3168"/>
      <c r="BF208" s="3168"/>
      <c r="BG208" s="3168"/>
      <c r="BH208" s="3156"/>
      <c r="BI208" s="3156"/>
      <c r="BJ208" s="3140"/>
      <c r="BK208" s="3159"/>
      <c r="BL208" s="3159"/>
      <c r="BM208" s="3162"/>
      <c r="BN208" s="3165"/>
      <c r="BO208" s="3152"/>
      <c r="BP208" s="3092"/>
      <c r="BQ208" s="3140"/>
      <c r="BR208" s="3140"/>
      <c r="BS208" s="3140"/>
      <c r="BT208" s="3140"/>
      <c r="BU208" s="3140"/>
    </row>
    <row r="209" spans="1:73" ht="57" customHeight="1" x14ac:dyDescent="0.25">
      <c r="A209" s="1631"/>
      <c r="B209" s="3220"/>
      <c r="C209" s="1589"/>
      <c r="D209" s="1590"/>
      <c r="E209" s="3224"/>
      <c r="F209" s="3224"/>
      <c r="G209" s="3237"/>
      <c r="H209" s="3227"/>
      <c r="I209" s="3237"/>
      <c r="J209" s="3227"/>
      <c r="K209" s="3176"/>
      <c r="L209" s="3139"/>
      <c r="M209" s="3176"/>
      <c r="N209" s="3139"/>
      <c r="O209" s="3179"/>
      <c r="P209" s="3179"/>
      <c r="Q209" s="3137"/>
      <c r="R209" s="3183"/>
      <c r="S209" s="3238"/>
      <c r="T209" s="3239"/>
      <c r="U209" s="3242"/>
      <c r="V209" s="3189"/>
      <c r="W209" s="3148"/>
      <c r="X209" s="1591">
        <v>7000000</v>
      </c>
      <c r="Y209" s="1591">
        <v>3000000</v>
      </c>
      <c r="Z209" s="1591">
        <v>3000000</v>
      </c>
      <c r="AA209" s="1181" t="s">
        <v>2517</v>
      </c>
      <c r="AB209" s="1709">
        <v>88</v>
      </c>
      <c r="AC209" s="1702" t="s">
        <v>2255</v>
      </c>
      <c r="AD209" s="3168"/>
      <c r="AE209" s="3168"/>
      <c r="AF209" s="3168"/>
      <c r="AG209" s="3168"/>
      <c r="AH209" s="3168"/>
      <c r="AI209" s="3168"/>
      <c r="AJ209" s="3168"/>
      <c r="AK209" s="3168"/>
      <c r="AL209" s="3168"/>
      <c r="AM209" s="3168"/>
      <c r="AN209" s="3168"/>
      <c r="AO209" s="3168"/>
      <c r="AP209" s="3168"/>
      <c r="AQ209" s="3168"/>
      <c r="AR209" s="3168"/>
      <c r="AS209" s="3168"/>
      <c r="AT209" s="3168"/>
      <c r="AU209" s="3168"/>
      <c r="AV209" s="3168"/>
      <c r="AW209" s="3168"/>
      <c r="AX209" s="3168"/>
      <c r="AY209" s="3168"/>
      <c r="AZ209" s="3168"/>
      <c r="BA209" s="3168"/>
      <c r="BB209" s="3168"/>
      <c r="BC209" s="3168"/>
      <c r="BD209" s="3168"/>
      <c r="BE209" s="3168"/>
      <c r="BF209" s="3168"/>
      <c r="BG209" s="3168"/>
      <c r="BH209" s="3156"/>
      <c r="BI209" s="3156"/>
      <c r="BJ209" s="3140"/>
      <c r="BK209" s="3159"/>
      <c r="BL209" s="3159"/>
      <c r="BM209" s="3162"/>
      <c r="BN209" s="3165"/>
      <c r="BO209" s="3152"/>
      <c r="BP209" s="3092"/>
      <c r="BQ209" s="3140"/>
      <c r="BR209" s="3140"/>
      <c r="BS209" s="3140"/>
      <c r="BT209" s="3140"/>
      <c r="BU209" s="3140"/>
    </row>
    <row r="210" spans="1:73" ht="50.25" customHeight="1" x14ac:dyDescent="0.25">
      <c r="A210" s="1631"/>
      <c r="B210" s="3220"/>
      <c r="C210" s="1589"/>
      <c r="D210" s="1590"/>
      <c r="E210" s="3224"/>
      <c r="F210" s="3224"/>
      <c r="G210" s="3237"/>
      <c r="H210" s="3227"/>
      <c r="I210" s="3237"/>
      <c r="J210" s="3227"/>
      <c r="K210" s="3176"/>
      <c r="L210" s="3139"/>
      <c r="M210" s="3176"/>
      <c r="N210" s="3139"/>
      <c r="O210" s="3179"/>
      <c r="P210" s="3179"/>
      <c r="Q210" s="3137"/>
      <c r="R210" s="3183"/>
      <c r="S210" s="3238"/>
      <c r="T210" s="3239"/>
      <c r="U210" s="3242"/>
      <c r="V210" s="3189"/>
      <c r="W210" s="1715" t="s">
        <v>2529</v>
      </c>
      <c r="X210" s="1591">
        <v>7700000</v>
      </c>
      <c r="Y210" s="1591">
        <v>6100000</v>
      </c>
      <c r="Z210" s="1591">
        <v>6100000</v>
      </c>
      <c r="AA210" s="1181" t="s">
        <v>2516</v>
      </c>
      <c r="AB210" s="1709">
        <v>20</v>
      </c>
      <c r="AC210" s="1702" t="s">
        <v>1830</v>
      </c>
      <c r="AD210" s="3168"/>
      <c r="AE210" s="3168"/>
      <c r="AF210" s="3168"/>
      <c r="AG210" s="3168"/>
      <c r="AH210" s="3168"/>
      <c r="AI210" s="3168"/>
      <c r="AJ210" s="3168"/>
      <c r="AK210" s="3168"/>
      <c r="AL210" s="3168"/>
      <c r="AM210" s="3168"/>
      <c r="AN210" s="3168"/>
      <c r="AO210" s="3168"/>
      <c r="AP210" s="3168"/>
      <c r="AQ210" s="3168"/>
      <c r="AR210" s="3168"/>
      <c r="AS210" s="3168"/>
      <c r="AT210" s="3168"/>
      <c r="AU210" s="3168"/>
      <c r="AV210" s="3168"/>
      <c r="AW210" s="3168"/>
      <c r="AX210" s="3168"/>
      <c r="AY210" s="3168"/>
      <c r="AZ210" s="3168"/>
      <c r="BA210" s="3168"/>
      <c r="BB210" s="3168"/>
      <c r="BC210" s="3168"/>
      <c r="BD210" s="3168"/>
      <c r="BE210" s="3168"/>
      <c r="BF210" s="3168"/>
      <c r="BG210" s="3168"/>
      <c r="BH210" s="3156"/>
      <c r="BI210" s="3156"/>
      <c r="BJ210" s="3140"/>
      <c r="BK210" s="3159"/>
      <c r="BL210" s="3159"/>
      <c r="BM210" s="3162"/>
      <c r="BN210" s="3165"/>
      <c r="BO210" s="3152"/>
      <c r="BP210" s="3092"/>
      <c r="BQ210" s="3140"/>
      <c r="BR210" s="3140"/>
      <c r="BS210" s="3140"/>
      <c r="BT210" s="3140"/>
      <c r="BU210" s="3140"/>
    </row>
    <row r="211" spans="1:73" ht="82.5" customHeight="1" x14ac:dyDescent="0.25">
      <c r="A211" s="1631"/>
      <c r="B211" s="3220"/>
      <c r="C211" s="1589"/>
      <c r="D211" s="1590"/>
      <c r="E211" s="3224"/>
      <c r="F211" s="3224"/>
      <c r="G211" s="3237"/>
      <c r="H211" s="3227"/>
      <c r="I211" s="3237"/>
      <c r="J211" s="3227"/>
      <c r="K211" s="3176"/>
      <c r="L211" s="3139"/>
      <c r="M211" s="3176"/>
      <c r="N211" s="3139"/>
      <c r="O211" s="3179"/>
      <c r="P211" s="3179"/>
      <c r="Q211" s="3137"/>
      <c r="R211" s="3183"/>
      <c r="S211" s="3238"/>
      <c r="T211" s="3239"/>
      <c r="U211" s="3242"/>
      <c r="V211" s="3189"/>
      <c r="W211" s="1715" t="s">
        <v>2530</v>
      </c>
      <c r="X211" s="1591">
        <v>10000000</v>
      </c>
      <c r="Y211" s="1591">
        <v>320110</v>
      </c>
      <c r="Z211" s="1591">
        <v>320110</v>
      </c>
      <c r="AA211" s="1181" t="s">
        <v>2519</v>
      </c>
      <c r="AB211" s="1717">
        <v>20</v>
      </c>
      <c r="AC211" s="1718" t="s">
        <v>1830</v>
      </c>
      <c r="AD211" s="3168"/>
      <c r="AE211" s="3168"/>
      <c r="AF211" s="3168"/>
      <c r="AG211" s="3168"/>
      <c r="AH211" s="3168"/>
      <c r="AI211" s="3168"/>
      <c r="AJ211" s="3168"/>
      <c r="AK211" s="3168"/>
      <c r="AL211" s="3168"/>
      <c r="AM211" s="3168"/>
      <c r="AN211" s="3168"/>
      <c r="AO211" s="3168"/>
      <c r="AP211" s="3168"/>
      <c r="AQ211" s="3168"/>
      <c r="AR211" s="3168"/>
      <c r="AS211" s="3168"/>
      <c r="AT211" s="3168"/>
      <c r="AU211" s="3168"/>
      <c r="AV211" s="3168"/>
      <c r="AW211" s="3168"/>
      <c r="AX211" s="3168"/>
      <c r="AY211" s="3168"/>
      <c r="AZ211" s="3168"/>
      <c r="BA211" s="3168"/>
      <c r="BB211" s="3168"/>
      <c r="BC211" s="3168"/>
      <c r="BD211" s="3168"/>
      <c r="BE211" s="3168"/>
      <c r="BF211" s="3168"/>
      <c r="BG211" s="3168"/>
      <c r="BH211" s="3156"/>
      <c r="BI211" s="3156"/>
      <c r="BJ211" s="3140"/>
      <c r="BK211" s="3159"/>
      <c r="BL211" s="3159"/>
      <c r="BM211" s="3162"/>
      <c r="BN211" s="3165"/>
      <c r="BO211" s="3152"/>
      <c r="BP211" s="3092"/>
      <c r="BQ211" s="3140"/>
      <c r="BR211" s="3140"/>
      <c r="BS211" s="3140"/>
      <c r="BT211" s="3140"/>
      <c r="BU211" s="3140"/>
    </row>
    <row r="212" spans="1:73" ht="57" customHeight="1" x14ac:dyDescent="0.25">
      <c r="A212" s="1631"/>
      <c r="B212" s="3220"/>
      <c r="C212" s="1589"/>
      <c r="D212" s="1590"/>
      <c r="E212" s="3224"/>
      <c r="F212" s="3224"/>
      <c r="G212" s="3237"/>
      <c r="H212" s="3228"/>
      <c r="I212" s="3237"/>
      <c r="J212" s="3228"/>
      <c r="K212" s="3177"/>
      <c r="L212" s="2976"/>
      <c r="M212" s="3177"/>
      <c r="N212" s="2976"/>
      <c r="O212" s="3180"/>
      <c r="P212" s="3180"/>
      <c r="Q212" s="3137"/>
      <c r="R212" s="3183"/>
      <c r="S212" s="3238"/>
      <c r="T212" s="3239"/>
      <c r="U212" s="3242"/>
      <c r="V212" s="3189"/>
      <c r="W212" s="1715" t="s">
        <v>2531</v>
      </c>
      <c r="X212" s="1591">
        <v>10000000</v>
      </c>
      <c r="Y212" s="1591">
        <v>9500000</v>
      </c>
      <c r="Z212" s="1591">
        <v>9500000</v>
      </c>
      <c r="AA212" s="1181" t="s">
        <v>2516</v>
      </c>
      <c r="AB212" s="1709">
        <v>20</v>
      </c>
      <c r="AC212" s="1702" t="s">
        <v>1830</v>
      </c>
      <c r="AD212" s="3168"/>
      <c r="AE212" s="3168"/>
      <c r="AF212" s="3168"/>
      <c r="AG212" s="3168"/>
      <c r="AH212" s="3168"/>
      <c r="AI212" s="3168"/>
      <c r="AJ212" s="3168"/>
      <c r="AK212" s="3168"/>
      <c r="AL212" s="3168"/>
      <c r="AM212" s="3168"/>
      <c r="AN212" s="3168"/>
      <c r="AO212" s="3168"/>
      <c r="AP212" s="3168"/>
      <c r="AQ212" s="3168"/>
      <c r="AR212" s="3168"/>
      <c r="AS212" s="3168"/>
      <c r="AT212" s="3168"/>
      <c r="AU212" s="3168"/>
      <c r="AV212" s="3168"/>
      <c r="AW212" s="3168"/>
      <c r="AX212" s="3168"/>
      <c r="AY212" s="3168"/>
      <c r="AZ212" s="3168"/>
      <c r="BA212" s="3168"/>
      <c r="BB212" s="3168"/>
      <c r="BC212" s="3168"/>
      <c r="BD212" s="3168"/>
      <c r="BE212" s="3168"/>
      <c r="BF212" s="3168"/>
      <c r="BG212" s="3168"/>
      <c r="BH212" s="3156"/>
      <c r="BI212" s="3156"/>
      <c r="BJ212" s="3140"/>
      <c r="BK212" s="3159"/>
      <c r="BL212" s="3159"/>
      <c r="BM212" s="3162"/>
      <c r="BN212" s="3165"/>
      <c r="BO212" s="3152"/>
      <c r="BP212" s="3092"/>
      <c r="BQ212" s="3140"/>
      <c r="BR212" s="3140"/>
      <c r="BS212" s="3140"/>
      <c r="BT212" s="3140"/>
      <c r="BU212" s="3140"/>
    </row>
    <row r="213" spans="1:73" ht="66" customHeight="1" x14ac:dyDescent="0.25">
      <c r="A213" s="1631"/>
      <c r="B213" s="3220"/>
      <c r="C213" s="1589"/>
      <c r="D213" s="1590"/>
      <c r="E213" s="3224"/>
      <c r="F213" s="3224"/>
      <c r="G213" s="3225" t="s">
        <v>20</v>
      </c>
      <c r="H213" s="3226" t="s">
        <v>2532</v>
      </c>
      <c r="I213" s="3225">
        <v>4502001</v>
      </c>
      <c r="J213" s="3226" t="s">
        <v>247</v>
      </c>
      <c r="K213" s="3225" t="s">
        <v>20</v>
      </c>
      <c r="L213" s="2975" t="s">
        <v>2533</v>
      </c>
      <c r="M213" s="3181">
        <v>450200111</v>
      </c>
      <c r="N213" s="2975" t="s">
        <v>2534</v>
      </c>
      <c r="O213" s="3178">
        <v>1</v>
      </c>
      <c r="P213" s="3178">
        <v>1</v>
      </c>
      <c r="Q213" s="3137"/>
      <c r="R213" s="3183"/>
      <c r="S213" s="3170">
        <f>SUM(X213:X217)/T197</f>
        <v>0.1956060041932689</v>
      </c>
      <c r="T213" s="3240"/>
      <c r="U213" s="3242"/>
      <c r="V213" s="3189"/>
      <c r="W213" s="1715" t="s">
        <v>2535</v>
      </c>
      <c r="X213" s="1591">
        <v>30000000</v>
      </c>
      <c r="Y213" s="1591">
        <v>30000000</v>
      </c>
      <c r="Z213" s="1591">
        <v>30000000</v>
      </c>
      <c r="AA213" s="1181" t="s">
        <v>2536</v>
      </c>
      <c r="AB213" s="1709">
        <v>20</v>
      </c>
      <c r="AC213" s="1702" t="s">
        <v>1830</v>
      </c>
      <c r="AD213" s="3168"/>
      <c r="AE213" s="3168"/>
      <c r="AF213" s="3168"/>
      <c r="AG213" s="3168"/>
      <c r="AH213" s="3168"/>
      <c r="AI213" s="3168"/>
      <c r="AJ213" s="3168"/>
      <c r="AK213" s="3168"/>
      <c r="AL213" s="3168"/>
      <c r="AM213" s="3168"/>
      <c r="AN213" s="3168"/>
      <c r="AO213" s="3168"/>
      <c r="AP213" s="3168"/>
      <c r="AQ213" s="3168"/>
      <c r="AR213" s="3168"/>
      <c r="AS213" s="3168"/>
      <c r="AT213" s="3168"/>
      <c r="AU213" s="3168"/>
      <c r="AV213" s="3168"/>
      <c r="AW213" s="3168"/>
      <c r="AX213" s="3168"/>
      <c r="AY213" s="3168"/>
      <c r="AZ213" s="3168"/>
      <c r="BA213" s="3168"/>
      <c r="BB213" s="3168"/>
      <c r="BC213" s="3168"/>
      <c r="BD213" s="3168"/>
      <c r="BE213" s="3168"/>
      <c r="BF213" s="3168"/>
      <c r="BG213" s="3168"/>
      <c r="BH213" s="3156"/>
      <c r="BI213" s="3156"/>
      <c r="BJ213" s="3140"/>
      <c r="BK213" s="3159"/>
      <c r="BL213" s="3159"/>
      <c r="BM213" s="3162"/>
      <c r="BN213" s="3165"/>
      <c r="BO213" s="3152"/>
      <c r="BP213" s="3092"/>
      <c r="BQ213" s="3140"/>
      <c r="BR213" s="3140"/>
      <c r="BS213" s="3140"/>
      <c r="BT213" s="3140"/>
      <c r="BU213" s="3140"/>
    </row>
    <row r="214" spans="1:73" ht="62.25" customHeight="1" x14ac:dyDescent="0.25">
      <c r="A214" s="1631"/>
      <c r="B214" s="3220"/>
      <c r="C214" s="1589"/>
      <c r="D214" s="1590"/>
      <c r="E214" s="3224"/>
      <c r="F214" s="3224"/>
      <c r="G214" s="3225"/>
      <c r="H214" s="3227"/>
      <c r="I214" s="3225"/>
      <c r="J214" s="3227"/>
      <c r="K214" s="3225"/>
      <c r="L214" s="3139"/>
      <c r="M214" s="3137"/>
      <c r="N214" s="3139"/>
      <c r="O214" s="3179"/>
      <c r="P214" s="3179"/>
      <c r="Q214" s="3137"/>
      <c r="R214" s="3183"/>
      <c r="S214" s="3171"/>
      <c r="T214" s="3240"/>
      <c r="U214" s="3242"/>
      <c r="V214" s="3189"/>
      <c r="W214" s="1715" t="s">
        <v>2537</v>
      </c>
      <c r="X214" s="1591">
        <v>21000000</v>
      </c>
      <c r="Y214" s="1591">
        <v>20457500</v>
      </c>
      <c r="Z214" s="1591">
        <v>20457500</v>
      </c>
      <c r="AA214" s="1181" t="s">
        <v>2536</v>
      </c>
      <c r="AB214" s="1709">
        <v>20</v>
      </c>
      <c r="AC214" s="1702" t="s">
        <v>1830</v>
      </c>
      <c r="AD214" s="3168"/>
      <c r="AE214" s="3168"/>
      <c r="AF214" s="3168"/>
      <c r="AG214" s="3168"/>
      <c r="AH214" s="3168"/>
      <c r="AI214" s="3168"/>
      <c r="AJ214" s="3168"/>
      <c r="AK214" s="3168"/>
      <c r="AL214" s="3168"/>
      <c r="AM214" s="3168"/>
      <c r="AN214" s="3168"/>
      <c r="AO214" s="3168"/>
      <c r="AP214" s="3168"/>
      <c r="AQ214" s="3168"/>
      <c r="AR214" s="3168"/>
      <c r="AS214" s="3168"/>
      <c r="AT214" s="3168"/>
      <c r="AU214" s="3168"/>
      <c r="AV214" s="3168"/>
      <c r="AW214" s="3168"/>
      <c r="AX214" s="3168"/>
      <c r="AY214" s="3168"/>
      <c r="AZ214" s="3168"/>
      <c r="BA214" s="3168"/>
      <c r="BB214" s="3168"/>
      <c r="BC214" s="3168"/>
      <c r="BD214" s="3168"/>
      <c r="BE214" s="3168"/>
      <c r="BF214" s="3168"/>
      <c r="BG214" s="3168"/>
      <c r="BH214" s="3156"/>
      <c r="BI214" s="3156"/>
      <c r="BJ214" s="3140"/>
      <c r="BK214" s="3159"/>
      <c r="BL214" s="3159"/>
      <c r="BM214" s="3162"/>
      <c r="BN214" s="3165"/>
      <c r="BO214" s="3152"/>
      <c r="BP214" s="3092"/>
      <c r="BQ214" s="3140"/>
      <c r="BR214" s="3140"/>
      <c r="BS214" s="3140"/>
      <c r="BT214" s="3140"/>
      <c r="BU214" s="3140"/>
    </row>
    <row r="215" spans="1:73" ht="36.75" customHeight="1" x14ac:dyDescent="0.25">
      <c r="A215" s="1631"/>
      <c r="B215" s="3220"/>
      <c r="C215" s="1589"/>
      <c r="D215" s="1590"/>
      <c r="E215" s="3224"/>
      <c r="F215" s="3224"/>
      <c r="G215" s="3225"/>
      <c r="H215" s="3227"/>
      <c r="I215" s="3225"/>
      <c r="J215" s="3227"/>
      <c r="K215" s="3225"/>
      <c r="L215" s="3139"/>
      <c r="M215" s="3137"/>
      <c r="N215" s="3139"/>
      <c r="O215" s="3179"/>
      <c r="P215" s="3179"/>
      <c r="Q215" s="3137"/>
      <c r="R215" s="3183"/>
      <c r="S215" s="3171"/>
      <c r="T215" s="3240"/>
      <c r="U215" s="3242"/>
      <c r="V215" s="3189"/>
      <c r="W215" s="3141" t="s">
        <v>2538</v>
      </c>
      <c r="X215" s="1591">
        <v>0</v>
      </c>
      <c r="Y215" s="1591"/>
      <c r="Z215" s="1591"/>
      <c r="AA215" s="1181" t="s">
        <v>2536</v>
      </c>
      <c r="AB215" s="3150">
        <v>20</v>
      </c>
      <c r="AC215" s="3144" t="s">
        <v>1830</v>
      </c>
      <c r="AD215" s="3168"/>
      <c r="AE215" s="3168"/>
      <c r="AF215" s="3168"/>
      <c r="AG215" s="3168"/>
      <c r="AH215" s="3168"/>
      <c r="AI215" s="3168"/>
      <c r="AJ215" s="3168"/>
      <c r="AK215" s="3168"/>
      <c r="AL215" s="3168"/>
      <c r="AM215" s="3168"/>
      <c r="AN215" s="3168"/>
      <c r="AO215" s="3168"/>
      <c r="AP215" s="3168"/>
      <c r="AQ215" s="3168"/>
      <c r="AR215" s="3168"/>
      <c r="AS215" s="3168"/>
      <c r="AT215" s="3168"/>
      <c r="AU215" s="3168"/>
      <c r="AV215" s="3168"/>
      <c r="AW215" s="3168"/>
      <c r="AX215" s="3168"/>
      <c r="AY215" s="3168"/>
      <c r="AZ215" s="3168"/>
      <c r="BA215" s="3168"/>
      <c r="BB215" s="3168"/>
      <c r="BC215" s="3168"/>
      <c r="BD215" s="3168"/>
      <c r="BE215" s="3168"/>
      <c r="BF215" s="3168"/>
      <c r="BG215" s="3168"/>
      <c r="BH215" s="3156"/>
      <c r="BI215" s="3156"/>
      <c r="BJ215" s="3140"/>
      <c r="BK215" s="3159"/>
      <c r="BL215" s="3159"/>
      <c r="BM215" s="3162"/>
      <c r="BN215" s="3165"/>
      <c r="BO215" s="3152"/>
      <c r="BP215" s="3092"/>
      <c r="BQ215" s="3140"/>
      <c r="BR215" s="3140"/>
      <c r="BS215" s="3140"/>
      <c r="BT215" s="3140"/>
      <c r="BU215" s="3140"/>
    </row>
    <row r="216" spans="1:73" ht="50.25" customHeight="1" x14ac:dyDescent="0.25">
      <c r="A216" s="1631"/>
      <c r="B216" s="3220"/>
      <c r="C216" s="1589"/>
      <c r="D216" s="1590"/>
      <c r="E216" s="3224"/>
      <c r="F216" s="3224"/>
      <c r="G216" s="3225"/>
      <c r="H216" s="3227"/>
      <c r="I216" s="3225"/>
      <c r="J216" s="3227"/>
      <c r="K216" s="3225"/>
      <c r="L216" s="3139"/>
      <c r="M216" s="3137"/>
      <c r="N216" s="3139"/>
      <c r="O216" s="3179"/>
      <c r="P216" s="3179"/>
      <c r="Q216" s="3137"/>
      <c r="R216" s="3183"/>
      <c r="S216" s="3172"/>
      <c r="T216" s="3240"/>
      <c r="U216" s="3242"/>
      <c r="V216" s="3189"/>
      <c r="W216" s="3149"/>
      <c r="X216" s="1591">
        <v>5000000</v>
      </c>
      <c r="Y216" s="1591">
        <v>3717800</v>
      </c>
      <c r="Z216" s="1591">
        <v>3717800</v>
      </c>
      <c r="AA216" s="1181" t="s">
        <v>2539</v>
      </c>
      <c r="AB216" s="3150"/>
      <c r="AC216" s="3144"/>
      <c r="AD216" s="3168"/>
      <c r="AE216" s="3168"/>
      <c r="AF216" s="3168"/>
      <c r="AG216" s="3168"/>
      <c r="AH216" s="3168"/>
      <c r="AI216" s="3168"/>
      <c r="AJ216" s="3168"/>
      <c r="AK216" s="3168"/>
      <c r="AL216" s="3168"/>
      <c r="AM216" s="3168"/>
      <c r="AN216" s="3168"/>
      <c r="AO216" s="3168"/>
      <c r="AP216" s="3168"/>
      <c r="AQ216" s="3168"/>
      <c r="AR216" s="3168"/>
      <c r="AS216" s="3168"/>
      <c r="AT216" s="3168"/>
      <c r="AU216" s="3168"/>
      <c r="AV216" s="3168"/>
      <c r="AW216" s="3168"/>
      <c r="AX216" s="3168"/>
      <c r="AY216" s="3168"/>
      <c r="AZ216" s="3168"/>
      <c r="BA216" s="3168"/>
      <c r="BB216" s="3168"/>
      <c r="BC216" s="3168"/>
      <c r="BD216" s="3168"/>
      <c r="BE216" s="3168"/>
      <c r="BF216" s="3168"/>
      <c r="BG216" s="3168"/>
      <c r="BH216" s="3156"/>
      <c r="BI216" s="3156"/>
      <c r="BJ216" s="3140"/>
      <c r="BK216" s="3159"/>
      <c r="BL216" s="3159"/>
      <c r="BM216" s="3162"/>
      <c r="BN216" s="3165"/>
      <c r="BO216" s="3152"/>
      <c r="BP216" s="3092"/>
      <c r="BQ216" s="3140"/>
      <c r="BR216" s="3140"/>
      <c r="BS216" s="3140"/>
      <c r="BT216" s="3140"/>
      <c r="BU216" s="3140"/>
    </row>
    <row r="217" spans="1:73" ht="45" customHeight="1" x14ac:dyDescent="0.25">
      <c r="A217" s="1631"/>
      <c r="B217" s="3220"/>
      <c r="C217" s="1589"/>
      <c r="D217" s="1590"/>
      <c r="E217" s="3224"/>
      <c r="F217" s="3224"/>
      <c r="G217" s="3225"/>
      <c r="H217" s="3228"/>
      <c r="I217" s="3225"/>
      <c r="J217" s="3228"/>
      <c r="K217" s="3225"/>
      <c r="L217" s="2976"/>
      <c r="M217" s="3138"/>
      <c r="N217" s="2976"/>
      <c r="O217" s="3180"/>
      <c r="P217" s="3180"/>
      <c r="Q217" s="3137"/>
      <c r="R217" s="3183"/>
      <c r="S217" s="3172"/>
      <c r="T217" s="3240"/>
      <c r="U217" s="3242"/>
      <c r="V217" s="3189"/>
      <c r="W217" s="3149"/>
      <c r="X217" s="1591">
        <v>3000000</v>
      </c>
      <c r="Y217" s="1591">
        <v>2972300</v>
      </c>
      <c r="Z217" s="1591">
        <v>2972300</v>
      </c>
      <c r="AA217" s="1181" t="s">
        <v>2540</v>
      </c>
      <c r="AB217" s="3150"/>
      <c r="AC217" s="3144"/>
      <c r="AD217" s="3168"/>
      <c r="AE217" s="3168"/>
      <c r="AF217" s="3168"/>
      <c r="AG217" s="3168"/>
      <c r="AH217" s="3168"/>
      <c r="AI217" s="3168"/>
      <c r="AJ217" s="3168"/>
      <c r="AK217" s="3168"/>
      <c r="AL217" s="3168"/>
      <c r="AM217" s="3168"/>
      <c r="AN217" s="3168"/>
      <c r="AO217" s="3168"/>
      <c r="AP217" s="3168"/>
      <c r="AQ217" s="3168"/>
      <c r="AR217" s="3168"/>
      <c r="AS217" s="3168"/>
      <c r="AT217" s="3168"/>
      <c r="AU217" s="3168"/>
      <c r="AV217" s="3168"/>
      <c r="AW217" s="3168"/>
      <c r="AX217" s="3168"/>
      <c r="AY217" s="3168"/>
      <c r="AZ217" s="3168"/>
      <c r="BA217" s="3168"/>
      <c r="BB217" s="3168"/>
      <c r="BC217" s="3168"/>
      <c r="BD217" s="3168"/>
      <c r="BE217" s="3168"/>
      <c r="BF217" s="3168"/>
      <c r="BG217" s="3168"/>
      <c r="BH217" s="3156"/>
      <c r="BI217" s="3156"/>
      <c r="BJ217" s="3140"/>
      <c r="BK217" s="3159"/>
      <c r="BL217" s="3159"/>
      <c r="BM217" s="3162"/>
      <c r="BN217" s="3165"/>
      <c r="BO217" s="3152"/>
      <c r="BP217" s="3092"/>
      <c r="BQ217" s="3140"/>
      <c r="BR217" s="3140"/>
      <c r="BS217" s="3140"/>
      <c r="BT217" s="3140"/>
      <c r="BU217" s="3140"/>
    </row>
    <row r="218" spans="1:73" ht="42.75" customHeight="1" x14ac:dyDescent="0.25">
      <c r="A218" s="1631"/>
      <c r="B218" s="3220"/>
      <c r="C218" s="1589"/>
      <c r="D218" s="1590"/>
      <c r="E218" s="3224"/>
      <c r="F218" s="3224"/>
      <c r="G218" s="3130" t="s">
        <v>20</v>
      </c>
      <c r="H218" s="3247" t="s">
        <v>2541</v>
      </c>
      <c r="I218" s="3130">
        <v>452001</v>
      </c>
      <c r="J218" s="3133" t="s">
        <v>2542</v>
      </c>
      <c r="K218" s="3136" t="s">
        <v>20</v>
      </c>
      <c r="L218" s="2975" t="s">
        <v>2543</v>
      </c>
      <c r="M218" s="3181">
        <v>45200109</v>
      </c>
      <c r="N218" s="2975" t="s">
        <v>2544</v>
      </c>
      <c r="O218" s="3178">
        <v>12</v>
      </c>
      <c r="P218" s="3178">
        <v>12</v>
      </c>
      <c r="Q218" s="3137"/>
      <c r="R218" s="3183"/>
      <c r="S218" s="3244">
        <f>SUM(X218:X226)/SUM(T197:T230)</f>
        <v>0.21865900394180246</v>
      </c>
      <c r="T218" s="3240"/>
      <c r="U218" s="3242"/>
      <c r="V218" s="3243"/>
      <c r="W218" s="3184" t="s">
        <v>2545</v>
      </c>
      <c r="X218" s="1536">
        <v>15000000</v>
      </c>
      <c r="Y218" s="1536">
        <v>15000000</v>
      </c>
      <c r="Z218" s="1536">
        <v>15000000</v>
      </c>
      <c r="AA218" s="1181" t="s">
        <v>2546</v>
      </c>
      <c r="AB218" s="1709">
        <v>20</v>
      </c>
      <c r="AC218" s="1702" t="s">
        <v>1830</v>
      </c>
      <c r="AD218" s="3168"/>
      <c r="AE218" s="3168"/>
      <c r="AF218" s="3168"/>
      <c r="AG218" s="3168"/>
      <c r="AH218" s="3168"/>
      <c r="AI218" s="3168"/>
      <c r="AJ218" s="3168"/>
      <c r="AK218" s="3168"/>
      <c r="AL218" s="3168"/>
      <c r="AM218" s="3168"/>
      <c r="AN218" s="3168"/>
      <c r="AO218" s="3168"/>
      <c r="AP218" s="3168"/>
      <c r="AQ218" s="3168"/>
      <c r="AR218" s="3168"/>
      <c r="AS218" s="3168"/>
      <c r="AT218" s="3168"/>
      <c r="AU218" s="3168"/>
      <c r="AV218" s="3168"/>
      <c r="AW218" s="3168"/>
      <c r="AX218" s="3168"/>
      <c r="AY218" s="3168"/>
      <c r="AZ218" s="3168"/>
      <c r="BA218" s="3168"/>
      <c r="BB218" s="3168"/>
      <c r="BC218" s="3168"/>
      <c r="BD218" s="3168"/>
      <c r="BE218" s="3168"/>
      <c r="BF218" s="3168"/>
      <c r="BG218" s="3168"/>
      <c r="BH218" s="3156"/>
      <c r="BI218" s="3156"/>
      <c r="BJ218" s="3140"/>
      <c r="BK218" s="3159"/>
      <c r="BL218" s="3159"/>
      <c r="BM218" s="3162"/>
      <c r="BN218" s="3165"/>
      <c r="BO218" s="3152"/>
      <c r="BP218" s="3092"/>
      <c r="BQ218" s="3140"/>
      <c r="BR218" s="3140"/>
      <c r="BS218" s="3140"/>
      <c r="BT218" s="3140"/>
      <c r="BU218" s="3140"/>
    </row>
    <row r="219" spans="1:73" ht="42.75" customHeight="1" x14ac:dyDescent="0.25">
      <c r="A219" s="1631"/>
      <c r="B219" s="3220"/>
      <c r="C219" s="1589"/>
      <c r="D219" s="1590"/>
      <c r="E219" s="3224"/>
      <c r="F219" s="3224"/>
      <c r="G219" s="3131"/>
      <c r="H219" s="3189"/>
      <c r="I219" s="3131"/>
      <c r="J219" s="3134"/>
      <c r="K219" s="3137"/>
      <c r="L219" s="3139"/>
      <c r="M219" s="3137"/>
      <c r="N219" s="3139"/>
      <c r="O219" s="3179"/>
      <c r="P219" s="3179"/>
      <c r="Q219" s="3137"/>
      <c r="R219" s="3183"/>
      <c r="S219" s="3245"/>
      <c r="T219" s="3240"/>
      <c r="U219" s="3242"/>
      <c r="V219" s="3243"/>
      <c r="W219" s="3184"/>
      <c r="X219" s="1536">
        <v>13560000</v>
      </c>
      <c r="Y219" s="1536">
        <v>13021332</v>
      </c>
      <c r="Z219" s="1536">
        <v>13021332</v>
      </c>
      <c r="AA219" s="1181" t="s">
        <v>2547</v>
      </c>
      <c r="AB219" s="1709">
        <v>88</v>
      </c>
      <c r="AC219" s="1702" t="s">
        <v>2255</v>
      </c>
      <c r="AD219" s="3168"/>
      <c r="AE219" s="3168"/>
      <c r="AF219" s="3168"/>
      <c r="AG219" s="3168"/>
      <c r="AH219" s="3168"/>
      <c r="AI219" s="3168"/>
      <c r="AJ219" s="3168"/>
      <c r="AK219" s="3168"/>
      <c r="AL219" s="3168"/>
      <c r="AM219" s="3168"/>
      <c r="AN219" s="3168"/>
      <c r="AO219" s="3168"/>
      <c r="AP219" s="3168"/>
      <c r="AQ219" s="3168"/>
      <c r="AR219" s="3168"/>
      <c r="AS219" s="3168"/>
      <c r="AT219" s="3168"/>
      <c r="AU219" s="3168"/>
      <c r="AV219" s="3168"/>
      <c r="AW219" s="3168"/>
      <c r="AX219" s="3168"/>
      <c r="AY219" s="3168"/>
      <c r="AZ219" s="3168"/>
      <c r="BA219" s="3168"/>
      <c r="BB219" s="3168"/>
      <c r="BC219" s="3168"/>
      <c r="BD219" s="3168"/>
      <c r="BE219" s="3168"/>
      <c r="BF219" s="3168"/>
      <c r="BG219" s="3168"/>
      <c r="BH219" s="3156"/>
      <c r="BI219" s="3156"/>
      <c r="BJ219" s="3140"/>
      <c r="BK219" s="3159"/>
      <c r="BL219" s="3159"/>
      <c r="BM219" s="3162"/>
      <c r="BN219" s="3165"/>
      <c r="BO219" s="3152"/>
      <c r="BP219" s="3092"/>
      <c r="BQ219" s="3140"/>
      <c r="BR219" s="3140"/>
      <c r="BS219" s="3140"/>
      <c r="BT219" s="3140"/>
      <c r="BU219" s="3140"/>
    </row>
    <row r="220" spans="1:73" ht="30.75" customHeight="1" x14ac:dyDescent="0.25">
      <c r="A220" s="1631"/>
      <c r="B220" s="3220"/>
      <c r="C220" s="1589"/>
      <c r="D220" s="1590"/>
      <c r="E220" s="3224"/>
      <c r="F220" s="3224"/>
      <c r="G220" s="3131"/>
      <c r="H220" s="3189"/>
      <c r="I220" s="3131"/>
      <c r="J220" s="3134"/>
      <c r="K220" s="3137"/>
      <c r="L220" s="3139"/>
      <c r="M220" s="3137"/>
      <c r="N220" s="3139"/>
      <c r="O220" s="3179"/>
      <c r="P220" s="3179"/>
      <c r="Q220" s="3137"/>
      <c r="R220" s="3183"/>
      <c r="S220" s="3245"/>
      <c r="T220" s="3240"/>
      <c r="U220" s="3242"/>
      <c r="V220" s="3189"/>
      <c r="W220" s="3185" t="s">
        <v>2548</v>
      </c>
      <c r="X220" s="1536">
        <v>0</v>
      </c>
      <c r="Y220" s="1536"/>
      <c r="Z220" s="1536"/>
      <c r="AA220" s="1181" t="s">
        <v>2549</v>
      </c>
      <c r="AB220" s="3150">
        <v>20</v>
      </c>
      <c r="AC220" s="3144" t="s">
        <v>1830</v>
      </c>
      <c r="AD220" s="3168"/>
      <c r="AE220" s="3168"/>
      <c r="AF220" s="3168"/>
      <c r="AG220" s="3168"/>
      <c r="AH220" s="3168"/>
      <c r="AI220" s="3168"/>
      <c r="AJ220" s="3168"/>
      <c r="AK220" s="3168"/>
      <c r="AL220" s="3168"/>
      <c r="AM220" s="3168"/>
      <c r="AN220" s="3168"/>
      <c r="AO220" s="3168"/>
      <c r="AP220" s="3168"/>
      <c r="AQ220" s="3168"/>
      <c r="AR220" s="3168"/>
      <c r="AS220" s="3168"/>
      <c r="AT220" s="3168"/>
      <c r="AU220" s="3168"/>
      <c r="AV220" s="3168"/>
      <c r="AW220" s="3168"/>
      <c r="AX220" s="3168"/>
      <c r="AY220" s="3168"/>
      <c r="AZ220" s="3168"/>
      <c r="BA220" s="3168"/>
      <c r="BB220" s="3168"/>
      <c r="BC220" s="3168"/>
      <c r="BD220" s="3168"/>
      <c r="BE220" s="3168"/>
      <c r="BF220" s="3168"/>
      <c r="BG220" s="3168"/>
      <c r="BH220" s="3156"/>
      <c r="BI220" s="3156"/>
      <c r="BJ220" s="3140"/>
      <c r="BK220" s="3159"/>
      <c r="BL220" s="3159"/>
      <c r="BM220" s="3162"/>
      <c r="BN220" s="3165"/>
      <c r="BO220" s="3152"/>
      <c r="BP220" s="3092"/>
      <c r="BQ220" s="3140"/>
      <c r="BR220" s="3140"/>
      <c r="BS220" s="3140"/>
      <c r="BT220" s="3140"/>
      <c r="BU220" s="3140"/>
    </row>
    <row r="221" spans="1:73" ht="43.5" customHeight="1" x14ac:dyDescent="0.25">
      <c r="A221" s="1631"/>
      <c r="B221" s="3220"/>
      <c r="C221" s="1589"/>
      <c r="D221" s="1590"/>
      <c r="E221" s="3224"/>
      <c r="F221" s="3224"/>
      <c r="G221" s="3131"/>
      <c r="H221" s="3189"/>
      <c r="I221" s="3131"/>
      <c r="J221" s="3134"/>
      <c r="K221" s="3137"/>
      <c r="L221" s="3139"/>
      <c r="M221" s="3137"/>
      <c r="N221" s="3139"/>
      <c r="O221" s="3179"/>
      <c r="P221" s="3179"/>
      <c r="Q221" s="3137"/>
      <c r="R221" s="3183"/>
      <c r="S221" s="3245"/>
      <c r="T221" s="3240"/>
      <c r="U221" s="3242"/>
      <c r="V221" s="3189"/>
      <c r="W221" s="3186"/>
      <c r="X221" s="1536">
        <v>0</v>
      </c>
      <c r="Y221" s="1536"/>
      <c r="Z221" s="1536"/>
      <c r="AA221" s="1181" t="s">
        <v>2546</v>
      </c>
      <c r="AB221" s="3150"/>
      <c r="AC221" s="3144"/>
      <c r="AD221" s="3168"/>
      <c r="AE221" s="3168"/>
      <c r="AF221" s="3168"/>
      <c r="AG221" s="3168"/>
      <c r="AH221" s="3168"/>
      <c r="AI221" s="3168"/>
      <c r="AJ221" s="3168"/>
      <c r="AK221" s="3168"/>
      <c r="AL221" s="3168"/>
      <c r="AM221" s="3168"/>
      <c r="AN221" s="3168"/>
      <c r="AO221" s="3168"/>
      <c r="AP221" s="3168"/>
      <c r="AQ221" s="3168"/>
      <c r="AR221" s="3168"/>
      <c r="AS221" s="3168"/>
      <c r="AT221" s="3168"/>
      <c r="AU221" s="3168"/>
      <c r="AV221" s="3168"/>
      <c r="AW221" s="3168"/>
      <c r="AX221" s="3168"/>
      <c r="AY221" s="3168"/>
      <c r="AZ221" s="3168"/>
      <c r="BA221" s="3168"/>
      <c r="BB221" s="3168"/>
      <c r="BC221" s="3168"/>
      <c r="BD221" s="3168"/>
      <c r="BE221" s="3168"/>
      <c r="BF221" s="3168"/>
      <c r="BG221" s="3168"/>
      <c r="BH221" s="3156"/>
      <c r="BI221" s="3156"/>
      <c r="BJ221" s="3140"/>
      <c r="BK221" s="3159"/>
      <c r="BL221" s="3159"/>
      <c r="BM221" s="3162"/>
      <c r="BN221" s="3165"/>
      <c r="BO221" s="3152"/>
      <c r="BP221" s="3092"/>
      <c r="BQ221" s="3140"/>
      <c r="BR221" s="3140"/>
      <c r="BS221" s="3140"/>
      <c r="BT221" s="3140"/>
      <c r="BU221" s="3140"/>
    </row>
    <row r="222" spans="1:73" ht="50.25" customHeight="1" x14ac:dyDescent="0.25">
      <c r="A222" s="1631"/>
      <c r="B222" s="3220"/>
      <c r="C222" s="1589"/>
      <c r="D222" s="1590"/>
      <c r="E222" s="3224"/>
      <c r="F222" s="3224"/>
      <c r="G222" s="3131"/>
      <c r="H222" s="3189"/>
      <c r="I222" s="3131"/>
      <c r="J222" s="3134"/>
      <c r="K222" s="3137"/>
      <c r="L222" s="3139"/>
      <c r="M222" s="3137"/>
      <c r="N222" s="3139"/>
      <c r="O222" s="3179"/>
      <c r="P222" s="3179"/>
      <c r="Q222" s="3137"/>
      <c r="R222" s="3183"/>
      <c r="S222" s="3245"/>
      <c r="T222" s="3240"/>
      <c r="U222" s="3242"/>
      <c r="V222" s="3189"/>
      <c r="W222" s="1719" t="s">
        <v>2550</v>
      </c>
      <c r="X222" s="1536">
        <v>7500000</v>
      </c>
      <c r="Y222" s="1536">
        <v>7500000</v>
      </c>
      <c r="Z222" s="1536">
        <v>7500000</v>
      </c>
      <c r="AA222" s="1181" t="s">
        <v>2546</v>
      </c>
      <c r="AB222" s="1720">
        <v>20</v>
      </c>
      <c r="AC222" s="894" t="s">
        <v>1830</v>
      </c>
      <c r="AD222" s="3168"/>
      <c r="AE222" s="3168"/>
      <c r="AF222" s="3168"/>
      <c r="AG222" s="3168"/>
      <c r="AH222" s="3168"/>
      <c r="AI222" s="3168"/>
      <c r="AJ222" s="3168"/>
      <c r="AK222" s="3168"/>
      <c r="AL222" s="3168"/>
      <c r="AM222" s="3168"/>
      <c r="AN222" s="3168"/>
      <c r="AO222" s="3168"/>
      <c r="AP222" s="3168"/>
      <c r="AQ222" s="3168"/>
      <c r="AR222" s="3168"/>
      <c r="AS222" s="3168"/>
      <c r="AT222" s="3168"/>
      <c r="AU222" s="3168"/>
      <c r="AV222" s="3168"/>
      <c r="AW222" s="3168"/>
      <c r="AX222" s="3168"/>
      <c r="AY222" s="3168"/>
      <c r="AZ222" s="3168"/>
      <c r="BA222" s="3168"/>
      <c r="BB222" s="3168"/>
      <c r="BC222" s="3168"/>
      <c r="BD222" s="3168"/>
      <c r="BE222" s="3168"/>
      <c r="BF222" s="3168"/>
      <c r="BG222" s="3168"/>
      <c r="BH222" s="3156"/>
      <c r="BI222" s="3156"/>
      <c r="BJ222" s="3140"/>
      <c r="BK222" s="3159"/>
      <c r="BL222" s="3159"/>
      <c r="BM222" s="3162"/>
      <c r="BN222" s="3165"/>
      <c r="BO222" s="3152"/>
      <c r="BP222" s="3092"/>
      <c r="BQ222" s="3140"/>
      <c r="BR222" s="3140"/>
      <c r="BS222" s="3140"/>
      <c r="BT222" s="3140"/>
      <c r="BU222" s="3140"/>
    </row>
    <row r="223" spans="1:73" ht="48.75" customHeight="1" x14ac:dyDescent="0.25">
      <c r="A223" s="1631"/>
      <c r="B223" s="3220"/>
      <c r="C223" s="1589"/>
      <c r="D223" s="1590"/>
      <c r="E223" s="3224"/>
      <c r="F223" s="3224"/>
      <c r="G223" s="3131"/>
      <c r="H223" s="3189"/>
      <c r="I223" s="3131"/>
      <c r="J223" s="3134"/>
      <c r="K223" s="3137"/>
      <c r="L223" s="3139"/>
      <c r="M223" s="3137"/>
      <c r="N223" s="3139"/>
      <c r="O223" s="3179"/>
      <c r="P223" s="3179"/>
      <c r="Q223" s="3137"/>
      <c r="R223" s="3183"/>
      <c r="S223" s="3245"/>
      <c r="T223" s="3240"/>
      <c r="U223" s="3242"/>
      <c r="V223" s="3189"/>
      <c r="W223" s="1719" t="s">
        <v>2551</v>
      </c>
      <c r="X223" s="1536">
        <v>0</v>
      </c>
      <c r="Y223" s="1536"/>
      <c r="Z223" s="1536"/>
      <c r="AA223" s="1181" t="s">
        <v>2546</v>
      </c>
      <c r="AB223" s="1721">
        <v>20</v>
      </c>
      <c r="AC223" s="503" t="s">
        <v>1830</v>
      </c>
      <c r="AD223" s="3168"/>
      <c r="AE223" s="3168"/>
      <c r="AF223" s="3168"/>
      <c r="AG223" s="3168"/>
      <c r="AH223" s="3168"/>
      <c r="AI223" s="3168"/>
      <c r="AJ223" s="3168"/>
      <c r="AK223" s="3168"/>
      <c r="AL223" s="3168"/>
      <c r="AM223" s="3168"/>
      <c r="AN223" s="3168"/>
      <c r="AO223" s="3168"/>
      <c r="AP223" s="3168"/>
      <c r="AQ223" s="3168"/>
      <c r="AR223" s="3168"/>
      <c r="AS223" s="3168"/>
      <c r="AT223" s="3168"/>
      <c r="AU223" s="3168"/>
      <c r="AV223" s="3168"/>
      <c r="AW223" s="3168"/>
      <c r="AX223" s="3168"/>
      <c r="AY223" s="3168"/>
      <c r="AZ223" s="3168"/>
      <c r="BA223" s="3168"/>
      <c r="BB223" s="3168"/>
      <c r="BC223" s="3168"/>
      <c r="BD223" s="3168"/>
      <c r="BE223" s="3168"/>
      <c r="BF223" s="3168"/>
      <c r="BG223" s="3168"/>
      <c r="BH223" s="3156"/>
      <c r="BI223" s="3156"/>
      <c r="BJ223" s="3140"/>
      <c r="BK223" s="3159"/>
      <c r="BL223" s="3159"/>
      <c r="BM223" s="3162"/>
      <c r="BN223" s="3165"/>
      <c r="BO223" s="3152"/>
      <c r="BP223" s="3092"/>
      <c r="BQ223" s="3140"/>
      <c r="BR223" s="3140"/>
      <c r="BS223" s="3140"/>
      <c r="BT223" s="3140"/>
      <c r="BU223" s="3140"/>
    </row>
    <row r="224" spans="1:73" ht="57" customHeight="1" x14ac:dyDescent="0.25">
      <c r="A224" s="1631"/>
      <c r="B224" s="3220"/>
      <c r="C224" s="1589"/>
      <c r="D224" s="1590"/>
      <c r="E224" s="3224"/>
      <c r="F224" s="3224"/>
      <c r="G224" s="3131"/>
      <c r="H224" s="3189"/>
      <c r="I224" s="3131"/>
      <c r="J224" s="3134"/>
      <c r="K224" s="3137"/>
      <c r="L224" s="3139"/>
      <c r="M224" s="3137"/>
      <c r="N224" s="3139"/>
      <c r="O224" s="3179"/>
      <c r="P224" s="3179"/>
      <c r="Q224" s="3137"/>
      <c r="R224" s="3183"/>
      <c r="S224" s="3245"/>
      <c r="T224" s="3240"/>
      <c r="U224" s="3242"/>
      <c r="V224" s="3189"/>
      <c r="W224" s="3147" t="s">
        <v>2552</v>
      </c>
      <c r="X224" s="1536">
        <v>8000000</v>
      </c>
      <c r="Y224" s="1536">
        <v>7000000</v>
      </c>
      <c r="Z224" s="1536">
        <v>7000000</v>
      </c>
      <c r="AA224" s="1181" t="s">
        <v>2546</v>
      </c>
      <c r="AB224" s="1721">
        <v>20</v>
      </c>
      <c r="AC224" s="503" t="s">
        <v>1830</v>
      </c>
      <c r="AD224" s="3168"/>
      <c r="AE224" s="3168"/>
      <c r="AF224" s="3168"/>
      <c r="AG224" s="3168"/>
      <c r="AH224" s="3168"/>
      <c r="AI224" s="3168"/>
      <c r="AJ224" s="3168"/>
      <c r="AK224" s="3168"/>
      <c r="AL224" s="3168"/>
      <c r="AM224" s="3168"/>
      <c r="AN224" s="3168"/>
      <c r="AO224" s="3168"/>
      <c r="AP224" s="3168"/>
      <c r="AQ224" s="3168"/>
      <c r="AR224" s="3168"/>
      <c r="AS224" s="3168"/>
      <c r="AT224" s="3168"/>
      <c r="AU224" s="3168"/>
      <c r="AV224" s="3168"/>
      <c r="AW224" s="3168"/>
      <c r="AX224" s="3168"/>
      <c r="AY224" s="3168"/>
      <c r="AZ224" s="3168"/>
      <c r="BA224" s="3168"/>
      <c r="BB224" s="3168"/>
      <c r="BC224" s="3168"/>
      <c r="BD224" s="3168"/>
      <c r="BE224" s="3168"/>
      <c r="BF224" s="3168"/>
      <c r="BG224" s="3168"/>
      <c r="BH224" s="3156"/>
      <c r="BI224" s="3156"/>
      <c r="BJ224" s="3140"/>
      <c r="BK224" s="3159"/>
      <c r="BL224" s="3159"/>
      <c r="BM224" s="3162"/>
      <c r="BN224" s="3165"/>
      <c r="BO224" s="3152"/>
      <c r="BP224" s="3092"/>
      <c r="BQ224" s="3140"/>
      <c r="BR224" s="3140"/>
      <c r="BS224" s="3140"/>
      <c r="BT224" s="3140"/>
      <c r="BU224" s="3140"/>
    </row>
    <row r="225" spans="1:73" ht="57" customHeight="1" x14ac:dyDescent="0.25">
      <c r="A225" s="1631"/>
      <c r="B225" s="3220"/>
      <c r="C225" s="1589"/>
      <c r="D225" s="1590"/>
      <c r="E225" s="3224"/>
      <c r="F225" s="3224"/>
      <c r="G225" s="3131"/>
      <c r="H225" s="3189"/>
      <c r="I225" s="3131"/>
      <c r="J225" s="3134"/>
      <c r="K225" s="3137"/>
      <c r="L225" s="3139"/>
      <c r="M225" s="3137"/>
      <c r="N225" s="3139"/>
      <c r="O225" s="3179"/>
      <c r="P225" s="3179"/>
      <c r="Q225" s="3137"/>
      <c r="R225" s="3183"/>
      <c r="S225" s="3245"/>
      <c r="T225" s="3240"/>
      <c r="U225" s="3242"/>
      <c r="V225" s="1722"/>
      <c r="W225" s="3187"/>
      <c r="X225" s="1536">
        <v>2000000</v>
      </c>
      <c r="Y225" s="1536">
        <v>2000000</v>
      </c>
      <c r="Z225" s="1536">
        <v>2000000</v>
      </c>
      <c r="AA225" s="1181" t="s">
        <v>2549</v>
      </c>
      <c r="AB225" s="1721">
        <v>20</v>
      </c>
      <c r="AC225" s="503" t="s">
        <v>1830</v>
      </c>
      <c r="AD225" s="3168"/>
      <c r="AE225" s="3168"/>
      <c r="AF225" s="3168"/>
      <c r="AG225" s="3168"/>
      <c r="AH225" s="3168"/>
      <c r="AI225" s="3168"/>
      <c r="AJ225" s="3168"/>
      <c r="AK225" s="3168"/>
      <c r="AL225" s="3168"/>
      <c r="AM225" s="3168"/>
      <c r="AN225" s="3168"/>
      <c r="AO225" s="3168"/>
      <c r="AP225" s="3168"/>
      <c r="AQ225" s="3168"/>
      <c r="AR225" s="3168"/>
      <c r="AS225" s="3168"/>
      <c r="AT225" s="3168"/>
      <c r="AU225" s="3168"/>
      <c r="AV225" s="3168"/>
      <c r="AW225" s="3168"/>
      <c r="AX225" s="3168"/>
      <c r="AY225" s="3168"/>
      <c r="AZ225" s="3168"/>
      <c r="BA225" s="3168"/>
      <c r="BB225" s="3168"/>
      <c r="BC225" s="3168"/>
      <c r="BD225" s="3168"/>
      <c r="BE225" s="3168"/>
      <c r="BF225" s="3168"/>
      <c r="BG225" s="3168"/>
      <c r="BH225" s="3156"/>
      <c r="BI225" s="3156"/>
      <c r="BJ225" s="3140"/>
      <c r="BK225" s="3159"/>
      <c r="BL225" s="3159"/>
      <c r="BM225" s="3162"/>
      <c r="BN225" s="3165"/>
      <c r="BO225" s="3152"/>
      <c r="BP225" s="3092"/>
      <c r="BQ225" s="3140"/>
      <c r="BR225" s="3140"/>
      <c r="BS225" s="3140"/>
      <c r="BT225" s="3140"/>
      <c r="BU225" s="3140"/>
    </row>
    <row r="226" spans="1:73" ht="45" customHeight="1" x14ac:dyDescent="0.25">
      <c r="A226" s="1631"/>
      <c r="B226" s="3220"/>
      <c r="C226" s="1589"/>
      <c r="D226" s="1590"/>
      <c r="E226" s="3224"/>
      <c r="F226" s="3224"/>
      <c r="G226" s="3132"/>
      <c r="H226" s="3248"/>
      <c r="I226" s="3132"/>
      <c r="J226" s="3135"/>
      <c r="K226" s="3138"/>
      <c r="L226" s="2976"/>
      <c r="M226" s="3138"/>
      <c r="N226" s="2976"/>
      <c r="O226" s="3180"/>
      <c r="P226" s="3180"/>
      <c r="Q226" s="3137"/>
      <c r="R226" s="3183"/>
      <c r="S226" s="3246"/>
      <c r="T226" s="3240"/>
      <c r="U226" s="3242"/>
      <c r="V226" s="1722"/>
      <c r="W226" s="3148"/>
      <c r="X226" s="1536">
        <v>19893401</v>
      </c>
      <c r="Y226" s="1536">
        <v>13050000</v>
      </c>
      <c r="Z226" s="1536">
        <v>13050000</v>
      </c>
      <c r="AA226" s="1181" t="s">
        <v>2547</v>
      </c>
      <c r="AB226" s="1709">
        <v>88</v>
      </c>
      <c r="AC226" s="1702" t="s">
        <v>2255</v>
      </c>
      <c r="AD226" s="3168"/>
      <c r="AE226" s="3168"/>
      <c r="AF226" s="3168"/>
      <c r="AG226" s="3168"/>
      <c r="AH226" s="3168"/>
      <c r="AI226" s="3168"/>
      <c r="AJ226" s="3168"/>
      <c r="AK226" s="3168"/>
      <c r="AL226" s="3168"/>
      <c r="AM226" s="3168"/>
      <c r="AN226" s="3168"/>
      <c r="AO226" s="3168"/>
      <c r="AP226" s="3168"/>
      <c r="AQ226" s="3168"/>
      <c r="AR226" s="3168"/>
      <c r="AS226" s="3168"/>
      <c r="AT226" s="3168"/>
      <c r="AU226" s="3168"/>
      <c r="AV226" s="3168"/>
      <c r="AW226" s="3168"/>
      <c r="AX226" s="3168"/>
      <c r="AY226" s="3168"/>
      <c r="AZ226" s="3168"/>
      <c r="BA226" s="3168"/>
      <c r="BB226" s="3168"/>
      <c r="BC226" s="3168"/>
      <c r="BD226" s="3168"/>
      <c r="BE226" s="3168"/>
      <c r="BF226" s="3168"/>
      <c r="BG226" s="3168"/>
      <c r="BH226" s="3156"/>
      <c r="BI226" s="3156"/>
      <c r="BJ226" s="3140"/>
      <c r="BK226" s="3159"/>
      <c r="BL226" s="3159"/>
      <c r="BM226" s="3162"/>
      <c r="BN226" s="3165"/>
      <c r="BO226" s="3152"/>
      <c r="BP226" s="3092"/>
      <c r="BQ226" s="3140"/>
      <c r="BR226" s="3140"/>
      <c r="BS226" s="3140"/>
      <c r="BT226" s="3140"/>
      <c r="BU226" s="3140"/>
    </row>
    <row r="227" spans="1:73" ht="42.75" customHeight="1" x14ac:dyDescent="0.25">
      <c r="A227" s="1631"/>
      <c r="B227" s="3220"/>
      <c r="C227" s="1589"/>
      <c r="D227" s="1590"/>
      <c r="E227" s="3224"/>
      <c r="F227" s="3224"/>
      <c r="G227" s="3225" t="s">
        <v>20</v>
      </c>
      <c r="H227" s="3226" t="s">
        <v>2553</v>
      </c>
      <c r="I227" s="3225">
        <v>4502035</v>
      </c>
      <c r="J227" s="3226" t="s">
        <v>1586</v>
      </c>
      <c r="K227" s="3225" t="s">
        <v>20</v>
      </c>
      <c r="L227" s="2975" t="s">
        <v>2554</v>
      </c>
      <c r="M227" s="3181">
        <v>450203501</v>
      </c>
      <c r="N227" s="2975" t="s">
        <v>2555</v>
      </c>
      <c r="O227" s="3190">
        <v>0.4</v>
      </c>
      <c r="P227" s="3178">
        <v>0.4</v>
      </c>
      <c r="Q227" s="3137"/>
      <c r="R227" s="3183"/>
      <c r="S227" s="3171">
        <f>SUM(X227:X230)/SUM(T197:T230)</f>
        <v>0.14786487774609819</v>
      </c>
      <c r="T227" s="3240"/>
      <c r="U227" s="3242"/>
      <c r="V227" s="3188" t="s">
        <v>2556</v>
      </c>
      <c r="W227" s="3173" t="s">
        <v>2557</v>
      </c>
      <c r="X227" s="1591">
        <v>13000000</v>
      </c>
      <c r="Y227" s="1591">
        <v>12376154</v>
      </c>
      <c r="Z227" s="1591">
        <v>12376154</v>
      </c>
      <c r="AA227" s="1181" t="s">
        <v>2558</v>
      </c>
      <c r="AB227" s="1721">
        <v>20</v>
      </c>
      <c r="AC227" s="503" t="s">
        <v>1830</v>
      </c>
      <c r="AD227" s="3168"/>
      <c r="AE227" s="3168"/>
      <c r="AF227" s="3168"/>
      <c r="AG227" s="3168"/>
      <c r="AH227" s="3168"/>
      <c r="AI227" s="3168"/>
      <c r="AJ227" s="3168"/>
      <c r="AK227" s="3168"/>
      <c r="AL227" s="3168"/>
      <c r="AM227" s="3168"/>
      <c r="AN227" s="3168"/>
      <c r="AO227" s="3168"/>
      <c r="AP227" s="3168"/>
      <c r="AQ227" s="3168"/>
      <c r="AR227" s="3168"/>
      <c r="AS227" s="3168"/>
      <c r="AT227" s="3168"/>
      <c r="AU227" s="3168"/>
      <c r="AV227" s="3168"/>
      <c r="AW227" s="3168"/>
      <c r="AX227" s="3168"/>
      <c r="AY227" s="3168"/>
      <c r="AZ227" s="3168"/>
      <c r="BA227" s="3168"/>
      <c r="BB227" s="3168"/>
      <c r="BC227" s="3168"/>
      <c r="BD227" s="3168"/>
      <c r="BE227" s="3168"/>
      <c r="BF227" s="3168"/>
      <c r="BG227" s="3168"/>
      <c r="BH227" s="3156"/>
      <c r="BI227" s="3156"/>
      <c r="BJ227" s="3140"/>
      <c r="BK227" s="3159"/>
      <c r="BL227" s="3159"/>
      <c r="BM227" s="3162"/>
      <c r="BN227" s="3165"/>
      <c r="BO227" s="3152"/>
      <c r="BP227" s="3092"/>
      <c r="BQ227" s="3140"/>
      <c r="BR227" s="3140"/>
      <c r="BS227" s="3140"/>
      <c r="BT227" s="3140"/>
      <c r="BU227" s="3140"/>
    </row>
    <row r="228" spans="1:73" ht="42.75" customHeight="1" x14ac:dyDescent="0.25">
      <c r="A228" s="1631"/>
      <c r="B228" s="3220"/>
      <c r="C228" s="1589"/>
      <c r="D228" s="1590"/>
      <c r="E228" s="3224"/>
      <c r="F228" s="3224"/>
      <c r="G228" s="3225"/>
      <c r="H228" s="3227"/>
      <c r="I228" s="3225"/>
      <c r="J228" s="3227"/>
      <c r="K228" s="3225"/>
      <c r="L228" s="3139"/>
      <c r="M228" s="3137"/>
      <c r="N228" s="3139"/>
      <c r="O228" s="3191"/>
      <c r="P228" s="3179"/>
      <c r="Q228" s="3137"/>
      <c r="R228" s="3183"/>
      <c r="S228" s="3171"/>
      <c r="T228" s="3240"/>
      <c r="U228" s="3242"/>
      <c r="V228" s="3189"/>
      <c r="W228" s="3174"/>
      <c r="X228" s="1591">
        <v>19600000</v>
      </c>
      <c r="Y228" s="1591">
        <v>19188846</v>
      </c>
      <c r="Z228" s="1591">
        <v>19188846</v>
      </c>
      <c r="AA228" s="1181" t="s">
        <v>2559</v>
      </c>
      <c r="AB228" s="1709">
        <v>88</v>
      </c>
      <c r="AC228" s="1702" t="s">
        <v>2255</v>
      </c>
      <c r="AD228" s="3168"/>
      <c r="AE228" s="3168"/>
      <c r="AF228" s="3168"/>
      <c r="AG228" s="3168"/>
      <c r="AH228" s="3168"/>
      <c r="AI228" s="3168"/>
      <c r="AJ228" s="3168"/>
      <c r="AK228" s="3168"/>
      <c r="AL228" s="3168"/>
      <c r="AM228" s="3168"/>
      <c r="AN228" s="3168"/>
      <c r="AO228" s="3168"/>
      <c r="AP228" s="3168"/>
      <c r="AQ228" s="3168"/>
      <c r="AR228" s="3168"/>
      <c r="AS228" s="3168"/>
      <c r="AT228" s="3168"/>
      <c r="AU228" s="3168"/>
      <c r="AV228" s="3168"/>
      <c r="AW228" s="3168"/>
      <c r="AX228" s="3168"/>
      <c r="AY228" s="3168"/>
      <c r="AZ228" s="3168"/>
      <c r="BA228" s="3168"/>
      <c r="BB228" s="3168"/>
      <c r="BC228" s="3168"/>
      <c r="BD228" s="3168"/>
      <c r="BE228" s="3168"/>
      <c r="BF228" s="3168"/>
      <c r="BG228" s="3168"/>
      <c r="BH228" s="3156"/>
      <c r="BI228" s="3156"/>
      <c r="BJ228" s="3140"/>
      <c r="BK228" s="3159"/>
      <c r="BL228" s="3159"/>
      <c r="BM228" s="3162"/>
      <c r="BN228" s="3165"/>
      <c r="BO228" s="3152"/>
      <c r="BP228" s="3092"/>
      <c r="BQ228" s="3140"/>
      <c r="BR228" s="3140"/>
      <c r="BS228" s="3140"/>
      <c r="BT228" s="3140"/>
      <c r="BU228" s="3140"/>
    </row>
    <row r="229" spans="1:73" ht="27" customHeight="1" x14ac:dyDescent="0.25">
      <c r="A229" s="1631"/>
      <c r="B229" s="3220"/>
      <c r="C229" s="1589"/>
      <c r="D229" s="1590"/>
      <c r="E229" s="3224"/>
      <c r="F229" s="3224"/>
      <c r="G229" s="3225"/>
      <c r="H229" s="3227"/>
      <c r="I229" s="3225"/>
      <c r="J229" s="3227"/>
      <c r="K229" s="3225"/>
      <c r="L229" s="3139"/>
      <c r="M229" s="3137"/>
      <c r="N229" s="3139"/>
      <c r="O229" s="3191"/>
      <c r="P229" s="3179"/>
      <c r="Q229" s="3137"/>
      <c r="R229" s="3183"/>
      <c r="S229" s="3171"/>
      <c r="T229" s="3240"/>
      <c r="U229" s="3242"/>
      <c r="V229" s="3189"/>
      <c r="W229" s="1596" t="s">
        <v>2560</v>
      </c>
      <c r="X229" s="1591">
        <v>2000000</v>
      </c>
      <c r="Y229" s="1591">
        <v>2000000</v>
      </c>
      <c r="Z229" s="1591">
        <v>2000000</v>
      </c>
      <c r="AA229" s="1181" t="s">
        <v>2561</v>
      </c>
      <c r="AB229" s="1721">
        <v>20</v>
      </c>
      <c r="AC229" s="503" t="s">
        <v>1830</v>
      </c>
      <c r="AD229" s="3168"/>
      <c r="AE229" s="3168"/>
      <c r="AF229" s="3168"/>
      <c r="AG229" s="3168"/>
      <c r="AH229" s="3168"/>
      <c r="AI229" s="3168"/>
      <c r="AJ229" s="3168"/>
      <c r="AK229" s="3168"/>
      <c r="AL229" s="3168"/>
      <c r="AM229" s="3168"/>
      <c r="AN229" s="3168"/>
      <c r="AO229" s="3168"/>
      <c r="AP229" s="3168"/>
      <c r="AQ229" s="3168"/>
      <c r="AR229" s="3168"/>
      <c r="AS229" s="3168"/>
      <c r="AT229" s="3168"/>
      <c r="AU229" s="3168"/>
      <c r="AV229" s="3168"/>
      <c r="AW229" s="3168"/>
      <c r="AX229" s="3168"/>
      <c r="AY229" s="3168"/>
      <c r="AZ229" s="3168"/>
      <c r="BA229" s="3168"/>
      <c r="BB229" s="3168"/>
      <c r="BC229" s="3168"/>
      <c r="BD229" s="3168"/>
      <c r="BE229" s="3168"/>
      <c r="BF229" s="3168"/>
      <c r="BG229" s="3168"/>
      <c r="BH229" s="3156"/>
      <c r="BI229" s="3156"/>
      <c r="BJ229" s="3140"/>
      <c r="BK229" s="3159"/>
      <c r="BL229" s="3159"/>
      <c r="BM229" s="3162"/>
      <c r="BN229" s="3165"/>
      <c r="BO229" s="3152"/>
      <c r="BP229" s="3092"/>
      <c r="BQ229" s="3140"/>
      <c r="BR229" s="3140"/>
      <c r="BS229" s="3140"/>
      <c r="BT229" s="3140"/>
      <c r="BU229" s="3140"/>
    </row>
    <row r="230" spans="1:73" ht="74.25" customHeight="1" x14ac:dyDescent="0.25">
      <c r="A230" s="541"/>
      <c r="B230" s="3221"/>
      <c r="C230" s="1634"/>
      <c r="D230" s="1653"/>
      <c r="E230" s="3224"/>
      <c r="F230" s="3224"/>
      <c r="G230" s="3130"/>
      <c r="H230" s="3227"/>
      <c r="I230" s="3130"/>
      <c r="J230" s="3227"/>
      <c r="K230" s="3130"/>
      <c r="L230" s="3139"/>
      <c r="M230" s="3137"/>
      <c r="N230" s="3139"/>
      <c r="O230" s="3191"/>
      <c r="P230" s="3179"/>
      <c r="Q230" s="3137"/>
      <c r="R230" s="3183"/>
      <c r="S230" s="3172"/>
      <c r="T230" s="3240"/>
      <c r="U230" s="3242"/>
      <c r="V230" s="3189"/>
      <c r="W230" s="1596" t="s">
        <v>2562</v>
      </c>
      <c r="X230" s="1591">
        <v>10000000</v>
      </c>
      <c r="Y230" s="1591">
        <v>10000000</v>
      </c>
      <c r="Z230" s="1591">
        <v>10000000</v>
      </c>
      <c r="AA230" s="1181" t="s">
        <v>2558</v>
      </c>
      <c r="AB230" s="1721">
        <v>20</v>
      </c>
      <c r="AC230" s="503" t="s">
        <v>1830</v>
      </c>
      <c r="AD230" s="3169"/>
      <c r="AE230" s="3169"/>
      <c r="AF230" s="3169"/>
      <c r="AG230" s="3169"/>
      <c r="AH230" s="3169"/>
      <c r="AI230" s="3169"/>
      <c r="AJ230" s="3169"/>
      <c r="AK230" s="3169"/>
      <c r="AL230" s="3169"/>
      <c r="AM230" s="3169"/>
      <c r="AN230" s="3169"/>
      <c r="AO230" s="3169"/>
      <c r="AP230" s="3169"/>
      <c r="AQ230" s="3169"/>
      <c r="AR230" s="3169"/>
      <c r="AS230" s="3169"/>
      <c r="AT230" s="3169"/>
      <c r="AU230" s="3169"/>
      <c r="AV230" s="3169"/>
      <c r="AW230" s="3169"/>
      <c r="AX230" s="3169"/>
      <c r="AY230" s="3169"/>
      <c r="AZ230" s="3169"/>
      <c r="BA230" s="3169"/>
      <c r="BB230" s="3169"/>
      <c r="BC230" s="3169"/>
      <c r="BD230" s="3169"/>
      <c r="BE230" s="3169"/>
      <c r="BF230" s="3169"/>
      <c r="BG230" s="3169"/>
      <c r="BH230" s="3157"/>
      <c r="BI230" s="3157"/>
      <c r="BJ230" s="3140"/>
      <c r="BK230" s="3160"/>
      <c r="BL230" s="3160"/>
      <c r="BM230" s="3163"/>
      <c r="BN230" s="3166"/>
      <c r="BO230" s="3153"/>
      <c r="BP230" s="3092"/>
      <c r="BQ230" s="3140"/>
      <c r="BR230" s="3140"/>
      <c r="BS230" s="3140"/>
      <c r="BT230" s="3140"/>
      <c r="BU230" s="3140"/>
    </row>
    <row r="231" spans="1:73" ht="27" customHeight="1" x14ac:dyDescent="0.25">
      <c r="A231" s="1723"/>
      <c r="B231" s="1724"/>
      <c r="C231" s="1724"/>
      <c r="D231" s="1724"/>
      <c r="E231" s="1724"/>
      <c r="F231" s="1724"/>
      <c r="G231" s="1724"/>
      <c r="H231" s="1725"/>
      <c r="I231" s="1724"/>
      <c r="J231" s="1725"/>
      <c r="K231" s="1724"/>
      <c r="L231" s="1725"/>
      <c r="M231" s="1724"/>
      <c r="N231" s="1725"/>
      <c r="O231" s="1724"/>
      <c r="P231" s="1724"/>
      <c r="Q231" s="1724"/>
      <c r="R231" s="1725"/>
      <c r="S231" s="1726"/>
      <c r="T231" s="1727">
        <f>SUM(T10:T230)</f>
        <v>6443722008.6899996</v>
      </c>
      <c r="U231" s="1728"/>
      <c r="V231" s="1729"/>
      <c r="W231" s="869" t="s">
        <v>0</v>
      </c>
      <c r="X231" s="1730">
        <f>SUM(X10:X230)</f>
        <v>6443722008.6899996</v>
      </c>
      <c r="Y231" s="1730">
        <f>SUM(Y10:Y230)</f>
        <v>2583294879.1700001</v>
      </c>
      <c r="Z231" s="1730">
        <f>SUM(Z10:Z230)</f>
        <v>2583294879.1700001</v>
      </c>
      <c r="AA231" s="1731"/>
      <c r="AB231" s="1732"/>
      <c r="AC231" s="1733"/>
      <c r="AD231" s="1733"/>
      <c r="AE231" s="1733"/>
      <c r="AF231" s="1733"/>
      <c r="AG231" s="1733"/>
      <c r="AH231" s="1733"/>
      <c r="AI231" s="1733"/>
      <c r="AJ231" s="1733"/>
      <c r="AK231" s="1733"/>
      <c r="AL231" s="1733"/>
      <c r="AM231" s="1733"/>
      <c r="AN231" s="1733"/>
      <c r="AO231" s="1733"/>
      <c r="AP231" s="1733"/>
      <c r="AQ231" s="1733"/>
      <c r="AR231" s="1733"/>
      <c r="AS231" s="1733"/>
      <c r="AT231" s="1733"/>
      <c r="AU231" s="1733"/>
      <c r="AV231" s="1733"/>
      <c r="AW231" s="1733"/>
      <c r="AX231" s="1733"/>
      <c r="AY231" s="1733"/>
      <c r="AZ231" s="1733"/>
      <c r="BA231" s="1733"/>
      <c r="BB231" s="1733"/>
      <c r="BC231" s="1733"/>
      <c r="BD231" s="1733"/>
      <c r="BE231" s="1733"/>
      <c r="BF231" s="1733"/>
      <c r="BG231" s="1733"/>
      <c r="BH231" s="1733"/>
      <c r="BI231" s="1733"/>
      <c r="BJ231" s="1733"/>
      <c r="BK231" s="1734">
        <f>+BK13+BK23+BK27+BK34+BK42+BK93+BK106+BK127+BK134+BK140+BK182+BK197</f>
        <v>2583294879.1700001</v>
      </c>
      <c r="BL231" s="1734">
        <f>+BL13+BL23+BL27+BL34+BL42+BL93+BL106+BL127+BL134+BL140+BL182+BL197</f>
        <v>2583294879.1700001</v>
      </c>
      <c r="BM231" s="1733"/>
      <c r="BN231" s="1733"/>
      <c r="BO231" s="1733"/>
      <c r="BP231" s="1733"/>
      <c r="BQ231" s="1735"/>
      <c r="BR231" s="1735"/>
      <c r="BS231" s="1735"/>
      <c r="BT231" s="1735"/>
      <c r="BU231" s="1736"/>
    </row>
    <row r="232" spans="1:73" ht="27" customHeight="1" x14ac:dyDescent="0.25">
      <c r="X232" s="1740"/>
      <c r="Y232" s="1740"/>
      <c r="Z232" s="1740"/>
      <c r="BK232" s="1743"/>
      <c r="BL232" s="1743"/>
    </row>
    <row r="233" spans="1:73" ht="27" customHeight="1" x14ac:dyDescent="0.25">
      <c r="X233" s="1740"/>
      <c r="Y233" s="1740"/>
      <c r="Z233" s="1740"/>
    </row>
    <row r="234" spans="1:73" ht="27" customHeight="1" x14ac:dyDescent="0.25">
      <c r="X234" s="1740"/>
      <c r="Y234" s="1740"/>
      <c r="Z234" s="1740"/>
    </row>
    <row r="235" spans="1:73" ht="27" customHeight="1" x14ac:dyDescent="0.25">
      <c r="X235" s="1740"/>
      <c r="Y235" s="1740"/>
      <c r="Z235" s="1740"/>
    </row>
    <row r="236" spans="1:73" ht="27" customHeight="1" x14ac:dyDescent="0.25">
      <c r="X236" s="1740"/>
      <c r="Y236" s="1740"/>
      <c r="Z236" s="1740"/>
    </row>
  </sheetData>
  <mergeCells count="1021">
    <mergeCell ref="A1:BS4"/>
    <mergeCell ref="A5:O6"/>
    <mergeCell ref="Q5:BU5"/>
    <mergeCell ref="AD6:BF6"/>
    <mergeCell ref="A7:B7"/>
    <mergeCell ref="C7:D7"/>
    <mergeCell ref="E7:F7"/>
    <mergeCell ref="G7:J7"/>
    <mergeCell ref="K7:N7"/>
    <mergeCell ref="O7:Z7"/>
    <mergeCell ref="BU7:BU9"/>
    <mergeCell ref="A8:A9"/>
    <mergeCell ref="B8:B9"/>
    <mergeCell ref="C8:C9"/>
    <mergeCell ref="D8:D9"/>
    <mergeCell ref="E8:E9"/>
    <mergeCell ref="F8:F9"/>
    <mergeCell ref="AA7:AC7"/>
    <mergeCell ref="AD7:AG7"/>
    <mergeCell ref="AH7:AO7"/>
    <mergeCell ref="AP7:BA7"/>
    <mergeCell ref="BB7:BG7"/>
    <mergeCell ref="BH7:BI8"/>
    <mergeCell ref="AB8:AB9"/>
    <mergeCell ref="AC8:AC9"/>
    <mergeCell ref="AD8:AE8"/>
    <mergeCell ref="AF8:AG8"/>
    <mergeCell ref="X8:Z8"/>
    <mergeCell ref="AA8:AA9"/>
    <mergeCell ref="M8:M9"/>
    <mergeCell ref="N8:N9"/>
    <mergeCell ref="O8:P8"/>
    <mergeCell ref="Q8:Q9"/>
    <mergeCell ref="R8:R9"/>
    <mergeCell ref="S8:S9"/>
    <mergeCell ref="G8:G9"/>
    <mergeCell ref="H8:H9"/>
    <mergeCell ref="I8:I9"/>
    <mergeCell ref="J8:J9"/>
    <mergeCell ref="K8:K9"/>
    <mergeCell ref="L8:L9"/>
    <mergeCell ref="BJ7:BP7"/>
    <mergeCell ref="BQ7:BR8"/>
    <mergeCell ref="BS7:BT8"/>
    <mergeCell ref="BP8:BP9"/>
    <mergeCell ref="B10:F10"/>
    <mergeCell ref="D11:I11"/>
    <mergeCell ref="A12:A31"/>
    <mergeCell ref="B12:B31"/>
    <mergeCell ref="F12:Q12"/>
    <mergeCell ref="E13:E21"/>
    <mergeCell ref="F13:F21"/>
    <mergeCell ref="G13:G21"/>
    <mergeCell ref="H13:H21"/>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AL8:AM8"/>
    <mergeCell ref="AN8:AO8"/>
    <mergeCell ref="AP8:AQ8"/>
    <mergeCell ref="AR8:AS8"/>
    <mergeCell ref="T8:T9"/>
    <mergeCell ref="U8:U9"/>
    <mergeCell ref="V8:V9"/>
    <mergeCell ref="W8:W9"/>
    <mergeCell ref="U13:U21"/>
    <mergeCell ref="V13:V21"/>
    <mergeCell ref="W13:W14"/>
    <mergeCell ref="AD13:AD21"/>
    <mergeCell ref="AE13:AE21"/>
    <mergeCell ref="AF13:AF21"/>
    <mergeCell ref="O13:O21"/>
    <mergeCell ref="P13:P21"/>
    <mergeCell ref="Q13:Q21"/>
    <mergeCell ref="R13:R21"/>
    <mergeCell ref="S13:S21"/>
    <mergeCell ref="T13:T21"/>
    <mergeCell ref="I13:I21"/>
    <mergeCell ref="J13:J21"/>
    <mergeCell ref="K13:K21"/>
    <mergeCell ref="L13:L21"/>
    <mergeCell ref="M13:M21"/>
    <mergeCell ref="N13:N21"/>
    <mergeCell ref="BC13:BC21"/>
    <mergeCell ref="BD13:BD21"/>
    <mergeCell ref="AS13:AS21"/>
    <mergeCell ref="AT13:AT21"/>
    <mergeCell ref="AU13:AU21"/>
    <mergeCell ref="AV13:AV21"/>
    <mergeCell ref="AW13:AW21"/>
    <mergeCell ref="AX13:AX21"/>
    <mergeCell ref="AM13:AM21"/>
    <mergeCell ref="AN13:AN21"/>
    <mergeCell ref="AO13:AO21"/>
    <mergeCell ref="AP13:AP21"/>
    <mergeCell ref="AQ13:AQ21"/>
    <mergeCell ref="AR13:AR21"/>
    <mergeCell ref="AG13:AG21"/>
    <mergeCell ref="AH13:AH21"/>
    <mergeCell ref="AI13:AI21"/>
    <mergeCell ref="AJ13:AJ21"/>
    <mergeCell ref="AK13:AK21"/>
    <mergeCell ref="AL13:AL21"/>
    <mergeCell ref="F22:N22"/>
    <mergeCell ref="E23:E25"/>
    <mergeCell ref="F23:F25"/>
    <mergeCell ref="G23:G25"/>
    <mergeCell ref="H23:H25"/>
    <mergeCell ref="I23:I25"/>
    <mergeCell ref="J23:J25"/>
    <mergeCell ref="K23:K25"/>
    <mergeCell ref="L23:L25"/>
    <mergeCell ref="M23:M25"/>
    <mergeCell ref="BQ13:BQ21"/>
    <mergeCell ref="BR13:BR21"/>
    <mergeCell ref="BS13:BS21"/>
    <mergeCell ref="BT13:BT21"/>
    <mergeCell ref="BU13:BU21"/>
    <mergeCell ref="W16:W17"/>
    <mergeCell ref="BK13:BK21"/>
    <mergeCell ref="BL13:BL21"/>
    <mergeCell ref="BM13:BM21"/>
    <mergeCell ref="BN13:BN21"/>
    <mergeCell ref="BO13:BO21"/>
    <mergeCell ref="BP13:BP21"/>
    <mergeCell ref="BE13:BE21"/>
    <mergeCell ref="BF13:BF21"/>
    <mergeCell ref="BG13:BG21"/>
    <mergeCell ref="BH13:BH21"/>
    <mergeCell ref="BI13:BI21"/>
    <mergeCell ref="BJ13:BJ21"/>
    <mergeCell ref="AY13:AY21"/>
    <mergeCell ref="AZ13:AZ21"/>
    <mergeCell ref="BA13:BA21"/>
    <mergeCell ref="BB13:BB21"/>
    <mergeCell ref="AO23:AO25"/>
    <mergeCell ref="AP23:AP25"/>
    <mergeCell ref="AQ23:AQ25"/>
    <mergeCell ref="AF23:AF25"/>
    <mergeCell ref="AG23:AG25"/>
    <mergeCell ref="AH23:AH25"/>
    <mergeCell ref="AI23:AI25"/>
    <mergeCell ref="AJ23:AJ25"/>
    <mergeCell ref="AK23:AK25"/>
    <mergeCell ref="T23:T25"/>
    <mergeCell ref="U23:U25"/>
    <mergeCell ref="V23:V25"/>
    <mergeCell ref="W23:W24"/>
    <mergeCell ref="AD23:AD25"/>
    <mergeCell ref="AE23:AE25"/>
    <mergeCell ref="N23:N25"/>
    <mergeCell ref="O23:O25"/>
    <mergeCell ref="P23:P25"/>
    <mergeCell ref="Q23:Q25"/>
    <mergeCell ref="R23:R25"/>
    <mergeCell ref="S23:S25"/>
    <mergeCell ref="BQ23:BQ25"/>
    <mergeCell ref="BR23:BR25"/>
    <mergeCell ref="BS23:BS25"/>
    <mergeCell ref="BT23:BT25"/>
    <mergeCell ref="BU23:BU25"/>
    <mergeCell ref="BJ23:BJ25"/>
    <mergeCell ref="BK23:BK25"/>
    <mergeCell ref="BL23:BL25"/>
    <mergeCell ref="BM23:BM25"/>
    <mergeCell ref="BN23:BN25"/>
    <mergeCell ref="BO23:BO25"/>
    <mergeCell ref="BD23:BD25"/>
    <mergeCell ref="BE23:BE25"/>
    <mergeCell ref="BF23:BF25"/>
    <mergeCell ref="BG23:BG25"/>
    <mergeCell ref="BH23:BH25"/>
    <mergeCell ref="BI23:BI25"/>
    <mergeCell ref="N27:N31"/>
    <mergeCell ref="O27:O31"/>
    <mergeCell ref="P27:P31"/>
    <mergeCell ref="Q27:Q31"/>
    <mergeCell ref="R27:R31"/>
    <mergeCell ref="S27:S31"/>
    <mergeCell ref="F26:N26"/>
    <mergeCell ref="E27:E31"/>
    <mergeCell ref="F27:F31"/>
    <mergeCell ref="G27:G31"/>
    <mergeCell ref="H27:H31"/>
    <mergeCell ref="I27:I31"/>
    <mergeCell ref="J27:J31"/>
    <mergeCell ref="K27:K31"/>
    <mergeCell ref="L27:L31"/>
    <mergeCell ref="M27:M31"/>
    <mergeCell ref="BP23:BP25"/>
    <mergeCell ref="AX23:AX25"/>
    <mergeCell ref="AY23:AY25"/>
    <mergeCell ref="AZ23:AZ25"/>
    <mergeCell ref="BA23:BA25"/>
    <mergeCell ref="BB23:BB25"/>
    <mergeCell ref="BC23:BC25"/>
    <mergeCell ref="AR23:AR25"/>
    <mergeCell ref="AS23:AS25"/>
    <mergeCell ref="AT23:AT25"/>
    <mergeCell ref="AU23:AU25"/>
    <mergeCell ref="AV23:AV25"/>
    <mergeCell ref="AW23:AW25"/>
    <mergeCell ref="AL23:AL25"/>
    <mergeCell ref="AM23:AM25"/>
    <mergeCell ref="AN23:AN25"/>
    <mergeCell ref="AM27:AM31"/>
    <mergeCell ref="AN27:AN31"/>
    <mergeCell ref="AO27:AO31"/>
    <mergeCell ref="AP27:AP31"/>
    <mergeCell ref="AQ27:AQ31"/>
    <mergeCell ref="AR27:AR31"/>
    <mergeCell ref="AG27:AG31"/>
    <mergeCell ref="AH27:AH31"/>
    <mergeCell ref="AI27:AI31"/>
    <mergeCell ref="AJ27:AJ31"/>
    <mergeCell ref="AK27:AK31"/>
    <mergeCell ref="AL27:AL31"/>
    <mergeCell ref="T27:T31"/>
    <mergeCell ref="U27:U31"/>
    <mergeCell ref="V27:V31"/>
    <mergeCell ref="AD27:AD31"/>
    <mergeCell ref="AE27:AE31"/>
    <mergeCell ref="AF27:AF31"/>
    <mergeCell ref="BQ27:BQ31"/>
    <mergeCell ref="BR27:BR31"/>
    <mergeCell ref="BS27:BS31"/>
    <mergeCell ref="BT27:BT31"/>
    <mergeCell ref="BU27:BU31"/>
    <mergeCell ref="W28:W30"/>
    <mergeCell ref="AB28:AB30"/>
    <mergeCell ref="AC28:AC30"/>
    <mergeCell ref="BK27:BK31"/>
    <mergeCell ref="BL27:BL31"/>
    <mergeCell ref="BM27:BM31"/>
    <mergeCell ref="BN27:BN31"/>
    <mergeCell ref="BO27:BO31"/>
    <mergeCell ref="BP27:BP31"/>
    <mergeCell ref="BE27:BE31"/>
    <mergeCell ref="BF27:BF31"/>
    <mergeCell ref="BG27:BG31"/>
    <mergeCell ref="BH27:BH31"/>
    <mergeCell ref="BI27:BI31"/>
    <mergeCell ref="BJ27:BJ31"/>
    <mergeCell ref="AY27:AY31"/>
    <mergeCell ref="AZ27:AZ31"/>
    <mergeCell ref="BA27:BA31"/>
    <mergeCell ref="BB27:BB31"/>
    <mergeCell ref="BC27:BC31"/>
    <mergeCell ref="BD27:BD31"/>
    <mergeCell ref="AS27:AS31"/>
    <mergeCell ref="AT27:AT31"/>
    <mergeCell ref="AU27:AU31"/>
    <mergeCell ref="AV27:AV31"/>
    <mergeCell ref="AW27:AW31"/>
    <mergeCell ref="AX27:AX31"/>
    <mergeCell ref="S34:S39"/>
    <mergeCell ref="T34:T39"/>
    <mergeCell ref="U34:U39"/>
    <mergeCell ref="V34:V39"/>
    <mergeCell ref="W34:W35"/>
    <mergeCell ref="AD34:AD39"/>
    <mergeCell ref="M34:M39"/>
    <mergeCell ref="N34:N39"/>
    <mergeCell ref="O34:O39"/>
    <mergeCell ref="P34:P39"/>
    <mergeCell ref="Q34:Q39"/>
    <mergeCell ref="R34:R39"/>
    <mergeCell ref="D32:G32"/>
    <mergeCell ref="F33:N33"/>
    <mergeCell ref="E34:E39"/>
    <mergeCell ref="F34:F39"/>
    <mergeCell ref="G34:G39"/>
    <mergeCell ref="H34:H39"/>
    <mergeCell ref="I34:I39"/>
    <mergeCell ref="J34:J39"/>
    <mergeCell ref="K34:K39"/>
    <mergeCell ref="L34:L39"/>
    <mergeCell ref="AY34:AY39"/>
    <mergeCell ref="AZ34:AZ39"/>
    <mergeCell ref="BA34:BA39"/>
    <mergeCell ref="BB34:BB39"/>
    <mergeCell ref="AQ34:AQ39"/>
    <mergeCell ref="AR34:AR39"/>
    <mergeCell ref="AS34:AS39"/>
    <mergeCell ref="AT34:AT39"/>
    <mergeCell ref="AU34:AU39"/>
    <mergeCell ref="AV34:AV39"/>
    <mergeCell ref="AK34:AK39"/>
    <mergeCell ref="AL34:AL39"/>
    <mergeCell ref="AM34:AM39"/>
    <mergeCell ref="AN34:AN39"/>
    <mergeCell ref="AO34:AO39"/>
    <mergeCell ref="AP34:AP39"/>
    <mergeCell ref="AE34:AE39"/>
    <mergeCell ref="AF34:AF39"/>
    <mergeCell ref="AG34:AG39"/>
    <mergeCell ref="AH34:AH39"/>
    <mergeCell ref="AI34:AI39"/>
    <mergeCell ref="AJ34:AJ39"/>
    <mergeCell ref="W89:W91"/>
    <mergeCell ref="W42:W43"/>
    <mergeCell ref="BU34:BU39"/>
    <mergeCell ref="W36:W37"/>
    <mergeCell ref="W38:W39"/>
    <mergeCell ref="D40:I40"/>
    <mergeCell ref="A41:A103"/>
    <mergeCell ref="F41:M41"/>
    <mergeCell ref="E42:E91"/>
    <mergeCell ref="F42:F91"/>
    <mergeCell ref="G42:G62"/>
    <mergeCell ref="H42:H62"/>
    <mergeCell ref="BO34:BO39"/>
    <mergeCell ref="BP34:BP39"/>
    <mergeCell ref="BQ34:BQ39"/>
    <mergeCell ref="BR34:BR39"/>
    <mergeCell ref="BS34:BS39"/>
    <mergeCell ref="BT34:BT39"/>
    <mergeCell ref="BI34:BI39"/>
    <mergeCell ref="BJ34:BJ39"/>
    <mergeCell ref="BK34:BK39"/>
    <mergeCell ref="BL34:BL39"/>
    <mergeCell ref="BM34:BM39"/>
    <mergeCell ref="BN34:BN39"/>
    <mergeCell ref="BC34:BC39"/>
    <mergeCell ref="BD34:BD39"/>
    <mergeCell ref="BE34:BE39"/>
    <mergeCell ref="BF34:BF39"/>
    <mergeCell ref="BG34:BG39"/>
    <mergeCell ref="BH34:BH39"/>
    <mergeCell ref="AW34:AW39"/>
    <mergeCell ref="AX34:AX39"/>
    <mergeCell ref="AD42:AD91"/>
    <mergeCell ref="AE42:AE91"/>
    <mergeCell ref="AF42:AF91"/>
    <mergeCell ref="W57:W58"/>
    <mergeCell ref="W59:W60"/>
    <mergeCell ref="W61:W62"/>
    <mergeCell ref="W63:W64"/>
    <mergeCell ref="O42:O62"/>
    <mergeCell ref="P42:P62"/>
    <mergeCell ref="Q42:Q91"/>
    <mergeCell ref="R42:R91"/>
    <mergeCell ref="S42:S62"/>
    <mergeCell ref="T42:T91"/>
    <mergeCell ref="P69:P77"/>
    <mergeCell ref="S69:S77"/>
    <mergeCell ref="I42:I62"/>
    <mergeCell ref="J42:J62"/>
    <mergeCell ref="K42:K62"/>
    <mergeCell ref="L42:L62"/>
    <mergeCell ref="M42:M62"/>
    <mergeCell ref="N42:N62"/>
    <mergeCell ref="N78:N83"/>
    <mergeCell ref="O78:O83"/>
    <mergeCell ref="P78:P83"/>
    <mergeCell ref="S78:S83"/>
    <mergeCell ref="V78:V83"/>
    <mergeCell ref="W78:W83"/>
    <mergeCell ref="V69:V77"/>
    <mergeCell ref="W71:W73"/>
    <mergeCell ref="W75:W76"/>
    <mergeCell ref="W84:W85"/>
    <mergeCell ref="W86:W87"/>
    <mergeCell ref="AS42:AS91"/>
    <mergeCell ref="AT42:AT91"/>
    <mergeCell ref="AU42:AU91"/>
    <mergeCell ref="AV42:AV91"/>
    <mergeCell ref="AW42:AW91"/>
    <mergeCell ref="AX42:AX91"/>
    <mergeCell ref="AM42:AM91"/>
    <mergeCell ref="AN42:AN91"/>
    <mergeCell ref="AO42:AO91"/>
    <mergeCell ref="AP42:AP91"/>
    <mergeCell ref="AQ42:AQ91"/>
    <mergeCell ref="AR42:AR91"/>
    <mergeCell ref="AG42:AG91"/>
    <mergeCell ref="AH42:AH91"/>
    <mergeCell ref="AI42:AI91"/>
    <mergeCell ref="AJ42:AJ91"/>
    <mergeCell ref="AK42:AK91"/>
    <mergeCell ref="AL42:AL91"/>
    <mergeCell ref="I63:I68"/>
    <mergeCell ref="J63:J68"/>
    <mergeCell ref="K63:K68"/>
    <mergeCell ref="L63:L68"/>
    <mergeCell ref="BQ42:BQ91"/>
    <mergeCell ref="BR42:BR91"/>
    <mergeCell ref="BS42:BS91"/>
    <mergeCell ref="BT42:BT91"/>
    <mergeCell ref="BU42:BU91"/>
    <mergeCell ref="W44:W45"/>
    <mergeCell ref="W46:W47"/>
    <mergeCell ref="W48:W51"/>
    <mergeCell ref="W52:W54"/>
    <mergeCell ref="W55:W56"/>
    <mergeCell ref="BK42:BK91"/>
    <mergeCell ref="BL42:BL91"/>
    <mergeCell ref="BM42:BM91"/>
    <mergeCell ref="BN42:BN91"/>
    <mergeCell ref="BO42:BO91"/>
    <mergeCell ref="BP42:BP91"/>
    <mergeCell ref="BE42:BE91"/>
    <mergeCell ref="BF42:BF91"/>
    <mergeCell ref="BG42:BG91"/>
    <mergeCell ref="BH42:BH91"/>
    <mergeCell ref="BI42:BI91"/>
    <mergeCell ref="BJ42:BJ91"/>
    <mergeCell ref="AY42:AY91"/>
    <mergeCell ref="AZ42:AZ91"/>
    <mergeCell ref="BA42:BA91"/>
    <mergeCell ref="BB42:BB91"/>
    <mergeCell ref="BC42:BC91"/>
    <mergeCell ref="BD42:BD91"/>
    <mergeCell ref="E93:E103"/>
    <mergeCell ref="F93:F103"/>
    <mergeCell ref="G93:G103"/>
    <mergeCell ref="H93:H103"/>
    <mergeCell ref="I93:I103"/>
    <mergeCell ref="J93:J103"/>
    <mergeCell ref="M84:M91"/>
    <mergeCell ref="N84:N91"/>
    <mergeCell ref="O84:O91"/>
    <mergeCell ref="P84:P91"/>
    <mergeCell ref="S84:S91"/>
    <mergeCell ref="V84:V91"/>
    <mergeCell ref="G84:G91"/>
    <mergeCell ref="H84:H91"/>
    <mergeCell ref="I84:I91"/>
    <mergeCell ref="J84:J91"/>
    <mergeCell ref="K84:K91"/>
    <mergeCell ref="L84:L91"/>
    <mergeCell ref="U42:U91"/>
    <mergeCell ref="V42:V62"/>
    <mergeCell ref="G69:G77"/>
    <mergeCell ref="H69:H77"/>
    <mergeCell ref="I69:I77"/>
    <mergeCell ref="J69:J77"/>
    <mergeCell ref="K69:K77"/>
    <mergeCell ref="L69:L77"/>
    <mergeCell ref="M69:M77"/>
    <mergeCell ref="N69:N77"/>
    <mergeCell ref="O69:O77"/>
    <mergeCell ref="M63:M68"/>
    <mergeCell ref="N63:N68"/>
    <mergeCell ref="O63:O68"/>
    <mergeCell ref="W93:W95"/>
    <mergeCell ref="G78:G83"/>
    <mergeCell ref="H78:H83"/>
    <mergeCell ref="I78:I83"/>
    <mergeCell ref="J78:J83"/>
    <mergeCell ref="K78:K83"/>
    <mergeCell ref="L78:L83"/>
    <mergeCell ref="M78:M83"/>
    <mergeCell ref="W65:W66"/>
    <mergeCell ref="AD93:AD103"/>
    <mergeCell ref="AE93:AE103"/>
    <mergeCell ref="AF93:AF103"/>
    <mergeCell ref="AG93:AG103"/>
    <mergeCell ref="AH93:AH103"/>
    <mergeCell ref="Q93:Q103"/>
    <mergeCell ref="R93:R103"/>
    <mergeCell ref="S93:S103"/>
    <mergeCell ref="T93:T103"/>
    <mergeCell ref="U93:U103"/>
    <mergeCell ref="V93:V103"/>
    <mergeCell ref="K93:K103"/>
    <mergeCell ref="L93:L103"/>
    <mergeCell ref="M93:M103"/>
    <mergeCell ref="N93:N103"/>
    <mergeCell ref="O93:O103"/>
    <mergeCell ref="P93:P103"/>
    <mergeCell ref="F92:Q92"/>
    <mergeCell ref="P63:P68"/>
    <mergeCell ref="S63:S68"/>
    <mergeCell ref="V63:V68"/>
    <mergeCell ref="G63:G68"/>
    <mergeCell ref="H63:H68"/>
    <mergeCell ref="BE93:BE103"/>
    <mergeCell ref="BF93:BF103"/>
    <mergeCell ref="AU93:AU103"/>
    <mergeCell ref="AV93:AV103"/>
    <mergeCell ref="AW93:AW103"/>
    <mergeCell ref="AX93:AX103"/>
    <mergeCell ref="AY93:AY103"/>
    <mergeCell ref="AZ93:AZ103"/>
    <mergeCell ref="AO93:AO103"/>
    <mergeCell ref="AP93:AP103"/>
    <mergeCell ref="AQ93:AQ103"/>
    <mergeCell ref="AR93:AR103"/>
    <mergeCell ref="AS93:AS103"/>
    <mergeCell ref="AT93:AT103"/>
    <mergeCell ref="AI93:AI103"/>
    <mergeCell ref="AJ93:AJ103"/>
    <mergeCell ref="AK93:AK103"/>
    <mergeCell ref="AL93:AL103"/>
    <mergeCell ref="AM93:AM103"/>
    <mergeCell ref="AN93:AN103"/>
    <mergeCell ref="A105:A130"/>
    <mergeCell ref="B105:B130"/>
    <mergeCell ref="F105:N105"/>
    <mergeCell ref="E106:E126"/>
    <mergeCell ref="F106:F126"/>
    <mergeCell ref="G106:G126"/>
    <mergeCell ref="H106:H126"/>
    <mergeCell ref="I106:I126"/>
    <mergeCell ref="J106:J126"/>
    <mergeCell ref="K106:K126"/>
    <mergeCell ref="BS93:BS103"/>
    <mergeCell ref="BT93:BT103"/>
    <mergeCell ref="BU93:BU103"/>
    <mergeCell ref="W96:W100"/>
    <mergeCell ref="W101:W103"/>
    <mergeCell ref="D104:H104"/>
    <mergeCell ref="BM93:BM103"/>
    <mergeCell ref="BN93:BN103"/>
    <mergeCell ref="BO93:BO103"/>
    <mergeCell ref="BP93:BP103"/>
    <mergeCell ref="BQ93:BQ103"/>
    <mergeCell ref="BR93:BR103"/>
    <mergeCell ref="BG93:BG103"/>
    <mergeCell ref="BH93:BH103"/>
    <mergeCell ref="BI93:BI103"/>
    <mergeCell ref="BJ93:BJ103"/>
    <mergeCell ref="BK93:BK103"/>
    <mergeCell ref="BL93:BL103"/>
    <mergeCell ref="BA93:BA103"/>
    <mergeCell ref="BB93:BB103"/>
    <mergeCell ref="BC93:BC103"/>
    <mergeCell ref="BD93:BD103"/>
    <mergeCell ref="AD106:AD126"/>
    <mergeCell ref="AE106:AE126"/>
    <mergeCell ref="AF106:AF126"/>
    <mergeCell ref="AG106:AG126"/>
    <mergeCell ref="AH106:AH126"/>
    <mergeCell ref="AI106:AI126"/>
    <mergeCell ref="R106:R126"/>
    <mergeCell ref="S106:S126"/>
    <mergeCell ref="T106:T126"/>
    <mergeCell ref="U106:U126"/>
    <mergeCell ref="V106:V126"/>
    <mergeCell ref="W106:W108"/>
    <mergeCell ref="L106:L126"/>
    <mergeCell ref="M106:M126"/>
    <mergeCell ref="N106:N126"/>
    <mergeCell ref="O106:O126"/>
    <mergeCell ref="P106:P126"/>
    <mergeCell ref="Q106:Q126"/>
    <mergeCell ref="BG106:BG126"/>
    <mergeCell ref="AV106:AV126"/>
    <mergeCell ref="AW106:AW126"/>
    <mergeCell ref="AX106:AX126"/>
    <mergeCell ref="AY106:AY126"/>
    <mergeCell ref="AZ106:AZ126"/>
    <mergeCell ref="BA106:BA126"/>
    <mergeCell ref="AP106:AP126"/>
    <mergeCell ref="AQ106:AQ126"/>
    <mergeCell ref="AR106:AR126"/>
    <mergeCell ref="AS106:AS126"/>
    <mergeCell ref="AT106:AT126"/>
    <mergeCell ref="AU106:AU126"/>
    <mergeCell ref="AJ106:AJ126"/>
    <mergeCell ref="AK106:AK126"/>
    <mergeCell ref="AL106:AL126"/>
    <mergeCell ref="AM106:AM126"/>
    <mergeCell ref="AN106:AN126"/>
    <mergeCell ref="AO106:AO126"/>
    <mergeCell ref="E127:E130"/>
    <mergeCell ref="F127:F130"/>
    <mergeCell ref="G127:G130"/>
    <mergeCell ref="H127:H130"/>
    <mergeCell ref="I127:I130"/>
    <mergeCell ref="J127:J130"/>
    <mergeCell ref="BT106:BT126"/>
    <mergeCell ref="BU106:BU126"/>
    <mergeCell ref="W110:W111"/>
    <mergeCell ref="W112:W113"/>
    <mergeCell ref="W116:W117"/>
    <mergeCell ref="AB116:AB117"/>
    <mergeCell ref="AC116:AC117"/>
    <mergeCell ref="W120:W122"/>
    <mergeCell ref="W124:W126"/>
    <mergeCell ref="BN106:BN126"/>
    <mergeCell ref="BO106:BO126"/>
    <mergeCell ref="BP106:BP126"/>
    <mergeCell ref="BQ106:BQ126"/>
    <mergeCell ref="BR106:BR126"/>
    <mergeCell ref="BS106:BS126"/>
    <mergeCell ref="BH106:BH126"/>
    <mergeCell ref="BI106:BI126"/>
    <mergeCell ref="BJ106:BJ126"/>
    <mergeCell ref="BK106:BK126"/>
    <mergeCell ref="BL106:BL126"/>
    <mergeCell ref="BM106:BM126"/>
    <mergeCell ref="BB106:BB126"/>
    <mergeCell ref="BC106:BC126"/>
    <mergeCell ref="BD106:BD126"/>
    <mergeCell ref="BE106:BE126"/>
    <mergeCell ref="BF106:BF126"/>
    <mergeCell ref="W127:W128"/>
    <mergeCell ref="AD127:AD130"/>
    <mergeCell ref="AE127:AE130"/>
    <mergeCell ref="AF127:AF130"/>
    <mergeCell ref="AG127:AG130"/>
    <mergeCell ref="AH127:AH130"/>
    <mergeCell ref="Q127:Q130"/>
    <mergeCell ref="R127:R130"/>
    <mergeCell ref="S127:S130"/>
    <mergeCell ref="T127:T130"/>
    <mergeCell ref="U127:U130"/>
    <mergeCell ref="V127:V130"/>
    <mergeCell ref="K127:K130"/>
    <mergeCell ref="L127:L130"/>
    <mergeCell ref="M127:M130"/>
    <mergeCell ref="N127:N130"/>
    <mergeCell ref="O127:O130"/>
    <mergeCell ref="P127:P130"/>
    <mergeCell ref="BE127:BE130"/>
    <mergeCell ref="BF127:BF130"/>
    <mergeCell ref="AU127:AU130"/>
    <mergeCell ref="AV127:AV130"/>
    <mergeCell ref="AW127:AW130"/>
    <mergeCell ref="AX127:AX130"/>
    <mergeCell ref="AY127:AY130"/>
    <mergeCell ref="AZ127:AZ130"/>
    <mergeCell ref="AO127:AO130"/>
    <mergeCell ref="AP127:AP130"/>
    <mergeCell ref="AQ127:AQ130"/>
    <mergeCell ref="AR127:AR130"/>
    <mergeCell ref="AS127:AS130"/>
    <mergeCell ref="AT127:AT130"/>
    <mergeCell ref="AI127:AI130"/>
    <mergeCell ref="AJ127:AJ130"/>
    <mergeCell ref="AK127:AK130"/>
    <mergeCell ref="AL127:AL130"/>
    <mergeCell ref="AM127:AM130"/>
    <mergeCell ref="AN127:AN130"/>
    <mergeCell ref="B131:H131"/>
    <mergeCell ref="D132:I132"/>
    <mergeCell ref="F133:R133"/>
    <mergeCell ref="E134:E137"/>
    <mergeCell ref="F134:F137"/>
    <mergeCell ref="G134:G137"/>
    <mergeCell ref="H134:H137"/>
    <mergeCell ref="I134:I137"/>
    <mergeCell ref="J134:J137"/>
    <mergeCell ref="K134:K137"/>
    <mergeCell ref="BS127:BS130"/>
    <mergeCell ref="BT127:BT130"/>
    <mergeCell ref="BU127:BU130"/>
    <mergeCell ref="W129:W130"/>
    <mergeCell ref="AB129:AB130"/>
    <mergeCell ref="AC129:AC130"/>
    <mergeCell ref="BM127:BM130"/>
    <mergeCell ref="BN127:BN130"/>
    <mergeCell ref="BO127:BO130"/>
    <mergeCell ref="BP127:BP130"/>
    <mergeCell ref="BQ127:BQ130"/>
    <mergeCell ref="BR127:BR130"/>
    <mergeCell ref="BG127:BG130"/>
    <mergeCell ref="BH127:BH130"/>
    <mergeCell ref="BI127:BI130"/>
    <mergeCell ref="BJ127:BJ130"/>
    <mergeCell ref="BK127:BK130"/>
    <mergeCell ref="BL127:BL130"/>
    <mergeCell ref="BA127:BA130"/>
    <mergeCell ref="BB127:BB130"/>
    <mergeCell ref="BC127:BC130"/>
    <mergeCell ref="BD127:BD130"/>
    <mergeCell ref="AD134:AD137"/>
    <mergeCell ref="AE134:AE137"/>
    <mergeCell ref="AF134:AF137"/>
    <mergeCell ref="AG134:AG137"/>
    <mergeCell ref="AH134:AH137"/>
    <mergeCell ref="AI134:AI137"/>
    <mergeCell ref="R134:R137"/>
    <mergeCell ref="S134:S137"/>
    <mergeCell ref="T134:T137"/>
    <mergeCell ref="U134:U137"/>
    <mergeCell ref="V134:V137"/>
    <mergeCell ref="W134:W135"/>
    <mergeCell ref="L134:L137"/>
    <mergeCell ref="M134:M137"/>
    <mergeCell ref="N134:N137"/>
    <mergeCell ref="O134:O137"/>
    <mergeCell ref="P134:P137"/>
    <mergeCell ref="Q134:Q137"/>
    <mergeCell ref="BF134:BF137"/>
    <mergeCell ref="BG134:BG137"/>
    <mergeCell ref="AV134:AV137"/>
    <mergeCell ref="AW134:AW137"/>
    <mergeCell ref="AX134:AX137"/>
    <mergeCell ref="AY134:AY137"/>
    <mergeCell ref="AZ134:AZ137"/>
    <mergeCell ref="BA134:BA137"/>
    <mergeCell ref="AP134:AP137"/>
    <mergeCell ref="AQ134:AQ137"/>
    <mergeCell ref="AR134:AR137"/>
    <mergeCell ref="AS134:AS137"/>
    <mergeCell ref="AT134:AT137"/>
    <mergeCell ref="AU134:AU137"/>
    <mergeCell ref="AJ134:AJ137"/>
    <mergeCell ref="AK134:AK137"/>
    <mergeCell ref="AL134:AL137"/>
    <mergeCell ref="AM134:AM137"/>
    <mergeCell ref="AN134:AN137"/>
    <mergeCell ref="AO134:AO137"/>
    <mergeCell ref="I140:I146"/>
    <mergeCell ref="J140:J146"/>
    <mergeCell ref="K140:K146"/>
    <mergeCell ref="L140:L146"/>
    <mergeCell ref="M140:M146"/>
    <mergeCell ref="N140:N146"/>
    <mergeCell ref="BT134:BT137"/>
    <mergeCell ref="BU134:BU137"/>
    <mergeCell ref="W136:W137"/>
    <mergeCell ref="D138:H138"/>
    <mergeCell ref="F139:M139"/>
    <mergeCell ref="B140:B178"/>
    <mergeCell ref="E140:E178"/>
    <mergeCell ref="F140:F178"/>
    <mergeCell ref="G140:G146"/>
    <mergeCell ref="H140:H146"/>
    <mergeCell ref="BN134:BN137"/>
    <mergeCell ref="BO134:BO137"/>
    <mergeCell ref="BP134:BP137"/>
    <mergeCell ref="BQ134:BQ137"/>
    <mergeCell ref="BR134:BR137"/>
    <mergeCell ref="BS134:BS137"/>
    <mergeCell ref="BH134:BH137"/>
    <mergeCell ref="BI134:BI137"/>
    <mergeCell ref="BJ134:BJ137"/>
    <mergeCell ref="BK134:BK137"/>
    <mergeCell ref="BL134:BL137"/>
    <mergeCell ref="BM134:BM137"/>
    <mergeCell ref="BB134:BB137"/>
    <mergeCell ref="BC134:BC137"/>
    <mergeCell ref="BD134:BD137"/>
    <mergeCell ref="BE134:BE137"/>
    <mergeCell ref="AG140:AG178"/>
    <mergeCell ref="AH140:AH178"/>
    <mergeCell ref="AI140:AI178"/>
    <mergeCell ref="AJ140:AJ178"/>
    <mergeCell ref="AK140:AK178"/>
    <mergeCell ref="AL140:AL178"/>
    <mergeCell ref="U140:U178"/>
    <mergeCell ref="V140:V146"/>
    <mergeCell ref="W140:W141"/>
    <mergeCell ref="AD140:AD178"/>
    <mergeCell ref="AE140:AE178"/>
    <mergeCell ref="AF140:AF178"/>
    <mergeCell ref="W156:W160"/>
    <mergeCell ref="W162:W163"/>
    <mergeCell ref="W165:W167"/>
    <mergeCell ref="W168:W171"/>
    <mergeCell ref="O140:O146"/>
    <mergeCell ref="P140:P146"/>
    <mergeCell ref="Q140:Q178"/>
    <mergeCell ref="R140:R178"/>
    <mergeCell ref="S140:S146"/>
    <mergeCell ref="T140:T178"/>
    <mergeCell ref="W172:W175"/>
    <mergeCell ref="W176:W178"/>
    <mergeCell ref="BI140:BI178"/>
    <mergeCell ref="BJ140:BJ178"/>
    <mergeCell ref="AY140:AY178"/>
    <mergeCell ref="AZ140:AZ178"/>
    <mergeCell ref="BA140:BA178"/>
    <mergeCell ref="BB140:BB178"/>
    <mergeCell ref="BC140:BC178"/>
    <mergeCell ref="BD140:BD178"/>
    <mergeCell ref="AS140:AS178"/>
    <mergeCell ref="AT140:AT178"/>
    <mergeCell ref="AU140:AU178"/>
    <mergeCell ref="AV140:AV178"/>
    <mergeCell ref="AW140:AW178"/>
    <mergeCell ref="AX140:AX178"/>
    <mergeCell ref="AM140:AM178"/>
    <mergeCell ref="AN140:AN178"/>
    <mergeCell ref="AO140:AO178"/>
    <mergeCell ref="AP140:AP178"/>
    <mergeCell ref="AQ140:AQ178"/>
    <mergeCell ref="AR140:AR178"/>
    <mergeCell ref="M147:M171"/>
    <mergeCell ref="N147:N171"/>
    <mergeCell ref="O147:O171"/>
    <mergeCell ref="P147:P171"/>
    <mergeCell ref="S147:S171"/>
    <mergeCell ref="V147:V171"/>
    <mergeCell ref="G147:G171"/>
    <mergeCell ref="H147:H171"/>
    <mergeCell ref="I147:I171"/>
    <mergeCell ref="J147:J171"/>
    <mergeCell ref="K147:K171"/>
    <mergeCell ref="L147:L171"/>
    <mergeCell ref="BQ140:BQ178"/>
    <mergeCell ref="BR140:BR178"/>
    <mergeCell ref="BS140:BS178"/>
    <mergeCell ref="BT140:BT178"/>
    <mergeCell ref="BU140:BU178"/>
    <mergeCell ref="W142:W143"/>
    <mergeCell ref="W144:W146"/>
    <mergeCell ref="W147:W148"/>
    <mergeCell ref="W150:W153"/>
    <mergeCell ref="W154:W155"/>
    <mergeCell ref="BK140:BK178"/>
    <mergeCell ref="BL140:BL178"/>
    <mergeCell ref="BM140:BM178"/>
    <mergeCell ref="BN140:BN178"/>
    <mergeCell ref="BO140:BO178"/>
    <mergeCell ref="BP140:BP178"/>
    <mergeCell ref="BE140:BE178"/>
    <mergeCell ref="BF140:BF178"/>
    <mergeCell ref="BG140:BG178"/>
    <mergeCell ref="BH140:BH178"/>
    <mergeCell ref="M172:M178"/>
    <mergeCell ref="N172:N178"/>
    <mergeCell ref="O172:O178"/>
    <mergeCell ref="P172:P178"/>
    <mergeCell ref="S172:S178"/>
    <mergeCell ref="V172:V178"/>
    <mergeCell ref="G172:G178"/>
    <mergeCell ref="H172:H178"/>
    <mergeCell ref="I172:I178"/>
    <mergeCell ref="J172:J178"/>
    <mergeCell ref="K172:K178"/>
    <mergeCell ref="L172:L178"/>
    <mergeCell ref="U182:U196"/>
    <mergeCell ref="V182:V196"/>
    <mergeCell ref="G197:G212"/>
    <mergeCell ref="H197:H212"/>
    <mergeCell ref="I197:I212"/>
    <mergeCell ref="J197:J212"/>
    <mergeCell ref="K197:K212"/>
    <mergeCell ref="L197:L212"/>
    <mergeCell ref="S197:S212"/>
    <mergeCell ref="T197:T230"/>
    <mergeCell ref="U197:U230"/>
    <mergeCell ref="V197:V224"/>
    <mergeCell ref="K227:K230"/>
    <mergeCell ref="L227:L230"/>
    <mergeCell ref="N218:N226"/>
    <mergeCell ref="O218:O226"/>
    <mergeCell ref="P218:P226"/>
    <mergeCell ref="S218:S226"/>
    <mergeCell ref="G218:G226"/>
    <mergeCell ref="H218:H226"/>
    <mergeCell ref="AB194:AB196"/>
    <mergeCell ref="AC194:AC196"/>
    <mergeCell ref="O182:O196"/>
    <mergeCell ref="P182:P196"/>
    <mergeCell ref="Q182:Q196"/>
    <mergeCell ref="R182:R196"/>
    <mergeCell ref="S182:S196"/>
    <mergeCell ref="T182:T196"/>
    <mergeCell ref="I182:I196"/>
    <mergeCell ref="J182:J196"/>
    <mergeCell ref="K182:K196"/>
    <mergeCell ref="L182:L196"/>
    <mergeCell ref="M182:M196"/>
    <mergeCell ref="N182:N196"/>
    <mergeCell ref="B179:H179"/>
    <mergeCell ref="D180:H180"/>
    <mergeCell ref="B181:B230"/>
    <mergeCell ref="F181:Q181"/>
    <mergeCell ref="E182:E230"/>
    <mergeCell ref="F182:F230"/>
    <mergeCell ref="G182:G196"/>
    <mergeCell ref="H182:H196"/>
    <mergeCell ref="G213:G217"/>
    <mergeCell ref="H213:H217"/>
    <mergeCell ref="I213:I217"/>
    <mergeCell ref="J213:J217"/>
    <mergeCell ref="K213:K217"/>
    <mergeCell ref="L213:L217"/>
    <mergeCell ref="G227:G230"/>
    <mergeCell ref="H227:H230"/>
    <mergeCell ref="I227:I230"/>
    <mergeCell ref="J227:J230"/>
    <mergeCell ref="AX182:AX196"/>
    <mergeCell ref="AY182:AY196"/>
    <mergeCell ref="AN182:AN196"/>
    <mergeCell ref="AO182:AO196"/>
    <mergeCell ref="AP182:AP196"/>
    <mergeCell ref="AQ182:AQ196"/>
    <mergeCell ref="AR182:AR196"/>
    <mergeCell ref="AS182:AS196"/>
    <mergeCell ref="AH182:AH196"/>
    <mergeCell ref="AI182:AI196"/>
    <mergeCell ref="AJ182:AJ196"/>
    <mergeCell ref="AK182:AK196"/>
    <mergeCell ref="AL182:AL196"/>
    <mergeCell ref="AM182:AM196"/>
    <mergeCell ref="AD182:AD196"/>
    <mergeCell ref="AE182:AE196"/>
    <mergeCell ref="AF182:AF196"/>
    <mergeCell ref="AG182:AG196"/>
    <mergeCell ref="BR182:BR196"/>
    <mergeCell ref="BS182:BS196"/>
    <mergeCell ref="BT182:BT196"/>
    <mergeCell ref="BU182:BU196"/>
    <mergeCell ref="W184:W185"/>
    <mergeCell ref="W186:W187"/>
    <mergeCell ref="W188:W189"/>
    <mergeCell ref="W190:W191"/>
    <mergeCell ref="W192:W193"/>
    <mergeCell ref="W194:W196"/>
    <mergeCell ref="BL182:BL196"/>
    <mergeCell ref="BM182:BM196"/>
    <mergeCell ref="BN182:BN196"/>
    <mergeCell ref="BO182:BO196"/>
    <mergeCell ref="BP182:BP196"/>
    <mergeCell ref="BQ182:BQ196"/>
    <mergeCell ref="BF182:BF196"/>
    <mergeCell ref="BG182:BG196"/>
    <mergeCell ref="BH182:BH196"/>
    <mergeCell ref="BI182:BI196"/>
    <mergeCell ref="BJ182:BJ196"/>
    <mergeCell ref="BK182:BK196"/>
    <mergeCell ref="AZ182:AZ196"/>
    <mergeCell ref="BA182:BA196"/>
    <mergeCell ref="BB182:BB196"/>
    <mergeCell ref="BC182:BC196"/>
    <mergeCell ref="BD182:BD196"/>
    <mergeCell ref="BE182:BE196"/>
    <mergeCell ref="AT182:AT196"/>
    <mergeCell ref="AU182:AU196"/>
    <mergeCell ref="AV182:AV196"/>
    <mergeCell ref="AW182:AW196"/>
    <mergeCell ref="AE197:AE230"/>
    <mergeCell ref="AF197:AF230"/>
    <mergeCell ref="AG197:AG230"/>
    <mergeCell ref="AH197:AH230"/>
    <mergeCell ref="AI197:AI230"/>
    <mergeCell ref="AJ197:AJ230"/>
    <mergeCell ref="W197:W198"/>
    <mergeCell ref="AD197:AD230"/>
    <mergeCell ref="S213:S217"/>
    <mergeCell ref="AB220:AB221"/>
    <mergeCell ref="AC220:AC221"/>
    <mergeCell ref="W227:W228"/>
    <mergeCell ref="M197:M212"/>
    <mergeCell ref="N197:N212"/>
    <mergeCell ref="O197:O212"/>
    <mergeCell ref="P197:P212"/>
    <mergeCell ref="Q197:Q230"/>
    <mergeCell ref="R197:R230"/>
    <mergeCell ref="M213:M217"/>
    <mergeCell ref="N213:N217"/>
    <mergeCell ref="O213:O217"/>
    <mergeCell ref="P213:P217"/>
    <mergeCell ref="W218:W219"/>
    <mergeCell ref="W220:W221"/>
    <mergeCell ref="W224:W226"/>
    <mergeCell ref="P227:P230"/>
    <mergeCell ref="S227:S230"/>
    <mergeCell ref="V227:V230"/>
    <mergeCell ref="M227:M230"/>
    <mergeCell ref="N227:N230"/>
    <mergeCell ref="O227:O230"/>
    <mergeCell ref="M218:M226"/>
    <mergeCell ref="AW197:AW230"/>
    <mergeCell ref="AX197:AX230"/>
    <mergeCell ref="AY197:AY230"/>
    <mergeCell ref="AZ197:AZ230"/>
    <mergeCell ref="BA197:BA230"/>
    <mergeCell ref="BB197:BB230"/>
    <mergeCell ref="AR197:AR230"/>
    <mergeCell ref="AS197:AS230"/>
    <mergeCell ref="AT197:AT230"/>
    <mergeCell ref="AU197:AU230"/>
    <mergeCell ref="AV197:AV230"/>
    <mergeCell ref="AK197:AK230"/>
    <mergeCell ref="AL197:AL230"/>
    <mergeCell ref="AM197:AM230"/>
    <mergeCell ref="AN197:AN230"/>
    <mergeCell ref="AO197:AO230"/>
    <mergeCell ref="AP197:AP230"/>
    <mergeCell ref="AQ197:AQ230"/>
    <mergeCell ref="I218:I226"/>
    <mergeCell ref="J218:J226"/>
    <mergeCell ref="K218:K226"/>
    <mergeCell ref="L218:L226"/>
    <mergeCell ref="BU197:BU230"/>
    <mergeCell ref="W199:W200"/>
    <mergeCell ref="AB199:AB200"/>
    <mergeCell ref="AC199:AC200"/>
    <mergeCell ref="W204:W205"/>
    <mergeCell ref="W206:W207"/>
    <mergeCell ref="W208:W209"/>
    <mergeCell ref="W215:W217"/>
    <mergeCell ref="AB215:AB217"/>
    <mergeCell ref="AC215:AC217"/>
    <mergeCell ref="BO197:BO230"/>
    <mergeCell ref="BP197:BP230"/>
    <mergeCell ref="BQ197:BQ230"/>
    <mergeCell ref="BR197:BR230"/>
    <mergeCell ref="BS197:BS230"/>
    <mergeCell ref="BT197:BT230"/>
    <mergeCell ref="BI197:BI230"/>
    <mergeCell ref="BJ197:BJ230"/>
    <mergeCell ref="BK197:BK230"/>
    <mergeCell ref="BL197:BL230"/>
    <mergeCell ref="BM197:BM230"/>
    <mergeCell ref="BN197:BN230"/>
    <mergeCell ref="BC197:BC230"/>
    <mergeCell ref="BD197:BD230"/>
    <mergeCell ref="BE197:BE230"/>
    <mergeCell ref="BF197:BF230"/>
    <mergeCell ref="BG197:BG230"/>
    <mergeCell ref="BH197:BH23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002060"/>
  </sheetPr>
  <dimension ref="A1:CO71"/>
  <sheetViews>
    <sheetView showGridLines="0" topLeftCell="K10" zoomScale="60" zoomScaleNormal="60" workbookViewId="0">
      <selection activeCell="O16" sqref="O16:O34"/>
    </sheetView>
  </sheetViews>
  <sheetFormatPr baseColWidth="10" defaultColWidth="11.42578125" defaultRowHeight="27" customHeight="1" x14ac:dyDescent="0.25"/>
  <cols>
    <col min="1" max="1" width="14.140625" style="12" customWidth="1"/>
    <col min="2" max="2" width="18.42578125" style="1" customWidth="1"/>
    <col min="3" max="3" width="13.42578125" style="1" customWidth="1"/>
    <col min="4" max="4" width="16.28515625" style="1" customWidth="1"/>
    <col min="5" max="5" width="15.42578125" style="1" customWidth="1"/>
    <col min="6" max="6" width="14.5703125" style="1" customWidth="1"/>
    <col min="7" max="7" width="14.140625" style="1" customWidth="1"/>
    <col min="8" max="8" width="26" style="4" customWidth="1"/>
    <col min="9" max="9" width="25.5703125" style="4" customWidth="1"/>
    <col min="10" max="10" width="24.5703125" style="4" customWidth="1"/>
    <col min="11" max="11" width="15.85546875" style="4" customWidth="1"/>
    <col min="12" max="14" width="25" style="4" customWidth="1"/>
    <col min="15" max="15" width="27" style="4" customWidth="1"/>
    <col min="16" max="16" width="22.28515625" style="4" customWidth="1"/>
    <col min="17" max="17" width="30" style="4" customWidth="1"/>
    <col min="18" max="18" width="32.7109375" style="4" customWidth="1"/>
    <col min="19" max="19" width="15.140625" style="9" customWidth="1"/>
    <col min="20" max="20" width="28.85546875" style="6" customWidth="1"/>
    <col min="21" max="21" width="32.28515625" style="4" customWidth="1"/>
    <col min="22" max="22" width="34.140625" style="4" customWidth="1"/>
    <col min="23" max="23" width="50.85546875" style="4" customWidth="1"/>
    <col min="24" max="24" width="31" style="432" customWidth="1"/>
    <col min="25" max="25" width="30.140625" style="432" customWidth="1"/>
    <col min="26" max="26" width="30" style="432" customWidth="1"/>
    <col min="27" max="27" width="57.28515625" style="432" customWidth="1"/>
    <col min="28" max="28" width="14.5703125" style="5" customWidth="1"/>
    <col min="29" max="29" width="29.28515625" style="4" customWidth="1"/>
    <col min="30" max="61" width="10.42578125" style="1" customWidth="1"/>
    <col min="62" max="62" width="18" style="1" customWidth="1"/>
    <col min="63" max="63" width="33.28515625" style="1" customWidth="1"/>
    <col min="64" max="64" width="30.5703125" style="1" customWidth="1"/>
    <col min="65" max="65" width="30.28515625" style="1" customWidth="1"/>
    <col min="66" max="67" width="24.140625" style="1" customWidth="1"/>
    <col min="68" max="68" width="23.28515625" style="1" customWidth="1"/>
    <col min="69" max="70" width="15.5703125" style="2" customWidth="1"/>
    <col min="71" max="72" width="18.28515625" style="2" customWidth="1"/>
    <col min="73" max="73" width="26" style="1" customWidth="1"/>
    <col min="74" max="16384" width="11.42578125" style="1"/>
  </cols>
  <sheetData>
    <row r="1" spans="1:93" ht="28.5" customHeight="1" x14ac:dyDescent="0.25">
      <c r="A1" s="3579" t="s">
        <v>258</v>
      </c>
      <c r="B1" s="2601"/>
      <c r="C1" s="2601"/>
      <c r="D1" s="2601"/>
      <c r="E1" s="2601"/>
      <c r="F1" s="2601"/>
      <c r="G1" s="2601"/>
      <c r="H1" s="2601"/>
      <c r="I1" s="2601"/>
      <c r="J1" s="2601"/>
      <c r="K1" s="2601"/>
      <c r="L1" s="2601"/>
      <c r="M1" s="2601"/>
      <c r="N1" s="2601"/>
      <c r="O1" s="2601"/>
      <c r="P1" s="2601"/>
      <c r="Q1" s="2601"/>
      <c r="R1" s="2601"/>
      <c r="S1" s="2601"/>
      <c r="T1" s="2601"/>
      <c r="U1" s="2601"/>
      <c r="V1" s="2601"/>
      <c r="W1" s="2601"/>
      <c r="X1" s="2601"/>
      <c r="Y1" s="2601"/>
      <c r="Z1" s="2601"/>
      <c r="AA1" s="2601"/>
      <c r="AB1" s="2601"/>
      <c r="AC1" s="2601"/>
      <c r="AD1" s="2601"/>
      <c r="AE1" s="2601"/>
      <c r="AF1" s="2601"/>
      <c r="AG1" s="2601"/>
      <c r="AH1" s="2601"/>
      <c r="AI1" s="2601"/>
      <c r="AJ1" s="2601"/>
      <c r="AK1" s="2601"/>
      <c r="AL1" s="2601"/>
      <c r="AM1" s="2601"/>
      <c r="AN1" s="2601"/>
      <c r="AO1" s="2601"/>
      <c r="AP1" s="2601"/>
      <c r="AQ1" s="2601"/>
      <c r="AR1" s="2601"/>
      <c r="AS1" s="2601"/>
      <c r="AT1" s="2601"/>
      <c r="AU1" s="2601"/>
      <c r="AV1" s="2601"/>
      <c r="AW1" s="2601"/>
      <c r="AX1" s="2601"/>
      <c r="AY1" s="2601"/>
      <c r="AZ1" s="2601"/>
      <c r="BA1" s="2601"/>
      <c r="BB1" s="2601"/>
      <c r="BC1" s="2601"/>
      <c r="BD1" s="2601"/>
      <c r="BE1" s="2601"/>
      <c r="BF1" s="2601"/>
      <c r="BG1" s="2601"/>
      <c r="BH1" s="2601"/>
      <c r="BI1" s="2601"/>
      <c r="BJ1" s="2601"/>
      <c r="BK1" s="2601"/>
      <c r="BL1" s="2601"/>
      <c r="BM1" s="2601"/>
      <c r="BN1" s="2601"/>
      <c r="BO1" s="2601"/>
      <c r="BP1" s="2601"/>
      <c r="BQ1" s="2601"/>
      <c r="BR1" s="2601"/>
      <c r="BS1" s="3087"/>
      <c r="BT1" s="310" t="s">
        <v>138</v>
      </c>
      <c r="BU1" s="310" t="s">
        <v>259</v>
      </c>
      <c r="BV1" s="4"/>
      <c r="BW1" s="4"/>
      <c r="BX1" s="4"/>
      <c r="BY1" s="4"/>
      <c r="BZ1" s="4"/>
      <c r="CA1" s="4"/>
      <c r="CB1" s="4"/>
      <c r="CC1" s="4"/>
      <c r="CD1" s="4"/>
      <c r="CE1" s="4"/>
      <c r="CF1" s="4"/>
      <c r="CG1" s="4"/>
      <c r="CH1" s="4"/>
      <c r="CI1" s="4"/>
      <c r="CJ1" s="4"/>
      <c r="CK1" s="4"/>
      <c r="CL1" s="4"/>
      <c r="CM1" s="4"/>
      <c r="CN1" s="4"/>
      <c r="CO1" s="4"/>
    </row>
    <row r="2" spans="1:93" ht="27.75" customHeight="1" x14ac:dyDescent="0.25">
      <c r="A2" s="3580" t="s">
        <v>260</v>
      </c>
      <c r="B2" s="3581"/>
      <c r="C2" s="3581"/>
      <c r="D2" s="3581"/>
      <c r="E2" s="3581"/>
      <c r="F2" s="3581"/>
      <c r="G2" s="3581"/>
      <c r="H2" s="3581"/>
      <c r="I2" s="3581"/>
      <c r="J2" s="3581"/>
      <c r="K2" s="3581"/>
      <c r="L2" s="3581"/>
      <c r="M2" s="3581"/>
      <c r="N2" s="3581"/>
      <c r="O2" s="3581"/>
      <c r="P2" s="3581"/>
      <c r="Q2" s="3581"/>
      <c r="R2" s="3581"/>
      <c r="S2" s="3581"/>
      <c r="T2" s="3581"/>
      <c r="U2" s="3581"/>
      <c r="V2" s="3581"/>
      <c r="W2" s="3581"/>
      <c r="X2" s="3581"/>
      <c r="Y2" s="3581"/>
      <c r="Z2" s="3581"/>
      <c r="AA2" s="3581"/>
      <c r="AB2" s="3581"/>
      <c r="AC2" s="3581"/>
      <c r="AD2" s="3581"/>
      <c r="AE2" s="3581"/>
      <c r="AF2" s="3581"/>
      <c r="AG2" s="3581"/>
      <c r="AH2" s="3581"/>
      <c r="AI2" s="3581"/>
      <c r="AJ2" s="3581"/>
      <c r="AK2" s="3581"/>
      <c r="AL2" s="3581"/>
      <c r="AM2" s="3581"/>
      <c r="AN2" s="3581"/>
      <c r="AO2" s="3581"/>
      <c r="AP2" s="3581"/>
      <c r="AQ2" s="3581"/>
      <c r="AR2" s="3581"/>
      <c r="AS2" s="3581"/>
      <c r="AT2" s="3581"/>
      <c r="AU2" s="3581"/>
      <c r="AV2" s="3581"/>
      <c r="AW2" s="3581"/>
      <c r="AX2" s="3581"/>
      <c r="AY2" s="3581"/>
      <c r="AZ2" s="3581"/>
      <c r="BA2" s="3581"/>
      <c r="BB2" s="3581"/>
      <c r="BC2" s="3581"/>
      <c r="BD2" s="3581"/>
      <c r="BE2" s="3581"/>
      <c r="BF2" s="3581"/>
      <c r="BG2" s="3581"/>
      <c r="BH2" s="3581"/>
      <c r="BI2" s="3581"/>
      <c r="BJ2" s="3581"/>
      <c r="BK2" s="3581"/>
      <c r="BL2" s="3581"/>
      <c r="BM2" s="3581"/>
      <c r="BN2" s="3581"/>
      <c r="BO2" s="3581"/>
      <c r="BP2" s="3581"/>
      <c r="BQ2" s="3581"/>
      <c r="BR2" s="3581"/>
      <c r="BS2" s="3582"/>
      <c r="BT2" s="310" t="s">
        <v>136</v>
      </c>
      <c r="BU2" s="311">
        <v>8</v>
      </c>
      <c r="BV2" s="4"/>
      <c r="BW2" s="4"/>
      <c r="BX2" s="4"/>
      <c r="BY2" s="4"/>
      <c r="BZ2" s="4"/>
      <c r="CA2" s="4"/>
      <c r="CB2" s="4"/>
      <c r="CC2" s="4"/>
      <c r="CD2" s="4"/>
      <c r="CE2" s="4"/>
      <c r="CF2" s="4"/>
      <c r="CG2" s="4"/>
      <c r="CH2" s="4"/>
      <c r="CI2" s="4"/>
      <c r="CJ2" s="4"/>
      <c r="CK2" s="4"/>
      <c r="CL2" s="4"/>
      <c r="CM2" s="4"/>
      <c r="CN2" s="4"/>
      <c r="CO2" s="4"/>
    </row>
    <row r="3" spans="1:93" ht="18" customHeight="1" x14ac:dyDescent="0.25">
      <c r="A3" s="3580"/>
      <c r="B3" s="3581"/>
      <c r="C3" s="3581"/>
      <c r="D3" s="3581"/>
      <c r="E3" s="3581"/>
      <c r="F3" s="3581"/>
      <c r="G3" s="3581"/>
      <c r="H3" s="3581"/>
      <c r="I3" s="3581"/>
      <c r="J3" s="3581"/>
      <c r="K3" s="3581"/>
      <c r="L3" s="3581"/>
      <c r="M3" s="3581"/>
      <c r="N3" s="3581"/>
      <c r="O3" s="3581"/>
      <c r="P3" s="3581"/>
      <c r="Q3" s="3581"/>
      <c r="R3" s="3581"/>
      <c r="S3" s="3581"/>
      <c r="T3" s="3581"/>
      <c r="U3" s="3581"/>
      <c r="V3" s="3581"/>
      <c r="W3" s="3581"/>
      <c r="X3" s="3581"/>
      <c r="Y3" s="3581"/>
      <c r="Z3" s="3581"/>
      <c r="AA3" s="3581"/>
      <c r="AB3" s="3581"/>
      <c r="AC3" s="3581"/>
      <c r="AD3" s="3581"/>
      <c r="AE3" s="3581"/>
      <c r="AF3" s="3581"/>
      <c r="AG3" s="3581"/>
      <c r="AH3" s="3581"/>
      <c r="AI3" s="3581"/>
      <c r="AJ3" s="3581"/>
      <c r="AK3" s="3581"/>
      <c r="AL3" s="3581"/>
      <c r="AM3" s="3581"/>
      <c r="AN3" s="3581"/>
      <c r="AO3" s="3581"/>
      <c r="AP3" s="3581"/>
      <c r="AQ3" s="3581"/>
      <c r="AR3" s="3581"/>
      <c r="AS3" s="3581"/>
      <c r="AT3" s="3581"/>
      <c r="AU3" s="3581"/>
      <c r="AV3" s="3581"/>
      <c r="AW3" s="3581"/>
      <c r="AX3" s="3581"/>
      <c r="AY3" s="3581"/>
      <c r="AZ3" s="3581"/>
      <c r="BA3" s="3581"/>
      <c r="BB3" s="3581"/>
      <c r="BC3" s="3581"/>
      <c r="BD3" s="3581"/>
      <c r="BE3" s="3581"/>
      <c r="BF3" s="3581"/>
      <c r="BG3" s="3581"/>
      <c r="BH3" s="3581"/>
      <c r="BI3" s="3581"/>
      <c r="BJ3" s="3581"/>
      <c r="BK3" s="3581"/>
      <c r="BL3" s="3581"/>
      <c r="BM3" s="3581"/>
      <c r="BN3" s="3581"/>
      <c r="BO3" s="3581"/>
      <c r="BP3" s="3581"/>
      <c r="BQ3" s="3581"/>
      <c r="BR3" s="3581"/>
      <c r="BS3" s="3582"/>
      <c r="BT3" s="310" t="s">
        <v>134</v>
      </c>
      <c r="BU3" s="312">
        <v>44266</v>
      </c>
      <c r="BV3" s="4"/>
      <c r="BW3" s="4"/>
      <c r="BX3" s="4"/>
      <c r="BY3" s="4"/>
      <c r="BZ3" s="4"/>
      <c r="CA3" s="4"/>
      <c r="CB3" s="4"/>
      <c r="CC3" s="4"/>
      <c r="CD3" s="4"/>
      <c r="CE3" s="4"/>
      <c r="CF3" s="4"/>
      <c r="CG3" s="4"/>
      <c r="CH3" s="4"/>
      <c r="CI3" s="4"/>
      <c r="CJ3" s="4"/>
      <c r="CK3" s="4"/>
      <c r="CL3" s="4"/>
      <c r="CM3" s="4"/>
      <c r="CN3" s="4"/>
      <c r="CO3" s="4"/>
    </row>
    <row r="4" spans="1:93" ht="24" customHeight="1" x14ac:dyDescent="0.25">
      <c r="A4" s="3583"/>
      <c r="B4" s="3584"/>
      <c r="C4" s="3584"/>
      <c r="D4" s="3584"/>
      <c r="E4" s="3584"/>
      <c r="F4" s="3584"/>
      <c r="G4" s="3584"/>
      <c r="H4" s="3584"/>
      <c r="I4" s="3584"/>
      <c r="J4" s="3584"/>
      <c r="K4" s="3584"/>
      <c r="L4" s="3584"/>
      <c r="M4" s="3584"/>
      <c r="N4" s="3584"/>
      <c r="O4" s="3584"/>
      <c r="P4" s="3584"/>
      <c r="Q4" s="3584"/>
      <c r="R4" s="3584"/>
      <c r="S4" s="3584"/>
      <c r="T4" s="3584"/>
      <c r="U4" s="3584"/>
      <c r="V4" s="3584"/>
      <c r="W4" s="3584"/>
      <c r="X4" s="3584"/>
      <c r="Y4" s="3584"/>
      <c r="Z4" s="3584"/>
      <c r="AA4" s="3584"/>
      <c r="AB4" s="3584"/>
      <c r="AC4" s="3584"/>
      <c r="AD4" s="3584"/>
      <c r="AE4" s="3584"/>
      <c r="AF4" s="3584"/>
      <c r="AG4" s="3584"/>
      <c r="AH4" s="3584"/>
      <c r="AI4" s="3584"/>
      <c r="AJ4" s="3584"/>
      <c r="AK4" s="3584"/>
      <c r="AL4" s="3584"/>
      <c r="AM4" s="3584"/>
      <c r="AN4" s="3584"/>
      <c r="AO4" s="3584"/>
      <c r="AP4" s="3584"/>
      <c r="AQ4" s="3584"/>
      <c r="AR4" s="3584"/>
      <c r="AS4" s="3584"/>
      <c r="AT4" s="3584"/>
      <c r="AU4" s="3584"/>
      <c r="AV4" s="3584"/>
      <c r="AW4" s="3584"/>
      <c r="AX4" s="3584"/>
      <c r="AY4" s="3584"/>
      <c r="AZ4" s="3584"/>
      <c r="BA4" s="3584"/>
      <c r="BB4" s="3584"/>
      <c r="BC4" s="3584"/>
      <c r="BD4" s="3584"/>
      <c r="BE4" s="3584"/>
      <c r="BF4" s="3584"/>
      <c r="BG4" s="3584"/>
      <c r="BH4" s="3584"/>
      <c r="BI4" s="3584"/>
      <c r="BJ4" s="3584"/>
      <c r="BK4" s="3584"/>
      <c r="BL4" s="3584"/>
      <c r="BM4" s="3584"/>
      <c r="BN4" s="3584"/>
      <c r="BO4" s="3584"/>
      <c r="BP4" s="3584"/>
      <c r="BQ4" s="3584"/>
      <c r="BR4" s="3584"/>
      <c r="BS4" s="3585"/>
      <c r="BT4" s="313" t="s">
        <v>133</v>
      </c>
      <c r="BU4" s="314" t="s">
        <v>132</v>
      </c>
      <c r="BV4" s="4"/>
      <c r="BW4" s="4"/>
      <c r="BX4" s="4"/>
      <c r="BY4" s="4"/>
      <c r="BZ4" s="4"/>
      <c r="CA4" s="4"/>
      <c r="CB4" s="4"/>
      <c r="CC4" s="4"/>
      <c r="CD4" s="4"/>
      <c r="CE4" s="4"/>
      <c r="CF4" s="4"/>
      <c r="CG4" s="4"/>
      <c r="CH4" s="4"/>
      <c r="CI4" s="4"/>
      <c r="CJ4" s="4"/>
      <c r="CK4" s="4"/>
      <c r="CL4" s="4"/>
      <c r="CM4" s="4"/>
      <c r="CN4" s="4"/>
      <c r="CO4" s="4"/>
    </row>
    <row r="5" spans="1:93" ht="21" customHeight="1" x14ac:dyDescent="0.25">
      <c r="A5" s="3586" t="s">
        <v>261</v>
      </c>
      <c r="B5" s="3545"/>
      <c r="C5" s="3545"/>
      <c r="D5" s="3545"/>
      <c r="E5" s="3545"/>
      <c r="F5" s="3545"/>
      <c r="G5" s="3545"/>
      <c r="H5" s="3545"/>
      <c r="I5" s="3545"/>
      <c r="J5" s="3545"/>
      <c r="K5" s="3545"/>
      <c r="L5" s="3545"/>
      <c r="M5" s="3545"/>
      <c r="N5" s="3545"/>
      <c r="O5" s="3545"/>
      <c r="P5" s="3587"/>
      <c r="Q5" s="242"/>
      <c r="R5" s="153"/>
      <c r="S5" s="153"/>
      <c r="T5" s="153"/>
      <c r="U5" s="153"/>
      <c r="V5" s="153"/>
      <c r="W5" s="153"/>
      <c r="X5" s="153"/>
      <c r="Y5" s="153"/>
      <c r="Z5" s="153"/>
      <c r="AA5" s="153"/>
      <c r="AB5" s="153"/>
      <c r="AC5" s="243"/>
      <c r="AD5" s="2633" t="s">
        <v>130</v>
      </c>
      <c r="AE5" s="2606"/>
      <c r="AF5" s="2606"/>
      <c r="AG5" s="2606"/>
      <c r="AH5" s="2606"/>
      <c r="AI5" s="2606"/>
      <c r="AJ5" s="2606"/>
      <c r="AK5" s="2606"/>
      <c r="AL5" s="2606"/>
      <c r="AM5" s="2606"/>
      <c r="AN5" s="2606"/>
      <c r="AO5" s="2606"/>
      <c r="AP5" s="2606"/>
      <c r="AQ5" s="2606"/>
      <c r="AR5" s="2606"/>
      <c r="AS5" s="2606"/>
      <c r="AT5" s="2606"/>
      <c r="AU5" s="2606"/>
      <c r="AV5" s="2606"/>
      <c r="AW5" s="2606"/>
      <c r="AX5" s="2606"/>
      <c r="AY5" s="2606"/>
      <c r="AZ5" s="2606"/>
      <c r="BA5" s="2606"/>
      <c r="BB5" s="2606"/>
      <c r="BC5" s="2606"/>
      <c r="BD5" s="2606"/>
      <c r="BE5" s="2606"/>
      <c r="BF5" s="2606"/>
      <c r="BG5" s="2606"/>
      <c r="BH5" s="2606"/>
      <c r="BI5" s="2634"/>
      <c r="BJ5" s="242"/>
      <c r="BK5" s="153"/>
      <c r="BL5" s="153"/>
      <c r="BM5" s="153"/>
      <c r="BN5" s="153"/>
      <c r="BO5" s="153"/>
      <c r="BP5" s="153"/>
      <c r="BQ5" s="153"/>
      <c r="BR5" s="153"/>
      <c r="BS5" s="153"/>
      <c r="BT5" s="153"/>
      <c r="BU5" s="243"/>
      <c r="BV5" s="4"/>
      <c r="BW5" s="4"/>
      <c r="BX5" s="4"/>
      <c r="BY5" s="4"/>
      <c r="BZ5" s="4"/>
      <c r="CA5" s="4"/>
      <c r="CB5" s="4"/>
      <c r="CC5" s="4"/>
      <c r="CD5" s="4"/>
      <c r="CE5" s="4"/>
      <c r="CF5" s="4"/>
      <c r="CG5" s="4"/>
      <c r="CH5" s="4"/>
      <c r="CI5" s="4"/>
      <c r="CJ5" s="4"/>
      <c r="CK5" s="4"/>
      <c r="CL5" s="4"/>
      <c r="CM5" s="4"/>
      <c r="CN5" s="4"/>
      <c r="CO5" s="4"/>
    </row>
    <row r="6" spans="1:93" ht="21" customHeight="1" x14ac:dyDescent="0.25">
      <c r="A6" s="3549"/>
      <c r="B6" s="3546"/>
      <c r="C6" s="3546"/>
      <c r="D6" s="3546"/>
      <c r="E6" s="3546"/>
      <c r="F6" s="3546"/>
      <c r="G6" s="3546"/>
      <c r="H6" s="3546"/>
      <c r="I6" s="3546"/>
      <c r="J6" s="3546"/>
      <c r="K6" s="3546"/>
      <c r="L6" s="3546"/>
      <c r="M6" s="3546"/>
      <c r="N6" s="3546"/>
      <c r="O6" s="3546"/>
      <c r="P6" s="3550"/>
      <c r="Q6" s="160"/>
      <c r="R6" s="151"/>
      <c r="S6" s="151"/>
      <c r="T6" s="151"/>
      <c r="U6" s="151"/>
      <c r="V6" s="151"/>
      <c r="W6" s="151"/>
      <c r="X6" s="315"/>
      <c r="Y6" s="315"/>
      <c r="Z6" s="315"/>
      <c r="AA6" s="315"/>
      <c r="AB6" s="151"/>
      <c r="AC6" s="152"/>
      <c r="AD6" s="2635"/>
      <c r="AE6" s="2604"/>
      <c r="AF6" s="2604"/>
      <c r="AG6" s="2604"/>
      <c r="AH6" s="2604"/>
      <c r="AI6" s="2604"/>
      <c r="AJ6" s="2604"/>
      <c r="AK6" s="2604"/>
      <c r="AL6" s="2604"/>
      <c r="AM6" s="2604"/>
      <c r="AN6" s="2604"/>
      <c r="AO6" s="2604"/>
      <c r="AP6" s="2604"/>
      <c r="AQ6" s="2604"/>
      <c r="AR6" s="2604"/>
      <c r="AS6" s="2604"/>
      <c r="AT6" s="2604"/>
      <c r="AU6" s="2604"/>
      <c r="AV6" s="2604"/>
      <c r="AW6" s="2604"/>
      <c r="AX6" s="2604"/>
      <c r="AY6" s="2604"/>
      <c r="AZ6" s="2604"/>
      <c r="BA6" s="2604"/>
      <c r="BB6" s="2604"/>
      <c r="BC6" s="2604"/>
      <c r="BD6" s="2604"/>
      <c r="BE6" s="2604"/>
      <c r="BF6" s="2604"/>
      <c r="BG6" s="2604"/>
      <c r="BH6" s="2604"/>
      <c r="BI6" s="2605"/>
      <c r="BJ6" s="160"/>
      <c r="BK6" s="151"/>
      <c r="BL6" s="151"/>
      <c r="BM6" s="151"/>
      <c r="BN6" s="151"/>
      <c r="BO6" s="151"/>
      <c r="BP6" s="151"/>
      <c r="BQ6" s="151"/>
      <c r="BR6" s="151"/>
      <c r="BS6" s="151"/>
      <c r="BT6" s="151"/>
      <c r="BU6" s="152"/>
      <c r="BV6" s="4"/>
      <c r="BW6" s="4"/>
      <c r="BX6" s="4"/>
      <c r="BY6" s="4"/>
      <c r="BZ6" s="4"/>
      <c r="CA6" s="4"/>
      <c r="CB6" s="4"/>
      <c r="CC6" s="4"/>
      <c r="CD6" s="4"/>
      <c r="CE6" s="4"/>
      <c r="CF6" s="4"/>
      <c r="CG6" s="4"/>
      <c r="CH6" s="4"/>
      <c r="CI6" s="4"/>
      <c r="CJ6" s="4"/>
      <c r="CK6" s="4"/>
      <c r="CL6" s="4"/>
      <c r="CM6" s="4"/>
      <c r="CN6" s="4"/>
      <c r="CO6" s="4"/>
    </row>
    <row r="7" spans="1:93" ht="28.5" customHeight="1" x14ac:dyDescent="0.25">
      <c r="A7" s="2637" t="s">
        <v>129</v>
      </c>
      <c r="B7" s="2638"/>
      <c r="C7" s="2639" t="s">
        <v>128</v>
      </c>
      <c r="D7" s="2638"/>
      <c r="E7" s="2639" t="s">
        <v>127</v>
      </c>
      <c r="F7" s="2638"/>
      <c r="G7" s="2639" t="s">
        <v>126</v>
      </c>
      <c r="H7" s="2637"/>
      <c r="I7" s="2637"/>
      <c r="J7" s="2637"/>
      <c r="K7" s="2639" t="s">
        <v>125</v>
      </c>
      <c r="L7" s="2637"/>
      <c r="M7" s="2637"/>
      <c r="N7" s="2638"/>
      <c r="O7" s="3588" t="s">
        <v>124</v>
      </c>
      <c r="P7" s="3589"/>
      <c r="Q7" s="3589"/>
      <c r="R7" s="3589"/>
      <c r="S7" s="3589"/>
      <c r="T7" s="3589"/>
      <c r="U7" s="3589"/>
      <c r="V7" s="3589"/>
      <c r="W7" s="3589"/>
      <c r="X7" s="3589"/>
      <c r="Y7" s="3589"/>
      <c r="Z7" s="3589"/>
      <c r="AA7" s="2640" t="s">
        <v>123</v>
      </c>
      <c r="AB7" s="3598"/>
      <c r="AC7" s="2641"/>
      <c r="AD7" s="2611" t="s">
        <v>122</v>
      </c>
      <c r="AE7" s="2612"/>
      <c r="AF7" s="2612"/>
      <c r="AG7" s="2613"/>
      <c r="AH7" s="2614" t="s">
        <v>121</v>
      </c>
      <c r="AI7" s="2615"/>
      <c r="AJ7" s="2615"/>
      <c r="AK7" s="2615"/>
      <c r="AL7" s="2615"/>
      <c r="AM7" s="2616"/>
      <c r="AN7" s="2660" t="s">
        <v>120</v>
      </c>
      <c r="AO7" s="2661"/>
      <c r="AP7" s="2661"/>
      <c r="AQ7" s="2661"/>
      <c r="AR7" s="2661"/>
      <c r="AS7" s="2661"/>
      <c r="AT7" s="2661"/>
      <c r="AU7" s="2661"/>
      <c r="AV7" s="2661"/>
      <c r="AW7" s="2661"/>
      <c r="AX7" s="2661"/>
      <c r="AY7" s="2661"/>
      <c r="AZ7" s="2661"/>
      <c r="BA7" s="2662"/>
      <c r="BB7" s="2614" t="s">
        <v>119</v>
      </c>
      <c r="BC7" s="2615"/>
      <c r="BD7" s="2615"/>
      <c r="BE7" s="2615"/>
      <c r="BF7" s="2615"/>
      <c r="BG7" s="2616"/>
      <c r="BH7" s="2644" t="s">
        <v>118</v>
      </c>
      <c r="BI7" s="2645"/>
      <c r="BJ7" s="3599" t="s">
        <v>117</v>
      </c>
      <c r="BK7" s="3600"/>
      <c r="BL7" s="3600"/>
      <c r="BM7" s="3600"/>
      <c r="BN7" s="3600"/>
      <c r="BO7" s="3600"/>
      <c r="BP7" s="3601"/>
      <c r="BQ7" s="2890" t="s">
        <v>262</v>
      </c>
      <c r="BR7" s="2890"/>
      <c r="BS7" s="2890" t="s">
        <v>263</v>
      </c>
      <c r="BT7" s="2890"/>
      <c r="BU7" s="2629" t="s">
        <v>114</v>
      </c>
      <c r="BV7" s="4"/>
      <c r="BW7" s="4"/>
      <c r="BX7" s="4"/>
      <c r="BY7" s="4"/>
      <c r="BZ7" s="4"/>
      <c r="CA7" s="4"/>
      <c r="CB7" s="4"/>
      <c r="CC7" s="4"/>
      <c r="CD7" s="4"/>
      <c r="CE7" s="4"/>
      <c r="CF7" s="4"/>
      <c r="CG7" s="4"/>
      <c r="CH7" s="4"/>
      <c r="CI7" s="4"/>
      <c r="CJ7" s="4"/>
      <c r="CK7" s="4"/>
      <c r="CL7" s="4"/>
      <c r="CM7" s="4"/>
      <c r="CN7" s="4"/>
      <c r="CO7" s="4"/>
    </row>
    <row r="8" spans="1:93" ht="127.5" customHeight="1" x14ac:dyDescent="0.25">
      <c r="A8" s="2593" t="s">
        <v>71</v>
      </c>
      <c r="B8" s="3591" t="s">
        <v>70</v>
      </c>
      <c r="C8" s="2593" t="s">
        <v>71</v>
      </c>
      <c r="D8" s="3591" t="s">
        <v>70</v>
      </c>
      <c r="E8" s="3591" t="s">
        <v>71</v>
      </c>
      <c r="F8" s="3591" t="s">
        <v>70</v>
      </c>
      <c r="G8" s="3591" t="s">
        <v>110</v>
      </c>
      <c r="H8" s="3591" t="s">
        <v>113</v>
      </c>
      <c r="I8" s="3591" t="s">
        <v>112</v>
      </c>
      <c r="J8" s="3591" t="s">
        <v>142</v>
      </c>
      <c r="K8" s="3591" t="s">
        <v>110</v>
      </c>
      <c r="L8" s="3591" t="s">
        <v>109</v>
      </c>
      <c r="M8" s="3591" t="s">
        <v>108</v>
      </c>
      <c r="N8" s="3591" t="s">
        <v>107</v>
      </c>
      <c r="O8" s="3595" t="s">
        <v>264</v>
      </c>
      <c r="P8" s="3592"/>
      <c r="Q8" s="3591" t="s">
        <v>105</v>
      </c>
      <c r="R8" s="3592" t="s">
        <v>104</v>
      </c>
      <c r="S8" s="3596" t="s">
        <v>103</v>
      </c>
      <c r="T8" s="3590" t="s">
        <v>102</v>
      </c>
      <c r="U8" s="3591" t="s">
        <v>101</v>
      </c>
      <c r="V8" s="3591" t="s">
        <v>100</v>
      </c>
      <c r="W8" s="3592" t="s">
        <v>99</v>
      </c>
      <c r="X8" s="3594" t="s">
        <v>265</v>
      </c>
      <c r="Y8" s="3594"/>
      <c r="Z8" s="2670"/>
      <c r="AA8" s="3591" t="s">
        <v>266</v>
      </c>
      <c r="AB8" s="2593" t="s">
        <v>96</v>
      </c>
      <c r="AC8" s="3591" t="s">
        <v>70</v>
      </c>
      <c r="AD8" s="2620" t="s">
        <v>95</v>
      </c>
      <c r="AE8" s="2621"/>
      <c r="AF8" s="2597" t="s">
        <v>94</v>
      </c>
      <c r="AG8" s="2598"/>
      <c r="AH8" s="2620" t="s">
        <v>93</v>
      </c>
      <c r="AI8" s="2621"/>
      <c r="AJ8" s="2620" t="s">
        <v>92</v>
      </c>
      <c r="AK8" s="2621"/>
      <c r="AL8" s="2620" t="s">
        <v>91</v>
      </c>
      <c r="AM8" s="2621"/>
      <c r="AN8" s="2620" t="s">
        <v>90</v>
      </c>
      <c r="AO8" s="2621"/>
      <c r="AP8" s="2620" t="s">
        <v>89</v>
      </c>
      <c r="AQ8" s="2621"/>
      <c r="AR8" s="2620" t="s">
        <v>88</v>
      </c>
      <c r="AS8" s="2621"/>
      <c r="AT8" s="2620" t="s">
        <v>87</v>
      </c>
      <c r="AU8" s="2621"/>
      <c r="AV8" s="2620" t="s">
        <v>86</v>
      </c>
      <c r="AW8" s="2621"/>
      <c r="AX8" s="2620" t="s">
        <v>85</v>
      </c>
      <c r="AY8" s="2621"/>
      <c r="AZ8" s="2620" t="s">
        <v>267</v>
      </c>
      <c r="BA8" s="2621"/>
      <c r="BB8" s="3602" t="s">
        <v>83</v>
      </c>
      <c r="BC8" s="3603"/>
      <c r="BD8" s="3602" t="s">
        <v>82</v>
      </c>
      <c r="BE8" s="3603"/>
      <c r="BF8" s="3629" t="s">
        <v>81</v>
      </c>
      <c r="BG8" s="3630"/>
      <c r="BH8" s="2646"/>
      <c r="BI8" s="2647"/>
      <c r="BJ8" s="2588" t="s">
        <v>80</v>
      </c>
      <c r="BK8" s="2673" t="s">
        <v>268</v>
      </c>
      <c r="BL8" s="2588" t="s">
        <v>269</v>
      </c>
      <c r="BM8" s="2675" t="s">
        <v>77</v>
      </c>
      <c r="BN8" s="2586" t="s">
        <v>76</v>
      </c>
      <c r="BO8" s="2587"/>
      <c r="BP8" s="2588" t="s">
        <v>75</v>
      </c>
      <c r="BQ8" s="2890"/>
      <c r="BR8" s="2890"/>
      <c r="BS8" s="2890"/>
      <c r="BT8" s="2890"/>
      <c r="BU8" s="2630"/>
      <c r="BV8" s="4"/>
      <c r="BW8" s="4"/>
      <c r="BX8" s="4"/>
      <c r="BY8" s="4"/>
      <c r="BZ8" s="4"/>
      <c r="CA8" s="4"/>
      <c r="CB8" s="4"/>
      <c r="CC8" s="4"/>
      <c r="CD8" s="4"/>
      <c r="CE8" s="4"/>
      <c r="CF8" s="4"/>
      <c r="CG8" s="4"/>
      <c r="CH8" s="4"/>
      <c r="CI8" s="4"/>
      <c r="CJ8" s="4"/>
      <c r="CK8" s="4"/>
      <c r="CL8" s="4"/>
      <c r="CM8" s="4"/>
      <c r="CN8" s="4"/>
      <c r="CO8" s="4"/>
    </row>
    <row r="9" spans="1:93" ht="42" customHeight="1" x14ac:dyDescent="0.25">
      <c r="A9" s="2593"/>
      <c r="B9" s="3591"/>
      <c r="C9" s="2593"/>
      <c r="D9" s="3591"/>
      <c r="E9" s="3591"/>
      <c r="F9" s="3591"/>
      <c r="G9" s="3591"/>
      <c r="H9" s="3591"/>
      <c r="I9" s="3591"/>
      <c r="J9" s="3591"/>
      <c r="K9" s="3591"/>
      <c r="L9" s="3591"/>
      <c r="M9" s="3591"/>
      <c r="N9" s="3591"/>
      <c r="O9" s="132" t="s">
        <v>270</v>
      </c>
      <c r="P9" s="316" t="s">
        <v>271</v>
      </c>
      <c r="Q9" s="3591"/>
      <c r="R9" s="3593"/>
      <c r="S9" s="3596"/>
      <c r="T9" s="3590"/>
      <c r="U9" s="3591"/>
      <c r="V9" s="3591"/>
      <c r="W9" s="3593"/>
      <c r="X9" s="317" t="s">
        <v>272</v>
      </c>
      <c r="Y9" s="317" t="s">
        <v>73</v>
      </c>
      <c r="Z9" s="318" t="s">
        <v>72</v>
      </c>
      <c r="AA9" s="3591"/>
      <c r="AB9" s="2593"/>
      <c r="AC9" s="3591"/>
      <c r="AD9" s="319" t="s">
        <v>69</v>
      </c>
      <c r="AE9" s="320" t="s">
        <v>68</v>
      </c>
      <c r="AF9" s="320" t="s">
        <v>69</v>
      </c>
      <c r="AG9" s="320" t="s">
        <v>68</v>
      </c>
      <c r="AH9" s="320" t="s">
        <v>69</v>
      </c>
      <c r="AI9" s="320" t="s">
        <v>68</v>
      </c>
      <c r="AJ9" s="320" t="s">
        <v>69</v>
      </c>
      <c r="AK9" s="320" t="s">
        <v>68</v>
      </c>
      <c r="AL9" s="320" t="s">
        <v>69</v>
      </c>
      <c r="AM9" s="320" t="s">
        <v>68</v>
      </c>
      <c r="AN9" s="320" t="s">
        <v>69</v>
      </c>
      <c r="AO9" s="320" t="s">
        <v>68</v>
      </c>
      <c r="AP9" s="320" t="s">
        <v>69</v>
      </c>
      <c r="AQ9" s="320" t="s">
        <v>68</v>
      </c>
      <c r="AR9" s="320" t="s">
        <v>69</v>
      </c>
      <c r="AS9" s="320" t="s">
        <v>68</v>
      </c>
      <c r="AT9" s="320" t="s">
        <v>69</v>
      </c>
      <c r="AU9" s="320" t="s">
        <v>68</v>
      </c>
      <c r="AV9" s="320" t="s">
        <v>69</v>
      </c>
      <c r="AW9" s="320" t="s">
        <v>68</v>
      </c>
      <c r="AX9" s="320" t="s">
        <v>69</v>
      </c>
      <c r="AY9" s="320" t="s">
        <v>68</v>
      </c>
      <c r="AZ9" s="320" t="s">
        <v>69</v>
      </c>
      <c r="BA9" s="320" t="s">
        <v>68</v>
      </c>
      <c r="BB9" s="320" t="s">
        <v>69</v>
      </c>
      <c r="BC9" s="320" t="s">
        <v>68</v>
      </c>
      <c r="BD9" s="320" t="s">
        <v>69</v>
      </c>
      <c r="BE9" s="320" t="s">
        <v>68</v>
      </c>
      <c r="BF9" s="320" t="s">
        <v>69</v>
      </c>
      <c r="BG9" s="320" t="s">
        <v>68</v>
      </c>
      <c r="BH9" s="320" t="s">
        <v>69</v>
      </c>
      <c r="BI9" s="320" t="s">
        <v>68</v>
      </c>
      <c r="BJ9" s="2589"/>
      <c r="BK9" s="2674"/>
      <c r="BL9" s="2589"/>
      <c r="BM9" s="2676"/>
      <c r="BN9" s="130" t="s">
        <v>71</v>
      </c>
      <c r="BO9" s="154" t="s">
        <v>70</v>
      </c>
      <c r="BP9" s="2589"/>
      <c r="BQ9" s="321" t="s">
        <v>69</v>
      </c>
      <c r="BR9" s="322" t="s">
        <v>68</v>
      </c>
      <c r="BS9" s="322" t="s">
        <v>69</v>
      </c>
      <c r="BT9" s="322" t="s">
        <v>68</v>
      </c>
      <c r="BU9" s="3597"/>
      <c r="BV9" s="4"/>
      <c r="BW9" s="4"/>
      <c r="BX9" s="4"/>
      <c r="BY9" s="4"/>
      <c r="BZ9" s="4"/>
      <c r="CA9" s="4"/>
      <c r="CB9" s="4"/>
      <c r="CC9" s="4"/>
      <c r="CD9" s="4"/>
      <c r="CE9" s="4"/>
      <c r="CF9" s="4"/>
      <c r="CG9" s="4"/>
      <c r="CH9" s="4"/>
      <c r="CI9" s="4"/>
      <c r="CJ9" s="4"/>
      <c r="CK9" s="4"/>
      <c r="CL9" s="4"/>
      <c r="CM9" s="4"/>
      <c r="CN9" s="4"/>
      <c r="CO9" s="4"/>
    </row>
    <row r="10" spans="1:93" ht="18.75" customHeight="1" x14ac:dyDescent="0.25">
      <c r="A10" s="323">
        <v>1</v>
      </c>
      <c r="B10" s="3617" t="s">
        <v>273</v>
      </c>
      <c r="C10" s="3618"/>
      <c r="D10" s="3618"/>
      <c r="E10" s="3618"/>
      <c r="F10" s="120"/>
      <c r="G10" s="120"/>
      <c r="H10" s="120"/>
      <c r="I10" s="120"/>
      <c r="J10" s="120"/>
      <c r="K10" s="120"/>
      <c r="L10" s="120"/>
      <c r="M10" s="120"/>
      <c r="N10" s="120"/>
      <c r="O10" s="120"/>
      <c r="P10" s="120"/>
      <c r="Q10" s="120"/>
      <c r="R10" s="248"/>
      <c r="S10" s="125"/>
      <c r="T10" s="122"/>
      <c r="U10" s="120"/>
      <c r="V10" s="120"/>
      <c r="W10" s="248"/>
      <c r="X10" s="324"/>
      <c r="Y10" s="324"/>
      <c r="Z10" s="324"/>
      <c r="AA10" s="120"/>
      <c r="AB10" s="121"/>
      <c r="AC10" s="120"/>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325"/>
      <c r="BR10" s="325"/>
      <c r="BS10" s="325"/>
      <c r="BT10" s="325"/>
      <c r="BU10" s="326"/>
      <c r="BV10" s="4"/>
      <c r="BW10" s="4"/>
      <c r="BX10" s="4"/>
      <c r="BY10" s="4"/>
      <c r="BZ10" s="4"/>
      <c r="CA10" s="4"/>
      <c r="CB10" s="4"/>
      <c r="CC10" s="4"/>
      <c r="CD10" s="4"/>
      <c r="CE10" s="4"/>
      <c r="CF10" s="4"/>
      <c r="CG10" s="4"/>
      <c r="CH10" s="4"/>
      <c r="CI10" s="4"/>
      <c r="CJ10" s="4"/>
      <c r="CK10" s="4"/>
      <c r="CL10" s="4"/>
      <c r="CM10" s="4"/>
      <c r="CN10" s="4"/>
      <c r="CO10" s="4"/>
    </row>
    <row r="11" spans="1:93" s="24" customFormat="1" ht="18.75" customHeight="1" x14ac:dyDescent="0.25">
      <c r="A11" s="254"/>
      <c r="B11" s="327"/>
      <c r="C11" s="115">
        <v>33</v>
      </c>
      <c r="D11" s="3619" t="s">
        <v>274</v>
      </c>
      <c r="E11" s="3620"/>
      <c r="F11" s="3620"/>
      <c r="G11" s="3620"/>
      <c r="H11" s="108"/>
      <c r="I11" s="108"/>
      <c r="J11" s="108"/>
      <c r="K11" s="108"/>
      <c r="L11" s="108"/>
      <c r="M11" s="328"/>
      <c r="N11" s="328"/>
      <c r="O11" s="328"/>
      <c r="P11" s="328"/>
      <c r="Q11" s="328"/>
      <c r="R11" s="328"/>
      <c r="S11" s="329"/>
      <c r="T11" s="330"/>
      <c r="U11" s="328"/>
      <c r="V11" s="328"/>
      <c r="W11" s="328"/>
      <c r="X11" s="331"/>
      <c r="Y11" s="331"/>
      <c r="Z11" s="331"/>
      <c r="AA11" s="328"/>
      <c r="AB11" s="332"/>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33"/>
      <c r="BR11" s="333"/>
      <c r="BS11" s="333"/>
      <c r="BT11" s="333"/>
      <c r="BU11" s="334"/>
    </row>
    <row r="12" spans="1:93" s="4" customFormat="1" ht="16.5" customHeight="1" x14ac:dyDescent="0.25">
      <c r="A12" s="267"/>
      <c r="B12" s="268"/>
      <c r="C12" s="260"/>
      <c r="D12" s="261"/>
      <c r="E12" s="335">
        <v>3301</v>
      </c>
      <c r="F12" s="336" t="s">
        <v>275</v>
      </c>
      <c r="G12" s="337"/>
      <c r="H12" s="337"/>
      <c r="I12" s="337"/>
      <c r="J12" s="337"/>
      <c r="K12" s="337"/>
      <c r="L12" s="337"/>
      <c r="M12" s="338"/>
      <c r="N12" s="338"/>
      <c r="O12" s="338"/>
      <c r="P12" s="338"/>
      <c r="Q12" s="338"/>
      <c r="R12" s="339"/>
      <c r="S12" s="339"/>
      <c r="T12" s="340"/>
      <c r="U12" s="341"/>
      <c r="V12" s="338"/>
      <c r="W12" s="341"/>
      <c r="X12" s="342"/>
      <c r="Y12" s="342"/>
      <c r="Z12" s="342"/>
      <c r="AA12" s="338"/>
      <c r="AB12" s="343"/>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c r="BP12" s="341"/>
      <c r="BQ12" s="344"/>
      <c r="BR12" s="344"/>
      <c r="BS12" s="344"/>
      <c r="BT12" s="344"/>
      <c r="BU12" s="345"/>
    </row>
    <row r="13" spans="1:93" s="24" customFormat="1" ht="38.25" customHeight="1" x14ac:dyDescent="0.25">
      <c r="A13" s="258"/>
      <c r="B13" s="259"/>
      <c r="C13" s="258"/>
      <c r="D13" s="259"/>
      <c r="E13" s="346"/>
      <c r="F13" s="3621"/>
      <c r="G13" s="3622">
        <v>3301087</v>
      </c>
      <c r="H13" s="3623" t="s">
        <v>276</v>
      </c>
      <c r="I13" s="3622">
        <v>3301087</v>
      </c>
      <c r="J13" s="3625" t="s">
        <v>276</v>
      </c>
      <c r="K13" s="3604">
        <v>330108701</v>
      </c>
      <c r="L13" s="3627" t="s">
        <v>277</v>
      </c>
      <c r="M13" s="3604">
        <v>330108701</v>
      </c>
      <c r="N13" s="3606" t="s">
        <v>277</v>
      </c>
      <c r="O13" s="3608">
        <f>5700+1428</f>
        <v>7128</v>
      </c>
      <c r="P13" s="3610">
        <v>6819</v>
      </c>
      <c r="Q13" s="3611" t="s">
        <v>278</v>
      </c>
      <c r="R13" s="3613" t="s">
        <v>279</v>
      </c>
      <c r="S13" s="3634">
        <f>SUM(X13:X15)/T13</f>
        <v>0.16307432596694776</v>
      </c>
      <c r="T13" s="3636">
        <f>SUM(X13:X37)</f>
        <v>1980078703.8999999</v>
      </c>
      <c r="U13" s="3638" t="s">
        <v>280</v>
      </c>
      <c r="V13" s="3641" t="s">
        <v>281</v>
      </c>
      <c r="W13" s="3644" t="s">
        <v>282</v>
      </c>
      <c r="X13" s="347">
        <v>231300000</v>
      </c>
      <c r="Y13" s="348">
        <v>221752999.65000001</v>
      </c>
      <c r="Z13" s="347">
        <v>221752999.65000001</v>
      </c>
      <c r="AA13" s="303" t="s">
        <v>283</v>
      </c>
      <c r="AB13" s="349">
        <v>20</v>
      </c>
      <c r="AC13" s="350" t="s">
        <v>284</v>
      </c>
      <c r="AD13" s="3631">
        <f>'[2]F-PLA-06 PLAN ACCION'!AA12:AA36</f>
        <v>0</v>
      </c>
      <c r="AE13" s="3631">
        <v>13456</v>
      </c>
      <c r="AF13" s="3631">
        <f>'[2]F-PLA-06 PLAN ACCION'!AB12:AB36</f>
        <v>0</v>
      </c>
      <c r="AG13" s="3631">
        <v>11474</v>
      </c>
      <c r="AH13" s="3631">
        <f>'[2]F-PLA-06 PLAN ACCION'!AC12:AC36</f>
        <v>0</v>
      </c>
      <c r="AI13" s="3631">
        <v>5697</v>
      </c>
      <c r="AJ13" s="3631">
        <f>'[2]F-PLA-06 PLAN ACCION'!AD12:AD36</f>
        <v>0</v>
      </c>
      <c r="AK13" s="3631">
        <v>8290</v>
      </c>
      <c r="AL13" s="3631">
        <f>'[2]F-PLA-06 PLAN ACCION'!AE12:AE36</f>
        <v>0</v>
      </c>
      <c r="AM13" s="3631">
        <v>8615</v>
      </c>
      <c r="AN13" s="3631">
        <f>'[2]F-PLA-06 PLAN ACCION'!AF12:AF36</f>
        <v>0</v>
      </c>
      <c r="AO13" s="3631">
        <v>1212</v>
      </c>
      <c r="AP13" s="3631">
        <v>15</v>
      </c>
      <c r="AQ13" s="3631">
        <v>84</v>
      </c>
      <c r="AR13" s="3631"/>
      <c r="AS13" s="3631">
        <v>56</v>
      </c>
      <c r="AT13" s="3631"/>
      <c r="AU13" s="3631"/>
      <c r="AV13" s="3631"/>
      <c r="AW13" s="3631"/>
      <c r="AX13" s="3631"/>
      <c r="AY13" s="3631"/>
      <c r="AZ13" s="3631"/>
      <c r="BA13" s="3631"/>
      <c r="BB13" s="3631"/>
      <c r="BC13" s="3631"/>
      <c r="BD13" s="3631">
        <f>'[2]F-PLA-06 PLAN ACCION'!AN12:AN36</f>
        <v>0</v>
      </c>
      <c r="BE13" s="3631">
        <v>865</v>
      </c>
      <c r="BF13" s="3631">
        <f>'[2]F-PLA-06 PLAN ACCION'!AO12:AO36</f>
        <v>0</v>
      </c>
      <c r="BG13" s="3631">
        <v>111</v>
      </c>
      <c r="BH13" s="3631"/>
      <c r="BI13" s="3631">
        <f>AE13+AG13</f>
        <v>24930</v>
      </c>
      <c r="BJ13" s="3631">
        <v>78</v>
      </c>
      <c r="BK13" s="3662">
        <f>SUM(Y13:Y37)</f>
        <v>1777271724.0599999</v>
      </c>
      <c r="BL13" s="3662">
        <f>SUM(Z13:Z37)</f>
        <v>1777271724.0599999</v>
      </c>
      <c r="BM13" s="3664">
        <v>0</v>
      </c>
      <c r="BN13" s="3661" t="s">
        <v>285</v>
      </c>
      <c r="BO13" s="3661" t="s">
        <v>286</v>
      </c>
      <c r="BP13" s="3661" t="s">
        <v>287</v>
      </c>
      <c r="BQ13" s="3036">
        <v>44200</v>
      </c>
      <c r="BR13" s="3036">
        <v>44551</v>
      </c>
      <c r="BS13" s="3036">
        <v>44560</v>
      </c>
      <c r="BT13" s="3036">
        <v>44551</v>
      </c>
      <c r="BU13" s="3074" t="s">
        <v>288</v>
      </c>
    </row>
    <row r="14" spans="1:93" s="24" customFormat="1" ht="38.25" customHeight="1" x14ac:dyDescent="0.25">
      <c r="A14" s="258"/>
      <c r="B14" s="259"/>
      <c r="C14" s="258"/>
      <c r="D14" s="259"/>
      <c r="E14" s="346"/>
      <c r="F14" s="3621"/>
      <c r="G14" s="3604"/>
      <c r="H14" s="3624"/>
      <c r="I14" s="3604"/>
      <c r="J14" s="3626"/>
      <c r="K14" s="3605"/>
      <c r="L14" s="3628"/>
      <c r="M14" s="3605"/>
      <c r="N14" s="3607"/>
      <c r="O14" s="3609"/>
      <c r="P14" s="3610"/>
      <c r="Q14" s="3612"/>
      <c r="R14" s="3614"/>
      <c r="S14" s="3635"/>
      <c r="T14" s="3637"/>
      <c r="U14" s="3639"/>
      <c r="V14" s="3642"/>
      <c r="W14" s="3645"/>
      <c r="X14" s="347">
        <v>80000000</v>
      </c>
      <c r="Y14" s="348">
        <v>80000000</v>
      </c>
      <c r="Z14" s="347">
        <v>80000000</v>
      </c>
      <c r="AA14" s="351" t="s">
        <v>289</v>
      </c>
      <c r="AB14" s="352">
        <v>88</v>
      </c>
      <c r="AC14" s="353" t="s">
        <v>5</v>
      </c>
      <c r="AD14" s="3632"/>
      <c r="AE14" s="3632"/>
      <c r="AF14" s="3632"/>
      <c r="AG14" s="3632"/>
      <c r="AH14" s="3632"/>
      <c r="AI14" s="3632"/>
      <c r="AJ14" s="3632"/>
      <c r="AK14" s="3632"/>
      <c r="AL14" s="3632"/>
      <c r="AM14" s="3632"/>
      <c r="AN14" s="3632"/>
      <c r="AO14" s="3632"/>
      <c r="AP14" s="3632"/>
      <c r="AQ14" s="3632"/>
      <c r="AR14" s="3632"/>
      <c r="AS14" s="3632"/>
      <c r="AT14" s="3632"/>
      <c r="AU14" s="3632"/>
      <c r="AV14" s="3632"/>
      <c r="AW14" s="3632"/>
      <c r="AX14" s="3632"/>
      <c r="AY14" s="3632"/>
      <c r="AZ14" s="3632"/>
      <c r="BA14" s="3632"/>
      <c r="BB14" s="3632"/>
      <c r="BC14" s="3632"/>
      <c r="BD14" s="3632"/>
      <c r="BE14" s="3632"/>
      <c r="BF14" s="3632"/>
      <c r="BG14" s="3632"/>
      <c r="BH14" s="3632"/>
      <c r="BI14" s="3632"/>
      <c r="BJ14" s="3632"/>
      <c r="BK14" s="3663"/>
      <c r="BL14" s="3663"/>
      <c r="BM14" s="3665"/>
      <c r="BN14" s="3661"/>
      <c r="BO14" s="3661"/>
      <c r="BP14" s="3661"/>
      <c r="BQ14" s="3037"/>
      <c r="BR14" s="3037"/>
      <c r="BS14" s="3037"/>
      <c r="BT14" s="3037"/>
      <c r="BU14" s="3075"/>
    </row>
    <row r="15" spans="1:93" s="24" customFormat="1" ht="41.25" customHeight="1" x14ac:dyDescent="0.25">
      <c r="A15" s="258"/>
      <c r="B15" s="259"/>
      <c r="C15" s="258"/>
      <c r="D15" s="259"/>
      <c r="E15" s="346"/>
      <c r="F15" s="3621"/>
      <c r="G15" s="3604"/>
      <c r="H15" s="3624"/>
      <c r="I15" s="3604"/>
      <c r="J15" s="3626"/>
      <c r="K15" s="3605"/>
      <c r="L15" s="3628"/>
      <c r="M15" s="3605"/>
      <c r="N15" s="3607"/>
      <c r="O15" s="3609"/>
      <c r="P15" s="3610"/>
      <c r="Q15" s="3612"/>
      <c r="R15" s="3614"/>
      <c r="S15" s="3635"/>
      <c r="T15" s="3637"/>
      <c r="U15" s="3639"/>
      <c r="V15" s="3643"/>
      <c r="W15" s="354" t="s">
        <v>290</v>
      </c>
      <c r="X15" s="347">
        <v>11600000</v>
      </c>
      <c r="Y15" s="347">
        <v>10401000</v>
      </c>
      <c r="Z15" s="347">
        <v>10401000</v>
      </c>
      <c r="AA15" s="355" t="s">
        <v>283</v>
      </c>
      <c r="AB15" s="356">
        <v>20</v>
      </c>
      <c r="AC15" s="357" t="s">
        <v>284</v>
      </c>
      <c r="AD15" s="3633"/>
      <c r="AE15" s="3633"/>
      <c r="AF15" s="3633"/>
      <c r="AG15" s="3633"/>
      <c r="AH15" s="3633"/>
      <c r="AI15" s="3633"/>
      <c r="AJ15" s="3633"/>
      <c r="AK15" s="3633"/>
      <c r="AL15" s="3633"/>
      <c r="AM15" s="3633"/>
      <c r="AN15" s="3633"/>
      <c r="AO15" s="3633"/>
      <c r="AP15" s="3633"/>
      <c r="AQ15" s="3633"/>
      <c r="AR15" s="3633"/>
      <c r="AS15" s="3633"/>
      <c r="AT15" s="3633"/>
      <c r="AU15" s="3633"/>
      <c r="AV15" s="3633"/>
      <c r="AW15" s="3633"/>
      <c r="AX15" s="3633"/>
      <c r="AY15" s="3633"/>
      <c r="AZ15" s="3633"/>
      <c r="BA15" s="3633"/>
      <c r="BB15" s="3633"/>
      <c r="BC15" s="3633"/>
      <c r="BD15" s="3633"/>
      <c r="BE15" s="3633"/>
      <c r="BF15" s="3633"/>
      <c r="BG15" s="3633"/>
      <c r="BH15" s="3632"/>
      <c r="BI15" s="3632"/>
      <c r="BJ15" s="3632"/>
      <c r="BK15" s="3663"/>
      <c r="BL15" s="3663"/>
      <c r="BM15" s="3665"/>
      <c r="BN15" s="3661"/>
      <c r="BO15" s="3661"/>
      <c r="BP15" s="3661"/>
      <c r="BQ15" s="3037"/>
      <c r="BR15" s="3037"/>
      <c r="BS15" s="3037"/>
      <c r="BT15" s="3037"/>
      <c r="BU15" s="3075"/>
    </row>
    <row r="16" spans="1:93" s="25" customFormat="1" ht="39.75" customHeight="1" x14ac:dyDescent="0.25">
      <c r="A16" s="358"/>
      <c r="B16" s="259"/>
      <c r="C16" s="358"/>
      <c r="D16" s="259"/>
      <c r="E16" s="346"/>
      <c r="F16" s="3621"/>
      <c r="G16" s="3652">
        <v>3301073</v>
      </c>
      <c r="H16" s="3653" t="s">
        <v>291</v>
      </c>
      <c r="I16" s="3654">
        <v>3301073</v>
      </c>
      <c r="J16" s="3653" t="s">
        <v>291</v>
      </c>
      <c r="K16" s="3654">
        <v>330107301</v>
      </c>
      <c r="L16" s="3655" t="s">
        <v>292</v>
      </c>
      <c r="M16" s="3656">
        <v>330107301</v>
      </c>
      <c r="N16" s="3657" t="s">
        <v>292</v>
      </c>
      <c r="O16" s="3659">
        <v>500</v>
      </c>
      <c r="P16" s="3615">
        <v>500</v>
      </c>
      <c r="Q16" s="3612"/>
      <c r="R16" s="3614"/>
      <c r="S16" s="3646">
        <f>SUM(X16:X34)/T13</f>
        <v>0.81500735335493046</v>
      </c>
      <c r="T16" s="3637"/>
      <c r="U16" s="3639"/>
      <c r="V16" s="3647" t="s">
        <v>293</v>
      </c>
      <c r="W16" s="359" t="s">
        <v>294</v>
      </c>
      <c r="X16" s="347">
        <v>121000000</v>
      </c>
      <c r="Y16" s="347">
        <f>72870000+39323500</f>
        <v>112193500</v>
      </c>
      <c r="Z16" s="347">
        <v>112193500</v>
      </c>
      <c r="AA16" s="351" t="s">
        <v>295</v>
      </c>
      <c r="AB16" s="360">
        <v>20</v>
      </c>
      <c r="AC16" s="357" t="s">
        <v>284</v>
      </c>
      <c r="AD16" s="3633"/>
      <c r="AE16" s="3633"/>
      <c r="AF16" s="3633"/>
      <c r="AG16" s="3633"/>
      <c r="AH16" s="3633"/>
      <c r="AI16" s="3633"/>
      <c r="AJ16" s="3633"/>
      <c r="AK16" s="3633"/>
      <c r="AL16" s="3633"/>
      <c r="AM16" s="3633"/>
      <c r="AN16" s="3633"/>
      <c r="AO16" s="3633"/>
      <c r="AP16" s="3633"/>
      <c r="AQ16" s="3633"/>
      <c r="AR16" s="3633"/>
      <c r="AS16" s="3633"/>
      <c r="AT16" s="3633"/>
      <c r="AU16" s="3633"/>
      <c r="AV16" s="3633"/>
      <c r="AW16" s="3633"/>
      <c r="AX16" s="3633"/>
      <c r="AY16" s="3633"/>
      <c r="AZ16" s="3633"/>
      <c r="BA16" s="3633"/>
      <c r="BB16" s="3633"/>
      <c r="BC16" s="3633"/>
      <c r="BD16" s="3633"/>
      <c r="BE16" s="3633"/>
      <c r="BF16" s="3633"/>
      <c r="BG16" s="3633"/>
      <c r="BH16" s="3632"/>
      <c r="BI16" s="3632"/>
      <c r="BJ16" s="3632"/>
      <c r="BK16" s="3663"/>
      <c r="BL16" s="3663"/>
      <c r="BM16" s="3665"/>
      <c r="BN16" s="3661"/>
      <c r="BO16" s="3661"/>
      <c r="BP16" s="3661"/>
      <c r="BQ16" s="3037"/>
      <c r="BR16" s="3037"/>
      <c r="BS16" s="3037"/>
      <c r="BT16" s="3037"/>
      <c r="BU16" s="3075"/>
    </row>
    <row r="17" spans="1:73" s="25" customFormat="1" ht="39.75" customHeight="1" x14ac:dyDescent="0.25">
      <c r="A17" s="258"/>
      <c r="B17" s="259"/>
      <c r="C17" s="358"/>
      <c r="D17" s="259"/>
      <c r="E17" s="346"/>
      <c r="F17" s="3621"/>
      <c r="G17" s="3652"/>
      <c r="H17" s="3653"/>
      <c r="I17" s="3654"/>
      <c r="J17" s="3653"/>
      <c r="K17" s="3654"/>
      <c r="L17" s="3655"/>
      <c r="M17" s="3656"/>
      <c r="N17" s="3657"/>
      <c r="O17" s="3659"/>
      <c r="P17" s="3616"/>
      <c r="Q17" s="3612"/>
      <c r="R17" s="3614"/>
      <c r="S17" s="3646"/>
      <c r="T17" s="3637"/>
      <c r="U17" s="3639"/>
      <c r="V17" s="3648"/>
      <c r="W17" s="359" t="s">
        <v>296</v>
      </c>
      <c r="X17" s="347">
        <v>15000000</v>
      </c>
      <c r="Y17" s="347">
        <v>15000000</v>
      </c>
      <c r="Z17" s="347">
        <v>15000000</v>
      </c>
      <c r="AA17" s="351" t="s">
        <v>295</v>
      </c>
      <c r="AB17" s="360">
        <v>20</v>
      </c>
      <c r="AC17" s="357" t="s">
        <v>284</v>
      </c>
      <c r="AD17" s="3633"/>
      <c r="AE17" s="3633"/>
      <c r="AF17" s="3633"/>
      <c r="AG17" s="3633"/>
      <c r="AH17" s="3633"/>
      <c r="AI17" s="3633"/>
      <c r="AJ17" s="3633"/>
      <c r="AK17" s="3633"/>
      <c r="AL17" s="3633"/>
      <c r="AM17" s="3633"/>
      <c r="AN17" s="3633"/>
      <c r="AO17" s="3633"/>
      <c r="AP17" s="3633"/>
      <c r="AQ17" s="3633"/>
      <c r="AR17" s="3633"/>
      <c r="AS17" s="3633"/>
      <c r="AT17" s="3633"/>
      <c r="AU17" s="3633"/>
      <c r="AV17" s="3633"/>
      <c r="AW17" s="3633"/>
      <c r="AX17" s="3633"/>
      <c r="AY17" s="3633"/>
      <c r="AZ17" s="3633"/>
      <c r="BA17" s="3633"/>
      <c r="BB17" s="3633"/>
      <c r="BC17" s="3633"/>
      <c r="BD17" s="3633"/>
      <c r="BE17" s="3633"/>
      <c r="BF17" s="3633"/>
      <c r="BG17" s="3633"/>
      <c r="BH17" s="3632"/>
      <c r="BI17" s="3632"/>
      <c r="BJ17" s="3632"/>
      <c r="BK17" s="3663"/>
      <c r="BL17" s="3663"/>
      <c r="BM17" s="3665"/>
      <c r="BN17" s="3661"/>
      <c r="BO17" s="3661"/>
      <c r="BP17" s="3661"/>
      <c r="BQ17" s="3037"/>
      <c r="BR17" s="3037"/>
      <c r="BS17" s="3037"/>
      <c r="BT17" s="3037"/>
      <c r="BU17" s="3075"/>
    </row>
    <row r="18" spans="1:73" s="24" customFormat="1" ht="47.25" customHeight="1" x14ac:dyDescent="0.25">
      <c r="A18" s="258"/>
      <c r="B18" s="259"/>
      <c r="C18" s="258"/>
      <c r="D18" s="259"/>
      <c r="E18" s="346"/>
      <c r="F18" s="3621"/>
      <c r="G18" s="3652"/>
      <c r="H18" s="3653"/>
      <c r="I18" s="3654"/>
      <c r="J18" s="3653"/>
      <c r="K18" s="3654"/>
      <c r="L18" s="3655"/>
      <c r="M18" s="3656"/>
      <c r="N18" s="3657"/>
      <c r="O18" s="3659"/>
      <c r="P18" s="3616"/>
      <c r="Q18" s="3612"/>
      <c r="R18" s="3614"/>
      <c r="S18" s="3646"/>
      <c r="T18" s="3637"/>
      <c r="U18" s="3639"/>
      <c r="V18" s="3642"/>
      <c r="W18" s="3649" t="s">
        <v>297</v>
      </c>
      <c r="X18" s="347">
        <v>48000000</v>
      </c>
      <c r="Y18" s="347">
        <v>48000000</v>
      </c>
      <c r="Z18" s="347">
        <v>48000000</v>
      </c>
      <c r="AA18" s="297" t="s">
        <v>295</v>
      </c>
      <c r="AB18" s="361">
        <v>20</v>
      </c>
      <c r="AC18" s="357" t="s">
        <v>284</v>
      </c>
      <c r="AD18" s="3633"/>
      <c r="AE18" s="3633"/>
      <c r="AF18" s="3633"/>
      <c r="AG18" s="3633"/>
      <c r="AH18" s="3633"/>
      <c r="AI18" s="3633"/>
      <c r="AJ18" s="3633"/>
      <c r="AK18" s="3633"/>
      <c r="AL18" s="3633"/>
      <c r="AM18" s="3633"/>
      <c r="AN18" s="3633"/>
      <c r="AO18" s="3633"/>
      <c r="AP18" s="3633"/>
      <c r="AQ18" s="3633"/>
      <c r="AR18" s="3633"/>
      <c r="AS18" s="3633"/>
      <c r="AT18" s="3633"/>
      <c r="AU18" s="3633"/>
      <c r="AV18" s="3633"/>
      <c r="AW18" s="3633"/>
      <c r="AX18" s="3633"/>
      <c r="AY18" s="3633"/>
      <c r="AZ18" s="3633"/>
      <c r="BA18" s="3633"/>
      <c r="BB18" s="3633"/>
      <c r="BC18" s="3633"/>
      <c r="BD18" s="3633"/>
      <c r="BE18" s="3633"/>
      <c r="BF18" s="3633"/>
      <c r="BG18" s="3633"/>
      <c r="BH18" s="3632"/>
      <c r="BI18" s="3632"/>
      <c r="BJ18" s="3632"/>
      <c r="BK18" s="3663"/>
      <c r="BL18" s="3663"/>
      <c r="BM18" s="3665"/>
      <c r="BN18" s="3661"/>
      <c r="BO18" s="3661"/>
      <c r="BP18" s="3661"/>
      <c r="BQ18" s="3037"/>
      <c r="BR18" s="3037"/>
      <c r="BS18" s="3037"/>
      <c r="BT18" s="3037"/>
      <c r="BU18" s="3075"/>
    </row>
    <row r="19" spans="1:73" s="24" customFormat="1" ht="43.5" customHeight="1" x14ac:dyDescent="0.25">
      <c r="A19" s="258"/>
      <c r="B19" s="259"/>
      <c r="C19" s="258"/>
      <c r="D19" s="259"/>
      <c r="E19" s="346"/>
      <c r="F19" s="3621"/>
      <c r="G19" s="3652"/>
      <c r="H19" s="3653"/>
      <c r="I19" s="3654"/>
      <c r="J19" s="3653"/>
      <c r="K19" s="3654"/>
      <c r="L19" s="3655"/>
      <c r="M19" s="3656"/>
      <c r="N19" s="3657"/>
      <c r="O19" s="3659"/>
      <c r="P19" s="3616"/>
      <c r="Q19" s="3612"/>
      <c r="R19" s="3614"/>
      <c r="S19" s="3646"/>
      <c r="T19" s="3637"/>
      <c r="U19" s="3639"/>
      <c r="V19" s="3642"/>
      <c r="W19" s="3650"/>
      <c r="X19" s="347">
        <v>0</v>
      </c>
      <c r="Y19" s="347">
        <v>0</v>
      </c>
      <c r="Z19" s="347">
        <v>0</v>
      </c>
      <c r="AA19" s="297" t="s">
        <v>298</v>
      </c>
      <c r="AB19" s="361">
        <v>20</v>
      </c>
      <c r="AC19" s="357" t="s">
        <v>284</v>
      </c>
      <c r="AD19" s="3633"/>
      <c r="AE19" s="3633"/>
      <c r="AF19" s="3633"/>
      <c r="AG19" s="3633"/>
      <c r="AH19" s="3633"/>
      <c r="AI19" s="3633"/>
      <c r="AJ19" s="3633"/>
      <c r="AK19" s="3633"/>
      <c r="AL19" s="3633"/>
      <c r="AM19" s="3633"/>
      <c r="AN19" s="3633"/>
      <c r="AO19" s="3633"/>
      <c r="AP19" s="3633"/>
      <c r="AQ19" s="3633"/>
      <c r="AR19" s="3633"/>
      <c r="AS19" s="3633"/>
      <c r="AT19" s="3633"/>
      <c r="AU19" s="3633"/>
      <c r="AV19" s="3633"/>
      <c r="AW19" s="3633"/>
      <c r="AX19" s="3633"/>
      <c r="AY19" s="3633"/>
      <c r="AZ19" s="3633"/>
      <c r="BA19" s="3633"/>
      <c r="BB19" s="3633"/>
      <c r="BC19" s="3633"/>
      <c r="BD19" s="3633"/>
      <c r="BE19" s="3633"/>
      <c r="BF19" s="3633"/>
      <c r="BG19" s="3633"/>
      <c r="BH19" s="3632"/>
      <c r="BI19" s="3632"/>
      <c r="BJ19" s="3632"/>
      <c r="BK19" s="3663"/>
      <c r="BL19" s="3663"/>
      <c r="BM19" s="3665"/>
      <c r="BN19" s="3661"/>
      <c r="BO19" s="3661"/>
      <c r="BP19" s="3661"/>
      <c r="BQ19" s="3037"/>
      <c r="BR19" s="3037"/>
      <c r="BS19" s="3037"/>
      <c r="BT19" s="3037"/>
      <c r="BU19" s="3075"/>
    </row>
    <row r="20" spans="1:73" s="24" customFormat="1" ht="60.75" customHeight="1" x14ac:dyDescent="0.25">
      <c r="A20" s="258"/>
      <c r="B20" s="259"/>
      <c r="C20" s="258"/>
      <c r="D20" s="259"/>
      <c r="E20" s="346"/>
      <c r="F20" s="3621"/>
      <c r="G20" s="3652"/>
      <c r="H20" s="3653"/>
      <c r="I20" s="3654"/>
      <c r="J20" s="3653"/>
      <c r="K20" s="3654"/>
      <c r="L20" s="3655"/>
      <c r="M20" s="3656"/>
      <c r="N20" s="3657"/>
      <c r="O20" s="3659"/>
      <c r="P20" s="3616"/>
      <c r="Q20" s="3612"/>
      <c r="R20" s="3614"/>
      <c r="S20" s="3646"/>
      <c r="T20" s="3637"/>
      <c r="U20" s="3639"/>
      <c r="V20" s="3642"/>
      <c r="W20" s="3613" t="s">
        <v>299</v>
      </c>
      <c r="X20" s="347">
        <v>9100000</v>
      </c>
      <c r="Y20" s="347">
        <v>0</v>
      </c>
      <c r="Z20" s="347">
        <v>0</v>
      </c>
      <c r="AA20" s="297" t="s">
        <v>300</v>
      </c>
      <c r="AB20" s="361">
        <v>20</v>
      </c>
      <c r="AC20" s="357" t="s">
        <v>284</v>
      </c>
      <c r="AD20" s="3632"/>
      <c r="AE20" s="3632"/>
      <c r="AF20" s="3632"/>
      <c r="AG20" s="3632"/>
      <c r="AH20" s="3632"/>
      <c r="AI20" s="3632"/>
      <c r="AJ20" s="3632"/>
      <c r="AK20" s="3632"/>
      <c r="AL20" s="3632"/>
      <c r="AM20" s="3632"/>
      <c r="AN20" s="3632"/>
      <c r="AO20" s="3632"/>
      <c r="AP20" s="3632"/>
      <c r="AQ20" s="3632"/>
      <c r="AR20" s="3632"/>
      <c r="AS20" s="3632"/>
      <c r="AT20" s="3632"/>
      <c r="AU20" s="3632"/>
      <c r="AV20" s="3632"/>
      <c r="AW20" s="3632"/>
      <c r="AX20" s="3632"/>
      <c r="AY20" s="3632"/>
      <c r="AZ20" s="3632"/>
      <c r="BA20" s="3632"/>
      <c r="BB20" s="3632"/>
      <c r="BC20" s="3632"/>
      <c r="BD20" s="3632"/>
      <c r="BE20" s="3632"/>
      <c r="BF20" s="3632"/>
      <c r="BG20" s="3632"/>
      <c r="BH20" s="3632"/>
      <c r="BI20" s="3632"/>
      <c r="BJ20" s="3632"/>
      <c r="BK20" s="3663"/>
      <c r="BL20" s="3663"/>
      <c r="BM20" s="3665"/>
      <c r="BN20" s="3661"/>
      <c r="BO20" s="3661"/>
      <c r="BP20" s="3661"/>
      <c r="BQ20" s="3037"/>
      <c r="BR20" s="3037"/>
      <c r="BS20" s="3037"/>
      <c r="BT20" s="3037"/>
      <c r="BU20" s="3075"/>
    </row>
    <row r="21" spans="1:73" s="24" customFormat="1" ht="60.75" customHeight="1" x14ac:dyDescent="0.25">
      <c r="A21" s="258"/>
      <c r="B21" s="259"/>
      <c r="C21" s="258"/>
      <c r="D21" s="259"/>
      <c r="E21" s="346"/>
      <c r="F21" s="3621"/>
      <c r="G21" s="3652"/>
      <c r="H21" s="3653"/>
      <c r="I21" s="3654"/>
      <c r="J21" s="3653"/>
      <c r="K21" s="3654"/>
      <c r="L21" s="3655"/>
      <c r="M21" s="3656"/>
      <c r="N21" s="3657"/>
      <c r="O21" s="3659"/>
      <c r="P21" s="3616"/>
      <c r="Q21" s="3612"/>
      <c r="R21" s="3614"/>
      <c r="S21" s="3646"/>
      <c r="T21" s="3637"/>
      <c r="U21" s="3639"/>
      <c r="V21" s="3642"/>
      <c r="W21" s="3614"/>
      <c r="X21" s="347">
        <v>16000000</v>
      </c>
      <c r="Y21" s="347">
        <v>0</v>
      </c>
      <c r="Z21" s="347">
        <v>0</v>
      </c>
      <c r="AA21" s="297" t="s">
        <v>301</v>
      </c>
      <c r="AB21" s="361">
        <v>20</v>
      </c>
      <c r="AC21" s="357" t="s">
        <v>284</v>
      </c>
      <c r="AD21" s="3632"/>
      <c r="AE21" s="3632"/>
      <c r="AF21" s="3632"/>
      <c r="AG21" s="3632"/>
      <c r="AH21" s="3632"/>
      <c r="AI21" s="3632"/>
      <c r="AJ21" s="3632"/>
      <c r="AK21" s="3632"/>
      <c r="AL21" s="3632"/>
      <c r="AM21" s="3632"/>
      <c r="AN21" s="3632"/>
      <c r="AO21" s="3632"/>
      <c r="AP21" s="3632"/>
      <c r="AQ21" s="3632"/>
      <c r="AR21" s="3632"/>
      <c r="AS21" s="3632"/>
      <c r="AT21" s="3632"/>
      <c r="AU21" s="3632"/>
      <c r="AV21" s="3632"/>
      <c r="AW21" s="3632"/>
      <c r="AX21" s="3632"/>
      <c r="AY21" s="3632"/>
      <c r="AZ21" s="3632"/>
      <c r="BA21" s="3632"/>
      <c r="BB21" s="3632"/>
      <c r="BC21" s="3632"/>
      <c r="BD21" s="3632"/>
      <c r="BE21" s="3632"/>
      <c r="BF21" s="3632"/>
      <c r="BG21" s="3632"/>
      <c r="BH21" s="3632"/>
      <c r="BI21" s="3632"/>
      <c r="BJ21" s="3632"/>
      <c r="BK21" s="3663"/>
      <c r="BL21" s="3663"/>
      <c r="BM21" s="3665"/>
      <c r="BN21" s="3661"/>
      <c r="BO21" s="3661"/>
      <c r="BP21" s="3661"/>
      <c r="BQ21" s="3037"/>
      <c r="BR21" s="3037"/>
      <c r="BS21" s="3037"/>
      <c r="BT21" s="3037"/>
      <c r="BU21" s="3075"/>
    </row>
    <row r="22" spans="1:73" s="24" customFormat="1" ht="60.75" customHeight="1" x14ac:dyDescent="0.25">
      <c r="A22" s="258"/>
      <c r="B22" s="259"/>
      <c r="C22" s="258"/>
      <c r="D22" s="259"/>
      <c r="E22" s="346"/>
      <c r="F22" s="3621"/>
      <c r="G22" s="3652"/>
      <c r="H22" s="3653"/>
      <c r="I22" s="3654"/>
      <c r="J22" s="3653"/>
      <c r="K22" s="3654"/>
      <c r="L22" s="3655"/>
      <c r="M22" s="3656"/>
      <c r="N22" s="3657"/>
      <c r="O22" s="3659"/>
      <c r="P22" s="3616"/>
      <c r="Q22" s="3612"/>
      <c r="R22" s="3614"/>
      <c r="S22" s="3646"/>
      <c r="T22" s="3637"/>
      <c r="U22" s="3639"/>
      <c r="V22" s="3642"/>
      <c r="W22" s="3614"/>
      <c r="X22" s="347">
        <v>4000000</v>
      </c>
      <c r="Y22" s="347">
        <v>0</v>
      </c>
      <c r="Z22" s="347"/>
      <c r="AA22" s="297" t="s">
        <v>302</v>
      </c>
      <c r="AB22" s="361">
        <v>20</v>
      </c>
      <c r="AC22" s="357" t="s">
        <v>284</v>
      </c>
      <c r="AD22" s="3632"/>
      <c r="AE22" s="3632"/>
      <c r="AF22" s="3632"/>
      <c r="AG22" s="3632"/>
      <c r="AH22" s="3632"/>
      <c r="AI22" s="3632"/>
      <c r="AJ22" s="3632"/>
      <c r="AK22" s="3632"/>
      <c r="AL22" s="3632"/>
      <c r="AM22" s="3632"/>
      <c r="AN22" s="3632"/>
      <c r="AO22" s="3632"/>
      <c r="AP22" s="3632"/>
      <c r="AQ22" s="3632"/>
      <c r="AR22" s="3632"/>
      <c r="AS22" s="3632"/>
      <c r="AT22" s="3632"/>
      <c r="AU22" s="3632"/>
      <c r="AV22" s="3632"/>
      <c r="AW22" s="3632"/>
      <c r="AX22" s="3632"/>
      <c r="AY22" s="3632"/>
      <c r="AZ22" s="3632"/>
      <c r="BA22" s="3632"/>
      <c r="BB22" s="3632"/>
      <c r="BC22" s="3632"/>
      <c r="BD22" s="3632"/>
      <c r="BE22" s="3632"/>
      <c r="BF22" s="3632"/>
      <c r="BG22" s="3632"/>
      <c r="BH22" s="3632"/>
      <c r="BI22" s="3632"/>
      <c r="BJ22" s="3632"/>
      <c r="BK22" s="3663"/>
      <c r="BL22" s="3663"/>
      <c r="BM22" s="3665"/>
      <c r="BN22" s="3661"/>
      <c r="BO22" s="3661"/>
      <c r="BP22" s="3661"/>
      <c r="BQ22" s="3037"/>
      <c r="BR22" s="3037"/>
      <c r="BS22" s="3037"/>
      <c r="BT22" s="3037"/>
      <c r="BU22" s="3075"/>
    </row>
    <row r="23" spans="1:73" s="24" customFormat="1" ht="60.75" customHeight="1" x14ac:dyDescent="0.25">
      <c r="A23" s="258"/>
      <c r="B23" s="259"/>
      <c r="C23" s="258"/>
      <c r="D23" s="259"/>
      <c r="E23" s="346"/>
      <c r="F23" s="3621"/>
      <c r="G23" s="3652"/>
      <c r="H23" s="3653"/>
      <c r="I23" s="3654"/>
      <c r="J23" s="3653"/>
      <c r="K23" s="3654"/>
      <c r="L23" s="3655"/>
      <c r="M23" s="3656"/>
      <c r="N23" s="3657"/>
      <c r="O23" s="3659"/>
      <c r="P23" s="3616"/>
      <c r="Q23" s="3612"/>
      <c r="R23" s="3614"/>
      <c r="S23" s="3646"/>
      <c r="T23" s="3637"/>
      <c r="U23" s="3639"/>
      <c r="V23" s="3642"/>
      <c r="W23" s="3651"/>
      <c r="X23" s="347">
        <v>16000000</v>
      </c>
      <c r="Y23" s="347">
        <v>0</v>
      </c>
      <c r="Z23" s="347">
        <v>0</v>
      </c>
      <c r="AA23" s="297" t="s">
        <v>303</v>
      </c>
      <c r="AB23" s="361">
        <v>20</v>
      </c>
      <c r="AC23" s="357" t="s">
        <v>284</v>
      </c>
      <c r="AD23" s="3632"/>
      <c r="AE23" s="3632"/>
      <c r="AF23" s="3632"/>
      <c r="AG23" s="3632"/>
      <c r="AH23" s="3632"/>
      <c r="AI23" s="3632"/>
      <c r="AJ23" s="3632"/>
      <c r="AK23" s="3632"/>
      <c r="AL23" s="3632"/>
      <c r="AM23" s="3632"/>
      <c r="AN23" s="3632"/>
      <c r="AO23" s="3632"/>
      <c r="AP23" s="3632"/>
      <c r="AQ23" s="3632"/>
      <c r="AR23" s="3632"/>
      <c r="AS23" s="3632"/>
      <c r="AT23" s="3632"/>
      <c r="AU23" s="3632"/>
      <c r="AV23" s="3632"/>
      <c r="AW23" s="3632"/>
      <c r="AX23" s="3632"/>
      <c r="AY23" s="3632"/>
      <c r="AZ23" s="3632"/>
      <c r="BA23" s="3632"/>
      <c r="BB23" s="3632"/>
      <c r="BC23" s="3632"/>
      <c r="BD23" s="3632"/>
      <c r="BE23" s="3632"/>
      <c r="BF23" s="3632"/>
      <c r="BG23" s="3632"/>
      <c r="BH23" s="3632"/>
      <c r="BI23" s="3632"/>
      <c r="BJ23" s="3632"/>
      <c r="BK23" s="3663"/>
      <c r="BL23" s="3663"/>
      <c r="BM23" s="3665"/>
      <c r="BN23" s="3661"/>
      <c r="BO23" s="3661"/>
      <c r="BP23" s="3661"/>
      <c r="BQ23" s="3037"/>
      <c r="BR23" s="3037"/>
      <c r="BS23" s="3037"/>
      <c r="BT23" s="3037"/>
      <c r="BU23" s="3075"/>
    </row>
    <row r="24" spans="1:73" s="24" customFormat="1" ht="60.75" customHeight="1" x14ac:dyDescent="0.25">
      <c r="A24" s="258"/>
      <c r="B24" s="259"/>
      <c r="C24" s="258"/>
      <c r="D24" s="259"/>
      <c r="E24" s="346"/>
      <c r="F24" s="3621"/>
      <c r="G24" s="3652"/>
      <c r="H24" s="3653"/>
      <c r="I24" s="3654"/>
      <c r="J24" s="3653"/>
      <c r="K24" s="3654"/>
      <c r="L24" s="3655"/>
      <c r="M24" s="3656"/>
      <c r="N24" s="3657"/>
      <c r="O24" s="3659"/>
      <c r="P24" s="3616"/>
      <c r="Q24" s="3612"/>
      <c r="R24" s="3614"/>
      <c r="S24" s="3646"/>
      <c r="T24" s="3637"/>
      <c r="U24" s="3639"/>
      <c r="V24" s="3642"/>
      <c r="W24" s="362" t="s">
        <v>304</v>
      </c>
      <c r="X24" s="347">
        <v>50000000</v>
      </c>
      <c r="Y24" s="347">
        <v>32080000</v>
      </c>
      <c r="Z24" s="347">
        <v>32080000</v>
      </c>
      <c r="AA24" s="363" t="s">
        <v>305</v>
      </c>
      <c r="AB24" s="364">
        <v>39</v>
      </c>
      <c r="AC24" s="357" t="s">
        <v>306</v>
      </c>
      <c r="AD24" s="3632"/>
      <c r="AE24" s="3632"/>
      <c r="AF24" s="3632"/>
      <c r="AG24" s="3632"/>
      <c r="AH24" s="3632"/>
      <c r="AI24" s="3632"/>
      <c r="AJ24" s="3632"/>
      <c r="AK24" s="3632"/>
      <c r="AL24" s="3632"/>
      <c r="AM24" s="3632"/>
      <c r="AN24" s="3632"/>
      <c r="AO24" s="3632"/>
      <c r="AP24" s="3632"/>
      <c r="AQ24" s="3632"/>
      <c r="AR24" s="3632"/>
      <c r="AS24" s="3632"/>
      <c r="AT24" s="3632"/>
      <c r="AU24" s="3632"/>
      <c r="AV24" s="3632"/>
      <c r="AW24" s="3632"/>
      <c r="AX24" s="3632"/>
      <c r="AY24" s="3632"/>
      <c r="AZ24" s="3632"/>
      <c r="BA24" s="3632"/>
      <c r="BB24" s="3632"/>
      <c r="BC24" s="3632"/>
      <c r="BD24" s="3632"/>
      <c r="BE24" s="3632"/>
      <c r="BF24" s="3632"/>
      <c r="BG24" s="3632"/>
      <c r="BH24" s="3632"/>
      <c r="BI24" s="3632"/>
      <c r="BJ24" s="3632"/>
      <c r="BK24" s="3663"/>
      <c r="BL24" s="3663"/>
      <c r="BM24" s="3665"/>
      <c r="BN24" s="3661"/>
      <c r="BO24" s="3661"/>
      <c r="BP24" s="3661"/>
      <c r="BQ24" s="3037"/>
      <c r="BR24" s="3037"/>
      <c r="BS24" s="3037"/>
      <c r="BT24" s="3037"/>
      <c r="BU24" s="3075"/>
    </row>
    <row r="25" spans="1:73" s="24" customFormat="1" ht="60.75" customHeight="1" x14ac:dyDescent="0.25">
      <c r="A25" s="258"/>
      <c r="B25" s="259"/>
      <c r="C25" s="258"/>
      <c r="D25" s="259"/>
      <c r="E25" s="346"/>
      <c r="F25" s="3621"/>
      <c r="G25" s="3652"/>
      <c r="H25" s="3653"/>
      <c r="I25" s="3654"/>
      <c r="J25" s="3653"/>
      <c r="K25" s="3654"/>
      <c r="L25" s="3655"/>
      <c r="M25" s="3656"/>
      <c r="N25" s="3657"/>
      <c r="O25" s="3659"/>
      <c r="P25" s="3616"/>
      <c r="Q25" s="3612"/>
      <c r="R25" s="3614"/>
      <c r="S25" s="3646"/>
      <c r="T25" s="3637"/>
      <c r="U25" s="3639"/>
      <c r="V25" s="3642"/>
      <c r="W25" s="362" t="s">
        <v>307</v>
      </c>
      <c r="X25" s="347">
        <v>28000000</v>
      </c>
      <c r="Y25" s="347">
        <v>14400000</v>
      </c>
      <c r="Z25" s="347">
        <v>14400000</v>
      </c>
      <c r="AA25" s="363" t="s">
        <v>305</v>
      </c>
      <c r="AB25" s="364">
        <v>39</v>
      </c>
      <c r="AC25" s="357" t="s">
        <v>306</v>
      </c>
      <c r="AD25" s="3632"/>
      <c r="AE25" s="3632"/>
      <c r="AF25" s="3632"/>
      <c r="AG25" s="3632"/>
      <c r="AH25" s="3632"/>
      <c r="AI25" s="3632"/>
      <c r="AJ25" s="3632"/>
      <c r="AK25" s="3632"/>
      <c r="AL25" s="3632"/>
      <c r="AM25" s="3632"/>
      <c r="AN25" s="3632"/>
      <c r="AO25" s="3632"/>
      <c r="AP25" s="3632"/>
      <c r="AQ25" s="3632"/>
      <c r="AR25" s="3632"/>
      <c r="AS25" s="3632"/>
      <c r="AT25" s="3632"/>
      <c r="AU25" s="3632"/>
      <c r="AV25" s="3632"/>
      <c r="AW25" s="3632"/>
      <c r="AX25" s="3632"/>
      <c r="AY25" s="3632"/>
      <c r="AZ25" s="3632"/>
      <c r="BA25" s="3632"/>
      <c r="BB25" s="3632"/>
      <c r="BC25" s="3632"/>
      <c r="BD25" s="3632"/>
      <c r="BE25" s="3632"/>
      <c r="BF25" s="3632"/>
      <c r="BG25" s="3632"/>
      <c r="BH25" s="3632"/>
      <c r="BI25" s="3632"/>
      <c r="BJ25" s="3632"/>
      <c r="BK25" s="3663"/>
      <c r="BL25" s="3663"/>
      <c r="BM25" s="3665"/>
      <c r="BN25" s="3661"/>
      <c r="BO25" s="3661"/>
      <c r="BP25" s="3661"/>
      <c r="BQ25" s="3037"/>
      <c r="BR25" s="3037"/>
      <c r="BS25" s="3037"/>
      <c r="BT25" s="3037"/>
      <c r="BU25" s="3075"/>
    </row>
    <row r="26" spans="1:73" s="24" customFormat="1" ht="60.75" customHeight="1" x14ac:dyDescent="0.25">
      <c r="A26" s="258"/>
      <c r="B26" s="259"/>
      <c r="C26" s="258"/>
      <c r="D26" s="259"/>
      <c r="E26" s="346"/>
      <c r="F26" s="3621"/>
      <c r="G26" s="3652"/>
      <c r="H26" s="3653"/>
      <c r="I26" s="3654"/>
      <c r="J26" s="3653"/>
      <c r="K26" s="3654"/>
      <c r="L26" s="3655"/>
      <c r="M26" s="3656"/>
      <c r="N26" s="3657"/>
      <c r="O26" s="3659"/>
      <c r="P26" s="3616"/>
      <c r="Q26" s="3612"/>
      <c r="R26" s="3614"/>
      <c r="S26" s="3646"/>
      <c r="T26" s="3637"/>
      <c r="U26" s="3639"/>
      <c r="V26" s="3642"/>
      <c r="W26" s="362" t="s">
        <v>308</v>
      </c>
      <c r="X26" s="347">
        <v>36000000</v>
      </c>
      <c r="Y26" s="347">
        <v>30000000</v>
      </c>
      <c r="Z26" s="347">
        <v>30000000</v>
      </c>
      <c r="AA26" s="363" t="s">
        <v>305</v>
      </c>
      <c r="AB26" s="364">
        <v>39</v>
      </c>
      <c r="AC26" s="357" t="s">
        <v>306</v>
      </c>
      <c r="AD26" s="3632"/>
      <c r="AE26" s="3632"/>
      <c r="AF26" s="3632"/>
      <c r="AG26" s="3632"/>
      <c r="AH26" s="3632"/>
      <c r="AI26" s="3632"/>
      <c r="AJ26" s="3632"/>
      <c r="AK26" s="3632"/>
      <c r="AL26" s="3632"/>
      <c r="AM26" s="3632"/>
      <c r="AN26" s="3632"/>
      <c r="AO26" s="3632"/>
      <c r="AP26" s="3632"/>
      <c r="AQ26" s="3632"/>
      <c r="AR26" s="3632"/>
      <c r="AS26" s="3632"/>
      <c r="AT26" s="3632"/>
      <c r="AU26" s="3632"/>
      <c r="AV26" s="3632"/>
      <c r="AW26" s="3632"/>
      <c r="AX26" s="3632"/>
      <c r="AY26" s="3632"/>
      <c r="AZ26" s="3632"/>
      <c r="BA26" s="3632"/>
      <c r="BB26" s="3632"/>
      <c r="BC26" s="3632"/>
      <c r="BD26" s="3632"/>
      <c r="BE26" s="3632"/>
      <c r="BF26" s="3632"/>
      <c r="BG26" s="3632"/>
      <c r="BH26" s="3632"/>
      <c r="BI26" s="3632"/>
      <c r="BJ26" s="3632"/>
      <c r="BK26" s="3663"/>
      <c r="BL26" s="3663"/>
      <c r="BM26" s="3665"/>
      <c r="BN26" s="3661"/>
      <c r="BO26" s="3661"/>
      <c r="BP26" s="3661"/>
      <c r="BQ26" s="3037"/>
      <c r="BR26" s="3037"/>
      <c r="BS26" s="3037"/>
      <c r="BT26" s="3037"/>
      <c r="BU26" s="3075"/>
    </row>
    <row r="27" spans="1:73" s="24" customFormat="1" ht="60.75" customHeight="1" x14ac:dyDescent="0.25">
      <c r="A27" s="258"/>
      <c r="B27" s="259"/>
      <c r="C27" s="258"/>
      <c r="D27" s="259"/>
      <c r="E27" s="346"/>
      <c r="F27" s="3621"/>
      <c r="G27" s="3652"/>
      <c r="H27" s="3653"/>
      <c r="I27" s="3654"/>
      <c r="J27" s="3653"/>
      <c r="K27" s="3654"/>
      <c r="L27" s="3655"/>
      <c r="M27" s="3656"/>
      <c r="N27" s="3657"/>
      <c r="O27" s="3659"/>
      <c r="P27" s="3616"/>
      <c r="Q27" s="3612"/>
      <c r="R27" s="3614"/>
      <c r="S27" s="3646"/>
      <c r="T27" s="3637"/>
      <c r="U27" s="3639"/>
      <c r="V27" s="3642"/>
      <c r="W27" s="3613" t="s">
        <v>309</v>
      </c>
      <c r="X27" s="347">
        <v>805912475</v>
      </c>
      <c r="Y27" s="347">
        <v>743546818.11000001</v>
      </c>
      <c r="Z27" s="347">
        <v>743546818.11000001</v>
      </c>
      <c r="AA27" s="363" t="s">
        <v>305</v>
      </c>
      <c r="AB27" s="364">
        <v>39</v>
      </c>
      <c r="AC27" s="357" t="s">
        <v>306</v>
      </c>
      <c r="AD27" s="3632"/>
      <c r="AE27" s="3632"/>
      <c r="AF27" s="3632"/>
      <c r="AG27" s="3632"/>
      <c r="AH27" s="3632"/>
      <c r="AI27" s="3632"/>
      <c r="AJ27" s="3632"/>
      <c r="AK27" s="3632"/>
      <c r="AL27" s="3632"/>
      <c r="AM27" s="3632"/>
      <c r="AN27" s="3632"/>
      <c r="AO27" s="3632"/>
      <c r="AP27" s="3632"/>
      <c r="AQ27" s="3632"/>
      <c r="AR27" s="3632"/>
      <c r="AS27" s="3632"/>
      <c r="AT27" s="3632"/>
      <c r="AU27" s="3632"/>
      <c r="AV27" s="3632"/>
      <c r="AW27" s="3632"/>
      <c r="AX27" s="3632"/>
      <c r="AY27" s="3632"/>
      <c r="AZ27" s="3632"/>
      <c r="BA27" s="3632"/>
      <c r="BB27" s="3632"/>
      <c r="BC27" s="3632"/>
      <c r="BD27" s="3632"/>
      <c r="BE27" s="3632"/>
      <c r="BF27" s="3632"/>
      <c r="BG27" s="3632"/>
      <c r="BH27" s="3632"/>
      <c r="BI27" s="3632"/>
      <c r="BJ27" s="3632"/>
      <c r="BK27" s="3663"/>
      <c r="BL27" s="3663"/>
      <c r="BM27" s="3665"/>
      <c r="BN27" s="3661"/>
      <c r="BO27" s="3661"/>
      <c r="BP27" s="3661"/>
      <c r="BQ27" s="3037"/>
      <c r="BR27" s="3037"/>
      <c r="BS27" s="3037"/>
      <c r="BT27" s="3037"/>
      <c r="BU27" s="3075"/>
    </row>
    <row r="28" spans="1:73" s="24" customFormat="1" ht="60.75" customHeight="1" x14ac:dyDescent="0.25">
      <c r="A28" s="258"/>
      <c r="B28" s="259"/>
      <c r="C28" s="258"/>
      <c r="D28" s="259"/>
      <c r="E28" s="346"/>
      <c r="F28" s="3621"/>
      <c r="G28" s="3652"/>
      <c r="H28" s="3653"/>
      <c r="I28" s="3654"/>
      <c r="J28" s="3653"/>
      <c r="K28" s="3654"/>
      <c r="L28" s="3655"/>
      <c r="M28" s="3656"/>
      <c r="N28" s="3657"/>
      <c r="O28" s="3659"/>
      <c r="P28" s="3616"/>
      <c r="Q28" s="3612"/>
      <c r="R28" s="3614"/>
      <c r="S28" s="3646"/>
      <c r="T28" s="3637"/>
      <c r="U28" s="3639"/>
      <c r="V28" s="3642"/>
      <c r="W28" s="3614"/>
      <c r="X28" s="347">
        <v>176183734.30000001</v>
      </c>
      <c r="Y28" s="347">
        <v>176183734.30000001</v>
      </c>
      <c r="Z28" s="347">
        <v>176183734.30000001</v>
      </c>
      <c r="AA28" s="363" t="s">
        <v>310</v>
      </c>
      <c r="AB28" s="364">
        <v>83</v>
      </c>
      <c r="AC28" s="353" t="s">
        <v>311</v>
      </c>
      <c r="AD28" s="3632"/>
      <c r="AE28" s="3632"/>
      <c r="AF28" s="3632"/>
      <c r="AG28" s="3632"/>
      <c r="AH28" s="3632"/>
      <c r="AI28" s="3632"/>
      <c r="AJ28" s="3632"/>
      <c r="AK28" s="3632"/>
      <c r="AL28" s="3632"/>
      <c r="AM28" s="3632"/>
      <c r="AN28" s="3632"/>
      <c r="AO28" s="3632"/>
      <c r="AP28" s="3632"/>
      <c r="AQ28" s="3632"/>
      <c r="AR28" s="3632"/>
      <c r="AS28" s="3632"/>
      <c r="AT28" s="3632"/>
      <c r="AU28" s="3632"/>
      <c r="AV28" s="3632"/>
      <c r="AW28" s="3632"/>
      <c r="AX28" s="3632"/>
      <c r="AY28" s="3632"/>
      <c r="AZ28" s="3632"/>
      <c r="BA28" s="3632"/>
      <c r="BB28" s="3632"/>
      <c r="BC28" s="3632"/>
      <c r="BD28" s="3632"/>
      <c r="BE28" s="3632"/>
      <c r="BF28" s="3632"/>
      <c r="BG28" s="3632"/>
      <c r="BH28" s="3632"/>
      <c r="BI28" s="3632"/>
      <c r="BJ28" s="3632"/>
      <c r="BK28" s="3663"/>
      <c r="BL28" s="3663"/>
      <c r="BM28" s="3665"/>
      <c r="BN28" s="3661"/>
      <c r="BO28" s="3661"/>
      <c r="BP28" s="3661"/>
      <c r="BQ28" s="3037"/>
      <c r="BR28" s="3037"/>
      <c r="BS28" s="3037"/>
      <c r="BT28" s="3037"/>
      <c r="BU28" s="3075"/>
    </row>
    <row r="29" spans="1:73" s="24" customFormat="1" ht="60.75" customHeight="1" x14ac:dyDescent="0.25">
      <c r="A29" s="258"/>
      <c r="B29" s="259"/>
      <c r="C29" s="258"/>
      <c r="D29" s="259"/>
      <c r="E29" s="346"/>
      <c r="F29" s="3621"/>
      <c r="G29" s="3652"/>
      <c r="H29" s="3653"/>
      <c r="I29" s="3654"/>
      <c r="J29" s="3653"/>
      <c r="K29" s="3654"/>
      <c r="L29" s="3655"/>
      <c r="M29" s="3656"/>
      <c r="N29" s="3657"/>
      <c r="O29" s="3659"/>
      <c r="P29" s="3616"/>
      <c r="Q29" s="3612"/>
      <c r="R29" s="3614"/>
      <c r="S29" s="3646"/>
      <c r="T29" s="3637"/>
      <c r="U29" s="3639"/>
      <c r="V29" s="3642"/>
      <c r="W29" s="3651"/>
      <c r="X29" s="347">
        <v>30000000</v>
      </c>
      <c r="Y29" s="347">
        <v>30000000</v>
      </c>
      <c r="Z29" s="347">
        <v>30000000</v>
      </c>
      <c r="AA29" s="363" t="s">
        <v>295</v>
      </c>
      <c r="AB29" s="365">
        <v>20</v>
      </c>
      <c r="AC29" s="357" t="s">
        <v>284</v>
      </c>
      <c r="AD29" s="3633"/>
      <c r="AE29" s="3633"/>
      <c r="AF29" s="3633"/>
      <c r="AG29" s="3633"/>
      <c r="AH29" s="3633"/>
      <c r="AI29" s="3633"/>
      <c r="AJ29" s="3633"/>
      <c r="AK29" s="3633"/>
      <c r="AL29" s="3633"/>
      <c r="AM29" s="3633"/>
      <c r="AN29" s="3633"/>
      <c r="AO29" s="3633"/>
      <c r="AP29" s="3633"/>
      <c r="AQ29" s="3633"/>
      <c r="AR29" s="3633"/>
      <c r="AS29" s="3633"/>
      <c r="AT29" s="3633"/>
      <c r="AU29" s="3633"/>
      <c r="AV29" s="3633"/>
      <c r="AW29" s="3633"/>
      <c r="AX29" s="3633"/>
      <c r="AY29" s="3633"/>
      <c r="AZ29" s="3633"/>
      <c r="BA29" s="3633"/>
      <c r="BB29" s="3633"/>
      <c r="BC29" s="3633"/>
      <c r="BD29" s="3633"/>
      <c r="BE29" s="3633"/>
      <c r="BF29" s="3633"/>
      <c r="BG29" s="3633"/>
      <c r="BH29" s="3632"/>
      <c r="BI29" s="3632"/>
      <c r="BJ29" s="3632"/>
      <c r="BK29" s="3663"/>
      <c r="BL29" s="3663"/>
      <c r="BM29" s="3665"/>
      <c r="BN29" s="3661"/>
      <c r="BO29" s="3661"/>
      <c r="BP29" s="3661"/>
      <c r="BQ29" s="3037"/>
      <c r="BR29" s="3037"/>
      <c r="BS29" s="3037"/>
      <c r="BT29" s="3037"/>
      <c r="BU29" s="3075"/>
    </row>
    <row r="30" spans="1:73" s="24" customFormat="1" ht="60.75" customHeight="1" x14ac:dyDescent="0.25">
      <c r="A30" s="258"/>
      <c r="B30" s="259"/>
      <c r="C30" s="258"/>
      <c r="D30" s="259"/>
      <c r="E30" s="346"/>
      <c r="F30" s="3621"/>
      <c r="G30" s="3652"/>
      <c r="H30" s="3653"/>
      <c r="I30" s="3654"/>
      <c r="J30" s="3653"/>
      <c r="K30" s="3654"/>
      <c r="L30" s="3655"/>
      <c r="M30" s="3656"/>
      <c r="N30" s="3657"/>
      <c r="O30" s="3659"/>
      <c r="P30" s="3616"/>
      <c r="Q30" s="3612"/>
      <c r="R30" s="3614"/>
      <c r="S30" s="3646"/>
      <c r="T30" s="3637"/>
      <c r="U30" s="3639"/>
      <c r="V30" s="3642"/>
      <c r="W30" s="362" t="s">
        <v>312</v>
      </c>
      <c r="X30" s="347">
        <v>0</v>
      </c>
      <c r="Y30" s="347">
        <v>0</v>
      </c>
      <c r="Z30" s="347">
        <v>0</v>
      </c>
      <c r="AA30" s="363" t="s">
        <v>313</v>
      </c>
      <c r="AB30" s="364">
        <v>41</v>
      </c>
      <c r="AC30" s="357" t="s">
        <v>314</v>
      </c>
      <c r="AD30" s="3632"/>
      <c r="AE30" s="3632"/>
      <c r="AF30" s="3632"/>
      <c r="AG30" s="3632"/>
      <c r="AH30" s="3632"/>
      <c r="AI30" s="3632"/>
      <c r="AJ30" s="3632"/>
      <c r="AK30" s="3632"/>
      <c r="AL30" s="3632"/>
      <c r="AM30" s="3632"/>
      <c r="AN30" s="3632"/>
      <c r="AO30" s="3632"/>
      <c r="AP30" s="3632"/>
      <c r="AQ30" s="3632"/>
      <c r="AR30" s="3632"/>
      <c r="AS30" s="3632"/>
      <c r="AT30" s="3632"/>
      <c r="AU30" s="3632"/>
      <c r="AV30" s="3632"/>
      <c r="AW30" s="3632"/>
      <c r="AX30" s="3632"/>
      <c r="AY30" s="3632"/>
      <c r="AZ30" s="3632"/>
      <c r="BA30" s="3632"/>
      <c r="BB30" s="3632"/>
      <c r="BC30" s="3632"/>
      <c r="BD30" s="3632"/>
      <c r="BE30" s="3632"/>
      <c r="BF30" s="3632"/>
      <c r="BG30" s="3632"/>
      <c r="BH30" s="3632"/>
      <c r="BI30" s="3632"/>
      <c r="BJ30" s="3632"/>
      <c r="BK30" s="3663"/>
      <c r="BL30" s="3663"/>
      <c r="BM30" s="3665"/>
      <c r="BN30" s="3661"/>
      <c r="BO30" s="3661"/>
      <c r="BP30" s="3661"/>
      <c r="BQ30" s="3037"/>
      <c r="BR30" s="3037"/>
      <c r="BS30" s="3037"/>
      <c r="BT30" s="3037"/>
      <c r="BU30" s="3075"/>
    </row>
    <row r="31" spans="1:73" s="24" customFormat="1" ht="60.75" customHeight="1" x14ac:dyDescent="0.25">
      <c r="A31" s="258"/>
      <c r="B31" s="259"/>
      <c r="C31" s="258"/>
      <c r="D31" s="259"/>
      <c r="E31" s="346"/>
      <c r="F31" s="3621"/>
      <c r="G31" s="3652"/>
      <c r="H31" s="3653"/>
      <c r="I31" s="3654"/>
      <c r="J31" s="3653"/>
      <c r="K31" s="3654"/>
      <c r="L31" s="3655"/>
      <c r="M31" s="3656"/>
      <c r="N31" s="3657"/>
      <c r="O31" s="3659"/>
      <c r="P31" s="3616"/>
      <c r="Q31" s="3612"/>
      <c r="R31" s="3614"/>
      <c r="S31" s="3646"/>
      <c r="T31" s="3637"/>
      <c r="U31" s="3639"/>
      <c r="V31" s="3642"/>
      <c r="W31" s="362" t="s">
        <v>315</v>
      </c>
      <c r="X31" s="347">
        <f>24000000-10500000</f>
        <v>13500000</v>
      </c>
      <c r="Y31" s="347">
        <v>9000000</v>
      </c>
      <c r="Z31" s="347">
        <v>9000000</v>
      </c>
      <c r="AA31" s="363" t="s">
        <v>313</v>
      </c>
      <c r="AB31" s="364">
        <v>41</v>
      </c>
      <c r="AC31" s="357" t="s">
        <v>314</v>
      </c>
      <c r="AD31" s="3632"/>
      <c r="AE31" s="3632"/>
      <c r="AF31" s="3632"/>
      <c r="AG31" s="3632"/>
      <c r="AH31" s="3632"/>
      <c r="AI31" s="3632"/>
      <c r="AJ31" s="3632"/>
      <c r="AK31" s="3632"/>
      <c r="AL31" s="3632"/>
      <c r="AM31" s="3632"/>
      <c r="AN31" s="3632"/>
      <c r="AO31" s="3632"/>
      <c r="AP31" s="3632"/>
      <c r="AQ31" s="3632"/>
      <c r="AR31" s="3632"/>
      <c r="AS31" s="3632"/>
      <c r="AT31" s="3632"/>
      <c r="AU31" s="3632"/>
      <c r="AV31" s="3632"/>
      <c r="AW31" s="3632"/>
      <c r="AX31" s="3632"/>
      <c r="AY31" s="3632"/>
      <c r="AZ31" s="3632"/>
      <c r="BA31" s="3632"/>
      <c r="BB31" s="3632"/>
      <c r="BC31" s="3632"/>
      <c r="BD31" s="3632"/>
      <c r="BE31" s="3632"/>
      <c r="BF31" s="3632"/>
      <c r="BG31" s="3632"/>
      <c r="BH31" s="3632"/>
      <c r="BI31" s="3632"/>
      <c r="BJ31" s="3632"/>
      <c r="BK31" s="3663"/>
      <c r="BL31" s="3663"/>
      <c r="BM31" s="3665"/>
      <c r="BN31" s="3661"/>
      <c r="BO31" s="3661"/>
      <c r="BP31" s="3661"/>
      <c r="BQ31" s="3037"/>
      <c r="BR31" s="3037"/>
      <c r="BS31" s="3037"/>
      <c r="BT31" s="3037"/>
      <c r="BU31" s="3075"/>
    </row>
    <row r="32" spans="1:73" s="24" customFormat="1" ht="57" customHeight="1" x14ac:dyDescent="0.25">
      <c r="A32" s="258"/>
      <c r="B32" s="259"/>
      <c r="C32" s="258"/>
      <c r="D32" s="259"/>
      <c r="E32" s="346"/>
      <c r="F32" s="3621"/>
      <c r="G32" s="3652"/>
      <c r="H32" s="3653"/>
      <c r="I32" s="3654"/>
      <c r="J32" s="3653"/>
      <c r="K32" s="3654"/>
      <c r="L32" s="3655"/>
      <c r="M32" s="3656"/>
      <c r="N32" s="3657"/>
      <c r="O32" s="3659"/>
      <c r="P32" s="3616"/>
      <c r="Q32" s="3612"/>
      <c r="R32" s="3614"/>
      <c r="S32" s="3646"/>
      <c r="T32" s="3637"/>
      <c r="U32" s="3639"/>
      <c r="V32" s="3642"/>
      <c r="W32" s="362" t="s">
        <v>316</v>
      </c>
      <c r="X32" s="347">
        <v>35212900</v>
      </c>
      <c r="Y32" s="347">
        <v>19500000</v>
      </c>
      <c r="Z32" s="347">
        <v>19500000</v>
      </c>
      <c r="AA32" s="363" t="s">
        <v>313</v>
      </c>
      <c r="AB32" s="364">
        <v>41</v>
      </c>
      <c r="AC32" s="357" t="s">
        <v>314</v>
      </c>
      <c r="AD32" s="3632"/>
      <c r="AE32" s="3632"/>
      <c r="AF32" s="3632"/>
      <c r="AG32" s="3632"/>
      <c r="AH32" s="3632"/>
      <c r="AI32" s="3632"/>
      <c r="AJ32" s="3632"/>
      <c r="AK32" s="3632"/>
      <c r="AL32" s="3632"/>
      <c r="AM32" s="3632"/>
      <c r="AN32" s="3632"/>
      <c r="AO32" s="3632"/>
      <c r="AP32" s="3632"/>
      <c r="AQ32" s="3632"/>
      <c r="AR32" s="3632"/>
      <c r="AS32" s="3632"/>
      <c r="AT32" s="3632"/>
      <c r="AU32" s="3632"/>
      <c r="AV32" s="3632"/>
      <c r="AW32" s="3632"/>
      <c r="AX32" s="3632"/>
      <c r="AY32" s="3632"/>
      <c r="AZ32" s="3632"/>
      <c r="BA32" s="3632"/>
      <c r="BB32" s="3632"/>
      <c r="BC32" s="3632"/>
      <c r="BD32" s="3632"/>
      <c r="BE32" s="3632"/>
      <c r="BF32" s="3632"/>
      <c r="BG32" s="3632"/>
      <c r="BH32" s="3632"/>
      <c r="BI32" s="3632"/>
      <c r="BJ32" s="3632"/>
      <c r="BK32" s="3663"/>
      <c r="BL32" s="3663"/>
      <c r="BM32" s="3665"/>
      <c r="BN32" s="3661"/>
      <c r="BO32" s="3661"/>
      <c r="BP32" s="3661"/>
      <c r="BQ32" s="3037"/>
      <c r="BR32" s="3037"/>
      <c r="BS32" s="3037"/>
      <c r="BT32" s="3037"/>
      <c r="BU32" s="3075"/>
    </row>
    <row r="33" spans="1:73" s="24" customFormat="1" ht="47.25" customHeight="1" x14ac:dyDescent="0.25">
      <c r="A33" s="258"/>
      <c r="B33" s="259"/>
      <c r="C33" s="258"/>
      <c r="D33" s="259"/>
      <c r="E33" s="346"/>
      <c r="F33" s="3621"/>
      <c r="G33" s="3652"/>
      <c r="H33" s="3653"/>
      <c r="I33" s="3654"/>
      <c r="J33" s="3653"/>
      <c r="K33" s="3654"/>
      <c r="L33" s="3655"/>
      <c r="M33" s="3656"/>
      <c r="N33" s="3657"/>
      <c r="O33" s="3659"/>
      <c r="P33" s="3616"/>
      <c r="Q33" s="3612"/>
      <c r="R33" s="3614"/>
      <c r="S33" s="3646"/>
      <c r="T33" s="3637"/>
      <c r="U33" s="3639"/>
      <c r="V33" s="3642"/>
      <c r="W33" s="3613" t="s">
        <v>317</v>
      </c>
      <c r="X33" s="347">
        <v>135269594.59999999</v>
      </c>
      <c r="Y33" s="347">
        <v>135269506</v>
      </c>
      <c r="Z33" s="347">
        <v>135269506</v>
      </c>
      <c r="AA33" s="363" t="s">
        <v>313</v>
      </c>
      <c r="AB33" s="364">
        <v>41</v>
      </c>
      <c r="AC33" s="357" t="s">
        <v>314</v>
      </c>
      <c r="AD33" s="3632"/>
      <c r="AE33" s="3632"/>
      <c r="AF33" s="3632"/>
      <c r="AG33" s="3632"/>
      <c r="AH33" s="3632"/>
      <c r="AI33" s="3632"/>
      <c r="AJ33" s="3632"/>
      <c r="AK33" s="3632"/>
      <c r="AL33" s="3632"/>
      <c r="AM33" s="3632"/>
      <c r="AN33" s="3632"/>
      <c r="AO33" s="3632"/>
      <c r="AP33" s="3632"/>
      <c r="AQ33" s="3632"/>
      <c r="AR33" s="3632"/>
      <c r="AS33" s="3632"/>
      <c r="AT33" s="3632"/>
      <c r="AU33" s="3632"/>
      <c r="AV33" s="3632"/>
      <c r="AW33" s="3632"/>
      <c r="AX33" s="3632"/>
      <c r="AY33" s="3632"/>
      <c r="AZ33" s="3632"/>
      <c r="BA33" s="3632"/>
      <c r="BB33" s="3632"/>
      <c r="BC33" s="3632"/>
      <c r="BD33" s="3632"/>
      <c r="BE33" s="3632"/>
      <c r="BF33" s="3632"/>
      <c r="BG33" s="3632"/>
      <c r="BH33" s="3632"/>
      <c r="BI33" s="3632"/>
      <c r="BJ33" s="3632"/>
      <c r="BK33" s="3663"/>
      <c r="BL33" s="3663"/>
      <c r="BM33" s="3665"/>
      <c r="BN33" s="3661"/>
      <c r="BO33" s="3661"/>
      <c r="BP33" s="3661"/>
      <c r="BQ33" s="3037"/>
      <c r="BR33" s="3037"/>
      <c r="BS33" s="3037"/>
      <c r="BT33" s="3037"/>
      <c r="BU33" s="3075"/>
    </row>
    <row r="34" spans="1:73" s="24" customFormat="1" ht="47.25" customHeight="1" x14ac:dyDescent="0.25">
      <c r="A34" s="258"/>
      <c r="B34" s="259"/>
      <c r="C34" s="258"/>
      <c r="D34" s="259"/>
      <c r="E34" s="346"/>
      <c r="F34" s="3621"/>
      <c r="G34" s="3652"/>
      <c r="H34" s="3653"/>
      <c r="I34" s="3654"/>
      <c r="J34" s="3653"/>
      <c r="K34" s="3654"/>
      <c r="L34" s="3655"/>
      <c r="M34" s="3656"/>
      <c r="N34" s="3658"/>
      <c r="O34" s="3660"/>
      <c r="P34" s="3616"/>
      <c r="Q34" s="3612"/>
      <c r="R34" s="3614"/>
      <c r="S34" s="3646"/>
      <c r="T34" s="3637"/>
      <c r="U34" s="3639"/>
      <c r="V34" s="3643"/>
      <c r="W34" s="3651"/>
      <c r="X34" s="347">
        <f>24600000+50000000</f>
        <v>74600000</v>
      </c>
      <c r="Y34" s="347">
        <v>74600000</v>
      </c>
      <c r="Z34" s="347">
        <v>74600000</v>
      </c>
      <c r="AA34" s="363" t="s">
        <v>295</v>
      </c>
      <c r="AB34" s="365">
        <v>20</v>
      </c>
      <c r="AC34" s="357" t="s">
        <v>284</v>
      </c>
      <c r="AD34" s="3633"/>
      <c r="AE34" s="3633"/>
      <c r="AF34" s="3633"/>
      <c r="AG34" s="3633"/>
      <c r="AH34" s="3633"/>
      <c r="AI34" s="3633"/>
      <c r="AJ34" s="3633"/>
      <c r="AK34" s="3633"/>
      <c r="AL34" s="3633"/>
      <c r="AM34" s="3633"/>
      <c r="AN34" s="3633"/>
      <c r="AO34" s="3633"/>
      <c r="AP34" s="3633"/>
      <c r="AQ34" s="3633"/>
      <c r="AR34" s="3633"/>
      <c r="AS34" s="3633"/>
      <c r="AT34" s="3633"/>
      <c r="AU34" s="3633"/>
      <c r="AV34" s="3633"/>
      <c r="AW34" s="3633"/>
      <c r="AX34" s="3633"/>
      <c r="AY34" s="3633"/>
      <c r="AZ34" s="3633"/>
      <c r="BA34" s="3633"/>
      <c r="BB34" s="3633"/>
      <c r="BC34" s="3633"/>
      <c r="BD34" s="3633"/>
      <c r="BE34" s="3633"/>
      <c r="BF34" s="3633"/>
      <c r="BG34" s="3633"/>
      <c r="BH34" s="3632"/>
      <c r="BI34" s="3632"/>
      <c r="BJ34" s="3632"/>
      <c r="BK34" s="3663"/>
      <c r="BL34" s="3663"/>
      <c r="BM34" s="3665"/>
      <c r="BN34" s="3661"/>
      <c r="BO34" s="3661"/>
      <c r="BP34" s="3661"/>
      <c r="BQ34" s="3037"/>
      <c r="BR34" s="3037"/>
      <c r="BS34" s="3037"/>
      <c r="BT34" s="3037"/>
      <c r="BU34" s="3075"/>
    </row>
    <row r="35" spans="1:73" s="24" customFormat="1" ht="55.5" customHeight="1" x14ac:dyDescent="0.25">
      <c r="A35" s="258"/>
      <c r="B35" s="259"/>
      <c r="C35" s="258"/>
      <c r="D35" s="259"/>
      <c r="E35" s="346"/>
      <c r="F35" s="3621"/>
      <c r="G35" s="366" t="s">
        <v>20</v>
      </c>
      <c r="H35" s="367" t="s">
        <v>318</v>
      </c>
      <c r="I35" s="366">
        <v>3301070</v>
      </c>
      <c r="J35" s="368" t="s">
        <v>319</v>
      </c>
      <c r="K35" s="155" t="s">
        <v>20</v>
      </c>
      <c r="L35" s="369" t="s">
        <v>320</v>
      </c>
      <c r="M35" s="370">
        <v>330107000</v>
      </c>
      <c r="N35" s="371" t="s">
        <v>321</v>
      </c>
      <c r="O35" s="357">
        <v>0.3</v>
      </c>
      <c r="P35" s="357">
        <v>0.25</v>
      </c>
      <c r="Q35" s="3612"/>
      <c r="R35" s="3614"/>
      <c r="S35" s="372">
        <f>X35/T13</f>
        <v>1.0100608607429406E-2</v>
      </c>
      <c r="T35" s="3637"/>
      <c r="U35" s="3639"/>
      <c r="V35" s="373" t="s">
        <v>322</v>
      </c>
      <c r="W35" s="362" t="s">
        <v>323</v>
      </c>
      <c r="X35" s="347">
        <v>20000000</v>
      </c>
      <c r="Y35" s="347">
        <v>19944166</v>
      </c>
      <c r="Z35" s="347">
        <v>19944166</v>
      </c>
      <c r="AA35" s="363" t="s">
        <v>324</v>
      </c>
      <c r="AB35" s="365">
        <v>20</v>
      </c>
      <c r="AC35" s="357" t="s">
        <v>284</v>
      </c>
      <c r="AD35" s="3633"/>
      <c r="AE35" s="3633"/>
      <c r="AF35" s="3633"/>
      <c r="AG35" s="3633"/>
      <c r="AH35" s="3633"/>
      <c r="AI35" s="3633"/>
      <c r="AJ35" s="3633"/>
      <c r="AK35" s="3633"/>
      <c r="AL35" s="3633"/>
      <c r="AM35" s="3633"/>
      <c r="AN35" s="3633"/>
      <c r="AO35" s="3633"/>
      <c r="AP35" s="3633"/>
      <c r="AQ35" s="3633"/>
      <c r="AR35" s="3633"/>
      <c r="AS35" s="3633"/>
      <c r="AT35" s="3633"/>
      <c r="AU35" s="3633"/>
      <c r="AV35" s="3633"/>
      <c r="AW35" s="3633"/>
      <c r="AX35" s="3633"/>
      <c r="AY35" s="3633"/>
      <c r="AZ35" s="3633"/>
      <c r="BA35" s="3633"/>
      <c r="BB35" s="3633"/>
      <c r="BC35" s="3633"/>
      <c r="BD35" s="3633"/>
      <c r="BE35" s="3633"/>
      <c r="BF35" s="3633"/>
      <c r="BG35" s="3633"/>
      <c r="BH35" s="3632"/>
      <c r="BI35" s="3632"/>
      <c r="BJ35" s="3632"/>
      <c r="BK35" s="3663"/>
      <c r="BL35" s="3663"/>
      <c r="BM35" s="3665"/>
      <c r="BN35" s="3661"/>
      <c r="BO35" s="3661"/>
      <c r="BP35" s="3661"/>
      <c r="BQ35" s="3037"/>
      <c r="BR35" s="3037"/>
      <c r="BS35" s="3037"/>
      <c r="BT35" s="3037"/>
      <c r="BU35" s="3075"/>
    </row>
    <row r="36" spans="1:73" s="24" customFormat="1" ht="63.75" customHeight="1" x14ac:dyDescent="0.25">
      <c r="A36" s="258"/>
      <c r="B36" s="259"/>
      <c r="C36" s="258"/>
      <c r="D36" s="259"/>
      <c r="E36" s="346"/>
      <c r="F36" s="3621"/>
      <c r="G36" s="374">
        <v>3301099</v>
      </c>
      <c r="H36" s="375" t="s">
        <v>325</v>
      </c>
      <c r="I36" s="374">
        <v>3301099</v>
      </c>
      <c r="J36" s="375" t="s">
        <v>325</v>
      </c>
      <c r="K36" s="374">
        <v>330109900</v>
      </c>
      <c r="L36" s="376" t="s">
        <v>326</v>
      </c>
      <c r="M36" s="377">
        <v>330109900</v>
      </c>
      <c r="N36" s="371" t="s">
        <v>326</v>
      </c>
      <c r="O36" s="357">
        <v>1</v>
      </c>
      <c r="P36" s="357">
        <v>1</v>
      </c>
      <c r="Q36" s="3612"/>
      <c r="R36" s="3614"/>
      <c r="S36" s="378">
        <f>X36/T13</f>
        <v>2.7271643240059395E-3</v>
      </c>
      <c r="T36" s="3637"/>
      <c r="U36" s="3639"/>
      <c r="V36" s="379" t="s">
        <v>327</v>
      </c>
      <c r="W36" s="362" t="s">
        <v>328</v>
      </c>
      <c r="X36" s="347">
        <f>30000000-24600000</f>
        <v>5400000</v>
      </c>
      <c r="Y36" s="347">
        <v>5400000</v>
      </c>
      <c r="Z36" s="347">
        <v>5400000</v>
      </c>
      <c r="AA36" s="363" t="s">
        <v>329</v>
      </c>
      <c r="AB36" s="365">
        <v>20</v>
      </c>
      <c r="AC36" s="357" t="s">
        <v>284</v>
      </c>
      <c r="AD36" s="3633"/>
      <c r="AE36" s="3633"/>
      <c r="AF36" s="3633"/>
      <c r="AG36" s="3633"/>
      <c r="AH36" s="3633"/>
      <c r="AI36" s="3633"/>
      <c r="AJ36" s="3633"/>
      <c r="AK36" s="3633"/>
      <c r="AL36" s="3633"/>
      <c r="AM36" s="3633"/>
      <c r="AN36" s="3633"/>
      <c r="AO36" s="3633"/>
      <c r="AP36" s="3633"/>
      <c r="AQ36" s="3633"/>
      <c r="AR36" s="3633"/>
      <c r="AS36" s="3633"/>
      <c r="AT36" s="3633"/>
      <c r="AU36" s="3633"/>
      <c r="AV36" s="3633"/>
      <c r="AW36" s="3633"/>
      <c r="AX36" s="3633"/>
      <c r="AY36" s="3633"/>
      <c r="AZ36" s="3633"/>
      <c r="BA36" s="3633"/>
      <c r="BB36" s="3633"/>
      <c r="BC36" s="3633"/>
      <c r="BD36" s="3633"/>
      <c r="BE36" s="3633"/>
      <c r="BF36" s="3633"/>
      <c r="BG36" s="3633"/>
      <c r="BH36" s="3632"/>
      <c r="BI36" s="3632"/>
      <c r="BJ36" s="3632"/>
      <c r="BK36" s="3663"/>
      <c r="BL36" s="3663"/>
      <c r="BM36" s="3665"/>
      <c r="BN36" s="3661"/>
      <c r="BO36" s="3661"/>
      <c r="BP36" s="3661"/>
      <c r="BQ36" s="3037"/>
      <c r="BR36" s="3037"/>
      <c r="BS36" s="3037"/>
      <c r="BT36" s="3037"/>
      <c r="BU36" s="3075"/>
    </row>
    <row r="37" spans="1:73" s="24" customFormat="1" ht="85.5" customHeight="1" x14ac:dyDescent="0.25">
      <c r="A37" s="258"/>
      <c r="B37" s="259"/>
      <c r="C37" s="258"/>
      <c r="D37" s="259"/>
      <c r="E37" s="346"/>
      <c r="F37" s="3621"/>
      <c r="G37" s="380">
        <v>3301052</v>
      </c>
      <c r="H37" s="381" t="s">
        <v>330</v>
      </c>
      <c r="I37" s="380">
        <v>3301052</v>
      </c>
      <c r="J37" s="381" t="s">
        <v>330</v>
      </c>
      <c r="K37" s="380">
        <v>330105203</v>
      </c>
      <c r="L37" s="382" t="s">
        <v>331</v>
      </c>
      <c r="M37" s="383">
        <v>330105203</v>
      </c>
      <c r="N37" s="371" t="s">
        <v>331</v>
      </c>
      <c r="O37" s="357">
        <v>135</v>
      </c>
      <c r="P37" s="357">
        <v>0</v>
      </c>
      <c r="Q37" s="3612"/>
      <c r="R37" s="3614"/>
      <c r="S37" s="384">
        <f>X37/T13</f>
        <v>9.0905477466864653E-3</v>
      </c>
      <c r="T37" s="3637"/>
      <c r="U37" s="3640"/>
      <c r="V37" s="379" t="s">
        <v>332</v>
      </c>
      <c r="W37" s="354" t="s">
        <v>333</v>
      </c>
      <c r="X37" s="347">
        <v>18000000</v>
      </c>
      <c r="Y37" s="347">
        <v>0</v>
      </c>
      <c r="Z37" s="347">
        <v>0</v>
      </c>
      <c r="AA37" s="363" t="s">
        <v>334</v>
      </c>
      <c r="AB37" s="365">
        <v>20</v>
      </c>
      <c r="AC37" s="357" t="s">
        <v>284</v>
      </c>
      <c r="AD37" s="3633"/>
      <c r="AE37" s="3633"/>
      <c r="AF37" s="3633"/>
      <c r="AG37" s="3633"/>
      <c r="AH37" s="3633"/>
      <c r="AI37" s="3633"/>
      <c r="AJ37" s="3633"/>
      <c r="AK37" s="3633"/>
      <c r="AL37" s="3633"/>
      <c r="AM37" s="3633"/>
      <c r="AN37" s="3633"/>
      <c r="AO37" s="3633"/>
      <c r="AP37" s="3633"/>
      <c r="AQ37" s="3633"/>
      <c r="AR37" s="3633"/>
      <c r="AS37" s="3633"/>
      <c r="AT37" s="3633"/>
      <c r="AU37" s="3633"/>
      <c r="AV37" s="3633"/>
      <c r="AW37" s="3633"/>
      <c r="AX37" s="3633"/>
      <c r="AY37" s="3633"/>
      <c r="AZ37" s="3633"/>
      <c r="BA37" s="3633"/>
      <c r="BB37" s="3633"/>
      <c r="BC37" s="3633"/>
      <c r="BD37" s="3633"/>
      <c r="BE37" s="3633"/>
      <c r="BF37" s="3633"/>
      <c r="BG37" s="3633"/>
      <c r="BH37" s="3632"/>
      <c r="BI37" s="3632"/>
      <c r="BJ37" s="3632"/>
      <c r="BK37" s="3663"/>
      <c r="BL37" s="3663"/>
      <c r="BM37" s="3665"/>
      <c r="BN37" s="3661"/>
      <c r="BO37" s="3661"/>
      <c r="BP37" s="3661"/>
      <c r="BQ37" s="3037"/>
      <c r="BR37" s="3037"/>
      <c r="BS37" s="3037"/>
      <c r="BT37" s="3037"/>
      <c r="BU37" s="3076"/>
    </row>
    <row r="38" spans="1:73" s="24" customFormat="1" ht="62.25" customHeight="1" x14ac:dyDescent="0.25">
      <c r="A38" s="258"/>
      <c r="B38" s="259"/>
      <c r="C38" s="258"/>
      <c r="D38" s="259"/>
      <c r="E38" s="346"/>
      <c r="F38" s="3621"/>
      <c r="G38" s="3656">
        <v>3301085</v>
      </c>
      <c r="H38" s="3670" t="s">
        <v>335</v>
      </c>
      <c r="I38" s="3656">
        <v>3301085</v>
      </c>
      <c r="J38" s="3670" t="s">
        <v>335</v>
      </c>
      <c r="K38" s="3656">
        <v>330108500</v>
      </c>
      <c r="L38" s="3670" t="s">
        <v>336</v>
      </c>
      <c r="M38" s="3656">
        <v>330108500</v>
      </c>
      <c r="N38" s="3671" t="s">
        <v>336</v>
      </c>
      <c r="O38" s="3666">
        <v>40000</v>
      </c>
      <c r="P38" s="3666">
        <f>16298+394+3994+3112+48592</f>
        <v>72390</v>
      </c>
      <c r="Q38" s="3622" t="s">
        <v>337</v>
      </c>
      <c r="R38" s="3667" t="s">
        <v>338</v>
      </c>
      <c r="S38" s="3668">
        <f>SUM(X38:X54)/T38</f>
        <v>0.78381091355488275</v>
      </c>
      <c r="T38" s="3669">
        <f>SUM(X38:X59)</f>
        <v>333103297.60000002</v>
      </c>
      <c r="U38" s="3675" t="s">
        <v>339</v>
      </c>
      <c r="V38" s="3678" t="s">
        <v>340</v>
      </c>
      <c r="W38" s="3681" t="s">
        <v>341</v>
      </c>
      <c r="X38" s="385">
        <v>73200000</v>
      </c>
      <c r="Y38" s="385">
        <v>32955000</v>
      </c>
      <c r="Z38" s="385">
        <v>32955000</v>
      </c>
      <c r="AA38" s="363" t="s">
        <v>342</v>
      </c>
      <c r="AB38" s="364">
        <v>34</v>
      </c>
      <c r="AC38" s="386" t="s">
        <v>343</v>
      </c>
      <c r="AD38" s="3673">
        <f>'[2]F-PLA-06 PLAN ACCION'!AA37:AA57</f>
        <v>0</v>
      </c>
      <c r="AE38" s="3673">
        <v>12184</v>
      </c>
      <c r="AF38" s="3673">
        <f>'[2]F-PLA-06 PLAN ACCION'!AB37:AB60</f>
        <v>0</v>
      </c>
      <c r="AG38" s="3673">
        <v>8502</v>
      </c>
      <c r="AH38" s="3673">
        <f>'[2]F-PLA-06 PLAN ACCION'!AC37:AC60</f>
        <v>0</v>
      </c>
      <c r="AI38" s="3673">
        <v>15189</v>
      </c>
      <c r="AJ38" s="3673">
        <f>'[2]F-PLA-06 PLAN ACCION'!AD37:AD60</f>
        <v>0</v>
      </c>
      <c r="AK38" s="3673">
        <v>4044</v>
      </c>
      <c r="AL38" s="3673">
        <f>'[2]F-PLA-06 PLAN ACCION'!AE37:AE60</f>
        <v>0</v>
      </c>
      <c r="AM38" s="3673">
        <v>1236</v>
      </c>
      <c r="AN38" s="3673">
        <f>'[2]F-PLA-06 PLAN ACCION'!AF37:AF60</f>
        <v>0</v>
      </c>
      <c r="AO38" s="3673">
        <v>217</v>
      </c>
      <c r="AP38" s="3673">
        <f>'[2]F-PLA-06 PLAN ACCION'!AG37:AG60</f>
        <v>0</v>
      </c>
      <c r="AQ38" s="3673">
        <v>17</v>
      </c>
      <c r="AR38" s="3673">
        <f>'[2]F-PLA-06 PLAN ACCION'!AH37:AH60</f>
        <v>0</v>
      </c>
      <c r="AS38" s="3673">
        <v>60</v>
      </c>
      <c r="AT38" s="3673"/>
      <c r="AU38" s="3673"/>
      <c r="AV38" s="3673"/>
      <c r="AW38" s="3673"/>
      <c r="AX38" s="3673"/>
      <c r="AY38" s="3673"/>
      <c r="AZ38" s="3673"/>
      <c r="BA38" s="3673"/>
      <c r="BB38" s="3673">
        <f>'[2]F-PLA-06 PLAN ACCION'!AM37:AM60</f>
        <v>0</v>
      </c>
      <c r="BC38" s="3673">
        <v>1</v>
      </c>
      <c r="BD38" s="3673">
        <f>'[2]F-PLA-06 PLAN ACCION'!AN37:AN60</f>
        <v>0</v>
      </c>
      <c r="BE38" s="3673">
        <v>97</v>
      </c>
      <c r="BF38" s="3673">
        <f>'[2]F-PLA-06 PLAN ACCION'!AO37:AO60</f>
        <v>0</v>
      </c>
      <c r="BG38" s="3673">
        <v>51</v>
      </c>
      <c r="BH38" s="3673"/>
      <c r="BI38" s="3673">
        <f>'F-PLA-07 CULTURA'!AE38:AE59+'F-PLA-07 CULTURA'!AG38:AG59</f>
        <v>20686</v>
      </c>
      <c r="BJ38" s="3673">
        <v>22</v>
      </c>
      <c r="BK38" s="3669">
        <f>SUM(Y38:Y59)</f>
        <v>216525623.75</v>
      </c>
      <c r="BL38" s="3669">
        <f>SUM(Z38:Z59)</f>
        <v>216525623.75</v>
      </c>
      <c r="BM38" s="3690">
        <v>0</v>
      </c>
      <c r="BN38" s="3673" t="s">
        <v>344</v>
      </c>
      <c r="BO38" s="3673" t="s">
        <v>345</v>
      </c>
      <c r="BP38" s="3673" t="s">
        <v>346</v>
      </c>
      <c r="BQ38" s="3685">
        <v>44200</v>
      </c>
      <c r="BR38" s="3685">
        <v>44551</v>
      </c>
      <c r="BS38" s="3685">
        <v>44560</v>
      </c>
      <c r="BT38" s="3685">
        <v>44551</v>
      </c>
      <c r="BU38" s="3686" t="s">
        <v>347</v>
      </c>
    </row>
    <row r="39" spans="1:73" s="24" customFormat="1" ht="62.25" customHeight="1" x14ac:dyDescent="0.25">
      <c r="A39" s="258"/>
      <c r="B39" s="259"/>
      <c r="C39" s="258"/>
      <c r="D39" s="259"/>
      <c r="E39" s="346"/>
      <c r="F39" s="3621"/>
      <c r="G39" s="3656"/>
      <c r="H39" s="3670"/>
      <c r="I39" s="3656"/>
      <c r="J39" s="3670"/>
      <c r="K39" s="3656"/>
      <c r="L39" s="3670"/>
      <c r="M39" s="3656"/>
      <c r="N39" s="3671"/>
      <c r="O39" s="3666"/>
      <c r="P39" s="3666"/>
      <c r="Q39" s="3622"/>
      <c r="R39" s="3667"/>
      <c r="S39" s="3668"/>
      <c r="T39" s="3669"/>
      <c r="U39" s="3676"/>
      <c r="V39" s="3679"/>
      <c r="W39" s="3681"/>
      <c r="X39" s="385">
        <v>18000000</v>
      </c>
      <c r="Y39" s="385">
        <v>0</v>
      </c>
      <c r="Z39" s="385">
        <v>0</v>
      </c>
      <c r="AA39" s="363" t="s">
        <v>348</v>
      </c>
      <c r="AB39" s="364">
        <v>34</v>
      </c>
      <c r="AC39" s="357" t="s">
        <v>343</v>
      </c>
      <c r="AD39" s="3674"/>
      <c r="AE39" s="3674"/>
      <c r="AF39" s="3674"/>
      <c r="AG39" s="3674"/>
      <c r="AH39" s="3674"/>
      <c r="AI39" s="3674"/>
      <c r="AJ39" s="3674"/>
      <c r="AK39" s="3674"/>
      <c r="AL39" s="3674"/>
      <c r="AM39" s="3674"/>
      <c r="AN39" s="3674"/>
      <c r="AO39" s="3674"/>
      <c r="AP39" s="3674"/>
      <c r="AQ39" s="3674"/>
      <c r="AR39" s="3674"/>
      <c r="AS39" s="3674"/>
      <c r="AT39" s="3674"/>
      <c r="AU39" s="3674"/>
      <c r="AV39" s="3674"/>
      <c r="AW39" s="3674"/>
      <c r="AX39" s="3674"/>
      <c r="AY39" s="3674"/>
      <c r="AZ39" s="3674"/>
      <c r="BA39" s="3674"/>
      <c r="BB39" s="3674"/>
      <c r="BC39" s="3674"/>
      <c r="BD39" s="3674"/>
      <c r="BE39" s="3674"/>
      <c r="BF39" s="3674"/>
      <c r="BG39" s="3674"/>
      <c r="BH39" s="3673"/>
      <c r="BI39" s="3673"/>
      <c r="BJ39" s="3673"/>
      <c r="BK39" s="3669"/>
      <c r="BL39" s="3669"/>
      <c r="BM39" s="3690"/>
      <c r="BN39" s="3673"/>
      <c r="BO39" s="3673"/>
      <c r="BP39" s="3673"/>
      <c r="BQ39" s="3685"/>
      <c r="BR39" s="3685"/>
      <c r="BS39" s="3685"/>
      <c r="BT39" s="3685"/>
      <c r="BU39" s="3686"/>
    </row>
    <row r="40" spans="1:73" s="24" customFormat="1" ht="62.25" customHeight="1" x14ac:dyDescent="0.25">
      <c r="A40" s="258"/>
      <c r="B40" s="259"/>
      <c r="C40" s="258"/>
      <c r="D40" s="259"/>
      <c r="E40" s="346"/>
      <c r="F40" s="3621"/>
      <c r="G40" s="3656"/>
      <c r="H40" s="3670"/>
      <c r="I40" s="3656"/>
      <c r="J40" s="3670"/>
      <c r="K40" s="3656"/>
      <c r="L40" s="3670"/>
      <c r="M40" s="3656"/>
      <c r="N40" s="3671"/>
      <c r="O40" s="3666"/>
      <c r="P40" s="3666"/>
      <c r="Q40" s="3622"/>
      <c r="R40" s="3667"/>
      <c r="S40" s="3668"/>
      <c r="T40" s="3669"/>
      <c r="U40" s="3676"/>
      <c r="V40" s="3679"/>
      <c r="W40" s="3681"/>
      <c r="X40" s="385">
        <v>45000000</v>
      </c>
      <c r="Y40" s="385">
        <v>42948334</v>
      </c>
      <c r="Z40" s="385">
        <v>42948334</v>
      </c>
      <c r="AA40" s="363" t="s">
        <v>349</v>
      </c>
      <c r="AB40" s="364">
        <v>83</v>
      </c>
      <c r="AC40" s="357" t="s">
        <v>350</v>
      </c>
      <c r="AD40" s="3674"/>
      <c r="AE40" s="3674"/>
      <c r="AF40" s="3674"/>
      <c r="AG40" s="3674"/>
      <c r="AH40" s="3674"/>
      <c r="AI40" s="3674"/>
      <c r="AJ40" s="3674"/>
      <c r="AK40" s="3674"/>
      <c r="AL40" s="3674"/>
      <c r="AM40" s="3674"/>
      <c r="AN40" s="3674"/>
      <c r="AO40" s="3674"/>
      <c r="AP40" s="3674"/>
      <c r="AQ40" s="3674"/>
      <c r="AR40" s="3674"/>
      <c r="AS40" s="3674"/>
      <c r="AT40" s="3674"/>
      <c r="AU40" s="3674"/>
      <c r="AV40" s="3674"/>
      <c r="AW40" s="3674"/>
      <c r="AX40" s="3674"/>
      <c r="AY40" s="3674"/>
      <c r="AZ40" s="3674"/>
      <c r="BA40" s="3674"/>
      <c r="BB40" s="3674"/>
      <c r="BC40" s="3674"/>
      <c r="BD40" s="3674"/>
      <c r="BE40" s="3674"/>
      <c r="BF40" s="3674"/>
      <c r="BG40" s="3674"/>
      <c r="BH40" s="3673"/>
      <c r="BI40" s="3673"/>
      <c r="BJ40" s="3673"/>
      <c r="BK40" s="3669"/>
      <c r="BL40" s="3669"/>
      <c r="BM40" s="3690"/>
      <c r="BN40" s="3673"/>
      <c r="BO40" s="3673"/>
      <c r="BP40" s="3673"/>
      <c r="BQ40" s="3685"/>
      <c r="BR40" s="3685"/>
      <c r="BS40" s="3685"/>
      <c r="BT40" s="3685"/>
      <c r="BU40" s="3686"/>
    </row>
    <row r="41" spans="1:73" s="24" customFormat="1" ht="62.25" customHeight="1" x14ac:dyDescent="0.25">
      <c r="A41" s="258"/>
      <c r="B41" s="259"/>
      <c r="C41" s="258"/>
      <c r="D41" s="259"/>
      <c r="E41" s="346"/>
      <c r="F41" s="3621"/>
      <c r="G41" s="3656"/>
      <c r="H41" s="3670"/>
      <c r="I41" s="3656"/>
      <c r="J41" s="3670"/>
      <c r="K41" s="3656"/>
      <c r="L41" s="3670"/>
      <c r="M41" s="3656"/>
      <c r="N41" s="3671"/>
      <c r="O41" s="3666"/>
      <c r="P41" s="3666"/>
      <c r="Q41" s="3622"/>
      <c r="R41" s="3667"/>
      <c r="S41" s="3668"/>
      <c r="T41" s="3669"/>
      <c r="U41" s="3676"/>
      <c r="V41" s="3679"/>
      <c r="W41" s="3681"/>
      <c r="X41" s="385">
        <v>0</v>
      </c>
      <c r="Y41" s="385"/>
      <c r="Z41" s="385"/>
      <c r="AA41" s="363" t="s">
        <v>351</v>
      </c>
      <c r="AB41" s="365">
        <v>20</v>
      </c>
      <c r="AC41" s="387" t="s">
        <v>284</v>
      </c>
      <c r="AD41" s="3674"/>
      <c r="AE41" s="3674"/>
      <c r="AF41" s="3674"/>
      <c r="AG41" s="3674"/>
      <c r="AH41" s="3674"/>
      <c r="AI41" s="3674"/>
      <c r="AJ41" s="3674"/>
      <c r="AK41" s="3674"/>
      <c r="AL41" s="3674"/>
      <c r="AM41" s="3674"/>
      <c r="AN41" s="3674"/>
      <c r="AO41" s="3674"/>
      <c r="AP41" s="3674"/>
      <c r="AQ41" s="3674"/>
      <c r="AR41" s="3674"/>
      <c r="AS41" s="3674"/>
      <c r="AT41" s="3674"/>
      <c r="AU41" s="3674"/>
      <c r="AV41" s="3674"/>
      <c r="AW41" s="3674"/>
      <c r="AX41" s="3674"/>
      <c r="AY41" s="3674"/>
      <c r="AZ41" s="3674"/>
      <c r="BA41" s="3674"/>
      <c r="BB41" s="3674"/>
      <c r="BC41" s="3674"/>
      <c r="BD41" s="3674"/>
      <c r="BE41" s="3674"/>
      <c r="BF41" s="3674"/>
      <c r="BG41" s="3674"/>
      <c r="BH41" s="3673"/>
      <c r="BI41" s="3673"/>
      <c r="BJ41" s="3673"/>
      <c r="BK41" s="3669"/>
      <c r="BL41" s="3669"/>
      <c r="BM41" s="3690"/>
      <c r="BN41" s="3673"/>
      <c r="BO41" s="3673"/>
      <c r="BP41" s="3673"/>
      <c r="BQ41" s="3685"/>
      <c r="BR41" s="3685"/>
      <c r="BS41" s="3685"/>
      <c r="BT41" s="3685"/>
      <c r="BU41" s="3686"/>
    </row>
    <row r="42" spans="1:73" s="24" customFormat="1" ht="62.25" customHeight="1" x14ac:dyDescent="0.25">
      <c r="A42" s="258"/>
      <c r="B42" s="259"/>
      <c r="C42" s="258"/>
      <c r="D42" s="259"/>
      <c r="E42" s="346"/>
      <c r="F42" s="3621"/>
      <c r="G42" s="3656"/>
      <c r="H42" s="3670"/>
      <c r="I42" s="3656"/>
      <c r="J42" s="3670"/>
      <c r="K42" s="3656"/>
      <c r="L42" s="3670"/>
      <c r="M42" s="3656"/>
      <c r="N42" s="3657"/>
      <c r="O42" s="3622"/>
      <c r="P42" s="3622"/>
      <c r="Q42" s="3622"/>
      <c r="R42" s="3667"/>
      <c r="S42" s="3668"/>
      <c r="T42" s="3669"/>
      <c r="U42" s="3676"/>
      <c r="V42" s="3679"/>
      <c r="W42" s="3681"/>
      <c r="X42" s="385">
        <v>4000000</v>
      </c>
      <c r="Y42" s="385">
        <v>4000000</v>
      </c>
      <c r="Z42" s="385">
        <v>4000000</v>
      </c>
      <c r="AA42" s="363" t="s">
        <v>352</v>
      </c>
      <c r="AB42" s="365">
        <v>20</v>
      </c>
      <c r="AC42" s="387" t="s">
        <v>284</v>
      </c>
      <c r="AD42" s="3674"/>
      <c r="AE42" s="3674"/>
      <c r="AF42" s="3674"/>
      <c r="AG42" s="3674"/>
      <c r="AH42" s="3674"/>
      <c r="AI42" s="3674"/>
      <c r="AJ42" s="3674"/>
      <c r="AK42" s="3674"/>
      <c r="AL42" s="3674"/>
      <c r="AM42" s="3674"/>
      <c r="AN42" s="3674"/>
      <c r="AO42" s="3674"/>
      <c r="AP42" s="3674"/>
      <c r="AQ42" s="3674"/>
      <c r="AR42" s="3674"/>
      <c r="AS42" s="3674"/>
      <c r="AT42" s="3674"/>
      <c r="AU42" s="3674"/>
      <c r="AV42" s="3674"/>
      <c r="AW42" s="3674"/>
      <c r="AX42" s="3674"/>
      <c r="AY42" s="3674"/>
      <c r="AZ42" s="3674"/>
      <c r="BA42" s="3674"/>
      <c r="BB42" s="3674"/>
      <c r="BC42" s="3674"/>
      <c r="BD42" s="3674"/>
      <c r="BE42" s="3674"/>
      <c r="BF42" s="3674"/>
      <c r="BG42" s="3674"/>
      <c r="BH42" s="3673"/>
      <c r="BI42" s="3673"/>
      <c r="BJ42" s="3673"/>
      <c r="BK42" s="3669"/>
      <c r="BL42" s="3669"/>
      <c r="BM42" s="3691"/>
      <c r="BN42" s="3673"/>
      <c r="BO42" s="3673"/>
      <c r="BP42" s="3673"/>
      <c r="BQ42" s="3685"/>
      <c r="BR42" s="3685"/>
      <c r="BS42" s="3685"/>
      <c r="BT42" s="3685"/>
      <c r="BU42" s="3687"/>
    </row>
    <row r="43" spans="1:73" s="24" customFormat="1" ht="47.25" customHeight="1" x14ac:dyDescent="0.25">
      <c r="A43" s="258"/>
      <c r="B43" s="259"/>
      <c r="C43" s="258"/>
      <c r="D43" s="259"/>
      <c r="E43" s="346"/>
      <c r="F43" s="3621"/>
      <c r="G43" s="3656"/>
      <c r="H43" s="3670"/>
      <c r="I43" s="3656"/>
      <c r="J43" s="3670"/>
      <c r="K43" s="3656"/>
      <c r="L43" s="3670"/>
      <c r="M43" s="3656"/>
      <c r="N43" s="3657"/>
      <c r="O43" s="3622"/>
      <c r="P43" s="3622"/>
      <c r="Q43" s="3622"/>
      <c r="R43" s="3667"/>
      <c r="S43" s="3668"/>
      <c r="T43" s="3669"/>
      <c r="U43" s="3676"/>
      <c r="V43" s="3679"/>
      <c r="W43" s="3681"/>
      <c r="X43" s="385">
        <v>12090000</v>
      </c>
      <c r="Y43" s="385">
        <v>9205000</v>
      </c>
      <c r="Z43" s="385">
        <v>9205000</v>
      </c>
      <c r="AA43" s="363" t="s">
        <v>353</v>
      </c>
      <c r="AB43" s="365">
        <v>196</v>
      </c>
      <c r="AC43" s="387" t="s">
        <v>354</v>
      </c>
      <c r="AD43" s="3674"/>
      <c r="AE43" s="3674"/>
      <c r="AF43" s="3674"/>
      <c r="AG43" s="3674"/>
      <c r="AH43" s="3674"/>
      <c r="AI43" s="3674"/>
      <c r="AJ43" s="3674"/>
      <c r="AK43" s="3674"/>
      <c r="AL43" s="3674"/>
      <c r="AM43" s="3674"/>
      <c r="AN43" s="3674"/>
      <c r="AO43" s="3674"/>
      <c r="AP43" s="3674"/>
      <c r="AQ43" s="3674"/>
      <c r="AR43" s="3674"/>
      <c r="AS43" s="3674"/>
      <c r="AT43" s="3674"/>
      <c r="AU43" s="3674"/>
      <c r="AV43" s="3674"/>
      <c r="AW43" s="3674"/>
      <c r="AX43" s="3674"/>
      <c r="AY43" s="3674"/>
      <c r="AZ43" s="3674"/>
      <c r="BA43" s="3674"/>
      <c r="BB43" s="3674"/>
      <c r="BC43" s="3674"/>
      <c r="BD43" s="3674"/>
      <c r="BE43" s="3674"/>
      <c r="BF43" s="3674"/>
      <c r="BG43" s="3674"/>
      <c r="BH43" s="3673"/>
      <c r="BI43" s="3673"/>
      <c r="BJ43" s="3673"/>
      <c r="BK43" s="3669"/>
      <c r="BL43" s="3669"/>
      <c r="BM43" s="3691"/>
      <c r="BN43" s="3673"/>
      <c r="BO43" s="3673"/>
      <c r="BP43" s="3673"/>
      <c r="BQ43" s="3685"/>
      <c r="BR43" s="3685"/>
      <c r="BS43" s="3685"/>
      <c r="BT43" s="3685"/>
      <c r="BU43" s="3687"/>
    </row>
    <row r="44" spans="1:73" s="24" customFormat="1" ht="67.5" customHeight="1" x14ac:dyDescent="0.25">
      <c r="A44" s="258"/>
      <c r="B44" s="259"/>
      <c r="C44" s="258"/>
      <c r="D44" s="259"/>
      <c r="E44" s="346"/>
      <c r="F44" s="3621"/>
      <c r="G44" s="3656"/>
      <c r="H44" s="3670"/>
      <c r="I44" s="3656"/>
      <c r="J44" s="3670"/>
      <c r="K44" s="3656"/>
      <c r="L44" s="3670"/>
      <c r="M44" s="3656"/>
      <c r="N44" s="3657"/>
      <c r="O44" s="3622"/>
      <c r="P44" s="3622"/>
      <c r="Q44" s="3622"/>
      <c r="R44" s="3667"/>
      <c r="S44" s="3668"/>
      <c r="T44" s="3669"/>
      <c r="U44" s="3676"/>
      <c r="V44" s="3679"/>
      <c r="W44" s="3681" t="s">
        <v>355</v>
      </c>
      <c r="X44" s="385">
        <v>0</v>
      </c>
      <c r="Y44" s="385">
        <v>0</v>
      </c>
      <c r="Z44" s="385">
        <v>0</v>
      </c>
      <c r="AA44" s="363" t="s">
        <v>349</v>
      </c>
      <c r="AB44" s="364">
        <v>83</v>
      </c>
      <c r="AC44" s="357" t="s">
        <v>350</v>
      </c>
      <c r="AD44" s="3674"/>
      <c r="AE44" s="3674"/>
      <c r="AF44" s="3674"/>
      <c r="AG44" s="3674"/>
      <c r="AH44" s="3674"/>
      <c r="AI44" s="3674"/>
      <c r="AJ44" s="3674"/>
      <c r="AK44" s="3674"/>
      <c r="AL44" s="3674"/>
      <c r="AM44" s="3674"/>
      <c r="AN44" s="3674"/>
      <c r="AO44" s="3674"/>
      <c r="AP44" s="3674"/>
      <c r="AQ44" s="3674"/>
      <c r="AR44" s="3674"/>
      <c r="AS44" s="3674"/>
      <c r="AT44" s="3674"/>
      <c r="AU44" s="3674"/>
      <c r="AV44" s="3674"/>
      <c r="AW44" s="3674"/>
      <c r="AX44" s="3674"/>
      <c r="AY44" s="3674"/>
      <c r="AZ44" s="3674"/>
      <c r="BA44" s="3674"/>
      <c r="BB44" s="3674"/>
      <c r="BC44" s="3674"/>
      <c r="BD44" s="3674"/>
      <c r="BE44" s="3674"/>
      <c r="BF44" s="3674"/>
      <c r="BG44" s="3674"/>
      <c r="BH44" s="3673"/>
      <c r="BI44" s="3673"/>
      <c r="BJ44" s="3673"/>
      <c r="BK44" s="3669"/>
      <c r="BL44" s="3669"/>
      <c r="BM44" s="3691"/>
      <c r="BN44" s="3673"/>
      <c r="BO44" s="3673"/>
      <c r="BP44" s="3673"/>
      <c r="BQ44" s="3685"/>
      <c r="BR44" s="3685"/>
      <c r="BS44" s="3685"/>
      <c r="BT44" s="3685"/>
      <c r="BU44" s="3687"/>
    </row>
    <row r="45" spans="1:73" s="24" customFormat="1" ht="67.5" customHeight="1" x14ac:dyDescent="0.25">
      <c r="A45" s="258"/>
      <c r="B45" s="259"/>
      <c r="C45" s="258"/>
      <c r="D45" s="259"/>
      <c r="E45" s="346"/>
      <c r="F45" s="3621"/>
      <c r="G45" s="3656"/>
      <c r="H45" s="3670"/>
      <c r="I45" s="3656"/>
      <c r="J45" s="3670"/>
      <c r="K45" s="3656"/>
      <c r="L45" s="3670"/>
      <c r="M45" s="3656"/>
      <c r="N45" s="3657"/>
      <c r="O45" s="3622"/>
      <c r="P45" s="3622"/>
      <c r="Q45" s="3622"/>
      <c r="R45" s="3667"/>
      <c r="S45" s="3668"/>
      <c r="T45" s="3669"/>
      <c r="U45" s="3676"/>
      <c r="V45" s="3679"/>
      <c r="W45" s="3681"/>
      <c r="X45" s="385">
        <v>70000000</v>
      </c>
      <c r="Y45" s="385">
        <v>56862989.75</v>
      </c>
      <c r="Z45" s="385">
        <v>56862989.75</v>
      </c>
      <c r="AA45" s="363" t="s">
        <v>356</v>
      </c>
      <c r="AB45" s="364">
        <v>83</v>
      </c>
      <c r="AC45" s="357" t="s">
        <v>350</v>
      </c>
      <c r="AD45" s="3674"/>
      <c r="AE45" s="3674"/>
      <c r="AF45" s="3674"/>
      <c r="AG45" s="3674"/>
      <c r="AH45" s="3674"/>
      <c r="AI45" s="3674"/>
      <c r="AJ45" s="3674"/>
      <c r="AK45" s="3674"/>
      <c r="AL45" s="3674"/>
      <c r="AM45" s="3674"/>
      <c r="AN45" s="3674"/>
      <c r="AO45" s="3674"/>
      <c r="AP45" s="3674"/>
      <c r="AQ45" s="3674"/>
      <c r="AR45" s="3674"/>
      <c r="AS45" s="3674"/>
      <c r="AT45" s="3674"/>
      <c r="AU45" s="3674"/>
      <c r="AV45" s="3674"/>
      <c r="AW45" s="3674"/>
      <c r="AX45" s="3674"/>
      <c r="AY45" s="3674"/>
      <c r="AZ45" s="3674"/>
      <c r="BA45" s="3674"/>
      <c r="BB45" s="3674"/>
      <c r="BC45" s="3674"/>
      <c r="BD45" s="3674"/>
      <c r="BE45" s="3674"/>
      <c r="BF45" s="3674"/>
      <c r="BG45" s="3674"/>
      <c r="BH45" s="3673"/>
      <c r="BI45" s="3673"/>
      <c r="BJ45" s="3673"/>
      <c r="BK45" s="3669"/>
      <c r="BL45" s="3669"/>
      <c r="BM45" s="3691"/>
      <c r="BN45" s="3673"/>
      <c r="BO45" s="3673"/>
      <c r="BP45" s="3673"/>
      <c r="BQ45" s="3685"/>
      <c r="BR45" s="3685"/>
      <c r="BS45" s="3685"/>
      <c r="BT45" s="3685"/>
      <c r="BU45" s="3687"/>
    </row>
    <row r="46" spans="1:73" s="24" customFormat="1" ht="67.5" customHeight="1" x14ac:dyDescent="0.25">
      <c r="A46" s="258"/>
      <c r="B46" s="259"/>
      <c r="C46" s="258"/>
      <c r="D46" s="259"/>
      <c r="E46" s="346"/>
      <c r="F46" s="3621"/>
      <c r="G46" s="3656"/>
      <c r="H46" s="3670"/>
      <c r="I46" s="3656"/>
      <c r="J46" s="3670"/>
      <c r="K46" s="3656"/>
      <c r="L46" s="3670"/>
      <c r="M46" s="3656"/>
      <c r="N46" s="3657"/>
      <c r="O46" s="3622"/>
      <c r="P46" s="3622"/>
      <c r="Q46" s="3622"/>
      <c r="R46" s="3667"/>
      <c r="S46" s="3668"/>
      <c r="T46" s="3669"/>
      <c r="U46" s="3676"/>
      <c r="V46" s="3679"/>
      <c r="W46" s="3681"/>
      <c r="X46" s="385">
        <v>0</v>
      </c>
      <c r="Y46" s="385">
        <v>0</v>
      </c>
      <c r="Z46" s="385">
        <v>0</v>
      </c>
      <c r="AA46" s="363" t="s">
        <v>351</v>
      </c>
      <c r="AB46" s="365">
        <v>20</v>
      </c>
      <c r="AC46" s="387" t="s">
        <v>284</v>
      </c>
      <c r="AD46" s="3674"/>
      <c r="AE46" s="3674"/>
      <c r="AF46" s="3674"/>
      <c r="AG46" s="3674"/>
      <c r="AH46" s="3674"/>
      <c r="AI46" s="3674"/>
      <c r="AJ46" s="3674"/>
      <c r="AK46" s="3674"/>
      <c r="AL46" s="3674"/>
      <c r="AM46" s="3674"/>
      <c r="AN46" s="3674"/>
      <c r="AO46" s="3674"/>
      <c r="AP46" s="3674"/>
      <c r="AQ46" s="3674"/>
      <c r="AR46" s="3674"/>
      <c r="AS46" s="3674"/>
      <c r="AT46" s="3674"/>
      <c r="AU46" s="3674"/>
      <c r="AV46" s="3674"/>
      <c r="AW46" s="3674"/>
      <c r="AX46" s="3674"/>
      <c r="AY46" s="3674"/>
      <c r="AZ46" s="3674"/>
      <c r="BA46" s="3674"/>
      <c r="BB46" s="3674"/>
      <c r="BC46" s="3674"/>
      <c r="BD46" s="3674"/>
      <c r="BE46" s="3674"/>
      <c r="BF46" s="3674"/>
      <c r="BG46" s="3674"/>
      <c r="BH46" s="3673"/>
      <c r="BI46" s="3673"/>
      <c r="BJ46" s="3673"/>
      <c r="BK46" s="3669"/>
      <c r="BL46" s="3669"/>
      <c r="BM46" s="3691"/>
      <c r="BN46" s="3673"/>
      <c r="BO46" s="3673"/>
      <c r="BP46" s="3673"/>
      <c r="BQ46" s="3685"/>
      <c r="BR46" s="3685"/>
      <c r="BS46" s="3685"/>
      <c r="BT46" s="3685"/>
      <c r="BU46" s="3687"/>
    </row>
    <row r="47" spans="1:73" s="24" customFormat="1" ht="67.5" customHeight="1" x14ac:dyDescent="0.25">
      <c r="A47" s="258"/>
      <c r="B47" s="259"/>
      <c r="C47" s="258"/>
      <c r="D47" s="259"/>
      <c r="E47" s="346"/>
      <c r="F47" s="3621"/>
      <c r="G47" s="3656"/>
      <c r="H47" s="3670"/>
      <c r="I47" s="3656"/>
      <c r="J47" s="3670"/>
      <c r="K47" s="3656"/>
      <c r="L47" s="3670"/>
      <c r="M47" s="3656"/>
      <c r="N47" s="3657"/>
      <c r="O47" s="3622"/>
      <c r="P47" s="3622"/>
      <c r="Q47" s="3622"/>
      <c r="R47" s="3667"/>
      <c r="S47" s="3668"/>
      <c r="T47" s="3669"/>
      <c r="U47" s="3676"/>
      <c r="V47" s="3679"/>
      <c r="W47" s="3681"/>
      <c r="X47" s="385">
        <v>0</v>
      </c>
      <c r="Y47" s="385">
        <v>0</v>
      </c>
      <c r="Z47" s="385">
        <v>0</v>
      </c>
      <c r="AA47" s="363" t="s">
        <v>357</v>
      </c>
      <c r="AB47" s="365">
        <v>20</v>
      </c>
      <c r="AC47" s="387" t="s">
        <v>284</v>
      </c>
      <c r="AD47" s="3674"/>
      <c r="AE47" s="3674"/>
      <c r="AF47" s="3674"/>
      <c r="AG47" s="3674"/>
      <c r="AH47" s="3674"/>
      <c r="AI47" s="3674"/>
      <c r="AJ47" s="3674"/>
      <c r="AK47" s="3674"/>
      <c r="AL47" s="3674"/>
      <c r="AM47" s="3674"/>
      <c r="AN47" s="3674"/>
      <c r="AO47" s="3674"/>
      <c r="AP47" s="3674"/>
      <c r="AQ47" s="3674"/>
      <c r="AR47" s="3674"/>
      <c r="AS47" s="3674"/>
      <c r="AT47" s="3674"/>
      <c r="AU47" s="3674"/>
      <c r="AV47" s="3674"/>
      <c r="AW47" s="3674"/>
      <c r="AX47" s="3674"/>
      <c r="AY47" s="3674"/>
      <c r="AZ47" s="3674"/>
      <c r="BA47" s="3674"/>
      <c r="BB47" s="3674"/>
      <c r="BC47" s="3674"/>
      <c r="BD47" s="3674"/>
      <c r="BE47" s="3674"/>
      <c r="BF47" s="3674"/>
      <c r="BG47" s="3674"/>
      <c r="BH47" s="3673"/>
      <c r="BI47" s="3673"/>
      <c r="BJ47" s="3673"/>
      <c r="BK47" s="3669"/>
      <c r="BL47" s="3669"/>
      <c r="BM47" s="3691"/>
      <c r="BN47" s="3673"/>
      <c r="BO47" s="3673"/>
      <c r="BP47" s="3673"/>
      <c r="BQ47" s="3685"/>
      <c r="BR47" s="3685"/>
      <c r="BS47" s="3685"/>
      <c r="BT47" s="3685"/>
      <c r="BU47" s="3687"/>
    </row>
    <row r="48" spans="1:73" s="24" customFormat="1" ht="67.5" customHeight="1" x14ac:dyDescent="0.25">
      <c r="A48" s="258"/>
      <c r="B48" s="259"/>
      <c r="C48" s="258"/>
      <c r="D48" s="259"/>
      <c r="E48" s="346"/>
      <c r="F48" s="3621"/>
      <c r="G48" s="3656"/>
      <c r="H48" s="3670"/>
      <c r="I48" s="3656"/>
      <c r="J48" s="3670"/>
      <c r="K48" s="3656"/>
      <c r="L48" s="3670"/>
      <c r="M48" s="3656"/>
      <c r="N48" s="3657"/>
      <c r="O48" s="3622"/>
      <c r="P48" s="3622"/>
      <c r="Q48" s="3622"/>
      <c r="R48" s="3667"/>
      <c r="S48" s="3668"/>
      <c r="T48" s="3669"/>
      <c r="U48" s="3676"/>
      <c r="V48" s="3679"/>
      <c r="W48" s="3681"/>
      <c r="X48" s="385">
        <v>3000000</v>
      </c>
      <c r="Y48" s="385">
        <v>3000000</v>
      </c>
      <c r="Z48" s="385">
        <v>3000000</v>
      </c>
      <c r="AA48" s="363" t="s">
        <v>358</v>
      </c>
      <c r="AB48" s="365">
        <v>20</v>
      </c>
      <c r="AC48" s="387" t="s">
        <v>284</v>
      </c>
      <c r="AD48" s="3674"/>
      <c r="AE48" s="3674"/>
      <c r="AF48" s="3674"/>
      <c r="AG48" s="3674"/>
      <c r="AH48" s="3674"/>
      <c r="AI48" s="3674"/>
      <c r="AJ48" s="3674"/>
      <c r="AK48" s="3674"/>
      <c r="AL48" s="3674"/>
      <c r="AM48" s="3674"/>
      <c r="AN48" s="3674"/>
      <c r="AO48" s="3674"/>
      <c r="AP48" s="3674"/>
      <c r="AQ48" s="3674"/>
      <c r="AR48" s="3674"/>
      <c r="AS48" s="3674"/>
      <c r="AT48" s="3674"/>
      <c r="AU48" s="3674"/>
      <c r="AV48" s="3674"/>
      <c r="AW48" s="3674"/>
      <c r="AX48" s="3674"/>
      <c r="AY48" s="3674"/>
      <c r="AZ48" s="3674"/>
      <c r="BA48" s="3674"/>
      <c r="BB48" s="3674"/>
      <c r="BC48" s="3674"/>
      <c r="BD48" s="3674"/>
      <c r="BE48" s="3674"/>
      <c r="BF48" s="3674"/>
      <c r="BG48" s="3674"/>
      <c r="BH48" s="3673"/>
      <c r="BI48" s="3673"/>
      <c r="BJ48" s="3673"/>
      <c r="BK48" s="3669"/>
      <c r="BL48" s="3669"/>
      <c r="BM48" s="3691"/>
      <c r="BN48" s="3673"/>
      <c r="BO48" s="3673"/>
      <c r="BP48" s="3673"/>
      <c r="BQ48" s="3685"/>
      <c r="BR48" s="3685"/>
      <c r="BS48" s="3685"/>
      <c r="BT48" s="3685"/>
      <c r="BU48" s="3687"/>
    </row>
    <row r="49" spans="1:73" s="24" customFormat="1" ht="42.75" customHeight="1" x14ac:dyDescent="0.25">
      <c r="A49" s="258"/>
      <c r="B49" s="259"/>
      <c r="C49" s="258"/>
      <c r="D49" s="259"/>
      <c r="E49" s="346"/>
      <c r="F49" s="3621"/>
      <c r="G49" s="3656"/>
      <c r="H49" s="3670"/>
      <c r="I49" s="3656"/>
      <c r="J49" s="3670"/>
      <c r="K49" s="3656"/>
      <c r="L49" s="3670"/>
      <c r="M49" s="3656"/>
      <c r="N49" s="3657"/>
      <c r="O49" s="3622"/>
      <c r="P49" s="3622"/>
      <c r="Q49" s="3622"/>
      <c r="R49" s="3667"/>
      <c r="S49" s="3668"/>
      <c r="T49" s="3669"/>
      <c r="U49" s="3676"/>
      <c r="V49" s="3679"/>
      <c r="W49" s="3681"/>
      <c r="X49" s="385">
        <v>6100000</v>
      </c>
      <c r="Y49" s="385">
        <v>5714300</v>
      </c>
      <c r="Z49" s="385">
        <v>5714300</v>
      </c>
      <c r="AA49" s="363" t="s">
        <v>359</v>
      </c>
      <c r="AB49" s="365">
        <v>20</v>
      </c>
      <c r="AC49" s="387" t="s">
        <v>284</v>
      </c>
      <c r="AD49" s="3674"/>
      <c r="AE49" s="3674"/>
      <c r="AF49" s="3674"/>
      <c r="AG49" s="3674"/>
      <c r="AH49" s="3674"/>
      <c r="AI49" s="3674"/>
      <c r="AJ49" s="3674"/>
      <c r="AK49" s="3674"/>
      <c r="AL49" s="3674"/>
      <c r="AM49" s="3674"/>
      <c r="AN49" s="3674"/>
      <c r="AO49" s="3674"/>
      <c r="AP49" s="3674"/>
      <c r="AQ49" s="3674"/>
      <c r="AR49" s="3674"/>
      <c r="AS49" s="3674"/>
      <c r="AT49" s="3674"/>
      <c r="AU49" s="3674"/>
      <c r="AV49" s="3674"/>
      <c r="AW49" s="3674"/>
      <c r="AX49" s="3674"/>
      <c r="AY49" s="3674"/>
      <c r="AZ49" s="3674"/>
      <c r="BA49" s="3674"/>
      <c r="BB49" s="3674"/>
      <c r="BC49" s="3674"/>
      <c r="BD49" s="3674"/>
      <c r="BE49" s="3674"/>
      <c r="BF49" s="3674"/>
      <c r="BG49" s="3674"/>
      <c r="BH49" s="3673"/>
      <c r="BI49" s="3673"/>
      <c r="BJ49" s="3673"/>
      <c r="BK49" s="3669"/>
      <c r="BL49" s="3669"/>
      <c r="BM49" s="3691"/>
      <c r="BN49" s="3673"/>
      <c r="BO49" s="3673"/>
      <c r="BP49" s="3673"/>
      <c r="BQ49" s="3685"/>
      <c r="BR49" s="3685"/>
      <c r="BS49" s="3685"/>
      <c r="BT49" s="3685"/>
      <c r="BU49" s="3687"/>
    </row>
    <row r="50" spans="1:73" s="24" customFormat="1" ht="45.75" customHeight="1" x14ac:dyDescent="0.25">
      <c r="A50" s="258"/>
      <c r="B50" s="259"/>
      <c r="C50" s="258"/>
      <c r="D50" s="259"/>
      <c r="E50" s="346"/>
      <c r="F50" s="3621"/>
      <c r="G50" s="3656"/>
      <c r="H50" s="3670"/>
      <c r="I50" s="3656"/>
      <c r="J50" s="3670"/>
      <c r="K50" s="3656"/>
      <c r="L50" s="3670"/>
      <c r="M50" s="3656"/>
      <c r="N50" s="3657"/>
      <c r="O50" s="3622"/>
      <c r="P50" s="3622"/>
      <c r="Q50" s="3622"/>
      <c r="R50" s="3667"/>
      <c r="S50" s="3668"/>
      <c r="T50" s="3669"/>
      <c r="U50" s="3676"/>
      <c r="V50" s="3679"/>
      <c r="W50" s="3681"/>
      <c r="X50" s="385">
        <v>900000</v>
      </c>
      <c r="Y50" s="385">
        <v>0</v>
      </c>
      <c r="Z50" s="385">
        <v>0</v>
      </c>
      <c r="AA50" s="363" t="s">
        <v>360</v>
      </c>
      <c r="AB50" s="365">
        <v>20</v>
      </c>
      <c r="AC50" s="387" t="s">
        <v>284</v>
      </c>
      <c r="AD50" s="3674"/>
      <c r="AE50" s="3674"/>
      <c r="AF50" s="3674"/>
      <c r="AG50" s="3674"/>
      <c r="AH50" s="3674"/>
      <c r="AI50" s="3674"/>
      <c r="AJ50" s="3674"/>
      <c r="AK50" s="3674"/>
      <c r="AL50" s="3674"/>
      <c r="AM50" s="3674"/>
      <c r="AN50" s="3674"/>
      <c r="AO50" s="3674"/>
      <c r="AP50" s="3674"/>
      <c r="AQ50" s="3674"/>
      <c r="AR50" s="3674"/>
      <c r="AS50" s="3674"/>
      <c r="AT50" s="3674"/>
      <c r="AU50" s="3674"/>
      <c r="AV50" s="3674"/>
      <c r="AW50" s="3674"/>
      <c r="AX50" s="3674"/>
      <c r="AY50" s="3674"/>
      <c r="AZ50" s="3674"/>
      <c r="BA50" s="3674"/>
      <c r="BB50" s="3674"/>
      <c r="BC50" s="3674"/>
      <c r="BD50" s="3674"/>
      <c r="BE50" s="3674"/>
      <c r="BF50" s="3674"/>
      <c r="BG50" s="3674"/>
      <c r="BH50" s="3673"/>
      <c r="BI50" s="3673"/>
      <c r="BJ50" s="3673"/>
      <c r="BK50" s="3669"/>
      <c r="BL50" s="3669"/>
      <c r="BM50" s="3691"/>
      <c r="BN50" s="3673"/>
      <c r="BO50" s="3673"/>
      <c r="BP50" s="3673"/>
      <c r="BQ50" s="3685"/>
      <c r="BR50" s="3685"/>
      <c r="BS50" s="3685"/>
      <c r="BT50" s="3685"/>
      <c r="BU50" s="3687"/>
    </row>
    <row r="51" spans="1:73" s="24" customFormat="1" ht="47.25" customHeight="1" x14ac:dyDescent="0.25">
      <c r="A51" s="258"/>
      <c r="B51" s="259"/>
      <c r="C51" s="258"/>
      <c r="D51" s="259"/>
      <c r="E51" s="346"/>
      <c r="F51" s="3621"/>
      <c r="G51" s="3656"/>
      <c r="H51" s="3670"/>
      <c r="I51" s="3656"/>
      <c r="J51" s="3670"/>
      <c r="K51" s="3656"/>
      <c r="L51" s="3670"/>
      <c r="M51" s="3656"/>
      <c r="N51" s="3657"/>
      <c r="O51" s="3622"/>
      <c r="P51" s="3622"/>
      <c r="Q51" s="3622"/>
      <c r="R51" s="3667"/>
      <c r="S51" s="3668"/>
      <c r="T51" s="3669"/>
      <c r="U51" s="3676"/>
      <c r="V51" s="3679"/>
      <c r="W51" s="3681"/>
      <c r="X51" s="385">
        <v>0</v>
      </c>
      <c r="Y51" s="385">
        <v>0</v>
      </c>
      <c r="Z51" s="385">
        <v>0</v>
      </c>
      <c r="AA51" s="363" t="s">
        <v>342</v>
      </c>
      <c r="AB51" s="364">
        <v>34</v>
      </c>
      <c r="AC51" s="357" t="s">
        <v>343</v>
      </c>
      <c r="AD51" s="3674"/>
      <c r="AE51" s="3674"/>
      <c r="AF51" s="3674"/>
      <c r="AG51" s="3674"/>
      <c r="AH51" s="3674"/>
      <c r="AI51" s="3674"/>
      <c r="AJ51" s="3674"/>
      <c r="AK51" s="3674"/>
      <c r="AL51" s="3674"/>
      <c r="AM51" s="3674"/>
      <c r="AN51" s="3674"/>
      <c r="AO51" s="3674"/>
      <c r="AP51" s="3674"/>
      <c r="AQ51" s="3674"/>
      <c r="AR51" s="3674"/>
      <c r="AS51" s="3674"/>
      <c r="AT51" s="3674"/>
      <c r="AU51" s="3674"/>
      <c r="AV51" s="3674"/>
      <c r="AW51" s="3674"/>
      <c r="AX51" s="3674"/>
      <c r="AY51" s="3674"/>
      <c r="AZ51" s="3674"/>
      <c r="BA51" s="3674"/>
      <c r="BB51" s="3674"/>
      <c r="BC51" s="3674"/>
      <c r="BD51" s="3674"/>
      <c r="BE51" s="3674"/>
      <c r="BF51" s="3674"/>
      <c r="BG51" s="3674"/>
      <c r="BH51" s="3673"/>
      <c r="BI51" s="3673"/>
      <c r="BJ51" s="3673"/>
      <c r="BK51" s="3669"/>
      <c r="BL51" s="3669"/>
      <c r="BM51" s="3691"/>
      <c r="BN51" s="3673"/>
      <c r="BO51" s="3673"/>
      <c r="BP51" s="3673"/>
      <c r="BQ51" s="3685"/>
      <c r="BR51" s="3685"/>
      <c r="BS51" s="3685"/>
      <c r="BT51" s="3685"/>
      <c r="BU51" s="3687"/>
    </row>
    <row r="52" spans="1:73" s="24" customFormat="1" ht="47.25" customHeight="1" x14ac:dyDescent="0.25">
      <c r="A52" s="258"/>
      <c r="B52" s="259"/>
      <c r="C52" s="258"/>
      <c r="D52" s="259"/>
      <c r="E52" s="346"/>
      <c r="F52" s="3621"/>
      <c r="G52" s="3656"/>
      <c r="H52" s="3670"/>
      <c r="I52" s="3656"/>
      <c r="J52" s="3670"/>
      <c r="K52" s="3656"/>
      <c r="L52" s="3670"/>
      <c r="M52" s="3656"/>
      <c r="N52" s="3657"/>
      <c r="O52" s="3622"/>
      <c r="P52" s="3622"/>
      <c r="Q52" s="3622"/>
      <c r="R52" s="3667"/>
      <c r="S52" s="3668"/>
      <c r="T52" s="3669"/>
      <c r="U52" s="3676"/>
      <c r="V52" s="3679"/>
      <c r="W52" s="3681"/>
      <c r="X52" s="385">
        <v>0</v>
      </c>
      <c r="Y52" s="385">
        <v>0</v>
      </c>
      <c r="Z52" s="385">
        <v>0</v>
      </c>
      <c r="AA52" s="363" t="s">
        <v>361</v>
      </c>
      <c r="AB52" s="364">
        <v>34</v>
      </c>
      <c r="AC52" s="386" t="s">
        <v>343</v>
      </c>
      <c r="AD52" s="3673"/>
      <c r="AE52" s="3673"/>
      <c r="AF52" s="3673"/>
      <c r="AG52" s="3673"/>
      <c r="AH52" s="3673"/>
      <c r="AI52" s="3673"/>
      <c r="AJ52" s="3673"/>
      <c r="AK52" s="3673"/>
      <c r="AL52" s="3673"/>
      <c r="AM52" s="3673"/>
      <c r="AN52" s="3673"/>
      <c r="AO52" s="3673"/>
      <c r="AP52" s="3673"/>
      <c r="AQ52" s="3673"/>
      <c r="AR52" s="3673"/>
      <c r="AS52" s="3673"/>
      <c r="AT52" s="3673"/>
      <c r="AU52" s="3673"/>
      <c r="AV52" s="3673"/>
      <c r="AW52" s="3673"/>
      <c r="AX52" s="3673"/>
      <c r="AY52" s="3673"/>
      <c r="AZ52" s="3673"/>
      <c r="BA52" s="3673"/>
      <c r="BB52" s="3673"/>
      <c r="BC52" s="3673"/>
      <c r="BD52" s="3673"/>
      <c r="BE52" s="3673"/>
      <c r="BF52" s="3673"/>
      <c r="BG52" s="3673"/>
      <c r="BH52" s="3673"/>
      <c r="BI52" s="3673"/>
      <c r="BJ52" s="3673"/>
      <c r="BK52" s="3669"/>
      <c r="BL52" s="3669"/>
      <c r="BM52" s="3691"/>
      <c r="BN52" s="3673"/>
      <c r="BO52" s="3673"/>
      <c r="BP52" s="3673"/>
      <c r="BQ52" s="3685"/>
      <c r="BR52" s="3685"/>
      <c r="BS52" s="3685"/>
      <c r="BT52" s="3685"/>
      <c r="BU52" s="3687"/>
    </row>
    <row r="53" spans="1:73" s="24" customFormat="1" ht="46.5" customHeight="1" x14ac:dyDescent="0.25">
      <c r="A53" s="258"/>
      <c r="B53" s="259"/>
      <c r="C53" s="258"/>
      <c r="D53" s="259"/>
      <c r="E53" s="346"/>
      <c r="F53" s="3621"/>
      <c r="G53" s="3656"/>
      <c r="H53" s="3670"/>
      <c r="I53" s="3656"/>
      <c r="J53" s="3670"/>
      <c r="K53" s="3656"/>
      <c r="L53" s="3670"/>
      <c r="M53" s="3656"/>
      <c r="N53" s="3657"/>
      <c r="O53" s="3622"/>
      <c r="P53" s="3622"/>
      <c r="Q53" s="3622"/>
      <c r="R53" s="3667"/>
      <c r="S53" s="3668"/>
      <c r="T53" s="3669"/>
      <c r="U53" s="3676"/>
      <c r="V53" s="3679"/>
      <c r="W53" s="388" t="s">
        <v>362</v>
      </c>
      <c r="X53" s="385">
        <f>51200000-22400000</f>
        <v>28800000</v>
      </c>
      <c r="Y53" s="385">
        <v>18600000</v>
      </c>
      <c r="Z53" s="385">
        <v>18600000</v>
      </c>
      <c r="AA53" s="363" t="s">
        <v>342</v>
      </c>
      <c r="AB53" s="364">
        <v>34</v>
      </c>
      <c r="AC53" s="386" t="s">
        <v>343</v>
      </c>
      <c r="AD53" s="3673"/>
      <c r="AE53" s="3673"/>
      <c r="AF53" s="3673"/>
      <c r="AG53" s="3673"/>
      <c r="AH53" s="3673"/>
      <c r="AI53" s="3673"/>
      <c r="AJ53" s="3673"/>
      <c r="AK53" s="3673"/>
      <c r="AL53" s="3673"/>
      <c r="AM53" s="3673"/>
      <c r="AN53" s="3673"/>
      <c r="AO53" s="3673"/>
      <c r="AP53" s="3673"/>
      <c r="AQ53" s="3673"/>
      <c r="AR53" s="3673"/>
      <c r="AS53" s="3673"/>
      <c r="AT53" s="3673"/>
      <c r="AU53" s="3673"/>
      <c r="AV53" s="3673"/>
      <c r="AW53" s="3673"/>
      <c r="AX53" s="3673"/>
      <c r="AY53" s="3673"/>
      <c r="AZ53" s="3673"/>
      <c r="BA53" s="3673"/>
      <c r="BB53" s="3673"/>
      <c r="BC53" s="3673"/>
      <c r="BD53" s="3673"/>
      <c r="BE53" s="3673"/>
      <c r="BF53" s="3673"/>
      <c r="BG53" s="3673"/>
      <c r="BH53" s="3673"/>
      <c r="BI53" s="3673"/>
      <c r="BJ53" s="3673"/>
      <c r="BK53" s="3669"/>
      <c r="BL53" s="3669"/>
      <c r="BM53" s="3691"/>
      <c r="BN53" s="3673"/>
      <c r="BO53" s="3673"/>
      <c r="BP53" s="3673"/>
      <c r="BQ53" s="3685"/>
      <c r="BR53" s="3685"/>
      <c r="BS53" s="3685"/>
      <c r="BT53" s="3685"/>
      <c r="BU53" s="3687"/>
    </row>
    <row r="54" spans="1:73" s="24" customFormat="1" ht="35.25" customHeight="1" x14ac:dyDescent="0.25">
      <c r="A54" s="258"/>
      <c r="B54" s="259"/>
      <c r="C54" s="258"/>
      <c r="D54" s="259"/>
      <c r="E54" s="346"/>
      <c r="F54" s="3621"/>
      <c r="G54" s="3656"/>
      <c r="H54" s="3670"/>
      <c r="I54" s="3656"/>
      <c r="J54" s="3670"/>
      <c r="K54" s="3656"/>
      <c r="L54" s="3670"/>
      <c r="M54" s="3656"/>
      <c r="N54" s="3657"/>
      <c r="O54" s="3622"/>
      <c r="P54" s="3622"/>
      <c r="Q54" s="3622"/>
      <c r="R54" s="3667"/>
      <c r="S54" s="3668"/>
      <c r="T54" s="3669"/>
      <c r="U54" s="3676"/>
      <c r="V54" s="3680"/>
      <c r="W54" s="389" t="s">
        <v>362</v>
      </c>
      <c r="X54" s="385">
        <f>20000000-20000000</f>
        <v>0</v>
      </c>
      <c r="Y54" s="385">
        <v>0</v>
      </c>
      <c r="Z54" s="385">
        <v>0</v>
      </c>
      <c r="AA54" s="363" t="s">
        <v>351</v>
      </c>
      <c r="AB54" s="365">
        <v>20</v>
      </c>
      <c r="AC54" s="357" t="s">
        <v>284</v>
      </c>
      <c r="AD54" s="3674"/>
      <c r="AE54" s="3674"/>
      <c r="AF54" s="3674"/>
      <c r="AG54" s="3674"/>
      <c r="AH54" s="3674"/>
      <c r="AI54" s="3674"/>
      <c r="AJ54" s="3674"/>
      <c r="AK54" s="3674"/>
      <c r="AL54" s="3674"/>
      <c r="AM54" s="3674"/>
      <c r="AN54" s="3674"/>
      <c r="AO54" s="3674"/>
      <c r="AP54" s="3674"/>
      <c r="AQ54" s="3674"/>
      <c r="AR54" s="3674"/>
      <c r="AS54" s="3674"/>
      <c r="AT54" s="3674"/>
      <c r="AU54" s="3674"/>
      <c r="AV54" s="3674"/>
      <c r="AW54" s="3674"/>
      <c r="AX54" s="3674"/>
      <c r="AY54" s="3674"/>
      <c r="AZ54" s="3674"/>
      <c r="BA54" s="3674"/>
      <c r="BB54" s="3674"/>
      <c r="BC54" s="3674"/>
      <c r="BD54" s="3674"/>
      <c r="BE54" s="3674"/>
      <c r="BF54" s="3674"/>
      <c r="BG54" s="3674"/>
      <c r="BH54" s="3673"/>
      <c r="BI54" s="3673"/>
      <c r="BJ54" s="3673"/>
      <c r="BK54" s="3669"/>
      <c r="BL54" s="3669"/>
      <c r="BM54" s="3691"/>
      <c r="BN54" s="3673"/>
      <c r="BO54" s="3673"/>
      <c r="BP54" s="3673"/>
      <c r="BQ54" s="3685"/>
      <c r="BR54" s="3685"/>
      <c r="BS54" s="3685"/>
      <c r="BT54" s="3685"/>
      <c r="BU54" s="3687"/>
    </row>
    <row r="55" spans="1:73" s="24" customFormat="1" ht="56.25" customHeight="1" x14ac:dyDescent="0.25">
      <c r="A55" s="258"/>
      <c r="B55" s="259"/>
      <c r="C55" s="258"/>
      <c r="D55" s="259"/>
      <c r="E55" s="346"/>
      <c r="F55" s="3621"/>
      <c r="G55" s="3672">
        <v>3301100</v>
      </c>
      <c r="H55" s="3670" t="s">
        <v>363</v>
      </c>
      <c r="I55" s="3672">
        <v>3301100</v>
      </c>
      <c r="J55" s="3670" t="s">
        <v>363</v>
      </c>
      <c r="K55" s="3672" t="s">
        <v>364</v>
      </c>
      <c r="L55" s="3670" t="s">
        <v>365</v>
      </c>
      <c r="M55" s="3672" t="s">
        <v>364</v>
      </c>
      <c r="N55" s="3657" t="s">
        <v>365</v>
      </c>
      <c r="O55" s="3622">
        <v>15</v>
      </c>
      <c r="P55" s="3622">
        <v>15</v>
      </c>
      <c r="Q55" s="3622"/>
      <c r="R55" s="3667"/>
      <c r="S55" s="3668">
        <f>SUM(X55:X59)/T38</f>
        <v>0.21618908644511717</v>
      </c>
      <c r="T55" s="3669"/>
      <c r="U55" s="3676"/>
      <c r="V55" s="3682" t="s">
        <v>366</v>
      </c>
      <c r="W55" s="3688" t="s">
        <v>367</v>
      </c>
      <c r="X55" s="390">
        <v>63982494.599999994</v>
      </c>
      <c r="Y55" s="390">
        <v>35240000</v>
      </c>
      <c r="Z55" s="390">
        <v>35240000</v>
      </c>
      <c r="AA55" s="363" t="s">
        <v>368</v>
      </c>
      <c r="AB55" s="364">
        <v>34</v>
      </c>
      <c r="AC55" s="386" t="s">
        <v>343</v>
      </c>
      <c r="AD55" s="3673"/>
      <c r="AE55" s="3673"/>
      <c r="AF55" s="3673"/>
      <c r="AG55" s="3673"/>
      <c r="AH55" s="3673"/>
      <c r="AI55" s="3673"/>
      <c r="AJ55" s="3673"/>
      <c r="AK55" s="3673"/>
      <c r="AL55" s="3673"/>
      <c r="AM55" s="3673"/>
      <c r="AN55" s="3673"/>
      <c r="AO55" s="3673"/>
      <c r="AP55" s="3673"/>
      <c r="AQ55" s="3673"/>
      <c r="AR55" s="3673"/>
      <c r="AS55" s="3673"/>
      <c r="AT55" s="3673"/>
      <c r="AU55" s="3673"/>
      <c r="AV55" s="3673"/>
      <c r="AW55" s="3673"/>
      <c r="AX55" s="3673"/>
      <c r="AY55" s="3673"/>
      <c r="AZ55" s="3673"/>
      <c r="BA55" s="3673"/>
      <c r="BB55" s="3673"/>
      <c r="BC55" s="3673"/>
      <c r="BD55" s="3673"/>
      <c r="BE55" s="3673"/>
      <c r="BF55" s="3673"/>
      <c r="BG55" s="3673"/>
      <c r="BH55" s="3673"/>
      <c r="BI55" s="3673"/>
      <c r="BJ55" s="3673"/>
      <c r="BK55" s="3669"/>
      <c r="BL55" s="3669"/>
      <c r="BM55" s="3691"/>
      <c r="BN55" s="3673"/>
      <c r="BO55" s="3673"/>
      <c r="BP55" s="3673"/>
      <c r="BQ55" s="3685"/>
      <c r="BR55" s="3685"/>
      <c r="BS55" s="3685"/>
      <c r="BT55" s="3685"/>
      <c r="BU55" s="3687"/>
    </row>
    <row r="56" spans="1:73" s="24" customFormat="1" ht="39" customHeight="1" x14ac:dyDescent="0.25">
      <c r="A56" s="258"/>
      <c r="B56" s="259"/>
      <c r="C56" s="258"/>
      <c r="D56" s="259"/>
      <c r="E56" s="346"/>
      <c r="F56" s="3621"/>
      <c r="G56" s="3672"/>
      <c r="H56" s="3670"/>
      <c r="I56" s="3672"/>
      <c r="J56" s="3670"/>
      <c r="K56" s="3672"/>
      <c r="L56" s="3670"/>
      <c r="M56" s="3672"/>
      <c r="N56" s="3657"/>
      <c r="O56" s="3622"/>
      <c r="P56" s="3622"/>
      <c r="Q56" s="3622"/>
      <c r="R56" s="3667"/>
      <c r="S56" s="3668"/>
      <c r="T56" s="3669"/>
      <c r="U56" s="3676"/>
      <c r="V56" s="3683"/>
      <c r="W56" s="3614"/>
      <c r="X56" s="390">
        <v>0</v>
      </c>
      <c r="Y56" s="390">
        <v>0</v>
      </c>
      <c r="Z56" s="390">
        <v>0</v>
      </c>
      <c r="AA56" s="363" t="s">
        <v>369</v>
      </c>
      <c r="AB56" s="391">
        <v>20</v>
      </c>
      <c r="AC56" s="357" t="s">
        <v>284</v>
      </c>
      <c r="AD56" s="3674"/>
      <c r="AE56" s="3674"/>
      <c r="AF56" s="3674"/>
      <c r="AG56" s="3674"/>
      <c r="AH56" s="3674"/>
      <c r="AI56" s="3674"/>
      <c r="AJ56" s="3674"/>
      <c r="AK56" s="3674"/>
      <c r="AL56" s="3674"/>
      <c r="AM56" s="3674"/>
      <c r="AN56" s="3674"/>
      <c r="AO56" s="3674"/>
      <c r="AP56" s="3674"/>
      <c r="AQ56" s="3674"/>
      <c r="AR56" s="3674"/>
      <c r="AS56" s="3674"/>
      <c r="AT56" s="3674"/>
      <c r="AU56" s="3674"/>
      <c r="AV56" s="3674"/>
      <c r="AW56" s="3674"/>
      <c r="AX56" s="3674"/>
      <c r="AY56" s="3674"/>
      <c r="AZ56" s="3674"/>
      <c r="BA56" s="3674"/>
      <c r="BB56" s="3674"/>
      <c r="BC56" s="3674"/>
      <c r="BD56" s="3674"/>
      <c r="BE56" s="3674"/>
      <c r="BF56" s="3674"/>
      <c r="BG56" s="3674"/>
      <c r="BH56" s="3673"/>
      <c r="BI56" s="3673"/>
      <c r="BJ56" s="3673"/>
      <c r="BK56" s="3669"/>
      <c r="BL56" s="3669"/>
      <c r="BM56" s="3691"/>
      <c r="BN56" s="3673"/>
      <c r="BO56" s="3673"/>
      <c r="BP56" s="3673"/>
      <c r="BQ56" s="3685"/>
      <c r="BR56" s="3685"/>
      <c r="BS56" s="3685"/>
      <c r="BT56" s="3685"/>
      <c r="BU56" s="3687"/>
    </row>
    <row r="57" spans="1:73" s="24" customFormat="1" ht="60" customHeight="1" x14ac:dyDescent="0.25">
      <c r="A57" s="258"/>
      <c r="B57" s="259"/>
      <c r="C57" s="258"/>
      <c r="D57" s="259"/>
      <c r="E57" s="346"/>
      <c r="F57" s="3621"/>
      <c r="G57" s="3672"/>
      <c r="H57" s="3670"/>
      <c r="I57" s="3672"/>
      <c r="J57" s="3670"/>
      <c r="K57" s="3672"/>
      <c r="L57" s="3670"/>
      <c r="M57" s="3672"/>
      <c r="N57" s="3657"/>
      <c r="O57" s="3622"/>
      <c r="P57" s="3622"/>
      <c r="Q57" s="3622"/>
      <c r="R57" s="3667"/>
      <c r="S57" s="3668"/>
      <c r="T57" s="3669"/>
      <c r="U57" s="3676"/>
      <c r="V57" s="3683"/>
      <c r="W57" s="3614"/>
      <c r="X57" s="390">
        <v>0</v>
      </c>
      <c r="Y57" s="390"/>
      <c r="Z57" s="390"/>
      <c r="AA57" s="363" t="s">
        <v>370</v>
      </c>
      <c r="AB57" s="391">
        <v>20</v>
      </c>
      <c r="AC57" s="357" t="s">
        <v>284</v>
      </c>
      <c r="AD57" s="3674"/>
      <c r="AE57" s="3674"/>
      <c r="AF57" s="3674"/>
      <c r="AG57" s="3674"/>
      <c r="AH57" s="3674"/>
      <c r="AI57" s="3674"/>
      <c r="AJ57" s="3674"/>
      <c r="AK57" s="3674"/>
      <c r="AL57" s="3674"/>
      <c r="AM57" s="3674"/>
      <c r="AN57" s="3674"/>
      <c r="AO57" s="3674"/>
      <c r="AP57" s="3674"/>
      <c r="AQ57" s="3674"/>
      <c r="AR57" s="3674"/>
      <c r="AS57" s="3674"/>
      <c r="AT57" s="3674"/>
      <c r="AU57" s="3674"/>
      <c r="AV57" s="3674"/>
      <c r="AW57" s="3674"/>
      <c r="AX57" s="3674"/>
      <c r="AY57" s="3674"/>
      <c r="AZ57" s="3674"/>
      <c r="BA57" s="3674"/>
      <c r="BB57" s="3674"/>
      <c r="BC57" s="3674"/>
      <c r="BD57" s="3674"/>
      <c r="BE57" s="3674"/>
      <c r="BF57" s="3674"/>
      <c r="BG57" s="3674"/>
      <c r="BH57" s="3673"/>
      <c r="BI57" s="3673"/>
      <c r="BJ57" s="3673"/>
      <c r="BK57" s="3669"/>
      <c r="BL57" s="3669"/>
      <c r="BM57" s="3691"/>
      <c r="BN57" s="3673"/>
      <c r="BO57" s="3673"/>
      <c r="BP57" s="3673"/>
      <c r="BQ57" s="3685"/>
      <c r="BR57" s="3685"/>
      <c r="BS57" s="3685"/>
      <c r="BT57" s="3685"/>
      <c r="BU57" s="3687"/>
    </row>
    <row r="58" spans="1:73" s="24" customFormat="1" ht="60" customHeight="1" x14ac:dyDescent="0.25">
      <c r="A58" s="258"/>
      <c r="B58" s="259"/>
      <c r="C58" s="258"/>
      <c r="D58" s="259"/>
      <c r="E58" s="346"/>
      <c r="F58" s="3621"/>
      <c r="G58" s="3672"/>
      <c r="H58" s="3670"/>
      <c r="I58" s="3672"/>
      <c r="J58" s="3670"/>
      <c r="K58" s="3672"/>
      <c r="L58" s="3670"/>
      <c r="M58" s="3672"/>
      <c r="N58" s="3657"/>
      <c r="O58" s="3622"/>
      <c r="P58" s="3622"/>
      <c r="Q58" s="3622"/>
      <c r="R58" s="3667"/>
      <c r="S58" s="3668"/>
      <c r="T58" s="3669"/>
      <c r="U58" s="3676"/>
      <c r="V58" s="3683"/>
      <c r="W58" s="3689"/>
      <c r="X58" s="390">
        <v>30803</v>
      </c>
      <c r="Y58" s="390">
        <v>0</v>
      </c>
      <c r="Z58" s="390">
        <v>0</v>
      </c>
      <c r="AA58" s="363" t="s">
        <v>371</v>
      </c>
      <c r="AB58" s="364">
        <v>83</v>
      </c>
      <c r="AC58" s="357" t="s">
        <v>350</v>
      </c>
      <c r="AD58" s="3674"/>
      <c r="AE58" s="3674"/>
      <c r="AF58" s="3674"/>
      <c r="AG58" s="3674"/>
      <c r="AH58" s="3674"/>
      <c r="AI58" s="3674"/>
      <c r="AJ58" s="3674"/>
      <c r="AK58" s="3674"/>
      <c r="AL58" s="3674"/>
      <c r="AM58" s="3674"/>
      <c r="AN58" s="3674"/>
      <c r="AO58" s="3674"/>
      <c r="AP58" s="3674"/>
      <c r="AQ58" s="3674"/>
      <c r="AR58" s="3674"/>
      <c r="AS58" s="3674"/>
      <c r="AT58" s="3674"/>
      <c r="AU58" s="3674"/>
      <c r="AV58" s="3674"/>
      <c r="AW58" s="3674"/>
      <c r="AX58" s="3674"/>
      <c r="AY58" s="3674"/>
      <c r="AZ58" s="3674"/>
      <c r="BA58" s="3674"/>
      <c r="BB58" s="3674"/>
      <c r="BC58" s="3674"/>
      <c r="BD58" s="3674"/>
      <c r="BE58" s="3674"/>
      <c r="BF58" s="3674"/>
      <c r="BG58" s="3674"/>
      <c r="BH58" s="3673"/>
      <c r="BI58" s="3673"/>
      <c r="BJ58" s="3673"/>
      <c r="BK58" s="3669"/>
      <c r="BL58" s="3669"/>
      <c r="BM58" s="3691"/>
      <c r="BN58" s="3673"/>
      <c r="BO58" s="3673"/>
      <c r="BP58" s="3673"/>
      <c r="BQ58" s="3685"/>
      <c r="BR58" s="3685"/>
      <c r="BS58" s="3685"/>
      <c r="BT58" s="3685"/>
      <c r="BU58" s="3687"/>
    </row>
    <row r="59" spans="1:73" s="24" customFormat="1" ht="94.5" customHeight="1" x14ac:dyDescent="0.25">
      <c r="A59" s="258"/>
      <c r="B59" s="259"/>
      <c r="C59" s="258"/>
      <c r="D59" s="259"/>
      <c r="E59" s="346"/>
      <c r="F59" s="3621"/>
      <c r="G59" s="3672"/>
      <c r="H59" s="3670"/>
      <c r="I59" s="3672"/>
      <c r="J59" s="3670"/>
      <c r="K59" s="3672"/>
      <c r="L59" s="3670"/>
      <c r="M59" s="3672"/>
      <c r="N59" s="3657"/>
      <c r="O59" s="3622"/>
      <c r="P59" s="3622"/>
      <c r="Q59" s="3622"/>
      <c r="R59" s="3667"/>
      <c r="S59" s="3668"/>
      <c r="T59" s="3669"/>
      <c r="U59" s="3677"/>
      <c r="V59" s="3684"/>
      <c r="W59" s="392" t="s">
        <v>372</v>
      </c>
      <c r="X59" s="390">
        <v>8000000</v>
      </c>
      <c r="Y59" s="390">
        <v>8000000</v>
      </c>
      <c r="Z59" s="390">
        <v>8000000</v>
      </c>
      <c r="AA59" s="363" t="s">
        <v>369</v>
      </c>
      <c r="AB59" s="391">
        <v>20</v>
      </c>
      <c r="AC59" s="357" t="s">
        <v>284</v>
      </c>
      <c r="AD59" s="3674"/>
      <c r="AE59" s="3674"/>
      <c r="AF59" s="3674"/>
      <c r="AG59" s="3674"/>
      <c r="AH59" s="3674"/>
      <c r="AI59" s="3674"/>
      <c r="AJ59" s="3674"/>
      <c r="AK59" s="3674"/>
      <c r="AL59" s="3674"/>
      <c r="AM59" s="3674"/>
      <c r="AN59" s="3674"/>
      <c r="AO59" s="3674"/>
      <c r="AP59" s="3674"/>
      <c r="AQ59" s="3674"/>
      <c r="AR59" s="3674"/>
      <c r="AS59" s="3674"/>
      <c r="AT59" s="3674"/>
      <c r="AU59" s="3674"/>
      <c r="AV59" s="3674"/>
      <c r="AW59" s="3674"/>
      <c r="AX59" s="3674"/>
      <c r="AY59" s="3674"/>
      <c r="AZ59" s="3674"/>
      <c r="BA59" s="3674"/>
      <c r="BB59" s="3674"/>
      <c r="BC59" s="3674"/>
      <c r="BD59" s="3674"/>
      <c r="BE59" s="3674"/>
      <c r="BF59" s="3674"/>
      <c r="BG59" s="3674"/>
      <c r="BH59" s="3673"/>
      <c r="BI59" s="3673"/>
      <c r="BJ59" s="3673"/>
      <c r="BK59" s="3669"/>
      <c r="BL59" s="3669"/>
      <c r="BM59" s="3691"/>
      <c r="BN59" s="3673"/>
      <c r="BO59" s="3673"/>
      <c r="BP59" s="3673"/>
      <c r="BQ59" s="3685"/>
      <c r="BR59" s="3685"/>
      <c r="BS59" s="3685"/>
      <c r="BT59" s="3685"/>
      <c r="BU59" s="3687"/>
    </row>
    <row r="60" spans="1:73" s="24" customFormat="1" ht="63.75" customHeight="1" x14ac:dyDescent="0.25">
      <c r="A60" s="258"/>
      <c r="B60" s="259"/>
      <c r="C60" s="258"/>
      <c r="D60" s="259"/>
      <c r="E60" s="346"/>
      <c r="F60" s="3621"/>
      <c r="G60" s="3692">
        <v>3301095</v>
      </c>
      <c r="H60" s="3695" t="s">
        <v>373</v>
      </c>
      <c r="I60" s="3692">
        <v>3301095</v>
      </c>
      <c r="J60" s="3695" t="s">
        <v>373</v>
      </c>
      <c r="K60" s="3692">
        <v>330109500</v>
      </c>
      <c r="L60" s="3695" t="s">
        <v>374</v>
      </c>
      <c r="M60" s="3692">
        <v>330109500</v>
      </c>
      <c r="N60" s="3671" t="s">
        <v>374</v>
      </c>
      <c r="O60" s="3666">
        <v>150</v>
      </c>
      <c r="P60" s="3666">
        <v>50</v>
      </c>
      <c r="Q60" s="3666" t="s">
        <v>375</v>
      </c>
      <c r="R60" s="3693" t="s">
        <v>376</v>
      </c>
      <c r="S60" s="3698">
        <f>SUM(X60:X62)/T60</f>
        <v>1</v>
      </c>
      <c r="T60" s="3699">
        <f>SUM(X60:X62)</f>
        <v>1401227081.52</v>
      </c>
      <c r="U60" s="3606" t="s">
        <v>377</v>
      </c>
      <c r="V60" s="3647" t="s">
        <v>378</v>
      </c>
      <c r="W60" s="3681" t="s">
        <v>379</v>
      </c>
      <c r="X60" s="347">
        <v>183982494.59999999</v>
      </c>
      <c r="Y60" s="347">
        <v>0</v>
      </c>
      <c r="Z60" s="347">
        <v>0</v>
      </c>
      <c r="AA60" s="363" t="s">
        <v>380</v>
      </c>
      <c r="AB60" s="393">
        <v>33</v>
      </c>
      <c r="AC60" s="394" t="s">
        <v>381</v>
      </c>
      <c r="AD60" s="3697">
        <v>15.268041378930862</v>
      </c>
      <c r="AE60" s="3697"/>
      <c r="AF60" s="3697">
        <v>14.73195862106914</v>
      </c>
      <c r="AG60" s="3697"/>
      <c r="AH60" s="3697">
        <v>6.9922380113902109</v>
      </c>
      <c r="AI60" s="3697"/>
      <c r="AJ60" s="3697">
        <v>2.282891297768729</v>
      </c>
      <c r="AK60" s="3697"/>
      <c r="AL60" s="3697">
        <v>15.947636668775965</v>
      </c>
      <c r="AM60" s="3697"/>
      <c r="AN60" s="3697">
        <v>4.7772340220650902</v>
      </c>
      <c r="AO60" s="3697">
        <v>50</v>
      </c>
      <c r="AP60" s="3697">
        <v>0.11065218587503782</v>
      </c>
      <c r="AQ60" s="3697"/>
      <c r="AR60" s="3697">
        <v>0.65607202795278841</v>
      </c>
      <c r="AS60" s="3697"/>
      <c r="AT60" s="3697">
        <v>1.3412386166671252E-3</v>
      </c>
      <c r="AU60" s="3697"/>
      <c r="AV60" s="3697">
        <v>1.9086857237186013E-3</v>
      </c>
      <c r="AW60" s="3697"/>
      <c r="AX60" s="3697">
        <v>0</v>
      </c>
      <c r="AY60" s="3697"/>
      <c r="AZ60" s="3697">
        <v>0</v>
      </c>
      <c r="BA60" s="3697"/>
      <c r="BB60" s="3697">
        <v>2.2878435634302692</v>
      </c>
      <c r="BC60" s="3697"/>
      <c r="BD60" s="3697">
        <v>1.1320053924670537</v>
      </c>
      <c r="BE60" s="3697"/>
      <c r="BF60" s="3697">
        <v>3.9043971992186419</v>
      </c>
      <c r="BG60" s="3697"/>
      <c r="BH60" s="3697">
        <v>30</v>
      </c>
      <c r="BI60" s="3697">
        <v>50</v>
      </c>
      <c r="BJ60" s="3697">
        <v>1</v>
      </c>
      <c r="BK60" s="3699">
        <f>SUM(Y60:Y62)</f>
        <v>1144764638</v>
      </c>
      <c r="BL60" s="3699">
        <f>SUM(Z60:Z62)</f>
        <v>1144764638</v>
      </c>
      <c r="BM60" s="3698">
        <f>BK60/BL60</f>
        <v>1</v>
      </c>
      <c r="BN60" s="3697">
        <v>83</v>
      </c>
      <c r="BO60" s="3697" t="s">
        <v>382</v>
      </c>
      <c r="BP60" s="3697" t="s">
        <v>383</v>
      </c>
      <c r="BQ60" s="3710">
        <v>44200</v>
      </c>
      <c r="BR60" s="3710">
        <v>44368</v>
      </c>
      <c r="BS60" s="3710">
        <v>44560</v>
      </c>
      <c r="BT60" s="3710">
        <v>44542</v>
      </c>
      <c r="BU60" s="3686" t="s">
        <v>288</v>
      </c>
    </row>
    <row r="61" spans="1:73" s="24" customFormat="1" ht="71.25" customHeight="1" x14ac:dyDescent="0.25">
      <c r="A61" s="258"/>
      <c r="B61" s="259"/>
      <c r="C61" s="258"/>
      <c r="D61" s="259"/>
      <c r="E61" s="346"/>
      <c r="F61" s="3621"/>
      <c r="G61" s="3692"/>
      <c r="H61" s="3695"/>
      <c r="I61" s="3692"/>
      <c r="J61" s="3695"/>
      <c r="K61" s="3692"/>
      <c r="L61" s="3695"/>
      <c r="M61" s="3692"/>
      <c r="N61" s="3671"/>
      <c r="O61" s="3666"/>
      <c r="P61" s="3666"/>
      <c r="Q61" s="3666"/>
      <c r="R61" s="3693"/>
      <c r="S61" s="3698"/>
      <c r="T61" s="3699"/>
      <c r="U61" s="3607"/>
      <c r="V61" s="3648"/>
      <c r="W61" s="3681"/>
      <c r="X61" s="347">
        <v>0</v>
      </c>
      <c r="Y61" s="347">
        <v>0</v>
      </c>
      <c r="Z61" s="347">
        <v>0</v>
      </c>
      <c r="AA61" s="303" t="s">
        <v>384</v>
      </c>
      <c r="AB61" s="395">
        <v>20</v>
      </c>
      <c r="AC61" s="357" t="s">
        <v>284</v>
      </c>
      <c r="AD61" s="3701"/>
      <c r="AE61" s="3697"/>
      <c r="AF61" s="3697"/>
      <c r="AG61" s="3697"/>
      <c r="AH61" s="3697"/>
      <c r="AI61" s="3697"/>
      <c r="AJ61" s="3697"/>
      <c r="AK61" s="3697"/>
      <c r="AL61" s="3697"/>
      <c r="AM61" s="3697"/>
      <c r="AN61" s="3697"/>
      <c r="AO61" s="3697"/>
      <c r="AP61" s="3697"/>
      <c r="AQ61" s="3697"/>
      <c r="AR61" s="3697"/>
      <c r="AS61" s="3697"/>
      <c r="AT61" s="3697"/>
      <c r="AU61" s="3697"/>
      <c r="AV61" s="3697"/>
      <c r="AW61" s="3697"/>
      <c r="AX61" s="3697"/>
      <c r="AY61" s="3697"/>
      <c r="AZ61" s="3697"/>
      <c r="BA61" s="3697"/>
      <c r="BB61" s="3697"/>
      <c r="BC61" s="3697"/>
      <c r="BD61" s="3697"/>
      <c r="BE61" s="3697"/>
      <c r="BF61" s="3697"/>
      <c r="BG61" s="3697"/>
      <c r="BH61" s="3697"/>
      <c r="BI61" s="3697"/>
      <c r="BJ61" s="3697"/>
      <c r="BK61" s="3699"/>
      <c r="BL61" s="3699"/>
      <c r="BM61" s="3698"/>
      <c r="BN61" s="3697"/>
      <c r="BO61" s="3697"/>
      <c r="BP61" s="3697"/>
      <c r="BQ61" s="3710"/>
      <c r="BR61" s="3710"/>
      <c r="BS61" s="3710"/>
      <c r="BT61" s="3710"/>
      <c r="BU61" s="3686"/>
    </row>
    <row r="62" spans="1:73" s="24" customFormat="1" ht="61.5" customHeight="1" x14ac:dyDescent="0.25">
      <c r="A62" s="258"/>
      <c r="B62" s="259"/>
      <c r="C62" s="258"/>
      <c r="D62" s="259"/>
      <c r="E62" s="346"/>
      <c r="F62" s="3621"/>
      <c r="G62" s="3694"/>
      <c r="H62" s="3696"/>
      <c r="I62" s="3694"/>
      <c r="J62" s="3696"/>
      <c r="K62" s="3694"/>
      <c r="L62" s="3696"/>
      <c r="M62" s="3656"/>
      <c r="N62" s="3657"/>
      <c r="O62" s="3622"/>
      <c r="P62" s="3622"/>
      <c r="Q62" s="3622"/>
      <c r="R62" s="3667"/>
      <c r="S62" s="3668"/>
      <c r="T62" s="3669"/>
      <c r="U62" s="3693"/>
      <c r="V62" s="3700"/>
      <c r="W62" s="3681"/>
      <c r="X62" s="348">
        <v>1217244586.9200001</v>
      </c>
      <c r="Y62" s="348">
        <v>1144764638</v>
      </c>
      <c r="Z62" s="348">
        <v>1144764638</v>
      </c>
      <c r="AA62" s="363" t="s">
        <v>385</v>
      </c>
      <c r="AB62" s="396">
        <v>83</v>
      </c>
      <c r="AC62" s="397" t="s">
        <v>386</v>
      </c>
      <c r="AD62" s="3674"/>
      <c r="AE62" s="3674"/>
      <c r="AF62" s="3673"/>
      <c r="AG62" s="3674"/>
      <c r="AH62" s="3673"/>
      <c r="AI62" s="3674"/>
      <c r="AJ62" s="3673"/>
      <c r="AK62" s="3674"/>
      <c r="AL62" s="3673"/>
      <c r="AM62" s="3674"/>
      <c r="AN62" s="3673"/>
      <c r="AO62" s="3674"/>
      <c r="AP62" s="3673"/>
      <c r="AQ62" s="3674"/>
      <c r="AR62" s="3673"/>
      <c r="AS62" s="3674"/>
      <c r="AT62" s="3673"/>
      <c r="AU62" s="3674"/>
      <c r="AV62" s="3673"/>
      <c r="AW62" s="3674"/>
      <c r="AX62" s="3673"/>
      <c r="AY62" s="3674"/>
      <c r="AZ62" s="3673"/>
      <c r="BA62" s="3674"/>
      <c r="BB62" s="3673"/>
      <c r="BC62" s="3674"/>
      <c r="BD62" s="3673"/>
      <c r="BE62" s="3674"/>
      <c r="BF62" s="3673"/>
      <c r="BG62" s="3674"/>
      <c r="BH62" s="3673"/>
      <c r="BI62" s="3674"/>
      <c r="BJ62" s="3674"/>
      <c r="BK62" s="3711"/>
      <c r="BL62" s="3711"/>
      <c r="BM62" s="3702"/>
      <c r="BN62" s="3674"/>
      <c r="BO62" s="3674"/>
      <c r="BP62" s="3674"/>
      <c r="BQ62" s="3685"/>
      <c r="BR62" s="3685"/>
      <c r="BS62" s="3685"/>
      <c r="BT62" s="3685"/>
      <c r="BU62" s="3687"/>
    </row>
    <row r="63" spans="1:73" s="4" customFormat="1" ht="25.5" customHeight="1" x14ac:dyDescent="0.25">
      <c r="A63" s="267"/>
      <c r="B63" s="268"/>
      <c r="C63" s="267"/>
      <c r="D63" s="268"/>
      <c r="E63" s="398">
        <v>3302</v>
      </c>
      <c r="F63" s="336" t="s">
        <v>387</v>
      </c>
      <c r="G63" s="337"/>
      <c r="H63" s="399"/>
      <c r="I63" s="400"/>
      <c r="J63" s="399"/>
      <c r="K63" s="401"/>
      <c r="L63" s="402"/>
      <c r="M63" s="403"/>
      <c r="N63" s="404"/>
      <c r="O63" s="403"/>
      <c r="P63" s="403"/>
      <c r="Q63" s="403"/>
      <c r="R63" s="404"/>
      <c r="S63" s="403"/>
      <c r="T63" s="405"/>
      <c r="U63" s="403"/>
      <c r="V63" s="403"/>
      <c r="W63" s="406"/>
      <c r="X63" s="405"/>
      <c r="Y63" s="405"/>
      <c r="Z63" s="407"/>
      <c r="AA63" s="406"/>
      <c r="AB63" s="403"/>
      <c r="AC63" s="403"/>
      <c r="AD63" s="408"/>
      <c r="AE63" s="403"/>
      <c r="AF63" s="403"/>
      <c r="AG63" s="403"/>
      <c r="AH63" s="403"/>
      <c r="AI63" s="403"/>
      <c r="AJ63" s="403"/>
      <c r="AK63" s="403"/>
      <c r="AL63" s="403"/>
      <c r="AM63" s="403"/>
      <c r="AN63" s="403"/>
      <c r="AO63" s="403"/>
      <c r="AP63" s="403"/>
      <c r="AQ63" s="403"/>
      <c r="AR63" s="409"/>
      <c r="AS63" s="403"/>
      <c r="AT63" s="403"/>
      <c r="AU63" s="403"/>
      <c r="AV63" s="403"/>
      <c r="AW63" s="403"/>
      <c r="AX63" s="403"/>
      <c r="AY63" s="403"/>
      <c r="AZ63" s="403"/>
      <c r="BA63" s="403"/>
      <c r="BB63" s="403"/>
      <c r="BC63" s="403"/>
      <c r="BD63" s="403"/>
      <c r="BE63" s="403"/>
      <c r="BF63" s="403"/>
      <c r="BG63" s="403"/>
      <c r="BH63" s="403"/>
      <c r="BI63" s="403"/>
      <c r="BJ63" s="403"/>
      <c r="BK63" s="405"/>
      <c r="BL63" s="405"/>
      <c r="BM63" s="403"/>
      <c r="BN63" s="403"/>
      <c r="BO63" s="403"/>
      <c r="BP63" s="403"/>
      <c r="BQ63" s="403"/>
      <c r="BR63" s="403"/>
      <c r="BS63" s="403"/>
      <c r="BT63" s="403"/>
      <c r="BU63" s="409"/>
    </row>
    <row r="64" spans="1:73" s="24" customFormat="1" ht="138.75" customHeight="1" x14ac:dyDescent="0.25">
      <c r="A64" s="258"/>
      <c r="B64" s="259"/>
      <c r="C64" s="258"/>
      <c r="D64" s="259"/>
      <c r="E64" s="346"/>
      <c r="F64" s="346"/>
      <c r="G64" s="366">
        <v>3302042</v>
      </c>
      <c r="H64" s="410" t="s">
        <v>388</v>
      </c>
      <c r="I64" s="366">
        <v>3302042</v>
      </c>
      <c r="J64" s="410" t="s">
        <v>388</v>
      </c>
      <c r="K64" s="411">
        <v>330204200</v>
      </c>
      <c r="L64" s="156" t="s">
        <v>389</v>
      </c>
      <c r="M64" s="411">
        <v>330204200</v>
      </c>
      <c r="N64" s="156" t="s">
        <v>389</v>
      </c>
      <c r="O64" s="412">
        <v>12</v>
      </c>
      <c r="P64" s="412">
        <v>12</v>
      </c>
      <c r="Q64" s="3605" t="s">
        <v>390</v>
      </c>
      <c r="R64" s="3705" t="s">
        <v>391</v>
      </c>
      <c r="S64" s="413">
        <f>X64/T64</f>
        <v>0.24252526528741936</v>
      </c>
      <c r="T64" s="3707">
        <f>SUM(X64:X68)</f>
        <v>274198236.30000001</v>
      </c>
      <c r="U64" s="3709" t="s">
        <v>392</v>
      </c>
      <c r="V64" s="414" t="s">
        <v>393</v>
      </c>
      <c r="W64" s="415" t="s">
        <v>394</v>
      </c>
      <c r="X64" s="416">
        <v>66500000</v>
      </c>
      <c r="Y64" s="417">
        <v>62563999</v>
      </c>
      <c r="Z64" s="416">
        <v>62563999</v>
      </c>
      <c r="AA64" s="418" t="s">
        <v>395</v>
      </c>
      <c r="AB64" s="419">
        <v>20</v>
      </c>
      <c r="AC64" s="357" t="s">
        <v>284</v>
      </c>
      <c r="AD64" s="3703">
        <v>295972</v>
      </c>
      <c r="AE64" s="3703">
        <v>12184</v>
      </c>
      <c r="AF64" s="3703">
        <v>285580</v>
      </c>
      <c r="AG64" s="3703">
        <v>8502</v>
      </c>
      <c r="AH64" s="3703">
        <v>135545</v>
      </c>
      <c r="AI64" s="3703">
        <v>15189</v>
      </c>
      <c r="AJ64" s="3703">
        <v>44254</v>
      </c>
      <c r="AK64" s="3703">
        <v>4044</v>
      </c>
      <c r="AL64" s="3703">
        <v>309146</v>
      </c>
      <c r="AM64" s="3703">
        <v>1236</v>
      </c>
      <c r="AN64" s="3703">
        <v>92607</v>
      </c>
      <c r="AO64" s="3703">
        <v>217</v>
      </c>
      <c r="AP64" s="3703">
        <v>2145</v>
      </c>
      <c r="AQ64" s="3703">
        <v>17</v>
      </c>
      <c r="AR64" s="3703">
        <v>12718</v>
      </c>
      <c r="AS64" s="3703">
        <v>60</v>
      </c>
      <c r="AT64" s="3703">
        <v>26</v>
      </c>
      <c r="AU64" s="3703">
        <v>1</v>
      </c>
      <c r="AV64" s="3703">
        <v>37</v>
      </c>
      <c r="AW64" s="3703">
        <v>1</v>
      </c>
      <c r="AX64" s="3703">
        <v>0</v>
      </c>
      <c r="AY64" s="3703">
        <v>1</v>
      </c>
      <c r="AZ64" s="3703">
        <v>0</v>
      </c>
      <c r="BA64" s="3703">
        <v>1</v>
      </c>
      <c r="BB64" s="3703">
        <v>44350</v>
      </c>
      <c r="BC64" s="3703">
        <v>1</v>
      </c>
      <c r="BD64" s="3703">
        <v>21944</v>
      </c>
      <c r="BE64" s="3703">
        <v>97</v>
      </c>
      <c r="BF64" s="3703">
        <v>75686.999999999985</v>
      </c>
      <c r="BG64" s="3703">
        <v>51</v>
      </c>
      <c r="BH64" s="3703">
        <v>581552</v>
      </c>
      <c r="BI64" s="3703">
        <v>41602</v>
      </c>
      <c r="BJ64" s="3703">
        <v>11</v>
      </c>
      <c r="BK64" s="3707">
        <f>SUM(Y64:Y68)</f>
        <v>260343468</v>
      </c>
      <c r="BL64" s="3707">
        <f>SUM(Z64:Z68)</f>
        <v>260343468</v>
      </c>
      <c r="BM64" s="2726">
        <f>BL64/BK64</f>
        <v>1</v>
      </c>
      <c r="BN64" s="3703">
        <v>20</v>
      </c>
      <c r="BO64" s="3703" t="s">
        <v>284</v>
      </c>
      <c r="BP64" s="3703" t="s">
        <v>396</v>
      </c>
      <c r="BQ64" s="3037">
        <v>44200</v>
      </c>
      <c r="BR64" s="3037">
        <v>44259</v>
      </c>
      <c r="BS64" s="3037">
        <v>44560</v>
      </c>
      <c r="BT64" s="3037">
        <v>44443</v>
      </c>
      <c r="BU64" s="3075" t="s">
        <v>397</v>
      </c>
    </row>
    <row r="65" spans="1:73" s="24" customFormat="1" ht="76.5" customHeight="1" x14ac:dyDescent="0.25">
      <c r="A65" s="258"/>
      <c r="B65" s="259"/>
      <c r="C65" s="258"/>
      <c r="D65" s="259"/>
      <c r="E65" s="346"/>
      <c r="F65" s="346"/>
      <c r="G65" s="3672">
        <v>3302070</v>
      </c>
      <c r="H65" s="3712" t="s">
        <v>398</v>
      </c>
      <c r="I65" s="3672">
        <v>3302070</v>
      </c>
      <c r="J65" s="3712" t="s">
        <v>398</v>
      </c>
      <c r="K65" s="3715" t="s">
        <v>399</v>
      </c>
      <c r="L65" s="3718" t="s">
        <v>365</v>
      </c>
      <c r="M65" s="3715" t="s">
        <v>399</v>
      </c>
      <c r="N65" s="3718" t="s">
        <v>365</v>
      </c>
      <c r="O65" s="3604">
        <v>4</v>
      </c>
      <c r="P65" s="3604">
        <v>4</v>
      </c>
      <c r="Q65" s="3605"/>
      <c r="R65" s="3705"/>
      <c r="S65" s="3721">
        <f>SUM(X65:X68)/T64</f>
        <v>0.75747473471258064</v>
      </c>
      <c r="T65" s="3707"/>
      <c r="U65" s="3639"/>
      <c r="V65" s="3641" t="s">
        <v>400</v>
      </c>
      <c r="W65" s="3722" t="s">
        <v>398</v>
      </c>
      <c r="X65" s="347">
        <v>66500000</v>
      </c>
      <c r="Y65" s="420">
        <v>56615666</v>
      </c>
      <c r="Z65" s="347">
        <v>56615666</v>
      </c>
      <c r="AA65" s="418" t="s">
        <v>401</v>
      </c>
      <c r="AB65" s="364">
        <v>20</v>
      </c>
      <c r="AC65" s="357" t="s">
        <v>284</v>
      </c>
      <c r="AD65" s="3703"/>
      <c r="AE65" s="3703"/>
      <c r="AF65" s="3703"/>
      <c r="AG65" s="3703"/>
      <c r="AH65" s="3703"/>
      <c r="AI65" s="3703"/>
      <c r="AJ65" s="3703"/>
      <c r="AK65" s="3703"/>
      <c r="AL65" s="3703"/>
      <c r="AM65" s="3703"/>
      <c r="AN65" s="3703"/>
      <c r="AO65" s="3703"/>
      <c r="AP65" s="3703"/>
      <c r="AQ65" s="3703"/>
      <c r="AR65" s="3703"/>
      <c r="AS65" s="3703"/>
      <c r="AT65" s="3703"/>
      <c r="AU65" s="3703"/>
      <c r="AV65" s="3703"/>
      <c r="AW65" s="3703"/>
      <c r="AX65" s="3703"/>
      <c r="AY65" s="3703"/>
      <c r="AZ65" s="3703"/>
      <c r="BA65" s="3703"/>
      <c r="BB65" s="3703"/>
      <c r="BC65" s="3703"/>
      <c r="BD65" s="3703"/>
      <c r="BE65" s="3703"/>
      <c r="BF65" s="3703"/>
      <c r="BG65" s="3703"/>
      <c r="BH65" s="3703"/>
      <c r="BI65" s="3703"/>
      <c r="BJ65" s="3703"/>
      <c r="BK65" s="3707"/>
      <c r="BL65" s="3707"/>
      <c r="BM65" s="2726"/>
      <c r="BN65" s="3703"/>
      <c r="BO65" s="3703"/>
      <c r="BP65" s="3703"/>
      <c r="BQ65" s="3037"/>
      <c r="BR65" s="3037"/>
      <c r="BS65" s="3037"/>
      <c r="BT65" s="3037"/>
      <c r="BU65" s="3075"/>
    </row>
    <row r="66" spans="1:73" s="24" customFormat="1" ht="76.5" customHeight="1" x14ac:dyDescent="0.25">
      <c r="A66" s="258"/>
      <c r="B66" s="259"/>
      <c r="C66" s="258"/>
      <c r="D66" s="259"/>
      <c r="E66" s="346"/>
      <c r="F66" s="346"/>
      <c r="G66" s="3672"/>
      <c r="H66" s="3713"/>
      <c r="I66" s="3672"/>
      <c r="J66" s="3713"/>
      <c r="K66" s="3716"/>
      <c r="L66" s="3719"/>
      <c r="M66" s="3716"/>
      <c r="N66" s="3719"/>
      <c r="O66" s="3605"/>
      <c r="P66" s="3605"/>
      <c r="Q66" s="3605"/>
      <c r="R66" s="3705"/>
      <c r="S66" s="2726"/>
      <c r="T66" s="3707"/>
      <c r="U66" s="3639"/>
      <c r="V66" s="3642"/>
      <c r="W66" s="3705"/>
      <c r="X66" s="347">
        <v>0</v>
      </c>
      <c r="Y66" s="420">
        <v>0</v>
      </c>
      <c r="Z66" s="347">
        <v>0</v>
      </c>
      <c r="AA66" s="418" t="s">
        <v>402</v>
      </c>
      <c r="AB66" s="364">
        <v>47</v>
      </c>
      <c r="AC66" s="357" t="s">
        <v>403</v>
      </c>
      <c r="AD66" s="3703"/>
      <c r="AE66" s="3703"/>
      <c r="AF66" s="3703"/>
      <c r="AG66" s="3703"/>
      <c r="AH66" s="3703"/>
      <c r="AI66" s="3703"/>
      <c r="AJ66" s="3703"/>
      <c r="AK66" s="3703"/>
      <c r="AL66" s="3703"/>
      <c r="AM66" s="3703"/>
      <c r="AN66" s="3703"/>
      <c r="AO66" s="3703"/>
      <c r="AP66" s="3703"/>
      <c r="AQ66" s="3703"/>
      <c r="AR66" s="3703"/>
      <c r="AS66" s="3703"/>
      <c r="AT66" s="3703"/>
      <c r="AU66" s="3703"/>
      <c r="AV66" s="3703"/>
      <c r="AW66" s="3703"/>
      <c r="AX66" s="3703"/>
      <c r="AY66" s="3703"/>
      <c r="AZ66" s="3703"/>
      <c r="BA66" s="3703"/>
      <c r="BB66" s="3703"/>
      <c r="BC66" s="3703"/>
      <c r="BD66" s="3703"/>
      <c r="BE66" s="3703"/>
      <c r="BF66" s="3703"/>
      <c r="BG66" s="3703"/>
      <c r="BH66" s="3703"/>
      <c r="BI66" s="3703"/>
      <c r="BJ66" s="3703"/>
      <c r="BK66" s="3707"/>
      <c r="BL66" s="3707"/>
      <c r="BM66" s="2726"/>
      <c r="BN66" s="3703"/>
      <c r="BO66" s="3703"/>
      <c r="BP66" s="3703"/>
      <c r="BQ66" s="3037"/>
      <c r="BR66" s="3037"/>
      <c r="BS66" s="3037"/>
      <c r="BT66" s="3037"/>
      <c r="BU66" s="3075"/>
    </row>
    <row r="67" spans="1:73" s="24" customFormat="1" ht="76.5" customHeight="1" x14ac:dyDescent="0.25">
      <c r="A67" s="258"/>
      <c r="B67" s="259"/>
      <c r="C67" s="258"/>
      <c r="D67" s="259"/>
      <c r="E67" s="346"/>
      <c r="F67" s="346"/>
      <c r="G67" s="3672"/>
      <c r="H67" s="3713"/>
      <c r="I67" s="3672"/>
      <c r="J67" s="3713"/>
      <c r="K67" s="3716"/>
      <c r="L67" s="3719"/>
      <c r="M67" s="3716"/>
      <c r="N67" s="3719"/>
      <c r="O67" s="3605"/>
      <c r="P67" s="3605"/>
      <c r="Q67" s="3605"/>
      <c r="R67" s="3705"/>
      <c r="S67" s="2726"/>
      <c r="T67" s="3707"/>
      <c r="U67" s="3639"/>
      <c r="V67" s="3642"/>
      <c r="W67" s="3705"/>
      <c r="X67" s="347">
        <v>141163803</v>
      </c>
      <c r="Y67" s="420">
        <v>141163803</v>
      </c>
      <c r="Z67" s="347">
        <v>141163803</v>
      </c>
      <c r="AA67" s="418" t="s">
        <v>404</v>
      </c>
      <c r="AB67" s="364">
        <v>47</v>
      </c>
      <c r="AC67" s="357" t="s">
        <v>403</v>
      </c>
      <c r="AD67" s="3703"/>
      <c r="AE67" s="3703"/>
      <c r="AF67" s="3703"/>
      <c r="AG67" s="3703"/>
      <c r="AH67" s="3703"/>
      <c r="AI67" s="3703"/>
      <c r="AJ67" s="3703"/>
      <c r="AK67" s="3703"/>
      <c r="AL67" s="3703"/>
      <c r="AM67" s="3703"/>
      <c r="AN67" s="3703"/>
      <c r="AO67" s="3703"/>
      <c r="AP67" s="3703"/>
      <c r="AQ67" s="3703"/>
      <c r="AR67" s="3703"/>
      <c r="AS67" s="3703"/>
      <c r="AT67" s="3703"/>
      <c r="AU67" s="3703"/>
      <c r="AV67" s="3703"/>
      <c r="AW67" s="3703"/>
      <c r="AX67" s="3703"/>
      <c r="AY67" s="3703"/>
      <c r="AZ67" s="3703"/>
      <c r="BA67" s="3703"/>
      <c r="BB67" s="3703"/>
      <c r="BC67" s="3703"/>
      <c r="BD67" s="3703"/>
      <c r="BE67" s="3703"/>
      <c r="BF67" s="3703"/>
      <c r="BG67" s="3703"/>
      <c r="BH67" s="3703"/>
      <c r="BI67" s="3703"/>
      <c r="BJ67" s="3703"/>
      <c r="BK67" s="3707"/>
      <c r="BL67" s="3707"/>
      <c r="BM67" s="2726"/>
      <c r="BN67" s="3703"/>
      <c r="BO67" s="3703"/>
      <c r="BP67" s="3703"/>
      <c r="BQ67" s="3037"/>
      <c r="BR67" s="3037"/>
      <c r="BS67" s="3037"/>
      <c r="BT67" s="3037"/>
      <c r="BU67" s="3075"/>
    </row>
    <row r="68" spans="1:73" s="24" customFormat="1" ht="90.75" customHeight="1" x14ac:dyDescent="0.25">
      <c r="A68" s="421"/>
      <c r="B68" s="422"/>
      <c r="C68" s="421"/>
      <c r="D68" s="422"/>
      <c r="E68" s="423"/>
      <c r="F68" s="423"/>
      <c r="G68" s="3672"/>
      <c r="H68" s="3714"/>
      <c r="I68" s="3672"/>
      <c r="J68" s="3714"/>
      <c r="K68" s="3717"/>
      <c r="L68" s="3720"/>
      <c r="M68" s="3717"/>
      <c r="N68" s="3720"/>
      <c r="O68" s="3666"/>
      <c r="P68" s="3666"/>
      <c r="Q68" s="3666"/>
      <c r="R68" s="3706"/>
      <c r="S68" s="2727"/>
      <c r="T68" s="3708"/>
      <c r="U68" s="3640"/>
      <c r="V68" s="3643"/>
      <c r="W68" s="3706"/>
      <c r="X68" s="347">
        <v>34433.300000000003</v>
      </c>
      <c r="Y68" s="420">
        <v>0</v>
      </c>
      <c r="Z68" s="347">
        <v>0</v>
      </c>
      <c r="AA68" s="418" t="s">
        <v>405</v>
      </c>
      <c r="AB68" s="364">
        <v>93</v>
      </c>
      <c r="AC68" s="357" t="s">
        <v>406</v>
      </c>
      <c r="AD68" s="3704"/>
      <c r="AE68" s="3704"/>
      <c r="AF68" s="3704"/>
      <c r="AG68" s="3704"/>
      <c r="AH68" s="3704"/>
      <c r="AI68" s="3704"/>
      <c r="AJ68" s="3704"/>
      <c r="AK68" s="3704"/>
      <c r="AL68" s="3704"/>
      <c r="AM68" s="3704"/>
      <c r="AN68" s="3704"/>
      <c r="AO68" s="3704"/>
      <c r="AP68" s="3704"/>
      <c r="AQ68" s="3704"/>
      <c r="AR68" s="3704"/>
      <c r="AS68" s="3704"/>
      <c r="AT68" s="3704"/>
      <c r="AU68" s="3704"/>
      <c r="AV68" s="3704"/>
      <c r="AW68" s="3704"/>
      <c r="AX68" s="3704"/>
      <c r="AY68" s="3704"/>
      <c r="AZ68" s="3704"/>
      <c r="BA68" s="3704"/>
      <c r="BB68" s="3704"/>
      <c r="BC68" s="3704"/>
      <c r="BD68" s="3704"/>
      <c r="BE68" s="3704"/>
      <c r="BF68" s="3704"/>
      <c r="BG68" s="3704"/>
      <c r="BH68" s="3704"/>
      <c r="BI68" s="3704"/>
      <c r="BJ68" s="3704"/>
      <c r="BK68" s="3708"/>
      <c r="BL68" s="3708"/>
      <c r="BM68" s="2727"/>
      <c r="BN68" s="3704"/>
      <c r="BO68" s="3704"/>
      <c r="BP68" s="3704"/>
      <c r="BQ68" s="3038"/>
      <c r="BR68" s="3038"/>
      <c r="BS68" s="3038"/>
      <c r="BT68" s="3038"/>
      <c r="BU68" s="3076"/>
    </row>
    <row r="69" spans="1:73" s="4" customFormat="1" ht="27" customHeight="1" x14ac:dyDescent="0.25">
      <c r="A69" s="424"/>
      <c r="B69" s="424"/>
      <c r="C69" s="424"/>
      <c r="D69" s="424"/>
      <c r="E69" s="424"/>
      <c r="F69" s="424"/>
      <c r="G69" s="424"/>
      <c r="H69" s="424"/>
      <c r="I69" s="424"/>
      <c r="J69" s="424"/>
      <c r="K69" s="424"/>
      <c r="L69" s="424"/>
      <c r="M69" s="424"/>
      <c r="N69" s="424"/>
      <c r="O69" s="424"/>
      <c r="P69" s="424"/>
      <c r="Q69" s="424"/>
      <c r="R69" s="424"/>
      <c r="S69" s="425"/>
      <c r="T69" s="426">
        <f>SUM(T10:T68)</f>
        <v>3988607319.3200002</v>
      </c>
      <c r="U69" s="424"/>
      <c r="V69" s="424"/>
      <c r="W69" s="424" t="s">
        <v>0</v>
      </c>
      <c r="X69" s="427">
        <f>SUM(X10:X68)</f>
        <v>3988607319.3199997</v>
      </c>
      <c r="Y69" s="427">
        <f t="shared" ref="Y69:Z69" si="0">SUM(Y10:Y68)</f>
        <v>3398905453.8099999</v>
      </c>
      <c r="Z69" s="427">
        <f t="shared" si="0"/>
        <v>3398905453.8099999</v>
      </c>
      <c r="AA69" s="424"/>
      <c r="AB69" s="428"/>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424"/>
      <c r="BE69" s="424"/>
      <c r="BF69" s="424"/>
      <c r="BG69" s="424"/>
      <c r="BH69" s="424"/>
      <c r="BI69" s="424"/>
      <c r="BJ69" s="424"/>
      <c r="BK69" s="427">
        <f t="shared" ref="BK69:BL69" si="1">SUM(BK10:BK68)</f>
        <v>3398905453.8099999</v>
      </c>
      <c r="BL69" s="427">
        <f t="shared" si="1"/>
        <v>3398905453.8099999</v>
      </c>
      <c r="BM69" s="429">
        <f>BL69/BK69</f>
        <v>1</v>
      </c>
      <c r="BN69" s="424"/>
      <c r="BO69" s="424"/>
      <c r="BP69" s="424"/>
      <c r="BQ69" s="430"/>
      <c r="BR69" s="430"/>
      <c r="BS69" s="430"/>
      <c r="BT69" s="430"/>
      <c r="BU69" s="431"/>
    </row>
    <row r="70" spans="1:73" ht="27" customHeight="1" x14ac:dyDescent="0.25">
      <c r="W70" s="157"/>
    </row>
    <row r="71" spans="1:73" ht="27" customHeight="1" x14ac:dyDescent="0.25">
      <c r="W71" s="157"/>
    </row>
  </sheetData>
  <mergeCells count="344">
    <mergeCell ref="N65:N68"/>
    <mergeCell ref="O65:O68"/>
    <mergeCell ref="P65:P68"/>
    <mergeCell ref="S65:S68"/>
    <mergeCell ref="V65:V68"/>
    <mergeCell ref="W65:W68"/>
    <mergeCell ref="BS64:BS68"/>
    <mergeCell ref="BT64:BT68"/>
    <mergeCell ref="BU64:BU68"/>
    <mergeCell ref="BO64:BO68"/>
    <mergeCell ref="BP64:BP68"/>
    <mergeCell ref="BQ64:BQ68"/>
    <mergeCell ref="BR64:BR68"/>
    <mergeCell ref="AX64:AX68"/>
    <mergeCell ref="AY64:AY68"/>
    <mergeCell ref="AZ64:AZ68"/>
    <mergeCell ref="AO64:AO68"/>
    <mergeCell ref="AP64:AP68"/>
    <mergeCell ref="AQ64:AQ68"/>
    <mergeCell ref="AR64:AR68"/>
    <mergeCell ref="AS64:AS68"/>
    <mergeCell ref="AT64:AT68"/>
    <mergeCell ref="AI64:AI68"/>
    <mergeCell ref="AJ64:AJ68"/>
    <mergeCell ref="G65:G68"/>
    <mergeCell ref="H65:H68"/>
    <mergeCell ref="I65:I68"/>
    <mergeCell ref="J65:J68"/>
    <mergeCell ref="K65:K68"/>
    <mergeCell ref="L65:L68"/>
    <mergeCell ref="M65:M68"/>
    <mergeCell ref="BM64:BM68"/>
    <mergeCell ref="BN64:BN68"/>
    <mergeCell ref="BG64:BG68"/>
    <mergeCell ref="BH64:BH68"/>
    <mergeCell ref="BI64:BI68"/>
    <mergeCell ref="BJ64:BJ68"/>
    <mergeCell ref="BK64:BK68"/>
    <mergeCell ref="BL64:BL68"/>
    <mergeCell ref="BA64:BA68"/>
    <mergeCell ref="BB64:BB68"/>
    <mergeCell ref="BC64:BC68"/>
    <mergeCell ref="BD64:BD68"/>
    <mergeCell ref="BE64:BE68"/>
    <mergeCell ref="BF64:BF68"/>
    <mergeCell ref="AU64:AU68"/>
    <mergeCell ref="AV64:AV68"/>
    <mergeCell ref="AW64:AW68"/>
    <mergeCell ref="AK64:AK68"/>
    <mergeCell ref="AL64:AL68"/>
    <mergeCell ref="AM64:AM68"/>
    <mergeCell ref="AN64:AN68"/>
    <mergeCell ref="BU60:BU62"/>
    <mergeCell ref="Q64:Q68"/>
    <mergeCell ref="R64:R68"/>
    <mergeCell ref="T64:T68"/>
    <mergeCell ref="U64:U68"/>
    <mergeCell ref="AD64:AD68"/>
    <mergeCell ref="AE64:AE68"/>
    <mergeCell ref="AF64:AF68"/>
    <mergeCell ref="AG64:AG68"/>
    <mergeCell ref="AH64:AH68"/>
    <mergeCell ref="BO60:BO62"/>
    <mergeCell ref="BP60:BP62"/>
    <mergeCell ref="BQ60:BQ62"/>
    <mergeCell ref="BR60:BR62"/>
    <mergeCell ref="BS60:BS62"/>
    <mergeCell ref="BT60:BT62"/>
    <mergeCell ref="BI60:BI62"/>
    <mergeCell ref="BJ60:BJ62"/>
    <mergeCell ref="BK60:BK62"/>
    <mergeCell ref="BL60:BL62"/>
    <mergeCell ref="BM60:BM62"/>
    <mergeCell ref="BN60:BN62"/>
    <mergeCell ref="BC60:BC62"/>
    <mergeCell ref="BD60:BD62"/>
    <mergeCell ref="BE60:BE62"/>
    <mergeCell ref="BF60:BF62"/>
    <mergeCell ref="BG60:BG62"/>
    <mergeCell ref="BH60:BH62"/>
    <mergeCell ref="AW60:AW62"/>
    <mergeCell ref="AX60:AX62"/>
    <mergeCell ref="AY60:AY62"/>
    <mergeCell ref="AZ60:AZ62"/>
    <mergeCell ref="BA60:BA62"/>
    <mergeCell ref="BB60:BB62"/>
    <mergeCell ref="AQ60:AQ62"/>
    <mergeCell ref="AR60:AR62"/>
    <mergeCell ref="AS60:AS62"/>
    <mergeCell ref="AT60:AT62"/>
    <mergeCell ref="AU60:AU62"/>
    <mergeCell ref="AV60:AV62"/>
    <mergeCell ref="AK60:AK62"/>
    <mergeCell ref="AL60:AL62"/>
    <mergeCell ref="AM60:AM62"/>
    <mergeCell ref="AN60:AN62"/>
    <mergeCell ref="AO60:AO62"/>
    <mergeCell ref="AP60:AP62"/>
    <mergeCell ref="AH60:AH62"/>
    <mergeCell ref="AI60:AI62"/>
    <mergeCell ref="AJ60:AJ62"/>
    <mergeCell ref="S60:S62"/>
    <mergeCell ref="T60:T62"/>
    <mergeCell ref="U60:U62"/>
    <mergeCell ref="V60:V62"/>
    <mergeCell ref="W60:W62"/>
    <mergeCell ref="AD60:AD62"/>
    <mergeCell ref="G60:G62"/>
    <mergeCell ref="H60:H62"/>
    <mergeCell ref="I60:I62"/>
    <mergeCell ref="J60:J62"/>
    <mergeCell ref="K60:K62"/>
    <mergeCell ref="L60:L62"/>
    <mergeCell ref="AE60:AE62"/>
    <mergeCell ref="AF60:AF62"/>
    <mergeCell ref="AG60:AG62"/>
    <mergeCell ref="J55:J59"/>
    <mergeCell ref="K55:K59"/>
    <mergeCell ref="L55:L59"/>
    <mergeCell ref="M60:M62"/>
    <mergeCell ref="N60:N62"/>
    <mergeCell ref="O60:O62"/>
    <mergeCell ref="P60:P62"/>
    <mergeCell ref="Q60:Q62"/>
    <mergeCell ref="R60:R62"/>
    <mergeCell ref="BQ38:BQ59"/>
    <mergeCell ref="BR38:BR59"/>
    <mergeCell ref="BS38:BS59"/>
    <mergeCell ref="BT38:BT59"/>
    <mergeCell ref="BU38:BU59"/>
    <mergeCell ref="W44:W52"/>
    <mergeCell ref="W55:W58"/>
    <mergeCell ref="BK38:BK59"/>
    <mergeCell ref="BL38:BL59"/>
    <mergeCell ref="BM38:BM59"/>
    <mergeCell ref="BN38:BN59"/>
    <mergeCell ref="BO38:BO59"/>
    <mergeCell ref="BP38:BP59"/>
    <mergeCell ref="BE38:BE59"/>
    <mergeCell ref="BF38:BF59"/>
    <mergeCell ref="BG38:BG59"/>
    <mergeCell ref="BH38:BH59"/>
    <mergeCell ref="BI38:BI59"/>
    <mergeCell ref="BJ38:BJ59"/>
    <mergeCell ref="AY38:AY59"/>
    <mergeCell ref="AZ38:AZ59"/>
    <mergeCell ref="BA38:BA59"/>
    <mergeCell ref="BB38:BB59"/>
    <mergeCell ref="BC38:BC59"/>
    <mergeCell ref="BD38:BD59"/>
    <mergeCell ref="AS38:AS59"/>
    <mergeCell ref="AT38:AT59"/>
    <mergeCell ref="AU38:AU59"/>
    <mergeCell ref="AV38:AV59"/>
    <mergeCell ref="AW38:AW59"/>
    <mergeCell ref="AX38:AX59"/>
    <mergeCell ref="AM38:AM59"/>
    <mergeCell ref="AN38:AN59"/>
    <mergeCell ref="AO38:AO59"/>
    <mergeCell ref="AP38:AP59"/>
    <mergeCell ref="AQ38:AQ59"/>
    <mergeCell ref="AR38:AR59"/>
    <mergeCell ref="AG38:AG59"/>
    <mergeCell ref="AH38:AH59"/>
    <mergeCell ref="AI38:AI59"/>
    <mergeCell ref="AJ38:AJ59"/>
    <mergeCell ref="AK38:AK59"/>
    <mergeCell ref="AL38:AL59"/>
    <mergeCell ref="U38:U59"/>
    <mergeCell ref="V38:V54"/>
    <mergeCell ref="W38:W43"/>
    <mergeCell ref="AD38:AD59"/>
    <mergeCell ref="AE38:AE59"/>
    <mergeCell ref="AF38:AF59"/>
    <mergeCell ref="V55:V59"/>
    <mergeCell ref="O38:O54"/>
    <mergeCell ref="P38:P54"/>
    <mergeCell ref="Q38:Q59"/>
    <mergeCell ref="R38:R59"/>
    <mergeCell ref="S38:S54"/>
    <mergeCell ref="T38:T59"/>
    <mergeCell ref="W27:W29"/>
    <mergeCell ref="W33:W34"/>
    <mergeCell ref="G38:G54"/>
    <mergeCell ref="H38:H54"/>
    <mergeCell ref="I38:I54"/>
    <mergeCell ref="J38:J54"/>
    <mergeCell ref="K38:K54"/>
    <mergeCell ref="L38:L54"/>
    <mergeCell ref="M38:M54"/>
    <mergeCell ref="N38:N54"/>
    <mergeCell ref="M55:M59"/>
    <mergeCell ref="N55:N59"/>
    <mergeCell ref="O55:O59"/>
    <mergeCell ref="P55:P59"/>
    <mergeCell ref="S55:S59"/>
    <mergeCell ref="G55:G59"/>
    <mergeCell ref="H55:H59"/>
    <mergeCell ref="I55:I59"/>
    <mergeCell ref="BU13:BU37"/>
    <mergeCell ref="G16:G34"/>
    <mergeCell ref="H16:H34"/>
    <mergeCell ref="I16:I34"/>
    <mergeCell ref="J16:J34"/>
    <mergeCell ref="K16:K34"/>
    <mergeCell ref="L16:L34"/>
    <mergeCell ref="M16:M34"/>
    <mergeCell ref="N16:N34"/>
    <mergeCell ref="O16:O34"/>
    <mergeCell ref="BO13:BO37"/>
    <mergeCell ref="BP13:BP37"/>
    <mergeCell ref="BQ13:BQ37"/>
    <mergeCell ref="BR13:BR37"/>
    <mergeCell ref="BS13:BS37"/>
    <mergeCell ref="BT13:BT37"/>
    <mergeCell ref="BI13:BI37"/>
    <mergeCell ref="BJ13:BJ37"/>
    <mergeCell ref="BK13:BK37"/>
    <mergeCell ref="BL13:BL37"/>
    <mergeCell ref="BM13:BM37"/>
    <mergeCell ref="BN13:BN37"/>
    <mergeCell ref="BC13:BC37"/>
    <mergeCell ref="BD13:BD37"/>
    <mergeCell ref="BE13:BE37"/>
    <mergeCell ref="BF13:BF37"/>
    <mergeCell ref="BG13:BG37"/>
    <mergeCell ref="BH13:BH37"/>
    <mergeCell ref="AW13:AW37"/>
    <mergeCell ref="AX13:AX37"/>
    <mergeCell ref="AY13:AY37"/>
    <mergeCell ref="AZ13:AZ37"/>
    <mergeCell ref="BA13:BA37"/>
    <mergeCell ref="BB13:BB37"/>
    <mergeCell ref="AQ13:AQ37"/>
    <mergeCell ref="AR13:AR37"/>
    <mergeCell ref="AS13:AS37"/>
    <mergeCell ref="AT13:AT37"/>
    <mergeCell ref="AU13:AU37"/>
    <mergeCell ref="AV13:AV37"/>
    <mergeCell ref="AK13:AK37"/>
    <mergeCell ref="AL13:AL37"/>
    <mergeCell ref="AM13:AM37"/>
    <mergeCell ref="AN13:AN37"/>
    <mergeCell ref="AO13:AO37"/>
    <mergeCell ref="AP13:AP37"/>
    <mergeCell ref="AE13:AE37"/>
    <mergeCell ref="AF13:AF37"/>
    <mergeCell ref="AG13:AG37"/>
    <mergeCell ref="AH13:AH37"/>
    <mergeCell ref="AI13:AI37"/>
    <mergeCell ref="AJ13:AJ37"/>
    <mergeCell ref="S13:S15"/>
    <mergeCell ref="T13:T37"/>
    <mergeCell ref="U13:U37"/>
    <mergeCell ref="V13:V15"/>
    <mergeCell ref="W13:W14"/>
    <mergeCell ref="AD13:AD37"/>
    <mergeCell ref="S16:S34"/>
    <mergeCell ref="V16:V34"/>
    <mergeCell ref="W18:W19"/>
    <mergeCell ref="W20:W23"/>
    <mergeCell ref="M13:M15"/>
    <mergeCell ref="N13:N15"/>
    <mergeCell ref="O13:O15"/>
    <mergeCell ref="P13:P15"/>
    <mergeCell ref="Q13:Q37"/>
    <mergeCell ref="R13:R37"/>
    <mergeCell ref="P16:P34"/>
    <mergeCell ref="BP8:BP9"/>
    <mergeCell ref="B10:E10"/>
    <mergeCell ref="D11:G11"/>
    <mergeCell ref="F13:F62"/>
    <mergeCell ref="G13:G15"/>
    <mergeCell ref="H13:H15"/>
    <mergeCell ref="I13:I15"/>
    <mergeCell ref="J13:J15"/>
    <mergeCell ref="K13:K15"/>
    <mergeCell ref="L13:L15"/>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AL8:AM8"/>
    <mergeCell ref="AN8:AO8"/>
    <mergeCell ref="AP8:AQ8"/>
    <mergeCell ref="AR8:AS8"/>
    <mergeCell ref="BU7:BU9"/>
    <mergeCell ref="A8:A9"/>
    <mergeCell ref="B8:B9"/>
    <mergeCell ref="C8:C9"/>
    <mergeCell ref="D8:D9"/>
    <mergeCell ref="E8:E9"/>
    <mergeCell ref="F8:F9"/>
    <mergeCell ref="AA7:AC7"/>
    <mergeCell ref="AD7:AG7"/>
    <mergeCell ref="AH7:AM7"/>
    <mergeCell ref="AN7:BA7"/>
    <mergeCell ref="BB7:BG7"/>
    <mergeCell ref="BH7:BI8"/>
    <mergeCell ref="AB8:AB9"/>
    <mergeCell ref="AC8:AC9"/>
    <mergeCell ref="AD8:AE8"/>
    <mergeCell ref="AF8:AG8"/>
    <mergeCell ref="G8:G9"/>
    <mergeCell ref="H8:H9"/>
    <mergeCell ref="I8:I9"/>
    <mergeCell ref="J8:J9"/>
    <mergeCell ref="K8:K9"/>
    <mergeCell ref="L8:L9"/>
    <mergeCell ref="BJ7:BP7"/>
    <mergeCell ref="A1:BS1"/>
    <mergeCell ref="A2:BS4"/>
    <mergeCell ref="A5:P6"/>
    <mergeCell ref="AD5:BI6"/>
    <mergeCell ref="A7:B7"/>
    <mergeCell ref="C7:D7"/>
    <mergeCell ref="E7:F7"/>
    <mergeCell ref="G7:J7"/>
    <mergeCell ref="K7:N7"/>
    <mergeCell ref="O7:Z7"/>
    <mergeCell ref="BQ7:BR8"/>
    <mergeCell ref="BS7:BT8"/>
    <mergeCell ref="T8:T9"/>
    <mergeCell ref="U8:U9"/>
    <mergeCell ref="V8:V9"/>
    <mergeCell ref="W8:W9"/>
    <mergeCell ref="X8:Z8"/>
    <mergeCell ref="AA8:AA9"/>
    <mergeCell ref="M8:M9"/>
    <mergeCell ref="N8:N9"/>
    <mergeCell ref="O8:P8"/>
    <mergeCell ref="Q8:Q9"/>
    <mergeCell ref="R8:R9"/>
    <mergeCell ref="S8:S9"/>
  </mergeCells>
  <conditionalFormatting sqref="K55:K58">
    <cfRule type="duplicateValues" dxfId="58" priority="4"/>
  </conditionalFormatting>
  <conditionalFormatting sqref="G55:G58">
    <cfRule type="duplicateValues" dxfId="57" priority="3"/>
  </conditionalFormatting>
  <conditionalFormatting sqref="I55:I58">
    <cfRule type="duplicateValues" dxfId="56" priority="2"/>
  </conditionalFormatting>
  <conditionalFormatting sqref="M55:M58">
    <cfRule type="duplicateValues" dxfId="55" priority="1"/>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CO48"/>
  <sheetViews>
    <sheetView showGridLines="0" zoomScale="70" zoomScaleNormal="70" workbookViewId="0">
      <selection activeCell="O13" sqref="O13"/>
    </sheetView>
  </sheetViews>
  <sheetFormatPr baseColWidth="10" defaultColWidth="11.42578125" defaultRowHeight="27" customHeight="1" x14ac:dyDescent="0.25"/>
  <cols>
    <col min="1" max="1" width="11.28515625" style="1528" customWidth="1"/>
    <col min="2" max="2" width="13" style="760" customWidth="1"/>
    <col min="3" max="3" width="11.7109375" style="760" customWidth="1"/>
    <col min="4" max="4" width="12.42578125" style="760" customWidth="1"/>
    <col min="5" max="5" width="12.140625" style="760" customWidth="1"/>
    <col min="6" max="6" width="13" style="760" customWidth="1"/>
    <col min="7" max="7" width="14" style="760" customWidth="1"/>
    <col min="8" max="8" width="27.140625" style="1529" customWidth="1"/>
    <col min="9" max="9" width="20.42578125" style="759" customWidth="1"/>
    <col min="10" max="10" width="25.85546875" style="1529" customWidth="1"/>
    <col min="11" max="11" width="14.7109375" style="759" bestFit="1" customWidth="1"/>
    <col min="12" max="12" width="25.85546875" style="1529" customWidth="1"/>
    <col min="13" max="13" width="27.140625" style="759" customWidth="1"/>
    <col min="14" max="14" width="31.5703125" style="1529" customWidth="1"/>
    <col min="15" max="15" width="17.28515625" style="759" customWidth="1"/>
    <col min="16" max="16" width="16.85546875" style="759" customWidth="1"/>
    <col min="17" max="17" width="25.5703125" style="759" customWidth="1"/>
    <col min="18" max="18" width="33.85546875" style="1529" customWidth="1"/>
    <col min="19" max="19" width="16.7109375" style="1530" customWidth="1"/>
    <col min="20" max="20" width="34.28515625" style="1531" customWidth="1"/>
    <col min="21" max="21" width="32.5703125" style="1529" customWidth="1"/>
    <col min="22" max="22" width="49.5703125" style="1529" customWidth="1"/>
    <col min="23" max="23" width="51.85546875" style="1529" customWidth="1"/>
    <col min="24" max="24" width="35.85546875" style="1532" customWidth="1"/>
    <col min="25" max="25" width="33.7109375" style="1532" customWidth="1"/>
    <col min="26" max="26" width="35.42578125" style="1532" customWidth="1"/>
    <col min="27" max="27" width="60.28515625" style="1533" customWidth="1"/>
    <col min="28" max="28" width="16.85546875" style="1534" customWidth="1"/>
    <col min="29" max="29" width="29.7109375" style="759" customWidth="1"/>
    <col min="30" max="61" width="9.28515625" style="760" customWidth="1"/>
    <col min="62" max="62" width="19.28515625" style="760" customWidth="1"/>
    <col min="63" max="63" width="23.7109375" style="1535" customWidth="1"/>
    <col min="64" max="64" width="25" style="1535" customWidth="1"/>
    <col min="65" max="66" width="19.28515625" style="760" customWidth="1"/>
    <col min="67" max="67" width="25.28515625" style="760" customWidth="1"/>
    <col min="68" max="68" width="26.85546875" style="760" customWidth="1"/>
    <col min="69" max="72" width="18" style="880" customWidth="1"/>
    <col min="73" max="73" width="33.42578125" style="760" customWidth="1"/>
    <col min="74" max="16384" width="11.42578125" style="760"/>
  </cols>
  <sheetData>
    <row r="1" spans="1:93" ht="25.5" customHeight="1" x14ac:dyDescent="0.25">
      <c r="A1" s="3723" t="s">
        <v>2241</v>
      </c>
      <c r="B1" s="3224"/>
      <c r="C1" s="3224"/>
      <c r="D1" s="3224"/>
      <c r="E1" s="3224"/>
      <c r="F1" s="3224"/>
      <c r="G1" s="3224"/>
      <c r="H1" s="3224"/>
      <c r="I1" s="3224"/>
      <c r="J1" s="3224"/>
      <c r="K1" s="3224"/>
      <c r="L1" s="3224"/>
      <c r="M1" s="3224"/>
      <c r="N1" s="3224"/>
      <c r="O1" s="3224"/>
      <c r="P1" s="3224"/>
      <c r="Q1" s="3224"/>
      <c r="R1" s="3224"/>
      <c r="S1" s="3224"/>
      <c r="T1" s="3224"/>
      <c r="U1" s="3224"/>
      <c r="V1" s="3224"/>
      <c r="W1" s="3224"/>
      <c r="X1" s="3224"/>
      <c r="Y1" s="3224"/>
      <c r="Z1" s="3224"/>
      <c r="AA1" s="3224"/>
      <c r="AB1" s="3224"/>
      <c r="AC1" s="3224"/>
      <c r="AD1" s="3224"/>
      <c r="AE1" s="3224"/>
      <c r="AF1" s="3224"/>
      <c r="AG1" s="3224"/>
      <c r="AH1" s="3224"/>
      <c r="AI1" s="3224"/>
      <c r="AJ1" s="3224"/>
      <c r="AK1" s="3224"/>
      <c r="AL1" s="3224"/>
      <c r="AM1" s="3224"/>
      <c r="AN1" s="3224"/>
      <c r="AO1" s="3224"/>
      <c r="AP1" s="3224"/>
      <c r="AQ1" s="3224"/>
      <c r="AR1" s="3224"/>
      <c r="AS1" s="3224"/>
      <c r="AT1" s="3224"/>
      <c r="AU1" s="3224"/>
      <c r="AV1" s="3224"/>
      <c r="AW1" s="3224"/>
      <c r="AX1" s="3224"/>
      <c r="AY1" s="3224"/>
      <c r="AZ1" s="3224"/>
      <c r="BA1" s="3224"/>
      <c r="BB1" s="3224"/>
      <c r="BC1" s="3224"/>
      <c r="BD1" s="3224"/>
      <c r="BE1" s="3224"/>
      <c r="BF1" s="3224"/>
      <c r="BG1" s="3224"/>
      <c r="BH1" s="3224"/>
      <c r="BI1" s="3224"/>
      <c r="BJ1" s="3224"/>
      <c r="BK1" s="3224"/>
      <c r="BL1" s="3224"/>
      <c r="BM1" s="3224"/>
      <c r="BN1" s="3224"/>
      <c r="BO1" s="3224"/>
      <c r="BP1" s="3224"/>
      <c r="BQ1" s="3224"/>
      <c r="BR1" s="3224"/>
      <c r="BS1" s="3724"/>
      <c r="BT1" s="235" t="s">
        <v>138</v>
      </c>
      <c r="BU1" s="235" t="s">
        <v>2128</v>
      </c>
      <c r="BV1" s="759"/>
      <c r="BW1" s="759"/>
      <c r="BX1" s="759"/>
      <c r="BY1" s="759"/>
      <c r="BZ1" s="759"/>
      <c r="CA1" s="759"/>
      <c r="CB1" s="759"/>
      <c r="CC1" s="759"/>
      <c r="CD1" s="759"/>
      <c r="CE1" s="759"/>
      <c r="CF1" s="759"/>
      <c r="CG1" s="759"/>
      <c r="CH1" s="759"/>
      <c r="CI1" s="759"/>
      <c r="CJ1" s="759"/>
      <c r="CK1" s="759"/>
      <c r="CL1" s="759"/>
      <c r="CM1" s="759"/>
      <c r="CN1" s="759"/>
      <c r="CO1" s="759"/>
    </row>
    <row r="2" spans="1:93" ht="25.5" customHeight="1" x14ac:dyDescent="0.25">
      <c r="A2" s="3224"/>
      <c r="B2" s="3224"/>
      <c r="C2" s="3224"/>
      <c r="D2" s="3224"/>
      <c r="E2" s="3224"/>
      <c r="F2" s="3224"/>
      <c r="G2" s="3224"/>
      <c r="H2" s="3224"/>
      <c r="I2" s="3224"/>
      <c r="J2" s="3224"/>
      <c r="K2" s="3224"/>
      <c r="L2" s="3224"/>
      <c r="M2" s="3224"/>
      <c r="N2" s="3224"/>
      <c r="O2" s="3224"/>
      <c r="P2" s="3224"/>
      <c r="Q2" s="3224"/>
      <c r="R2" s="3224"/>
      <c r="S2" s="3224"/>
      <c r="T2" s="3224"/>
      <c r="U2" s="3224"/>
      <c r="V2" s="3224"/>
      <c r="W2" s="3224"/>
      <c r="X2" s="3224"/>
      <c r="Y2" s="3224"/>
      <c r="Z2" s="3224"/>
      <c r="AA2" s="3224"/>
      <c r="AB2" s="3224"/>
      <c r="AC2" s="3224"/>
      <c r="AD2" s="3224"/>
      <c r="AE2" s="3224"/>
      <c r="AF2" s="3224"/>
      <c r="AG2" s="3224"/>
      <c r="AH2" s="3224"/>
      <c r="AI2" s="3224"/>
      <c r="AJ2" s="3224"/>
      <c r="AK2" s="3224"/>
      <c r="AL2" s="3224"/>
      <c r="AM2" s="3224"/>
      <c r="AN2" s="3224"/>
      <c r="AO2" s="3224"/>
      <c r="AP2" s="3224"/>
      <c r="AQ2" s="3224"/>
      <c r="AR2" s="3224"/>
      <c r="AS2" s="3224"/>
      <c r="AT2" s="3224"/>
      <c r="AU2" s="3224"/>
      <c r="AV2" s="3224"/>
      <c r="AW2" s="3224"/>
      <c r="AX2" s="3224"/>
      <c r="AY2" s="3224"/>
      <c r="AZ2" s="3224"/>
      <c r="BA2" s="3224"/>
      <c r="BB2" s="3224"/>
      <c r="BC2" s="3224"/>
      <c r="BD2" s="3224"/>
      <c r="BE2" s="3224"/>
      <c r="BF2" s="3224"/>
      <c r="BG2" s="3224"/>
      <c r="BH2" s="3224"/>
      <c r="BI2" s="3224"/>
      <c r="BJ2" s="3224"/>
      <c r="BK2" s="3224"/>
      <c r="BL2" s="3224"/>
      <c r="BM2" s="3224"/>
      <c r="BN2" s="3224"/>
      <c r="BO2" s="3224"/>
      <c r="BP2" s="3224"/>
      <c r="BQ2" s="3224"/>
      <c r="BR2" s="3224"/>
      <c r="BS2" s="3724"/>
      <c r="BT2" s="235" t="s">
        <v>136</v>
      </c>
      <c r="BU2" s="761" t="s">
        <v>733</v>
      </c>
      <c r="BV2" s="759"/>
      <c r="BW2" s="759"/>
      <c r="BX2" s="759"/>
      <c r="BY2" s="759"/>
      <c r="BZ2" s="759"/>
      <c r="CA2" s="759"/>
      <c r="CB2" s="759"/>
      <c r="CC2" s="759"/>
      <c r="CD2" s="759"/>
      <c r="CE2" s="759"/>
      <c r="CF2" s="759"/>
      <c r="CG2" s="759"/>
      <c r="CH2" s="759"/>
      <c r="CI2" s="759"/>
      <c r="CJ2" s="759"/>
      <c r="CK2" s="759"/>
      <c r="CL2" s="759"/>
      <c r="CM2" s="759"/>
      <c r="CN2" s="759"/>
      <c r="CO2" s="759"/>
    </row>
    <row r="3" spans="1:93" ht="25.5" customHeight="1" x14ac:dyDescent="0.25">
      <c r="A3" s="3224"/>
      <c r="B3" s="3224"/>
      <c r="C3" s="3224"/>
      <c r="D3" s="3224"/>
      <c r="E3" s="3224"/>
      <c r="F3" s="3224"/>
      <c r="G3" s="3224"/>
      <c r="H3" s="3224"/>
      <c r="I3" s="3224"/>
      <c r="J3" s="3224"/>
      <c r="K3" s="3224"/>
      <c r="L3" s="3224"/>
      <c r="M3" s="3224"/>
      <c r="N3" s="3224"/>
      <c r="O3" s="3224"/>
      <c r="P3" s="3224"/>
      <c r="Q3" s="3224"/>
      <c r="R3" s="3224"/>
      <c r="S3" s="3224"/>
      <c r="T3" s="3224"/>
      <c r="U3" s="3224"/>
      <c r="V3" s="3224"/>
      <c r="W3" s="3224"/>
      <c r="X3" s="3224"/>
      <c r="Y3" s="3224"/>
      <c r="Z3" s="3224"/>
      <c r="AA3" s="3224"/>
      <c r="AB3" s="3224"/>
      <c r="AC3" s="3224"/>
      <c r="AD3" s="3224"/>
      <c r="AE3" s="3224"/>
      <c r="AF3" s="3224"/>
      <c r="AG3" s="3224"/>
      <c r="AH3" s="3224"/>
      <c r="AI3" s="3224"/>
      <c r="AJ3" s="3224"/>
      <c r="AK3" s="3224"/>
      <c r="AL3" s="3224"/>
      <c r="AM3" s="3224"/>
      <c r="AN3" s="3224"/>
      <c r="AO3" s="3224"/>
      <c r="AP3" s="3224"/>
      <c r="AQ3" s="3224"/>
      <c r="AR3" s="3224"/>
      <c r="AS3" s="3224"/>
      <c r="AT3" s="3224"/>
      <c r="AU3" s="3224"/>
      <c r="AV3" s="3224"/>
      <c r="AW3" s="3224"/>
      <c r="AX3" s="3224"/>
      <c r="AY3" s="3224"/>
      <c r="AZ3" s="3224"/>
      <c r="BA3" s="3224"/>
      <c r="BB3" s="3224"/>
      <c r="BC3" s="3224"/>
      <c r="BD3" s="3224"/>
      <c r="BE3" s="3224"/>
      <c r="BF3" s="3224"/>
      <c r="BG3" s="3224"/>
      <c r="BH3" s="3224"/>
      <c r="BI3" s="3224"/>
      <c r="BJ3" s="3224"/>
      <c r="BK3" s="3224"/>
      <c r="BL3" s="3224"/>
      <c r="BM3" s="3224"/>
      <c r="BN3" s="3224"/>
      <c r="BO3" s="3224"/>
      <c r="BP3" s="3224"/>
      <c r="BQ3" s="3224"/>
      <c r="BR3" s="3224"/>
      <c r="BS3" s="3724"/>
      <c r="BT3" s="235" t="s">
        <v>134</v>
      </c>
      <c r="BU3" s="762">
        <v>44266</v>
      </c>
      <c r="BV3" s="759"/>
      <c r="BW3" s="759"/>
      <c r="BX3" s="759"/>
      <c r="BY3" s="759"/>
      <c r="BZ3" s="759"/>
      <c r="CA3" s="759"/>
      <c r="CB3" s="759"/>
      <c r="CC3" s="759"/>
      <c r="CD3" s="759"/>
      <c r="CE3" s="759"/>
      <c r="CF3" s="759"/>
      <c r="CG3" s="759"/>
      <c r="CH3" s="759"/>
      <c r="CI3" s="759"/>
      <c r="CJ3" s="759"/>
      <c r="CK3" s="759"/>
      <c r="CL3" s="759"/>
      <c r="CM3" s="759"/>
      <c r="CN3" s="759"/>
      <c r="CO3" s="759"/>
    </row>
    <row r="4" spans="1:93" ht="25.5" customHeight="1" x14ac:dyDescent="0.25">
      <c r="A4" s="3725"/>
      <c r="B4" s="3725"/>
      <c r="C4" s="3725"/>
      <c r="D4" s="3725"/>
      <c r="E4" s="3725"/>
      <c r="F4" s="3725"/>
      <c r="G4" s="3725"/>
      <c r="H4" s="3725"/>
      <c r="I4" s="3725"/>
      <c r="J4" s="3725"/>
      <c r="K4" s="3725"/>
      <c r="L4" s="3725"/>
      <c r="M4" s="3725"/>
      <c r="N4" s="3725"/>
      <c r="O4" s="3725"/>
      <c r="P4" s="3725"/>
      <c r="Q4" s="3725"/>
      <c r="R4" s="3725"/>
      <c r="S4" s="3725"/>
      <c r="T4" s="3725"/>
      <c r="U4" s="3725"/>
      <c r="V4" s="3725"/>
      <c r="W4" s="3725"/>
      <c r="X4" s="3725"/>
      <c r="Y4" s="3725"/>
      <c r="Z4" s="3725"/>
      <c r="AA4" s="3725"/>
      <c r="AB4" s="3725"/>
      <c r="AC4" s="3725"/>
      <c r="AD4" s="3725"/>
      <c r="AE4" s="3725"/>
      <c r="AF4" s="3725"/>
      <c r="AG4" s="3725"/>
      <c r="AH4" s="3725"/>
      <c r="AI4" s="3725"/>
      <c r="AJ4" s="3725"/>
      <c r="AK4" s="3725"/>
      <c r="AL4" s="3725"/>
      <c r="AM4" s="3725"/>
      <c r="AN4" s="3725"/>
      <c r="AO4" s="3725"/>
      <c r="AP4" s="3725"/>
      <c r="AQ4" s="3725"/>
      <c r="AR4" s="3725"/>
      <c r="AS4" s="3725"/>
      <c r="AT4" s="3725"/>
      <c r="AU4" s="3725"/>
      <c r="AV4" s="3725"/>
      <c r="AW4" s="3725"/>
      <c r="AX4" s="3725"/>
      <c r="AY4" s="3725"/>
      <c r="AZ4" s="3725"/>
      <c r="BA4" s="3725"/>
      <c r="BB4" s="3725"/>
      <c r="BC4" s="3725"/>
      <c r="BD4" s="3725"/>
      <c r="BE4" s="3725"/>
      <c r="BF4" s="3725"/>
      <c r="BG4" s="3725"/>
      <c r="BH4" s="3725"/>
      <c r="BI4" s="3725"/>
      <c r="BJ4" s="3725"/>
      <c r="BK4" s="3725"/>
      <c r="BL4" s="3725"/>
      <c r="BM4" s="3725"/>
      <c r="BN4" s="3725"/>
      <c r="BO4" s="3725"/>
      <c r="BP4" s="3725"/>
      <c r="BQ4" s="3725"/>
      <c r="BR4" s="3725"/>
      <c r="BS4" s="3726"/>
      <c r="BT4" s="235" t="s">
        <v>133</v>
      </c>
      <c r="BU4" s="238" t="s">
        <v>132</v>
      </c>
      <c r="BV4" s="759"/>
      <c r="BW4" s="759"/>
      <c r="BX4" s="759"/>
      <c r="BY4" s="759"/>
      <c r="BZ4" s="759"/>
      <c r="CA4" s="759"/>
      <c r="CB4" s="759"/>
      <c r="CC4" s="759"/>
      <c r="CD4" s="759"/>
      <c r="CE4" s="759"/>
      <c r="CF4" s="759"/>
      <c r="CG4" s="759"/>
      <c r="CH4" s="759"/>
      <c r="CI4" s="759"/>
      <c r="CJ4" s="759"/>
      <c r="CK4" s="759"/>
      <c r="CL4" s="759"/>
      <c r="CM4" s="759"/>
      <c r="CN4" s="759"/>
      <c r="CO4" s="759"/>
    </row>
    <row r="5" spans="1:93" ht="40.5" customHeight="1" x14ac:dyDescent="0.25">
      <c r="A5" s="3727" t="s">
        <v>2129</v>
      </c>
      <c r="B5" s="3727"/>
      <c r="C5" s="3727"/>
      <c r="D5" s="3727"/>
      <c r="E5" s="3727"/>
      <c r="F5" s="3727"/>
      <c r="G5" s="3727"/>
      <c r="H5" s="3727"/>
      <c r="I5" s="3727"/>
      <c r="J5" s="3727"/>
      <c r="K5" s="3727"/>
      <c r="L5" s="3727"/>
      <c r="M5" s="3727"/>
      <c r="N5" s="3727"/>
      <c r="O5" s="3727"/>
      <c r="P5" s="758"/>
      <c r="Q5" s="3728"/>
      <c r="R5" s="3728"/>
      <c r="S5" s="3728"/>
      <c r="T5" s="3728"/>
      <c r="U5" s="3728"/>
      <c r="V5" s="3728"/>
      <c r="W5" s="3728"/>
      <c r="X5" s="3728"/>
      <c r="Y5" s="3728"/>
      <c r="Z5" s="3728"/>
      <c r="AA5" s="3728"/>
      <c r="AB5" s="3728"/>
      <c r="AC5" s="3728"/>
      <c r="AD5" s="3728"/>
      <c r="AE5" s="3728"/>
      <c r="AF5" s="3728"/>
      <c r="AG5" s="3728"/>
      <c r="AH5" s="3728"/>
      <c r="AI5" s="3728"/>
      <c r="AJ5" s="3728"/>
      <c r="AK5" s="3728"/>
      <c r="AL5" s="3728"/>
      <c r="AM5" s="3728"/>
      <c r="AN5" s="3728"/>
      <c r="AO5" s="3728"/>
      <c r="AP5" s="3728"/>
      <c r="AQ5" s="3728"/>
      <c r="AR5" s="3728"/>
      <c r="AS5" s="3728"/>
      <c r="AT5" s="3728"/>
      <c r="AU5" s="3728"/>
      <c r="AV5" s="3728"/>
      <c r="AW5" s="3728"/>
      <c r="AX5" s="3728"/>
      <c r="AY5" s="3728"/>
      <c r="AZ5" s="3728"/>
      <c r="BA5" s="3728"/>
      <c r="BB5" s="3728"/>
      <c r="BC5" s="3728"/>
      <c r="BD5" s="3728"/>
      <c r="BE5" s="3728"/>
      <c r="BF5" s="3728"/>
      <c r="BG5" s="3728"/>
      <c r="BH5" s="3728"/>
      <c r="BI5" s="3728"/>
      <c r="BJ5" s="3728"/>
      <c r="BK5" s="3728"/>
      <c r="BL5" s="3728"/>
      <c r="BM5" s="3728"/>
      <c r="BN5" s="3728"/>
      <c r="BO5" s="3728"/>
      <c r="BP5" s="3728"/>
      <c r="BQ5" s="3728"/>
      <c r="BR5" s="3728"/>
      <c r="BS5" s="3728"/>
      <c r="BT5" s="3728"/>
      <c r="BU5" s="3728"/>
      <c r="BV5" s="759"/>
      <c r="BW5" s="759"/>
      <c r="BX5" s="759"/>
      <c r="BY5" s="759"/>
      <c r="BZ5" s="759"/>
      <c r="CA5" s="759"/>
      <c r="CB5" s="759"/>
      <c r="CC5" s="759"/>
      <c r="CD5" s="759"/>
      <c r="CE5" s="759"/>
      <c r="CF5" s="759"/>
      <c r="CG5" s="759"/>
      <c r="CH5" s="759"/>
      <c r="CI5" s="759"/>
      <c r="CJ5" s="759"/>
      <c r="CK5" s="759"/>
      <c r="CL5" s="759"/>
      <c r="CM5" s="759"/>
      <c r="CN5" s="759"/>
      <c r="CO5" s="759"/>
    </row>
    <row r="6" spans="1:93" ht="27" customHeight="1" x14ac:dyDescent="0.25">
      <c r="A6" s="3725"/>
      <c r="B6" s="3725"/>
      <c r="C6" s="3725"/>
      <c r="D6" s="3725"/>
      <c r="E6" s="3725"/>
      <c r="F6" s="3725"/>
      <c r="G6" s="3725"/>
      <c r="H6" s="3725"/>
      <c r="I6" s="3725"/>
      <c r="J6" s="3725"/>
      <c r="K6" s="3725"/>
      <c r="L6" s="3725"/>
      <c r="M6" s="3725"/>
      <c r="N6" s="3725"/>
      <c r="O6" s="3725"/>
      <c r="P6" s="763"/>
      <c r="Q6" s="763"/>
      <c r="R6" s="1415"/>
      <c r="S6" s="763"/>
      <c r="T6" s="1416"/>
      <c r="U6" s="1415"/>
      <c r="V6" s="1415"/>
      <c r="W6" s="1415"/>
      <c r="X6" s="1417"/>
      <c r="Y6" s="1417"/>
      <c r="Z6" s="1417"/>
      <c r="AA6" s="763"/>
      <c r="AB6" s="763"/>
      <c r="AC6" s="763"/>
      <c r="AD6" s="3729" t="s">
        <v>130</v>
      </c>
      <c r="AE6" s="3725"/>
      <c r="AF6" s="3725"/>
      <c r="AG6" s="3725"/>
      <c r="AH6" s="3725"/>
      <c r="AI6" s="3725"/>
      <c r="AJ6" s="3725"/>
      <c r="AK6" s="3725"/>
      <c r="AL6" s="3725"/>
      <c r="AM6" s="3725"/>
      <c r="AN6" s="3725"/>
      <c r="AO6" s="3725"/>
      <c r="AP6" s="3725"/>
      <c r="AQ6" s="3725"/>
      <c r="AR6" s="3725"/>
      <c r="AS6" s="3725"/>
      <c r="AT6" s="3725"/>
      <c r="AU6" s="3725"/>
      <c r="AV6" s="3725"/>
      <c r="AW6" s="3725"/>
      <c r="AX6" s="3725"/>
      <c r="AY6" s="3725"/>
      <c r="AZ6" s="3725"/>
      <c r="BA6" s="3725"/>
      <c r="BB6" s="3725"/>
      <c r="BC6" s="3725"/>
      <c r="BD6" s="3725"/>
      <c r="BE6" s="3725"/>
      <c r="BF6" s="3726"/>
      <c r="BG6" s="763"/>
      <c r="BH6" s="763"/>
      <c r="BI6" s="763"/>
      <c r="BJ6" s="763"/>
      <c r="BK6" s="1418"/>
      <c r="BL6" s="1418"/>
      <c r="BM6" s="763"/>
      <c r="BN6" s="763"/>
      <c r="BO6" s="763"/>
      <c r="BP6" s="763"/>
      <c r="BQ6" s="763"/>
      <c r="BR6" s="763"/>
      <c r="BS6" s="763"/>
      <c r="BT6" s="763"/>
      <c r="BU6" s="1419"/>
      <c r="BV6" s="759"/>
      <c r="BW6" s="759"/>
      <c r="BX6" s="759"/>
      <c r="BY6" s="759"/>
      <c r="BZ6" s="759"/>
      <c r="CA6" s="759"/>
      <c r="CB6" s="759"/>
      <c r="CC6" s="759"/>
      <c r="CD6" s="759"/>
      <c r="CE6" s="759"/>
      <c r="CF6" s="759"/>
      <c r="CG6" s="759"/>
      <c r="CH6" s="759"/>
      <c r="CI6" s="759"/>
      <c r="CJ6" s="759"/>
      <c r="CK6" s="759"/>
      <c r="CL6" s="759"/>
      <c r="CM6" s="759"/>
      <c r="CN6" s="759"/>
      <c r="CO6" s="759"/>
    </row>
    <row r="7" spans="1:93" ht="36.75" customHeight="1" x14ac:dyDescent="0.25">
      <c r="A7" s="3730" t="s">
        <v>129</v>
      </c>
      <c r="B7" s="3731"/>
      <c r="C7" s="3732" t="s">
        <v>128</v>
      </c>
      <c r="D7" s="3730"/>
      <c r="E7" s="3730" t="s">
        <v>127</v>
      </c>
      <c r="F7" s="3731"/>
      <c r="G7" s="3732" t="s">
        <v>126</v>
      </c>
      <c r="H7" s="3730"/>
      <c r="I7" s="3730"/>
      <c r="J7" s="3730"/>
      <c r="K7" s="3732" t="s">
        <v>125</v>
      </c>
      <c r="L7" s="3730"/>
      <c r="M7" s="3730"/>
      <c r="N7" s="3731"/>
      <c r="O7" s="3733" t="s">
        <v>124</v>
      </c>
      <c r="P7" s="3734"/>
      <c r="Q7" s="3734"/>
      <c r="R7" s="3734"/>
      <c r="S7" s="3734"/>
      <c r="T7" s="3734"/>
      <c r="U7" s="3734"/>
      <c r="V7" s="3734"/>
      <c r="W7" s="3734"/>
      <c r="X7" s="3734"/>
      <c r="Y7" s="3734"/>
      <c r="Z7" s="3735"/>
      <c r="AA7" s="3740" t="s">
        <v>123</v>
      </c>
      <c r="AB7" s="3741"/>
      <c r="AC7" s="3742"/>
      <c r="AD7" s="2611" t="s">
        <v>122</v>
      </c>
      <c r="AE7" s="2612"/>
      <c r="AF7" s="2612"/>
      <c r="AG7" s="2613"/>
      <c r="AH7" s="2614" t="s">
        <v>121</v>
      </c>
      <c r="AI7" s="2615"/>
      <c r="AJ7" s="2615"/>
      <c r="AK7" s="2615"/>
      <c r="AL7" s="2615"/>
      <c r="AM7" s="2615"/>
      <c r="AN7" s="2615"/>
      <c r="AO7" s="2616"/>
      <c r="AP7" s="2660" t="s">
        <v>120</v>
      </c>
      <c r="AQ7" s="2661"/>
      <c r="AR7" s="2661"/>
      <c r="AS7" s="2661"/>
      <c r="AT7" s="2661"/>
      <c r="AU7" s="2661"/>
      <c r="AV7" s="2661"/>
      <c r="AW7" s="2661"/>
      <c r="AX7" s="2661"/>
      <c r="AY7" s="2661"/>
      <c r="AZ7" s="2661"/>
      <c r="BA7" s="2662"/>
      <c r="BB7" s="2614" t="s">
        <v>119</v>
      </c>
      <c r="BC7" s="2615"/>
      <c r="BD7" s="2615"/>
      <c r="BE7" s="2615"/>
      <c r="BF7" s="2615"/>
      <c r="BG7" s="2616"/>
      <c r="BH7" s="2644" t="s">
        <v>118</v>
      </c>
      <c r="BI7" s="2645"/>
      <c r="BJ7" s="2618" t="s">
        <v>737</v>
      </c>
      <c r="BK7" s="2618"/>
      <c r="BL7" s="2618"/>
      <c r="BM7" s="2618"/>
      <c r="BN7" s="2618"/>
      <c r="BO7" s="2618"/>
      <c r="BP7" s="2618"/>
      <c r="BQ7" s="3745" t="s">
        <v>116</v>
      </c>
      <c r="BR7" s="3745"/>
      <c r="BS7" s="3745" t="s">
        <v>115</v>
      </c>
      <c r="BT7" s="3745"/>
      <c r="BU7" s="3736" t="s">
        <v>114</v>
      </c>
      <c r="BV7" s="759"/>
      <c r="BW7" s="759"/>
      <c r="BX7" s="759"/>
      <c r="BY7" s="759"/>
      <c r="BZ7" s="759"/>
      <c r="CA7" s="759"/>
      <c r="CB7" s="759"/>
      <c r="CC7" s="759"/>
      <c r="CD7" s="759"/>
      <c r="CE7" s="759"/>
      <c r="CF7" s="759"/>
      <c r="CG7" s="759"/>
      <c r="CH7" s="759"/>
      <c r="CI7" s="759"/>
      <c r="CJ7" s="759"/>
      <c r="CK7" s="759"/>
      <c r="CL7" s="759"/>
      <c r="CM7" s="759"/>
      <c r="CN7" s="759"/>
      <c r="CO7" s="759"/>
    </row>
    <row r="8" spans="1:93" ht="111" customHeight="1" x14ac:dyDescent="0.25">
      <c r="A8" s="3737" t="s">
        <v>71</v>
      </c>
      <c r="B8" s="3739" t="s">
        <v>70</v>
      </c>
      <c r="C8" s="3739" t="s">
        <v>71</v>
      </c>
      <c r="D8" s="3739" t="s">
        <v>70</v>
      </c>
      <c r="E8" s="3739" t="s">
        <v>71</v>
      </c>
      <c r="F8" s="3739" t="s">
        <v>70</v>
      </c>
      <c r="G8" s="3739" t="s">
        <v>110</v>
      </c>
      <c r="H8" s="3739" t="s">
        <v>113</v>
      </c>
      <c r="I8" s="3739" t="s">
        <v>112</v>
      </c>
      <c r="J8" s="3739" t="s">
        <v>142</v>
      </c>
      <c r="K8" s="3739" t="s">
        <v>110</v>
      </c>
      <c r="L8" s="3739" t="s">
        <v>109</v>
      </c>
      <c r="M8" s="3739" t="s">
        <v>108</v>
      </c>
      <c r="N8" s="3739" t="s">
        <v>107</v>
      </c>
      <c r="O8" s="3538" t="s">
        <v>739</v>
      </c>
      <c r="P8" s="3538"/>
      <c r="Q8" s="3743" t="s">
        <v>105</v>
      </c>
      <c r="R8" s="3743" t="s">
        <v>104</v>
      </c>
      <c r="S8" s="3538" t="s">
        <v>103</v>
      </c>
      <c r="T8" s="3538" t="s">
        <v>102</v>
      </c>
      <c r="U8" s="3538" t="s">
        <v>101</v>
      </c>
      <c r="V8" s="3538" t="s">
        <v>100</v>
      </c>
      <c r="W8" s="3538" t="s">
        <v>99</v>
      </c>
      <c r="X8" s="3746" t="s">
        <v>102</v>
      </c>
      <c r="Y8" s="3746"/>
      <c r="Z8" s="3746"/>
      <c r="AA8" s="3538" t="s">
        <v>97</v>
      </c>
      <c r="AB8" s="3739" t="s">
        <v>96</v>
      </c>
      <c r="AC8" s="3538" t="s">
        <v>70</v>
      </c>
      <c r="AD8" s="3747" t="s">
        <v>95</v>
      </c>
      <c r="AE8" s="3748"/>
      <c r="AF8" s="3749" t="s">
        <v>94</v>
      </c>
      <c r="AG8" s="3750"/>
      <c r="AH8" s="3747" t="s">
        <v>93</v>
      </c>
      <c r="AI8" s="3748"/>
      <c r="AJ8" s="3747" t="s">
        <v>92</v>
      </c>
      <c r="AK8" s="3748"/>
      <c r="AL8" s="3747" t="s">
        <v>741</v>
      </c>
      <c r="AM8" s="3748"/>
      <c r="AN8" s="3747" t="s">
        <v>90</v>
      </c>
      <c r="AO8" s="3748"/>
      <c r="AP8" s="3747" t="s">
        <v>89</v>
      </c>
      <c r="AQ8" s="3748"/>
      <c r="AR8" s="3747" t="s">
        <v>88</v>
      </c>
      <c r="AS8" s="3748"/>
      <c r="AT8" s="3747" t="s">
        <v>87</v>
      </c>
      <c r="AU8" s="3748"/>
      <c r="AV8" s="3747" t="s">
        <v>742</v>
      </c>
      <c r="AW8" s="3748"/>
      <c r="AX8" s="3747" t="s">
        <v>85</v>
      </c>
      <c r="AY8" s="3748"/>
      <c r="AZ8" s="3747" t="s">
        <v>84</v>
      </c>
      <c r="BA8" s="3748"/>
      <c r="BB8" s="3747" t="s">
        <v>83</v>
      </c>
      <c r="BC8" s="3748"/>
      <c r="BD8" s="3747" t="s">
        <v>82</v>
      </c>
      <c r="BE8" s="3748"/>
      <c r="BF8" s="3747" t="s">
        <v>81</v>
      </c>
      <c r="BG8" s="3748"/>
      <c r="BH8" s="2646"/>
      <c r="BI8" s="2647"/>
      <c r="BJ8" s="3758" t="s">
        <v>744</v>
      </c>
      <c r="BK8" s="3760" t="s">
        <v>268</v>
      </c>
      <c r="BL8" s="3760" t="s">
        <v>269</v>
      </c>
      <c r="BM8" s="3761" t="s">
        <v>77</v>
      </c>
      <c r="BN8" s="3763" t="s">
        <v>745</v>
      </c>
      <c r="BO8" s="3764"/>
      <c r="BP8" s="3752" t="s">
        <v>75</v>
      </c>
      <c r="BQ8" s="3745"/>
      <c r="BR8" s="3745"/>
      <c r="BS8" s="3745"/>
      <c r="BT8" s="3745"/>
      <c r="BU8" s="3736"/>
      <c r="BV8" s="759"/>
      <c r="BW8" s="759"/>
      <c r="BX8" s="759"/>
      <c r="BY8" s="759"/>
      <c r="BZ8" s="759"/>
      <c r="CA8" s="759"/>
      <c r="CB8" s="759"/>
      <c r="CC8" s="759"/>
      <c r="CD8" s="759"/>
      <c r="CE8" s="759"/>
      <c r="CF8" s="759"/>
      <c r="CG8" s="759"/>
      <c r="CH8" s="759"/>
      <c r="CI8" s="759"/>
      <c r="CJ8" s="759"/>
      <c r="CK8" s="759"/>
      <c r="CL8" s="759"/>
      <c r="CM8" s="759"/>
      <c r="CN8" s="759"/>
      <c r="CO8" s="759"/>
    </row>
    <row r="9" spans="1:93" ht="40.5" customHeight="1" x14ac:dyDescent="0.25">
      <c r="A9" s="3738"/>
      <c r="B9" s="3739"/>
      <c r="C9" s="3739"/>
      <c r="D9" s="3739"/>
      <c r="E9" s="3739"/>
      <c r="F9" s="3739"/>
      <c r="G9" s="3739"/>
      <c r="H9" s="3739"/>
      <c r="I9" s="3739"/>
      <c r="J9" s="3739"/>
      <c r="K9" s="3739"/>
      <c r="L9" s="3739"/>
      <c r="M9" s="3739"/>
      <c r="N9" s="3739"/>
      <c r="O9" s="773" t="s">
        <v>69</v>
      </c>
      <c r="P9" s="773" t="s">
        <v>68</v>
      </c>
      <c r="Q9" s="3744"/>
      <c r="R9" s="3744"/>
      <c r="S9" s="3538"/>
      <c r="T9" s="3538"/>
      <c r="U9" s="3538"/>
      <c r="V9" s="3538"/>
      <c r="W9" s="3538"/>
      <c r="X9" s="320" t="s">
        <v>74</v>
      </c>
      <c r="Y9" s="320" t="s">
        <v>73</v>
      </c>
      <c r="Z9" s="320" t="s">
        <v>72</v>
      </c>
      <c r="AA9" s="3538"/>
      <c r="AB9" s="3739"/>
      <c r="AC9" s="3538"/>
      <c r="AD9" s="773" t="s">
        <v>69</v>
      </c>
      <c r="AE9" s="773" t="s">
        <v>68</v>
      </c>
      <c r="AF9" s="774" t="s">
        <v>69</v>
      </c>
      <c r="AG9" s="774" t="s">
        <v>68</v>
      </c>
      <c r="AH9" s="773" t="s">
        <v>69</v>
      </c>
      <c r="AI9" s="773" t="s">
        <v>68</v>
      </c>
      <c r="AJ9" s="773" t="s">
        <v>69</v>
      </c>
      <c r="AK9" s="773" t="s">
        <v>68</v>
      </c>
      <c r="AL9" s="773" t="s">
        <v>69</v>
      </c>
      <c r="AM9" s="773" t="s">
        <v>68</v>
      </c>
      <c r="AN9" s="773" t="s">
        <v>69</v>
      </c>
      <c r="AO9" s="773" t="s">
        <v>68</v>
      </c>
      <c r="AP9" s="773" t="s">
        <v>69</v>
      </c>
      <c r="AQ9" s="773" t="s">
        <v>68</v>
      </c>
      <c r="AR9" s="773" t="s">
        <v>69</v>
      </c>
      <c r="AS9" s="773" t="s">
        <v>68</v>
      </c>
      <c r="AT9" s="773" t="s">
        <v>69</v>
      </c>
      <c r="AU9" s="773" t="s">
        <v>68</v>
      </c>
      <c r="AV9" s="773" t="s">
        <v>69</v>
      </c>
      <c r="AW9" s="773" t="s">
        <v>68</v>
      </c>
      <c r="AX9" s="773" t="s">
        <v>69</v>
      </c>
      <c r="AY9" s="773" t="s">
        <v>68</v>
      </c>
      <c r="AZ9" s="773" t="s">
        <v>69</v>
      </c>
      <c r="BA9" s="773" t="s">
        <v>68</v>
      </c>
      <c r="BB9" s="773" t="s">
        <v>69</v>
      </c>
      <c r="BC9" s="773" t="s">
        <v>68</v>
      </c>
      <c r="BD9" s="773" t="s">
        <v>69</v>
      </c>
      <c r="BE9" s="773" t="s">
        <v>68</v>
      </c>
      <c r="BF9" s="773" t="s">
        <v>69</v>
      </c>
      <c r="BG9" s="773" t="s">
        <v>68</v>
      </c>
      <c r="BH9" s="773" t="s">
        <v>69</v>
      </c>
      <c r="BI9" s="773" t="s">
        <v>68</v>
      </c>
      <c r="BJ9" s="3759"/>
      <c r="BK9" s="3576"/>
      <c r="BL9" s="3576"/>
      <c r="BM9" s="3762"/>
      <c r="BN9" s="773" t="s">
        <v>746</v>
      </c>
      <c r="BO9" s="773" t="s">
        <v>747</v>
      </c>
      <c r="BP9" s="3753"/>
      <c r="BQ9" s="775" t="s">
        <v>69</v>
      </c>
      <c r="BR9" s="775" t="s">
        <v>68</v>
      </c>
      <c r="BS9" s="775" t="s">
        <v>69</v>
      </c>
      <c r="BT9" s="775" t="s">
        <v>68</v>
      </c>
      <c r="BU9" s="3736"/>
      <c r="BV9" s="759"/>
      <c r="BW9" s="759"/>
      <c r="BX9" s="759"/>
      <c r="BY9" s="759"/>
      <c r="BZ9" s="759"/>
      <c r="CA9" s="759"/>
      <c r="CB9" s="759"/>
      <c r="CC9" s="759"/>
      <c r="CD9" s="759"/>
      <c r="CE9" s="759"/>
      <c r="CF9" s="759"/>
      <c r="CG9" s="759"/>
      <c r="CH9" s="759"/>
      <c r="CI9" s="759"/>
      <c r="CJ9" s="759"/>
      <c r="CK9" s="759"/>
      <c r="CL9" s="759"/>
      <c r="CM9" s="759"/>
      <c r="CN9" s="759"/>
      <c r="CO9" s="759"/>
    </row>
    <row r="10" spans="1:93" ht="27" customHeight="1" x14ac:dyDescent="0.25">
      <c r="A10" s="1420">
        <v>2</v>
      </c>
      <c r="B10" s="2590" t="s">
        <v>1163</v>
      </c>
      <c r="C10" s="3217"/>
      <c r="D10" s="3217"/>
      <c r="E10" s="3217"/>
      <c r="F10" s="3217"/>
      <c r="G10" s="1421"/>
      <c r="H10" s="1422"/>
      <c r="I10" s="1421"/>
      <c r="J10" s="1422"/>
      <c r="K10" s="1421"/>
      <c r="L10" s="1422"/>
      <c r="M10" s="1421"/>
      <c r="N10" s="1422"/>
      <c r="O10" s="1421"/>
      <c r="P10" s="1421"/>
      <c r="Q10" s="1423"/>
      <c r="R10" s="1424"/>
      <c r="S10" s="1425"/>
      <c r="T10" s="1426"/>
      <c r="U10" s="1424"/>
      <c r="V10" s="1424"/>
      <c r="W10" s="1424"/>
      <c r="X10" s="1427"/>
      <c r="Y10" s="1427"/>
      <c r="Z10" s="1427"/>
      <c r="AA10" s="1421"/>
      <c r="AB10" s="1428"/>
      <c r="AC10" s="1421"/>
      <c r="AD10" s="1421"/>
      <c r="AE10" s="1421"/>
      <c r="AF10" s="1421"/>
      <c r="AG10" s="1421"/>
      <c r="AH10" s="1421"/>
      <c r="AI10" s="1421"/>
      <c r="AJ10" s="1421"/>
      <c r="AK10" s="1421"/>
      <c r="AL10" s="1421"/>
      <c r="AM10" s="1421"/>
      <c r="AN10" s="1421"/>
      <c r="AO10" s="1421"/>
      <c r="AP10" s="1421"/>
      <c r="AQ10" s="1421"/>
      <c r="AR10" s="1421"/>
      <c r="AS10" s="1421"/>
      <c r="AT10" s="1421"/>
      <c r="AU10" s="1421"/>
      <c r="AV10" s="1421"/>
      <c r="AW10" s="1421"/>
      <c r="AX10" s="1421"/>
      <c r="AY10" s="1421"/>
      <c r="AZ10" s="1421"/>
      <c r="BA10" s="1421"/>
      <c r="BB10" s="1421"/>
      <c r="BC10" s="1421"/>
      <c r="BD10" s="1421"/>
      <c r="BE10" s="1421"/>
      <c r="BF10" s="1421"/>
      <c r="BG10" s="1421"/>
      <c r="BH10" s="1421"/>
      <c r="BI10" s="1421"/>
      <c r="BJ10" s="1421"/>
      <c r="BK10" s="1429"/>
      <c r="BL10" s="1429"/>
      <c r="BM10" s="1421"/>
      <c r="BN10" s="1421"/>
      <c r="BO10" s="1421"/>
      <c r="BP10" s="1421"/>
      <c r="BQ10" s="1430"/>
      <c r="BR10" s="1430"/>
      <c r="BS10" s="1430"/>
      <c r="BT10" s="1430"/>
      <c r="BU10" s="1431"/>
      <c r="BV10" s="759"/>
      <c r="BW10" s="759"/>
      <c r="BX10" s="759"/>
      <c r="BY10" s="759"/>
      <c r="BZ10" s="759"/>
      <c r="CA10" s="759"/>
      <c r="CB10" s="759"/>
      <c r="CC10" s="759"/>
      <c r="CD10" s="759"/>
      <c r="CE10" s="759"/>
      <c r="CF10" s="759"/>
      <c r="CG10" s="759"/>
      <c r="CH10" s="759"/>
      <c r="CI10" s="759"/>
      <c r="CJ10" s="759"/>
      <c r="CK10" s="759"/>
      <c r="CL10" s="759"/>
      <c r="CM10" s="759"/>
      <c r="CN10" s="759"/>
      <c r="CO10" s="759"/>
    </row>
    <row r="11" spans="1:93" ht="27" customHeight="1" x14ac:dyDescent="0.25">
      <c r="A11" s="1432"/>
      <c r="B11" s="87"/>
      <c r="C11" s="115">
        <v>35</v>
      </c>
      <c r="D11" s="2577" t="s">
        <v>719</v>
      </c>
      <c r="E11" s="3219"/>
      <c r="F11" s="3219"/>
      <c r="G11" s="3219"/>
      <c r="H11" s="3219"/>
      <c r="I11" s="788"/>
      <c r="J11" s="1433"/>
      <c r="K11" s="788"/>
      <c r="L11" s="1433"/>
      <c r="M11" s="788"/>
      <c r="N11" s="1433"/>
      <c r="O11" s="788"/>
      <c r="P11" s="788"/>
      <c r="Q11" s="788"/>
      <c r="R11" s="1433"/>
      <c r="S11" s="1434"/>
      <c r="T11" s="1435"/>
      <c r="U11" s="1433"/>
      <c r="V11" s="1433"/>
      <c r="W11" s="1433"/>
      <c r="X11" s="1436"/>
      <c r="Y11" s="1436"/>
      <c r="Z11" s="1436"/>
      <c r="AA11" s="788"/>
      <c r="AB11" s="1437"/>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8"/>
      <c r="AY11" s="788"/>
      <c r="AZ11" s="788"/>
      <c r="BA11" s="788"/>
      <c r="BB11" s="788"/>
      <c r="BC11" s="788"/>
      <c r="BD11" s="788"/>
      <c r="BE11" s="788"/>
      <c r="BF11" s="788"/>
      <c r="BG11" s="788"/>
      <c r="BH11" s="788"/>
      <c r="BI11" s="788"/>
      <c r="BJ11" s="788"/>
      <c r="BK11" s="1438"/>
      <c r="BL11" s="1438"/>
      <c r="BM11" s="788"/>
      <c r="BN11" s="788"/>
      <c r="BO11" s="788"/>
      <c r="BP11" s="788"/>
      <c r="BQ11" s="1439"/>
      <c r="BR11" s="1439"/>
      <c r="BS11" s="1439"/>
      <c r="BT11" s="1439"/>
      <c r="BU11" s="1440"/>
    </row>
    <row r="12" spans="1:93" s="759" customFormat="1" ht="27" customHeight="1" x14ac:dyDescent="0.25">
      <c r="A12" s="1441"/>
      <c r="B12" s="1442"/>
      <c r="C12" s="1443"/>
      <c r="D12" s="1444"/>
      <c r="E12" s="65">
        <v>3502</v>
      </c>
      <c r="F12" s="3222" t="s">
        <v>1992</v>
      </c>
      <c r="G12" s="3223"/>
      <c r="H12" s="3223"/>
      <c r="I12" s="3223"/>
      <c r="J12" s="3223"/>
      <c r="K12" s="3223"/>
      <c r="L12" s="3223"/>
      <c r="M12" s="3223"/>
      <c r="N12" s="3223"/>
      <c r="O12" s="3223"/>
      <c r="P12" s="3223"/>
      <c r="Q12" s="3223"/>
      <c r="R12" s="1445"/>
      <c r="S12" s="1446"/>
      <c r="T12" s="1447"/>
      <c r="U12" s="1089"/>
      <c r="V12" s="1089"/>
      <c r="W12" s="1089"/>
      <c r="X12" s="1448"/>
      <c r="Y12" s="1449"/>
      <c r="Z12" s="1449"/>
      <c r="AA12" s="266"/>
      <c r="AB12" s="1450"/>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1451"/>
      <c r="BL12" s="1451"/>
      <c r="BM12" s="263"/>
      <c r="BN12" s="263"/>
      <c r="BO12" s="263"/>
      <c r="BP12" s="263"/>
      <c r="BQ12" s="1452"/>
      <c r="BR12" s="1452"/>
      <c r="BS12" s="1452"/>
      <c r="BT12" s="1452"/>
      <c r="BU12" s="65"/>
    </row>
    <row r="13" spans="1:93" s="759" customFormat="1" ht="168" customHeight="1" x14ac:dyDescent="0.25">
      <c r="A13" s="1441"/>
      <c r="B13" s="1442"/>
      <c r="C13" s="1441"/>
      <c r="D13" s="1442"/>
      <c r="E13" s="1453"/>
      <c r="F13" s="1453"/>
      <c r="G13" s="1454">
        <v>3502006</v>
      </c>
      <c r="H13" s="1455" t="s">
        <v>2130</v>
      </c>
      <c r="I13" s="1454">
        <v>3502006</v>
      </c>
      <c r="J13" s="1455" t="s">
        <v>2130</v>
      </c>
      <c r="K13" s="1456" t="s">
        <v>2131</v>
      </c>
      <c r="L13" s="1457" t="s">
        <v>2132</v>
      </c>
      <c r="M13" s="1456" t="s">
        <v>2131</v>
      </c>
      <c r="N13" s="1457" t="s">
        <v>2132</v>
      </c>
      <c r="O13" s="2242">
        <v>1</v>
      </c>
      <c r="P13" s="1380">
        <v>1</v>
      </c>
      <c r="Q13" s="2510" t="s">
        <v>2133</v>
      </c>
      <c r="R13" s="3754" t="s">
        <v>2134</v>
      </c>
      <c r="S13" s="1458">
        <f>X13/T13</f>
        <v>0.1888111888111888</v>
      </c>
      <c r="T13" s="3755">
        <f>SUM(X13:X16)</f>
        <v>143000000</v>
      </c>
      <c r="U13" s="3757" t="s">
        <v>2135</v>
      </c>
      <c r="V13" s="1459" t="s">
        <v>2136</v>
      </c>
      <c r="W13" s="718" t="s">
        <v>2137</v>
      </c>
      <c r="X13" s="1460">
        <v>27000000</v>
      </c>
      <c r="Y13" s="1460">
        <f>+'[3]F-PLA-47 TURISMO'!V17</f>
        <v>27000000</v>
      </c>
      <c r="Z13" s="1460">
        <v>27000000</v>
      </c>
      <c r="AA13" s="693" t="s">
        <v>2138</v>
      </c>
      <c r="AB13" s="1461">
        <v>20</v>
      </c>
      <c r="AC13" s="708" t="s">
        <v>1</v>
      </c>
      <c r="AD13" s="3423">
        <v>765</v>
      </c>
      <c r="AE13" s="3423">
        <v>765</v>
      </c>
      <c r="AF13" s="3423">
        <v>735</v>
      </c>
      <c r="AG13" s="3423">
        <v>735</v>
      </c>
      <c r="AH13" s="3423"/>
      <c r="AI13" s="3423"/>
      <c r="AJ13" s="3423"/>
      <c r="AK13" s="3423"/>
      <c r="AL13" s="3423">
        <f>+AD13+AF13</f>
        <v>1500</v>
      </c>
      <c r="AM13" s="3423">
        <v>1500</v>
      </c>
      <c r="AN13" s="3423"/>
      <c r="AO13" s="3423"/>
      <c r="AP13" s="3423"/>
      <c r="AQ13" s="3423"/>
      <c r="AR13" s="3423"/>
      <c r="AS13" s="3423"/>
      <c r="AT13" s="3423"/>
      <c r="AU13" s="3423"/>
      <c r="AV13" s="3423"/>
      <c r="AW13" s="3423"/>
      <c r="AX13" s="3423"/>
      <c r="AY13" s="3423"/>
      <c r="AZ13" s="3423"/>
      <c r="BA13" s="3423"/>
      <c r="BB13" s="3423"/>
      <c r="BC13" s="3423"/>
      <c r="BD13" s="3423"/>
      <c r="BE13" s="3423"/>
      <c r="BF13" s="3423"/>
      <c r="BG13" s="3423"/>
      <c r="BH13" s="3423">
        <f>+AD13+AF13</f>
        <v>1500</v>
      </c>
      <c r="BI13" s="3423">
        <f>+AE13+AG13</f>
        <v>1500</v>
      </c>
      <c r="BJ13" s="3771">
        <f>2+6+3</f>
        <v>11</v>
      </c>
      <c r="BK13" s="3772">
        <f>SUM(Y13:Y16)</f>
        <v>142910333</v>
      </c>
      <c r="BL13" s="3772">
        <f>SUM(Z13:Z16)</f>
        <v>142910333</v>
      </c>
      <c r="BM13" s="3775">
        <f>+BL13/BK13</f>
        <v>1</v>
      </c>
      <c r="BN13" s="3771">
        <v>20</v>
      </c>
      <c r="BO13" s="3771" t="s">
        <v>2139</v>
      </c>
      <c r="BP13" s="3771" t="s">
        <v>2140</v>
      </c>
      <c r="BQ13" s="3765">
        <v>44242</v>
      </c>
      <c r="BR13" s="3765">
        <v>44265</v>
      </c>
      <c r="BS13" s="3765">
        <v>44540</v>
      </c>
      <c r="BT13" s="3765">
        <v>44551</v>
      </c>
      <c r="BU13" s="3768" t="s">
        <v>2141</v>
      </c>
    </row>
    <row r="14" spans="1:93" s="759" customFormat="1" ht="83.25" customHeight="1" x14ac:dyDescent="0.25">
      <c r="A14" s="1441"/>
      <c r="B14" s="1442"/>
      <c r="C14" s="1441"/>
      <c r="D14" s="1442"/>
      <c r="E14" s="3776"/>
      <c r="F14" s="3776"/>
      <c r="G14" s="3213">
        <v>3502007</v>
      </c>
      <c r="H14" s="3236" t="s">
        <v>2142</v>
      </c>
      <c r="I14" s="3213">
        <v>3502007</v>
      </c>
      <c r="J14" s="3236" t="s">
        <v>2142</v>
      </c>
      <c r="K14" s="2745" t="s">
        <v>2004</v>
      </c>
      <c r="L14" s="3337" t="s">
        <v>2005</v>
      </c>
      <c r="M14" s="2745" t="s">
        <v>2004</v>
      </c>
      <c r="N14" s="3337" t="s">
        <v>2005</v>
      </c>
      <c r="O14" s="3780">
        <v>7</v>
      </c>
      <c r="P14" s="3781">
        <v>7</v>
      </c>
      <c r="Q14" s="2511"/>
      <c r="R14" s="3754"/>
      <c r="S14" s="3783">
        <f>SUM(X14:X16)/T13</f>
        <v>0.81118881118881114</v>
      </c>
      <c r="T14" s="3755"/>
      <c r="U14" s="3754"/>
      <c r="V14" s="3786" t="s">
        <v>2143</v>
      </c>
      <c r="W14" s="3789" t="s">
        <v>2144</v>
      </c>
      <c r="X14" s="1463">
        <f>25949953+66000000</f>
        <v>91949953</v>
      </c>
      <c r="Y14" s="1463">
        <v>91860286</v>
      </c>
      <c r="Z14" s="1463">
        <v>91860286</v>
      </c>
      <c r="AA14" s="693" t="s">
        <v>2145</v>
      </c>
      <c r="AB14" s="1464">
        <v>20</v>
      </c>
      <c r="AC14" s="2745" t="s">
        <v>1</v>
      </c>
      <c r="AD14" s="3423"/>
      <c r="AE14" s="3423"/>
      <c r="AF14" s="3423"/>
      <c r="AG14" s="3423"/>
      <c r="AH14" s="3423"/>
      <c r="AI14" s="3423"/>
      <c r="AJ14" s="3423"/>
      <c r="AK14" s="3423"/>
      <c r="AL14" s="3423"/>
      <c r="AM14" s="3423"/>
      <c r="AN14" s="3423"/>
      <c r="AO14" s="3423"/>
      <c r="AP14" s="3423"/>
      <c r="AQ14" s="3423"/>
      <c r="AR14" s="3423"/>
      <c r="AS14" s="3423"/>
      <c r="AT14" s="3423"/>
      <c r="AU14" s="3423"/>
      <c r="AV14" s="3423"/>
      <c r="AW14" s="3423"/>
      <c r="AX14" s="3423"/>
      <c r="AY14" s="3423"/>
      <c r="AZ14" s="3423"/>
      <c r="BA14" s="3423"/>
      <c r="BB14" s="3423"/>
      <c r="BC14" s="3423"/>
      <c r="BD14" s="3423"/>
      <c r="BE14" s="3423"/>
      <c r="BF14" s="3423"/>
      <c r="BG14" s="3423"/>
      <c r="BH14" s="3423"/>
      <c r="BI14" s="3423"/>
      <c r="BJ14" s="3423"/>
      <c r="BK14" s="3773"/>
      <c r="BL14" s="3773"/>
      <c r="BM14" s="3425"/>
      <c r="BN14" s="3423"/>
      <c r="BO14" s="3423"/>
      <c r="BP14" s="3423"/>
      <c r="BQ14" s="3766"/>
      <c r="BR14" s="3766"/>
      <c r="BS14" s="3766"/>
      <c r="BT14" s="3766"/>
      <c r="BU14" s="3769"/>
    </row>
    <row r="15" spans="1:93" s="759" customFormat="1" ht="51.75" customHeight="1" x14ac:dyDescent="0.25">
      <c r="A15" s="1441"/>
      <c r="B15" s="1442"/>
      <c r="C15" s="1441"/>
      <c r="D15" s="1442"/>
      <c r="E15" s="3776"/>
      <c r="F15" s="3776"/>
      <c r="G15" s="3213"/>
      <c r="H15" s="3214"/>
      <c r="I15" s="3213"/>
      <c r="J15" s="3214"/>
      <c r="K15" s="2502"/>
      <c r="L15" s="2835"/>
      <c r="M15" s="2502"/>
      <c r="N15" s="2835"/>
      <c r="O15" s="3780"/>
      <c r="P15" s="3781"/>
      <c r="Q15" s="2511"/>
      <c r="R15" s="3754"/>
      <c r="S15" s="3784"/>
      <c r="T15" s="3755"/>
      <c r="U15" s="3754"/>
      <c r="V15" s="3787"/>
      <c r="W15" s="3790"/>
      <c r="X15" s="1463">
        <v>9619447</v>
      </c>
      <c r="Y15" s="1463">
        <v>9619447</v>
      </c>
      <c r="Z15" s="1463">
        <v>9619447</v>
      </c>
      <c r="AA15" s="693" t="s">
        <v>2146</v>
      </c>
      <c r="AB15" s="1464">
        <v>20</v>
      </c>
      <c r="AC15" s="2770"/>
      <c r="AD15" s="3423"/>
      <c r="AE15" s="3423"/>
      <c r="AF15" s="3423"/>
      <c r="AG15" s="3423"/>
      <c r="AH15" s="3423"/>
      <c r="AI15" s="3423"/>
      <c r="AJ15" s="3423"/>
      <c r="AK15" s="3423"/>
      <c r="AL15" s="3423"/>
      <c r="AM15" s="3423"/>
      <c r="AN15" s="3423"/>
      <c r="AO15" s="3423"/>
      <c r="AP15" s="3423"/>
      <c r="AQ15" s="3423"/>
      <c r="AR15" s="3423"/>
      <c r="AS15" s="3423"/>
      <c r="AT15" s="3423"/>
      <c r="AU15" s="3423"/>
      <c r="AV15" s="3423"/>
      <c r="AW15" s="3423"/>
      <c r="AX15" s="3423"/>
      <c r="AY15" s="3423"/>
      <c r="AZ15" s="3423"/>
      <c r="BA15" s="3423"/>
      <c r="BB15" s="3423"/>
      <c r="BC15" s="3423"/>
      <c r="BD15" s="3423"/>
      <c r="BE15" s="3423"/>
      <c r="BF15" s="3423"/>
      <c r="BG15" s="3423"/>
      <c r="BH15" s="3423"/>
      <c r="BI15" s="3423"/>
      <c r="BJ15" s="3423"/>
      <c r="BK15" s="3773"/>
      <c r="BL15" s="3773"/>
      <c r="BM15" s="3425"/>
      <c r="BN15" s="3423"/>
      <c r="BO15" s="3423"/>
      <c r="BP15" s="3423"/>
      <c r="BQ15" s="3766"/>
      <c r="BR15" s="3766"/>
      <c r="BS15" s="3766"/>
      <c r="BT15" s="3766"/>
      <c r="BU15" s="3769"/>
    </row>
    <row r="16" spans="1:93" s="759" customFormat="1" ht="72.75" customHeight="1" x14ac:dyDescent="0.25">
      <c r="A16" s="1441"/>
      <c r="B16" s="1442"/>
      <c r="C16" s="1441"/>
      <c r="D16" s="1442"/>
      <c r="E16" s="3776"/>
      <c r="F16" s="3776"/>
      <c r="G16" s="3213"/>
      <c r="H16" s="3215"/>
      <c r="I16" s="3213"/>
      <c r="J16" s="3215"/>
      <c r="K16" s="2770"/>
      <c r="L16" s="3369"/>
      <c r="M16" s="2770"/>
      <c r="N16" s="3369"/>
      <c r="O16" s="3780"/>
      <c r="P16" s="3781"/>
      <c r="Q16" s="2511"/>
      <c r="R16" s="3754"/>
      <c r="S16" s="3785"/>
      <c r="T16" s="3756"/>
      <c r="U16" s="3754"/>
      <c r="V16" s="3788"/>
      <c r="W16" s="679" t="s">
        <v>2147</v>
      </c>
      <c r="X16" s="1463">
        <v>14430600</v>
      </c>
      <c r="Y16" s="1463">
        <v>14430600</v>
      </c>
      <c r="Z16" s="1463">
        <v>14430600</v>
      </c>
      <c r="AA16" s="693" t="s">
        <v>2146</v>
      </c>
      <c r="AB16" s="1465">
        <v>20</v>
      </c>
      <c r="AC16" s="683" t="s">
        <v>1</v>
      </c>
      <c r="AD16" s="3751"/>
      <c r="AE16" s="3751"/>
      <c r="AF16" s="3751"/>
      <c r="AG16" s="3751"/>
      <c r="AH16" s="3751"/>
      <c r="AI16" s="3751"/>
      <c r="AJ16" s="3751"/>
      <c r="AK16" s="3751"/>
      <c r="AL16" s="3751"/>
      <c r="AM16" s="3751"/>
      <c r="AN16" s="3751"/>
      <c r="AO16" s="3751"/>
      <c r="AP16" s="3751"/>
      <c r="AQ16" s="3751"/>
      <c r="AR16" s="3751"/>
      <c r="AS16" s="3751"/>
      <c r="AT16" s="3751"/>
      <c r="AU16" s="3751"/>
      <c r="AV16" s="3751"/>
      <c r="AW16" s="3751"/>
      <c r="AX16" s="3751"/>
      <c r="AY16" s="3751"/>
      <c r="AZ16" s="3751"/>
      <c r="BA16" s="3751"/>
      <c r="BB16" s="3751"/>
      <c r="BC16" s="3751"/>
      <c r="BD16" s="3751"/>
      <c r="BE16" s="3751"/>
      <c r="BF16" s="3751"/>
      <c r="BG16" s="3751"/>
      <c r="BH16" s="3751"/>
      <c r="BI16" s="3751"/>
      <c r="BJ16" s="3751"/>
      <c r="BK16" s="3774"/>
      <c r="BL16" s="3774"/>
      <c r="BM16" s="3426"/>
      <c r="BN16" s="3751"/>
      <c r="BO16" s="3751"/>
      <c r="BP16" s="3751"/>
      <c r="BQ16" s="3767"/>
      <c r="BR16" s="3767"/>
      <c r="BS16" s="3767"/>
      <c r="BT16" s="3767"/>
      <c r="BU16" s="3770"/>
    </row>
    <row r="17" spans="1:73" s="759" customFormat="1" ht="80.25" customHeight="1" x14ac:dyDescent="0.25">
      <c r="A17" s="1441"/>
      <c r="B17" s="1442"/>
      <c r="C17" s="1441"/>
      <c r="D17" s="1442"/>
      <c r="E17" s="1453"/>
      <c r="F17" s="1453"/>
      <c r="G17" s="3476">
        <v>3502022</v>
      </c>
      <c r="H17" s="3236" t="s">
        <v>2148</v>
      </c>
      <c r="I17" s="3476">
        <v>3502022</v>
      </c>
      <c r="J17" s="3236" t="s">
        <v>2148</v>
      </c>
      <c r="K17" s="3323" t="s">
        <v>2149</v>
      </c>
      <c r="L17" s="3777" t="s">
        <v>2150</v>
      </c>
      <c r="M17" s="3323" t="s">
        <v>2149</v>
      </c>
      <c r="N17" s="3777" t="s">
        <v>2150</v>
      </c>
      <c r="O17" s="3782">
        <v>14</v>
      </c>
      <c r="P17" s="3281">
        <v>14</v>
      </c>
      <c r="Q17" s="2511" t="s">
        <v>2151</v>
      </c>
      <c r="R17" s="3204" t="s">
        <v>2152</v>
      </c>
      <c r="S17" s="3791">
        <f>SUM(X17:X19)/T17</f>
        <v>0.24193548387096775</v>
      </c>
      <c r="T17" s="3794">
        <f>SUM(X17:X20)</f>
        <v>124000000</v>
      </c>
      <c r="U17" s="3204" t="s">
        <v>2153</v>
      </c>
      <c r="V17" s="3786" t="s">
        <v>2154</v>
      </c>
      <c r="W17" s="679" t="s">
        <v>2155</v>
      </c>
      <c r="X17" s="1463">
        <f>30000000-28200000</f>
        <v>1800000</v>
      </c>
      <c r="Y17" s="1463">
        <v>1800000</v>
      </c>
      <c r="Z17" s="1463">
        <v>1800000</v>
      </c>
      <c r="AA17" s="693" t="s">
        <v>2156</v>
      </c>
      <c r="AB17" s="1465">
        <v>20</v>
      </c>
      <c r="AC17" s="683" t="s">
        <v>1</v>
      </c>
      <c r="AD17" s="3422">
        <v>918</v>
      </c>
      <c r="AE17" s="3422">
        <v>918</v>
      </c>
      <c r="AF17" s="3422">
        <v>882</v>
      </c>
      <c r="AG17" s="3422">
        <v>882</v>
      </c>
      <c r="AH17" s="3422"/>
      <c r="AI17" s="3422"/>
      <c r="AJ17" s="3422"/>
      <c r="AK17" s="3422"/>
      <c r="AL17" s="3422">
        <f>+AD17+AF17</f>
        <v>1800</v>
      </c>
      <c r="AM17" s="3422">
        <v>1800</v>
      </c>
      <c r="AN17" s="3422"/>
      <c r="AO17" s="3422"/>
      <c r="AP17" s="3422"/>
      <c r="AQ17" s="3422"/>
      <c r="AR17" s="3422"/>
      <c r="AS17" s="3422"/>
      <c r="AT17" s="3422"/>
      <c r="AU17" s="3422"/>
      <c r="AV17" s="3422"/>
      <c r="AW17" s="3422"/>
      <c r="AX17" s="3422"/>
      <c r="AY17" s="3422"/>
      <c r="AZ17" s="3422"/>
      <c r="BA17" s="3422"/>
      <c r="BB17" s="3422"/>
      <c r="BC17" s="3422"/>
      <c r="BD17" s="3422"/>
      <c r="BE17" s="3422"/>
      <c r="BF17" s="3422"/>
      <c r="BG17" s="3422"/>
      <c r="BH17" s="3422">
        <f>+AD17+AF17</f>
        <v>1800</v>
      </c>
      <c r="BI17" s="3422">
        <f>+AE17+AG17</f>
        <v>1800</v>
      </c>
      <c r="BJ17" s="3796">
        <v>7</v>
      </c>
      <c r="BK17" s="3799">
        <f>SUM(Y17:Y20)</f>
        <v>114292500</v>
      </c>
      <c r="BL17" s="3799">
        <f>SUM(Z17:Z20)</f>
        <v>114292500</v>
      </c>
      <c r="BM17" s="3800">
        <f>+BL17/BK17</f>
        <v>1</v>
      </c>
      <c r="BN17" s="3796">
        <v>20</v>
      </c>
      <c r="BO17" s="3796" t="s">
        <v>2139</v>
      </c>
      <c r="BP17" s="3796" t="s">
        <v>2157</v>
      </c>
      <c r="BQ17" s="3797">
        <v>44242</v>
      </c>
      <c r="BR17" s="3797">
        <v>44265</v>
      </c>
      <c r="BS17" s="3797">
        <v>44540</v>
      </c>
      <c r="BT17" s="3797">
        <v>44551</v>
      </c>
      <c r="BU17" s="3798" t="s">
        <v>2141</v>
      </c>
    </row>
    <row r="18" spans="1:73" s="759" customFormat="1" ht="70.5" customHeight="1" x14ac:dyDescent="0.25">
      <c r="A18" s="1441"/>
      <c r="B18" s="1442"/>
      <c r="C18" s="1441"/>
      <c r="D18" s="1442"/>
      <c r="E18" s="1453"/>
      <c r="F18" s="1453"/>
      <c r="G18" s="3476"/>
      <c r="H18" s="3214"/>
      <c r="I18" s="3476"/>
      <c r="J18" s="3214"/>
      <c r="K18" s="3322"/>
      <c r="L18" s="3778"/>
      <c r="M18" s="3322"/>
      <c r="N18" s="3778"/>
      <c r="O18" s="3782"/>
      <c r="P18" s="3281"/>
      <c r="Q18" s="2511"/>
      <c r="R18" s="3204"/>
      <c r="S18" s="3792"/>
      <c r="T18" s="3795"/>
      <c r="U18" s="3204"/>
      <c r="V18" s="3787"/>
      <c r="W18" s="3789" t="s">
        <v>2158</v>
      </c>
      <c r="X18" s="1463">
        <v>5000000</v>
      </c>
      <c r="Y18" s="1463">
        <v>5000000</v>
      </c>
      <c r="Z18" s="1463">
        <v>5000000</v>
      </c>
      <c r="AA18" s="693" t="s">
        <v>2156</v>
      </c>
      <c r="AB18" s="1465">
        <v>20</v>
      </c>
      <c r="AC18" s="683" t="s">
        <v>1</v>
      </c>
      <c r="AD18" s="3423"/>
      <c r="AE18" s="3423"/>
      <c r="AF18" s="3423"/>
      <c r="AG18" s="3423"/>
      <c r="AH18" s="3423"/>
      <c r="AI18" s="3423"/>
      <c r="AJ18" s="3423"/>
      <c r="AK18" s="3423"/>
      <c r="AL18" s="3423"/>
      <c r="AM18" s="3423"/>
      <c r="AN18" s="3423"/>
      <c r="AO18" s="3423"/>
      <c r="AP18" s="3423"/>
      <c r="AQ18" s="3423"/>
      <c r="AR18" s="3423"/>
      <c r="AS18" s="3423"/>
      <c r="AT18" s="3423"/>
      <c r="AU18" s="3423"/>
      <c r="AV18" s="3423"/>
      <c r="AW18" s="3423"/>
      <c r="AX18" s="3423"/>
      <c r="AY18" s="3423"/>
      <c r="AZ18" s="3423"/>
      <c r="BA18" s="3423"/>
      <c r="BB18" s="3423"/>
      <c r="BC18" s="3423"/>
      <c r="BD18" s="3423"/>
      <c r="BE18" s="3423"/>
      <c r="BF18" s="3423"/>
      <c r="BG18" s="3423"/>
      <c r="BH18" s="3423"/>
      <c r="BI18" s="3423"/>
      <c r="BJ18" s="3796"/>
      <c r="BK18" s="3799"/>
      <c r="BL18" s="3799"/>
      <c r="BM18" s="3800"/>
      <c r="BN18" s="3796"/>
      <c r="BO18" s="3796"/>
      <c r="BP18" s="3796"/>
      <c r="BQ18" s="3766"/>
      <c r="BR18" s="3766"/>
      <c r="BS18" s="3766"/>
      <c r="BT18" s="3766"/>
      <c r="BU18" s="3769"/>
    </row>
    <row r="19" spans="1:73" s="759" customFormat="1" ht="69" customHeight="1" x14ac:dyDescent="0.25">
      <c r="A19" s="1441"/>
      <c r="B19" s="1442"/>
      <c r="C19" s="1441"/>
      <c r="D19" s="1442"/>
      <c r="E19" s="1453"/>
      <c r="F19" s="1453"/>
      <c r="G19" s="3476"/>
      <c r="H19" s="3215"/>
      <c r="I19" s="3476"/>
      <c r="J19" s="3215"/>
      <c r="K19" s="3321"/>
      <c r="L19" s="3779"/>
      <c r="M19" s="3321"/>
      <c r="N19" s="3779"/>
      <c r="O19" s="3782"/>
      <c r="P19" s="3281"/>
      <c r="Q19" s="2511"/>
      <c r="R19" s="3204"/>
      <c r="S19" s="3793"/>
      <c r="T19" s="3795"/>
      <c r="U19" s="3204"/>
      <c r="V19" s="3788"/>
      <c r="W19" s="3790"/>
      <c r="X19" s="1463">
        <f>55000000-31800000</f>
        <v>23200000</v>
      </c>
      <c r="Y19" s="1463">
        <v>15620000</v>
      </c>
      <c r="Z19" s="1463">
        <v>15620000</v>
      </c>
      <c r="AA19" s="693" t="s">
        <v>2159</v>
      </c>
      <c r="AB19" s="1465">
        <v>20</v>
      </c>
      <c r="AC19" s="683" t="s">
        <v>1</v>
      </c>
      <c r="AD19" s="3423"/>
      <c r="AE19" s="3423"/>
      <c r="AF19" s="3423"/>
      <c r="AG19" s="3423"/>
      <c r="AH19" s="3423"/>
      <c r="AI19" s="3423"/>
      <c r="AJ19" s="3423"/>
      <c r="AK19" s="3423"/>
      <c r="AL19" s="3423"/>
      <c r="AM19" s="3423"/>
      <c r="AN19" s="3423"/>
      <c r="AO19" s="3423"/>
      <c r="AP19" s="3423"/>
      <c r="AQ19" s="3423"/>
      <c r="AR19" s="3423"/>
      <c r="AS19" s="3423"/>
      <c r="AT19" s="3423"/>
      <c r="AU19" s="3423"/>
      <c r="AV19" s="3423"/>
      <c r="AW19" s="3423"/>
      <c r="AX19" s="3423"/>
      <c r="AY19" s="3423"/>
      <c r="AZ19" s="3423"/>
      <c r="BA19" s="3423"/>
      <c r="BB19" s="3423"/>
      <c r="BC19" s="3423"/>
      <c r="BD19" s="3423"/>
      <c r="BE19" s="3423"/>
      <c r="BF19" s="3423"/>
      <c r="BG19" s="3423"/>
      <c r="BH19" s="3423"/>
      <c r="BI19" s="3423"/>
      <c r="BJ19" s="3796"/>
      <c r="BK19" s="3799"/>
      <c r="BL19" s="3799"/>
      <c r="BM19" s="3800"/>
      <c r="BN19" s="3796"/>
      <c r="BO19" s="3796"/>
      <c r="BP19" s="3796"/>
      <c r="BQ19" s="3766"/>
      <c r="BR19" s="3766"/>
      <c r="BS19" s="3766"/>
      <c r="BT19" s="3766"/>
      <c r="BU19" s="3769"/>
    </row>
    <row r="20" spans="1:73" s="759" customFormat="1" ht="165" x14ac:dyDescent="0.25">
      <c r="A20" s="1441"/>
      <c r="B20" s="1442"/>
      <c r="C20" s="1441"/>
      <c r="D20" s="1442"/>
      <c r="E20" s="1453"/>
      <c r="F20" s="1453"/>
      <c r="G20" s="822">
        <v>3502047</v>
      </c>
      <c r="H20" s="1466" t="s">
        <v>941</v>
      </c>
      <c r="I20" s="822">
        <v>3502047</v>
      </c>
      <c r="J20" s="1466" t="s">
        <v>941</v>
      </c>
      <c r="K20" s="1308" t="s">
        <v>2160</v>
      </c>
      <c r="L20" s="1467" t="s">
        <v>2161</v>
      </c>
      <c r="M20" s="1308" t="s">
        <v>2160</v>
      </c>
      <c r="N20" s="1467" t="s">
        <v>2161</v>
      </c>
      <c r="O20" s="2240">
        <v>0.7</v>
      </c>
      <c r="P20" s="2240">
        <v>0.7</v>
      </c>
      <c r="Q20" s="2511"/>
      <c r="R20" s="3204"/>
      <c r="S20" s="1468">
        <f>X20/T17</f>
        <v>0.75806451612903225</v>
      </c>
      <c r="T20" s="3795"/>
      <c r="U20" s="3204"/>
      <c r="V20" s="1469" t="s">
        <v>2162</v>
      </c>
      <c r="W20" s="679" t="s">
        <v>2163</v>
      </c>
      <c r="X20" s="1463">
        <f>130000000+30000000-66000000</f>
        <v>94000000</v>
      </c>
      <c r="Y20" s="1463">
        <v>91872500</v>
      </c>
      <c r="Z20" s="1463">
        <v>91872500</v>
      </c>
      <c r="AA20" s="693" t="s">
        <v>2164</v>
      </c>
      <c r="AB20" s="1465">
        <v>20</v>
      </c>
      <c r="AC20" s="683" t="s">
        <v>1</v>
      </c>
      <c r="AD20" s="3423"/>
      <c r="AE20" s="3423"/>
      <c r="AF20" s="3423"/>
      <c r="AG20" s="3423"/>
      <c r="AH20" s="3423"/>
      <c r="AI20" s="3423"/>
      <c r="AJ20" s="3423"/>
      <c r="AK20" s="3423"/>
      <c r="AL20" s="3423"/>
      <c r="AM20" s="3423"/>
      <c r="AN20" s="3423"/>
      <c r="AO20" s="3423"/>
      <c r="AP20" s="3423"/>
      <c r="AQ20" s="3423"/>
      <c r="AR20" s="3423"/>
      <c r="AS20" s="3423"/>
      <c r="AT20" s="3423"/>
      <c r="AU20" s="3423"/>
      <c r="AV20" s="3423"/>
      <c r="AW20" s="3423"/>
      <c r="AX20" s="3423"/>
      <c r="AY20" s="3423"/>
      <c r="AZ20" s="3423"/>
      <c r="BA20" s="3423"/>
      <c r="BB20" s="3423"/>
      <c r="BC20" s="3423"/>
      <c r="BD20" s="3423"/>
      <c r="BE20" s="3423"/>
      <c r="BF20" s="3423"/>
      <c r="BG20" s="3423"/>
      <c r="BH20" s="3423"/>
      <c r="BI20" s="3423"/>
      <c r="BJ20" s="3796"/>
      <c r="BK20" s="3799"/>
      <c r="BL20" s="3799"/>
      <c r="BM20" s="3800"/>
      <c r="BN20" s="3796"/>
      <c r="BO20" s="3796"/>
      <c r="BP20" s="3796"/>
      <c r="BQ20" s="3767"/>
      <c r="BR20" s="3767"/>
      <c r="BS20" s="3767"/>
      <c r="BT20" s="3767"/>
      <c r="BU20" s="3770"/>
    </row>
    <row r="21" spans="1:73" s="759" customFormat="1" ht="74.25" customHeight="1" x14ac:dyDescent="0.25">
      <c r="A21" s="1441"/>
      <c r="B21" s="1442"/>
      <c r="C21" s="1441"/>
      <c r="D21" s="1442"/>
      <c r="E21" s="1453"/>
      <c r="F21" s="1453"/>
      <c r="G21" s="3809">
        <v>3502039</v>
      </c>
      <c r="H21" s="3405" t="s">
        <v>721</v>
      </c>
      <c r="I21" s="3810">
        <v>3502039</v>
      </c>
      <c r="J21" s="3405" t="s">
        <v>721</v>
      </c>
      <c r="K21" s="2745" t="s">
        <v>2165</v>
      </c>
      <c r="L21" s="2681" t="s">
        <v>1727</v>
      </c>
      <c r="M21" s="2745" t="s">
        <v>2165</v>
      </c>
      <c r="N21" s="2681" t="s">
        <v>1727</v>
      </c>
      <c r="O21" s="3801">
        <v>12</v>
      </c>
      <c r="P21" s="3803">
        <v>12</v>
      </c>
      <c r="Q21" s="3805" t="s">
        <v>2166</v>
      </c>
      <c r="R21" s="3417" t="s">
        <v>2167</v>
      </c>
      <c r="S21" s="3812">
        <f>SUM(X21:X22)/T21</f>
        <v>9.7664096045716034E-2</v>
      </c>
      <c r="T21" s="3814">
        <f>SUM(X21:X26)</f>
        <v>1791856036</v>
      </c>
      <c r="U21" s="3259" t="s">
        <v>2153</v>
      </c>
      <c r="V21" s="3816" t="s">
        <v>2168</v>
      </c>
      <c r="W21" s="3817" t="s">
        <v>1727</v>
      </c>
      <c r="X21" s="1463">
        <f>80000000+40000000</f>
        <v>120000000</v>
      </c>
      <c r="Y21" s="1463">
        <v>114053497</v>
      </c>
      <c r="Z21" s="1463">
        <v>114053497</v>
      </c>
      <c r="AA21" s="693" t="s">
        <v>2169</v>
      </c>
      <c r="AB21" s="1465">
        <v>20</v>
      </c>
      <c r="AC21" s="1470" t="s">
        <v>1</v>
      </c>
      <c r="AD21" s="3363">
        <v>765</v>
      </c>
      <c r="AE21" s="3363">
        <v>765</v>
      </c>
      <c r="AF21" s="3363">
        <v>735</v>
      </c>
      <c r="AG21" s="3363">
        <v>735</v>
      </c>
      <c r="AH21" s="3363"/>
      <c r="AI21" s="3363"/>
      <c r="AJ21" s="3363"/>
      <c r="AK21" s="3363"/>
      <c r="AL21" s="3363">
        <f>+AD21+AF21</f>
        <v>1500</v>
      </c>
      <c r="AM21" s="3363">
        <v>1500</v>
      </c>
      <c r="AN21" s="3363"/>
      <c r="AO21" s="3363"/>
      <c r="AP21" s="3363"/>
      <c r="AQ21" s="3363"/>
      <c r="AR21" s="3363"/>
      <c r="AS21" s="3363"/>
      <c r="AT21" s="3363"/>
      <c r="AU21" s="3363"/>
      <c r="AV21" s="3363"/>
      <c r="AW21" s="3363"/>
      <c r="AX21" s="3363"/>
      <c r="AY21" s="3363"/>
      <c r="AZ21" s="3363"/>
      <c r="BA21" s="3363"/>
      <c r="BB21" s="3363"/>
      <c r="BC21" s="3363"/>
      <c r="BD21" s="3363"/>
      <c r="BE21" s="3363"/>
      <c r="BF21" s="3363"/>
      <c r="BG21" s="3363"/>
      <c r="BH21" s="3363">
        <f>+AD21+AF21</f>
        <v>1500</v>
      </c>
      <c r="BI21" s="3827">
        <f>+AE21+AG21</f>
        <v>1500</v>
      </c>
      <c r="BJ21" s="3796">
        <f>18+6+3+3</f>
        <v>30</v>
      </c>
      <c r="BK21" s="3799">
        <f>SUM(Y21:Y26)</f>
        <v>1785909533</v>
      </c>
      <c r="BL21" s="3799">
        <f>SUM(Z21:Z26)</f>
        <v>1785909533</v>
      </c>
      <c r="BM21" s="3800">
        <f>+BL21/BK21</f>
        <v>1</v>
      </c>
      <c r="BN21" s="3796" t="s">
        <v>2170</v>
      </c>
      <c r="BO21" s="3796" t="s">
        <v>2171</v>
      </c>
      <c r="BP21" s="3796" t="s">
        <v>2172</v>
      </c>
      <c r="BQ21" s="3824">
        <v>44242</v>
      </c>
      <c r="BR21" s="3797">
        <v>44260</v>
      </c>
      <c r="BS21" s="3797">
        <v>44540</v>
      </c>
      <c r="BT21" s="3797">
        <v>44551</v>
      </c>
      <c r="BU21" s="3798" t="s">
        <v>2141</v>
      </c>
    </row>
    <row r="22" spans="1:73" s="759" customFormat="1" ht="74.25" customHeight="1" x14ac:dyDescent="0.25">
      <c r="A22" s="1441"/>
      <c r="B22" s="1442"/>
      <c r="C22" s="1441"/>
      <c r="D22" s="1442"/>
      <c r="E22" s="1453"/>
      <c r="F22" s="1453"/>
      <c r="G22" s="3475"/>
      <c r="H22" s="3407"/>
      <c r="I22" s="3811"/>
      <c r="J22" s="3407"/>
      <c r="K22" s="2770"/>
      <c r="L22" s="2772"/>
      <c r="M22" s="2770"/>
      <c r="N22" s="2772"/>
      <c r="O22" s="3802"/>
      <c r="P22" s="3804"/>
      <c r="Q22" s="3805"/>
      <c r="R22" s="3417"/>
      <c r="S22" s="3813"/>
      <c r="T22" s="3814"/>
      <c r="U22" s="3260"/>
      <c r="V22" s="3816"/>
      <c r="W22" s="3818"/>
      <c r="X22" s="1463">
        <v>55000000</v>
      </c>
      <c r="Y22" s="1463">
        <v>55000000</v>
      </c>
      <c r="Z22" s="1463">
        <v>55000000</v>
      </c>
      <c r="AA22" s="693" t="s">
        <v>2173</v>
      </c>
      <c r="AB22" s="1465">
        <v>88</v>
      </c>
      <c r="AC22" s="1470" t="s">
        <v>2174</v>
      </c>
      <c r="AD22" s="3363"/>
      <c r="AE22" s="3363"/>
      <c r="AF22" s="3363"/>
      <c r="AG22" s="3363"/>
      <c r="AH22" s="3363"/>
      <c r="AI22" s="3363"/>
      <c r="AJ22" s="3363"/>
      <c r="AK22" s="3363"/>
      <c r="AL22" s="3363"/>
      <c r="AM22" s="3363"/>
      <c r="AN22" s="3363"/>
      <c r="AO22" s="3363"/>
      <c r="AP22" s="3363"/>
      <c r="AQ22" s="3363"/>
      <c r="AR22" s="3363"/>
      <c r="AS22" s="3363"/>
      <c r="AT22" s="3363"/>
      <c r="AU22" s="3363"/>
      <c r="AV22" s="3363"/>
      <c r="AW22" s="3363"/>
      <c r="AX22" s="3363"/>
      <c r="AY22" s="3363"/>
      <c r="AZ22" s="3363"/>
      <c r="BA22" s="3363"/>
      <c r="BB22" s="3363"/>
      <c r="BC22" s="3363"/>
      <c r="BD22" s="3363"/>
      <c r="BE22" s="3363"/>
      <c r="BF22" s="3363"/>
      <c r="BG22" s="3363"/>
      <c r="BH22" s="3363"/>
      <c r="BI22" s="3827"/>
      <c r="BJ22" s="3796"/>
      <c r="BK22" s="3799"/>
      <c r="BL22" s="3799"/>
      <c r="BM22" s="3800"/>
      <c r="BN22" s="3796"/>
      <c r="BO22" s="3796"/>
      <c r="BP22" s="3796"/>
      <c r="BQ22" s="3825"/>
      <c r="BR22" s="3766"/>
      <c r="BS22" s="3766"/>
      <c r="BT22" s="3766"/>
      <c r="BU22" s="3769"/>
    </row>
    <row r="23" spans="1:73" s="759" customFormat="1" ht="73.5" customHeight="1" x14ac:dyDescent="0.25">
      <c r="A23" s="1441"/>
      <c r="B23" s="1442"/>
      <c r="C23" s="1441"/>
      <c r="D23" s="1442"/>
      <c r="E23" s="1453"/>
      <c r="F23" s="1453"/>
      <c r="G23" s="822">
        <v>3502047</v>
      </c>
      <c r="H23" s="828" t="s">
        <v>941</v>
      </c>
      <c r="I23" s="822">
        <v>3502047</v>
      </c>
      <c r="J23" s="828" t="s">
        <v>941</v>
      </c>
      <c r="K23" s="707" t="s">
        <v>2160</v>
      </c>
      <c r="L23" s="705" t="s">
        <v>2161</v>
      </c>
      <c r="M23" s="707" t="s">
        <v>2160</v>
      </c>
      <c r="N23" s="705" t="s">
        <v>2161</v>
      </c>
      <c r="O23" s="2241">
        <v>0.7</v>
      </c>
      <c r="P23" s="2241">
        <v>0.7</v>
      </c>
      <c r="Q23" s="3805"/>
      <c r="R23" s="3204"/>
      <c r="S23" s="1471">
        <f>X23/T21</f>
        <v>1.0045449878987934E-2</v>
      </c>
      <c r="T23" s="3814"/>
      <c r="U23" s="3260"/>
      <c r="V23" s="3816"/>
      <c r="W23" s="1472" t="s">
        <v>2175</v>
      </c>
      <c r="X23" s="1463">
        <v>18000000</v>
      </c>
      <c r="Y23" s="1463">
        <v>18000000</v>
      </c>
      <c r="Z23" s="1463">
        <v>18000000</v>
      </c>
      <c r="AA23" s="693" t="s">
        <v>2176</v>
      </c>
      <c r="AB23" s="1465">
        <v>20</v>
      </c>
      <c r="AC23" s="1470" t="s">
        <v>1</v>
      </c>
      <c r="AD23" s="3363"/>
      <c r="AE23" s="3363"/>
      <c r="AF23" s="3363"/>
      <c r="AG23" s="3363"/>
      <c r="AH23" s="3363"/>
      <c r="AI23" s="3363"/>
      <c r="AJ23" s="3363"/>
      <c r="AK23" s="3363"/>
      <c r="AL23" s="3363"/>
      <c r="AM23" s="3363"/>
      <c r="AN23" s="3363"/>
      <c r="AO23" s="3363"/>
      <c r="AP23" s="3363"/>
      <c r="AQ23" s="3363"/>
      <c r="AR23" s="3363"/>
      <c r="AS23" s="3363"/>
      <c r="AT23" s="3363"/>
      <c r="AU23" s="3363"/>
      <c r="AV23" s="3363"/>
      <c r="AW23" s="3363"/>
      <c r="AX23" s="3363"/>
      <c r="AY23" s="3363"/>
      <c r="AZ23" s="3363"/>
      <c r="BA23" s="3363"/>
      <c r="BB23" s="3363"/>
      <c r="BC23" s="3363"/>
      <c r="BD23" s="3363"/>
      <c r="BE23" s="3363"/>
      <c r="BF23" s="3363"/>
      <c r="BG23" s="3363"/>
      <c r="BH23" s="3363"/>
      <c r="BI23" s="3827"/>
      <c r="BJ23" s="3796"/>
      <c r="BK23" s="3799"/>
      <c r="BL23" s="3799"/>
      <c r="BM23" s="3800"/>
      <c r="BN23" s="3796"/>
      <c r="BO23" s="3796"/>
      <c r="BP23" s="3796"/>
      <c r="BQ23" s="3825"/>
      <c r="BR23" s="3766"/>
      <c r="BS23" s="3766"/>
      <c r="BT23" s="3766"/>
      <c r="BU23" s="3769"/>
    </row>
    <row r="24" spans="1:73" s="759" customFormat="1" ht="91.5" customHeight="1" x14ac:dyDescent="0.25">
      <c r="A24" s="1441"/>
      <c r="B24" s="1442"/>
      <c r="C24" s="1441"/>
      <c r="D24" s="1442"/>
      <c r="E24" s="1453"/>
      <c r="F24" s="1453"/>
      <c r="G24" s="3491">
        <v>3502039</v>
      </c>
      <c r="H24" s="3820" t="s">
        <v>721</v>
      </c>
      <c r="I24" s="3491">
        <v>3502039</v>
      </c>
      <c r="J24" s="3820" t="s">
        <v>721</v>
      </c>
      <c r="K24" s="3821">
        <v>350203910</v>
      </c>
      <c r="L24" s="3822" t="s">
        <v>722</v>
      </c>
      <c r="M24" s="3821">
        <v>350203910</v>
      </c>
      <c r="N24" s="3822" t="s">
        <v>722</v>
      </c>
      <c r="O24" s="3823">
        <v>1</v>
      </c>
      <c r="P24" s="3808">
        <v>3</v>
      </c>
      <c r="Q24" s="3805"/>
      <c r="R24" s="3807"/>
      <c r="S24" s="3819">
        <f>(SUM(X24:X26)/T21)</f>
        <v>0.89229045407529606</v>
      </c>
      <c r="T24" s="3815"/>
      <c r="U24" s="3260"/>
      <c r="V24" s="3816"/>
      <c r="W24" s="1472" t="s">
        <v>2177</v>
      </c>
      <c r="X24" s="1463">
        <f>100000000-43121399</f>
        <v>56878601</v>
      </c>
      <c r="Y24" s="1463">
        <v>56878601</v>
      </c>
      <c r="Z24" s="1463">
        <v>56878601</v>
      </c>
      <c r="AA24" s="693" t="s">
        <v>2169</v>
      </c>
      <c r="AB24" s="1465">
        <v>20</v>
      </c>
      <c r="AC24" s="1470" t="s">
        <v>1</v>
      </c>
      <c r="AD24" s="3363"/>
      <c r="AE24" s="3363"/>
      <c r="AF24" s="3363"/>
      <c r="AG24" s="3363"/>
      <c r="AH24" s="3363"/>
      <c r="AI24" s="3363"/>
      <c r="AJ24" s="3363"/>
      <c r="AK24" s="3363"/>
      <c r="AL24" s="3363"/>
      <c r="AM24" s="3363"/>
      <c r="AN24" s="3363"/>
      <c r="AO24" s="3363"/>
      <c r="AP24" s="3363"/>
      <c r="AQ24" s="3363"/>
      <c r="AR24" s="3363"/>
      <c r="AS24" s="3363"/>
      <c r="AT24" s="3363"/>
      <c r="AU24" s="3363"/>
      <c r="AV24" s="3363"/>
      <c r="AW24" s="3363"/>
      <c r="AX24" s="3363"/>
      <c r="AY24" s="3363"/>
      <c r="AZ24" s="3363"/>
      <c r="BA24" s="3363"/>
      <c r="BB24" s="3363"/>
      <c r="BC24" s="3363"/>
      <c r="BD24" s="3363"/>
      <c r="BE24" s="3363"/>
      <c r="BF24" s="3363"/>
      <c r="BG24" s="3363"/>
      <c r="BH24" s="3363"/>
      <c r="BI24" s="3827"/>
      <c r="BJ24" s="3796"/>
      <c r="BK24" s="3799"/>
      <c r="BL24" s="3799"/>
      <c r="BM24" s="3800"/>
      <c r="BN24" s="3796"/>
      <c r="BO24" s="3796"/>
      <c r="BP24" s="3796"/>
      <c r="BQ24" s="3825"/>
      <c r="BR24" s="3766"/>
      <c r="BS24" s="3766"/>
      <c r="BT24" s="3766"/>
      <c r="BU24" s="3769"/>
    </row>
    <row r="25" spans="1:73" s="759" customFormat="1" ht="91.5" customHeight="1" x14ac:dyDescent="0.25">
      <c r="A25" s="1441"/>
      <c r="B25" s="1442"/>
      <c r="C25" s="1441"/>
      <c r="D25" s="1442"/>
      <c r="E25" s="1453"/>
      <c r="F25" s="1453"/>
      <c r="G25" s="3491"/>
      <c r="H25" s="3820"/>
      <c r="I25" s="3491"/>
      <c r="J25" s="3820"/>
      <c r="K25" s="3821"/>
      <c r="L25" s="3822"/>
      <c r="M25" s="3821"/>
      <c r="N25" s="3822"/>
      <c r="O25" s="3823"/>
      <c r="P25" s="3808"/>
      <c r="Q25" s="3805"/>
      <c r="R25" s="3807"/>
      <c r="S25" s="3819"/>
      <c r="T25" s="3815"/>
      <c r="U25" s="3260"/>
      <c r="V25" s="3816"/>
      <c r="W25" s="3402" t="s">
        <v>2178</v>
      </c>
      <c r="X25" s="1463">
        <v>43121399</v>
      </c>
      <c r="Y25" s="1463">
        <v>43121399</v>
      </c>
      <c r="Z25" s="1463">
        <v>43121399</v>
      </c>
      <c r="AA25" s="693" t="s">
        <v>2179</v>
      </c>
      <c r="AB25" s="1473">
        <v>20</v>
      </c>
      <c r="AC25" s="1470" t="s">
        <v>1</v>
      </c>
      <c r="AD25" s="3363"/>
      <c r="AE25" s="3363"/>
      <c r="AF25" s="3363"/>
      <c r="AG25" s="3363"/>
      <c r="AH25" s="3363"/>
      <c r="AI25" s="3363"/>
      <c r="AJ25" s="3363"/>
      <c r="AK25" s="3363"/>
      <c r="AL25" s="3363"/>
      <c r="AM25" s="3363"/>
      <c r="AN25" s="3363"/>
      <c r="AO25" s="3363"/>
      <c r="AP25" s="3363"/>
      <c r="AQ25" s="3363"/>
      <c r="AR25" s="3363"/>
      <c r="AS25" s="3363"/>
      <c r="AT25" s="3363"/>
      <c r="AU25" s="3363"/>
      <c r="AV25" s="3363"/>
      <c r="AW25" s="3363"/>
      <c r="AX25" s="3363"/>
      <c r="AY25" s="3363"/>
      <c r="AZ25" s="3363"/>
      <c r="BA25" s="3363"/>
      <c r="BB25" s="3363"/>
      <c r="BC25" s="3363"/>
      <c r="BD25" s="3363"/>
      <c r="BE25" s="3363"/>
      <c r="BF25" s="3363"/>
      <c r="BG25" s="3363"/>
      <c r="BH25" s="3363"/>
      <c r="BI25" s="3827"/>
      <c r="BJ25" s="3796"/>
      <c r="BK25" s="3799"/>
      <c r="BL25" s="3799"/>
      <c r="BM25" s="3800"/>
      <c r="BN25" s="3796"/>
      <c r="BO25" s="3796"/>
      <c r="BP25" s="3796"/>
      <c r="BQ25" s="3825"/>
      <c r="BR25" s="3766"/>
      <c r="BS25" s="3766"/>
      <c r="BT25" s="3766"/>
      <c r="BU25" s="3769"/>
    </row>
    <row r="26" spans="1:73" s="759" customFormat="1" ht="91.5" customHeight="1" x14ac:dyDescent="0.25">
      <c r="A26" s="1441"/>
      <c r="B26" s="1442"/>
      <c r="C26" s="1441"/>
      <c r="D26" s="1442"/>
      <c r="E26" s="1453"/>
      <c r="F26" s="1453"/>
      <c r="G26" s="3491"/>
      <c r="H26" s="3820"/>
      <c r="I26" s="3491"/>
      <c r="J26" s="3820"/>
      <c r="K26" s="3821"/>
      <c r="L26" s="3822"/>
      <c r="M26" s="3821"/>
      <c r="N26" s="3822"/>
      <c r="O26" s="3823"/>
      <c r="P26" s="3808"/>
      <c r="Q26" s="3806"/>
      <c r="R26" s="3807"/>
      <c r="S26" s="3819"/>
      <c r="T26" s="3815"/>
      <c r="U26" s="2832"/>
      <c r="V26" s="3816"/>
      <c r="W26" s="3404"/>
      <c r="X26" s="1463">
        <v>1498856036</v>
      </c>
      <c r="Y26" s="1463">
        <v>1498856036</v>
      </c>
      <c r="Z26" s="1463">
        <v>1498856036</v>
      </c>
      <c r="AA26" s="693" t="s">
        <v>2180</v>
      </c>
      <c r="AB26" s="1474">
        <v>88</v>
      </c>
      <c r="AC26" s="1475" t="s">
        <v>2174</v>
      </c>
      <c r="AD26" s="3363"/>
      <c r="AE26" s="3363"/>
      <c r="AF26" s="3363"/>
      <c r="AG26" s="3363"/>
      <c r="AH26" s="3363"/>
      <c r="AI26" s="3363"/>
      <c r="AJ26" s="3363"/>
      <c r="AK26" s="3363"/>
      <c r="AL26" s="3363"/>
      <c r="AM26" s="3363"/>
      <c r="AN26" s="3363"/>
      <c r="AO26" s="3363"/>
      <c r="AP26" s="3363"/>
      <c r="AQ26" s="3363"/>
      <c r="AR26" s="3363"/>
      <c r="AS26" s="3363"/>
      <c r="AT26" s="3363"/>
      <c r="AU26" s="3363"/>
      <c r="AV26" s="3363"/>
      <c r="AW26" s="3363"/>
      <c r="AX26" s="3363"/>
      <c r="AY26" s="3363"/>
      <c r="AZ26" s="3363"/>
      <c r="BA26" s="3363"/>
      <c r="BB26" s="3363"/>
      <c r="BC26" s="3363"/>
      <c r="BD26" s="3363"/>
      <c r="BE26" s="3363"/>
      <c r="BF26" s="3363"/>
      <c r="BG26" s="3363"/>
      <c r="BH26" s="3363"/>
      <c r="BI26" s="3827"/>
      <c r="BJ26" s="3796"/>
      <c r="BK26" s="3799"/>
      <c r="BL26" s="3799"/>
      <c r="BM26" s="3800"/>
      <c r="BN26" s="3796"/>
      <c r="BO26" s="3796"/>
      <c r="BP26" s="3796"/>
      <c r="BQ26" s="3826"/>
      <c r="BR26" s="3767"/>
      <c r="BS26" s="3767"/>
      <c r="BT26" s="3767"/>
      <c r="BU26" s="3770"/>
    </row>
    <row r="27" spans="1:73" s="759" customFormat="1" ht="66" customHeight="1" x14ac:dyDescent="0.25">
      <c r="A27" s="1441"/>
      <c r="B27" s="1442"/>
      <c r="C27" s="1441"/>
      <c r="D27" s="1442"/>
      <c r="E27" s="1453"/>
      <c r="F27" s="1453"/>
      <c r="G27" s="3476">
        <v>3502046</v>
      </c>
      <c r="H27" s="3214" t="s">
        <v>2181</v>
      </c>
      <c r="I27" s="3476">
        <v>3502046</v>
      </c>
      <c r="J27" s="3214" t="s">
        <v>2181</v>
      </c>
      <c r="K27" s="2502">
        <v>350204600</v>
      </c>
      <c r="L27" s="2771" t="s">
        <v>2182</v>
      </c>
      <c r="M27" s="2502">
        <v>350204600</v>
      </c>
      <c r="N27" s="2771" t="s">
        <v>2182</v>
      </c>
      <c r="O27" s="3828">
        <v>1</v>
      </c>
      <c r="P27" s="3517">
        <v>1</v>
      </c>
      <c r="Q27" s="2544" t="s">
        <v>2183</v>
      </c>
      <c r="R27" s="3829" t="s">
        <v>2184</v>
      </c>
      <c r="S27" s="3831">
        <f>SUM(X27:X35)/T27</f>
        <v>1</v>
      </c>
      <c r="T27" s="3832">
        <f>SUM(X27:X35)</f>
        <v>1260231673.6100001</v>
      </c>
      <c r="U27" s="3833" t="s">
        <v>2185</v>
      </c>
      <c r="V27" s="3834" t="s">
        <v>2186</v>
      </c>
      <c r="W27" s="3789" t="s">
        <v>2187</v>
      </c>
      <c r="X27" s="1463">
        <f>634872303.76-27000000</f>
        <v>607872303.75999999</v>
      </c>
      <c r="Y27" s="1463">
        <v>423309998</v>
      </c>
      <c r="Z27" s="1463">
        <v>423309998</v>
      </c>
      <c r="AA27" s="1476" t="s">
        <v>2188</v>
      </c>
      <c r="AB27" s="1477">
        <v>52</v>
      </c>
      <c r="AC27" s="693" t="s">
        <v>2189</v>
      </c>
      <c r="AD27" s="3830">
        <v>765</v>
      </c>
      <c r="AE27" s="3830">
        <v>765</v>
      </c>
      <c r="AF27" s="3830">
        <v>735</v>
      </c>
      <c r="AG27" s="3830">
        <v>735</v>
      </c>
      <c r="AH27" s="3830"/>
      <c r="AI27" s="3830"/>
      <c r="AJ27" s="3830"/>
      <c r="AK27" s="3830"/>
      <c r="AL27" s="3830">
        <f>+AD27+AF27</f>
        <v>1500</v>
      </c>
      <c r="AM27" s="3830">
        <v>1500</v>
      </c>
      <c r="AN27" s="3830"/>
      <c r="AO27" s="3830"/>
      <c r="AP27" s="3830"/>
      <c r="AQ27" s="3830"/>
      <c r="AR27" s="3830"/>
      <c r="AS27" s="3830"/>
      <c r="AT27" s="3830"/>
      <c r="AU27" s="3830"/>
      <c r="AV27" s="3830"/>
      <c r="AW27" s="3830"/>
      <c r="AX27" s="3830"/>
      <c r="AY27" s="3830"/>
      <c r="AZ27" s="3830"/>
      <c r="BA27" s="3830"/>
      <c r="BB27" s="3830"/>
      <c r="BC27" s="3830"/>
      <c r="BD27" s="3830"/>
      <c r="BE27" s="3830"/>
      <c r="BF27" s="3830"/>
      <c r="BG27" s="3830"/>
      <c r="BH27" s="3830">
        <f>+AD27+AF27</f>
        <v>1500</v>
      </c>
      <c r="BI27" s="3830">
        <f>+AE27+AG27</f>
        <v>1500</v>
      </c>
      <c r="BJ27" s="3422">
        <f>1+2+1+1+28+4+1+1</f>
        <v>39</v>
      </c>
      <c r="BK27" s="3842">
        <f>SUM(Y27:Y35)</f>
        <v>659325228.50999999</v>
      </c>
      <c r="BL27" s="3842">
        <f>SUM(Z27:Z35)</f>
        <v>659325228.50999999</v>
      </c>
      <c r="BM27" s="3424">
        <f>+BL27/BK27</f>
        <v>1</v>
      </c>
      <c r="BN27" s="3422" t="s">
        <v>2190</v>
      </c>
      <c r="BO27" s="3422" t="s">
        <v>2191</v>
      </c>
      <c r="BP27" s="3422" t="s">
        <v>2192</v>
      </c>
      <c r="BQ27" s="3797">
        <v>44242</v>
      </c>
      <c r="BR27" s="3797" t="s">
        <v>2193</v>
      </c>
      <c r="BS27" s="3797">
        <v>44540</v>
      </c>
      <c r="BT27" s="3797">
        <v>44551</v>
      </c>
      <c r="BU27" s="3798" t="s">
        <v>2141</v>
      </c>
    </row>
    <row r="28" spans="1:73" s="759" customFormat="1" ht="65.25" customHeight="1" x14ac:dyDescent="0.25">
      <c r="A28" s="1441"/>
      <c r="B28" s="1442"/>
      <c r="C28" s="1441"/>
      <c r="D28" s="1442"/>
      <c r="E28" s="1453"/>
      <c r="F28" s="1453"/>
      <c r="G28" s="3476"/>
      <c r="H28" s="3214"/>
      <c r="I28" s="3476"/>
      <c r="J28" s="3214"/>
      <c r="K28" s="2502"/>
      <c r="L28" s="2771"/>
      <c r="M28" s="2502"/>
      <c r="N28" s="2771"/>
      <c r="O28" s="3828"/>
      <c r="P28" s="3517"/>
      <c r="Q28" s="2544"/>
      <c r="R28" s="3829"/>
      <c r="S28" s="3831"/>
      <c r="T28" s="3832"/>
      <c r="U28" s="3829"/>
      <c r="V28" s="3834"/>
      <c r="W28" s="3836"/>
      <c r="X28" s="1463">
        <f>100000000+150000000-15000000</f>
        <v>235000000</v>
      </c>
      <c r="Y28" s="1463">
        <v>177404833</v>
      </c>
      <c r="Z28" s="1463">
        <v>177404833</v>
      </c>
      <c r="AA28" s="1476" t="s">
        <v>2194</v>
      </c>
      <c r="AB28" s="1477">
        <v>88</v>
      </c>
      <c r="AC28" s="693" t="s">
        <v>2174</v>
      </c>
      <c r="AD28" s="3830"/>
      <c r="AE28" s="3830"/>
      <c r="AF28" s="3830"/>
      <c r="AG28" s="3830"/>
      <c r="AH28" s="3830"/>
      <c r="AI28" s="3830"/>
      <c r="AJ28" s="3830"/>
      <c r="AK28" s="3830"/>
      <c r="AL28" s="3830"/>
      <c r="AM28" s="3830"/>
      <c r="AN28" s="3830"/>
      <c r="AO28" s="3830"/>
      <c r="AP28" s="3830"/>
      <c r="AQ28" s="3830"/>
      <c r="AR28" s="3830"/>
      <c r="AS28" s="3830"/>
      <c r="AT28" s="3830"/>
      <c r="AU28" s="3830"/>
      <c r="AV28" s="3830"/>
      <c r="AW28" s="3830"/>
      <c r="AX28" s="3830"/>
      <c r="AY28" s="3830"/>
      <c r="AZ28" s="3830"/>
      <c r="BA28" s="3830"/>
      <c r="BB28" s="3830"/>
      <c r="BC28" s="3830"/>
      <c r="BD28" s="3830"/>
      <c r="BE28" s="3830"/>
      <c r="BF28" s="3830"/>
      <c r="BG28" s="3830"/>
      <c r="BH28" s="3830"/>
      <c r="BI28" s="3830"/>
      <c r="BJ28" s="3423"/>
      <c r="BK28" s="3773"/>
      <c r="BL28" s="3773"/>
      <c r="BM28" s="3425"/>
      <c r="BN28" s="3423"/>
      <c r="BO28" s="3423"/>
      <c r="BP28" s="3423"/>
      <c r="BQ28" s="3766"/>
      <c r="BR28" s="3766"/>
      <c r="BS28" s="3766"/>
      <c r="BT28" s="3766"/>
      <c r="BU28" s="3769"/>
    </row>
    <row r="29" spans="1:73" s="759" customFormat="1" ht="69" customHeight="1" x14ac:dyDescent="0.25">
      <c r="A29" s="1441"/>
      <c r="B29" s="1442"/>
      <c r="C29" s="1441"/>
      <c r="D29" s="1442"/>
      <c r="E29" s="1453"/>
      <c r="F29" s="1453"/>
      <c r="G29" s="3476"/>
      <c r="H29" s="3214"/>
      <c r="I29" s="3476"/>
      <c r="J29" s="3214"/>
      <c r="K29" s="2502"/>
      <c r="L29" s="2771"/>
      <c r="M29" s="2502"/>
      <c r="N29" s="2771"/>
      <c r="O29" s="3828"/>
      <c r="P29" s="3517"/>
      <c r="Q29" s="2544"/>
      <c r="R29" s="3829"/>
      <c r="S29" s="3831"/>
      <c r="T29" s="3832"/>
      <c r="U29" s="3829"/>
      <c r="V29" s="3834"/>
      <c r="W29" s="3790"/>
      <c r="X29" s="1463">
        <v>340359369.85000002</v>
      </c>
      <c r="Y29" s="1463">
        <v>0</v>
      </c>
      <c r="Z29" s="1463">
        <v>0</v>
      </c>
      <c r="AA29" s="1476" t="s">
        <v>2195</v>
      </c>
      <c r="AB29" s="1477">
        <v>94</v>
      </c>
      <c r="AC29" s="693" t="s">
        <v>2196</v>
      </c>
      <c r="AD29" s="3830"/>
      <c r="AE29" s="3830"/>
      <c r="AF29" s="3830"/>
      <c r="AG29" s="3830"/>
      <c r="AH29" s="3830"/>
      <c r="AI29" s="3830"/>
      <c r="AJ29" s="3830"/>
      <c r="AK29" s="3830"/>
      <c r="AL29" s="3830"/>
      <c r="AM29" s="3830"/>
      <c r="AN29" s="3830"/>
      <c r="AO29" s="3830"/>
      <c r="AP29" s="3830"/>
      <c r="AQ29" s="3830"/>
      <c r="AR29" s="3830"/>
      <c r="AS29" s="3830"/>
      <c r="AT29" s="3830"/>
      <c r="AU29" s="3830"/>
      <c r="AV29" s="3830"/>
      <c r="AW29" s="3830"/>
      <c r="AX29" s="3830"/>
      <c r="AY29" s="3830"/>
      <c r="AZ29" s="3830"/>
      <c r="BA29" s="3830"/>
      <c r="BB29" s="3830"/>
      <c r="BC29" s="3830"/>
      <c r="BD29" s="3830"/>
      <c r="BE29" s="3830"/>
      <c r="BF29" s="3830"/>
      <c r="BG29" s="3830"/>
      <c r="BH29" s="3830"/>
      <c r="BI29" s="3830"/>
      <c r="BJ29" s="3423"/>
      <c r="BK29" s="3773"/>
      <c r="BL29" s="3773"/>
      <c r="BM29" s="3425"/>
      <c r="BN29" s="3423"/>
      <c r="BO29" s="3423"/>
      <c r="BP29" s="3423"/>
      <c r="BQ29" s="3766"/>
      <c r="BR29" s="3766"/>
      <c r="BS29" s="3766"/>
      <c r="BT29" s="3766"/>
      <c r="BU29" s="3769"/>
    </row>
    <row r="30" spans="1:73" s="759" customFormat="1" ht="69" customHeight="1" x14ac:dyDescent="0.25">
      <c r="A30" s="1441"/>
      <c r="B30" s="1442"/>
      <c r="C30" s="1441"/>
      <c r="D30" s="1442"/>
      <c r="E30" s="1453"/>
      <c r="F30" s="1453"/>
      <c r="G30" s="3476"/>
      <c r="H30" s="3214"/>
      <c r="I30" s="3476"/>
      <c r="J30" s="3214"/>
      <c r="K30" s="2502"/>
      <c r="L30" s="2771"/>
      <c r="M30" s="2502"/>
      <c r="N30" s="2771"/>
      <c r="O30" s="3828"/>
      <c r="P30" s="3517"/>
      <c r="Q30" s="2544"/>
      <c r="R30" s="3829"/>
      <c r="S30" s="3831"/>
      <c r="T30" s="3832"/>
      <c r="U30" s="3829"/>
      <c r="V30" s="3834"/>
      <c r="W30" s="1478" t="s">
        <v>2197</v>
      </c>
      <c r="X30" s="1463">
        <v>20000000</v>
      </c>
      <c r="Y30" s="1463">
        <v>20000000</v>
      </c>
      <c r="Z30" s="1463">
        <v>20000000</v>
      </c>
      <c r="AA30" s="1476" t="s">
        <v>2198</v>
      </c>
      <c r="AB30" s="1477">
        <v>20</v>
      </c>
      <c r="AC30" s="693" t="s">
        <v>1</v>
      </c>
      <c r="AD30" s="3830"/>
      <c r="AE30" s="3830"/>
      <c r="AF30" s="3830"/>
      <c r="AG30" s="3830"/>
      <c r="AH30" s="3830"/>
      <c r="AI30" s="3830"/>
      <c r="AJ30" s="3830"/>
      <c r="AK30" s="3830"/>
      <c r="AL30" s="3830"/>
      <c r="AM30" s="3830"/>
      <c r="AN30" s="3830"/>
      <c r="AO30" s="3830"/>
      <c r="AP30" s="3830"/>
      <c r="AQ30" s="3830"/>
      <c r="AR30" s="3830"/>
      <c r="AS30" s="3830"/>
      <c r="AT30" s="3830"/>
      <c r="AU30" s="3830"/>
      <c r="AV30" s="3830"/>
      <c r="AW30" s="3830"/>
      <c r="AX30" s="3830"/>
      <c r="AY30" s="3830"/>
      <c r="AZ30" s="3830"/>
      <c r="BA30" s="3830"/>
      <c r="BB30" s="3830"/>
      <c r="BC30" s="3830"/>
      <c r="BD30" s="3830"/>
      <c r="BE30" s="3830"/>
      <c r="BF30" s="3830"/>
      <c r="BG30" s="3830"/>
      <c r="BH30" s="3830"/>
      <c r="BI30" s="3830"/>
      <c r="BJ30" s="3423"/>
      <c r="BK30" s="3773"/>
      <c r="BL30" s="3773"/>
      <c r="BM30" s="3425"/>
      <c r="BN30" s="3423"/>
      <c r="BO30" s="3423"/>
      <c r="BP30" s="3423"/>
      <c r="BQ30" s="3766"/>
      <c r="BR30" s="3766"/>
      <c r="BS30" s="3766"/>
      <c r="BT30" s="3766"/>
      <c r="BU30" s="3769"/>
    </row>
    <row r="31" spans="1:73" s="759" customFormat="1" ht="30.75" customHeight="1" x14ac:dyDescent="0.25">
      <c r="A31" s="1441"/>
      <c r="B31" s="1442"/>
      <c r="C31" s="1441"/>
      <c r="D31" s="1442"/>
      <c r="E31" s="1453"/>
      <c r="F31" s="1453"/>
      <c r="G31" s="3476"/>
      <c r="H31" s="3214"/>
      <c r="I31" s="3476"/>
      <c r="J31" s="3214"/>
      <c r="K31" s="2502"/>
      <c r="L31" s="2771"/>
      <c r="M31" s="2502"/>
      <c r="N31" s="2771"/>
      <c r="O31" s="3828"/>
      <c r="P31" s="3517"/>
      <c r="Q31" s="2544"/>
      <c r="R31" s="3829"/>
      <c r="S31" s="3831"/>
      <c r="T31" s="3832"/>
      <c r="U31" s="3829"/>
      <c r="V31" s="3834"/>
      <c r="W31" s="3789" t="s">
        <v>2199</v>
      </c>
      <c r="X31" s="1463">
        <f>12000000-12000000</f>
        <v>0</v>
      </c>
      <c r="Y31" s="1463"/>
      <c r="Z31" s="1463"/>
      <c r="AA31" s="1476" t="s">
        <v>2188</v>
      </c>
      <c r="AB31" s="1477">
        <v>52</v>
      </c>
      <c r="AC31" s="693" t="s">
        <v>2189</v>
      </c>
      <c r="AD31" s="3830"/>
      <c r="AE31" s="3830"/>
      <c r="AF31" s="3830"/>
      <c r="AG31" s="3830"/>
      <c r="AH31" s="3830"/>
      <c r="AI31" s="3830"/>
      <c r="AJ31" s="3830"/>
      <c r="AK31" s="3830"/>
      <c r="AL31" s="3830"/>
      <c r="AM31" s="3830"/>
      <c r="AN31" s="3830"/>
      <c r="AO31" s="3830"/>
      <c r="AP31" s="3830"/>
      <c r="AQ31" s="3830"/>
      <c r="AR31" s="3830"/>
      <c r="AS31" s="3830"/>
      <c r="AT31" s="3830"/>
      <c r="AU31" s="3830"/>
      <c r="AV31" s="3830"/>
      <c r="AW31" s="3830"/>
      <c r="AX31" s="3830"/>
      <c r="AY31" s="3830"/>
      <c r="AZ31" s="3830"/>
      <c r="BA31" s="3830"/>
      <c r="BB31" s="3830"/>
      <c r="BC31" s="3830"/>
      <c r="BD31" s="3830"/>
      <c r="BE31" s="3830"/>
      <c r="BF31" s="3830"/>
      <c r="BG31" s="3830"/>
      <c r="BH31" s="3830"/>
      <c r="BI31" s="3830"/>
      <c r="BJ31" s="3423"/>
      <c r="BK31" s="3773"/>
      <c r="BL31" s="3773"/>
      <c r="BM31" s="3425"/>
      <c r="BN31" s="3423"/>
      <c r="BO31" s="3423"/>
      <c r="BP31" s="3423"/>
      <c r="BQ31" s="3766"/>
      <c r="BR31" s="3766"/>
      <c r="BS31" s="3766"/>
      <c r="BT31" s="3766"/>
      <c r="BU31" s="3769"/>
    </row>
    <row r="32" spans="1:73" s="759" customFormat="1" ht="37.5" customHeight="1" x14ac:dyDescent="0.25">
      <c r="A32" s="1441"/>
      <c r="B32" s="1442"/>
      <c r="C32" s="1441"/>
      <c r="D32" s="1442"/>
      <c r="E32" s="1453"/>
      <c r="F32" s="1453"/>
      <c r="G32" s="3476"/>
      <c r="H32" s="3214"/>
      <c r="I32" s="3476"/>
      <c r="J32" s="3214"/>
      <c r="K32" s="2502"/>
      <c r="L32" s="2771"/>
      <c r="M32" s="2502"/>
      <c r="N32" s="2771"/>
      <c r="O32" s="3828"/>
      <c r="P32" s="3517"/>
      <c r="Q32" s="2544"/>
      <c r="R32" s="3829"/>
      <c r="S32" s="3831"/>
      <c r="T32" s="3832"/>
      <c r="U32" s="3829"/>
      <c r="V32" s="3834"/>
      <c r="W32" s="3836"/>
      <c r="X32" s="1479">
        <f>3000000-3000000</f>
        <v>0</v>
      </c>
      <c r="Y32" s="1479"/>
      <c r="Z32" s="1479"/>
      <c r="AA32" s="693" t="s">
        <v>2200</v>
      </c>
      <c r="AB32" s="1461">
        <v>52</v>
      </c>
      <c r="AC32" s="708" t="s">
        <v>2189</v>
      </c>
      <c r="AD32" s="3423"/>
      <c r="AE32" s="3423"/>
      <c r="AF32" s="3423"/>
      <c r="AG32" s="3423"/>
      <c r="AH32" s="3423"/>
      <c r="AI32" s="3423"/>
      <c r="AJ32" s="3423"/>
      <c r="AK32" s="3423"/>
      <c r="AL32" s="3423"/>
      <c r="AM32" s="3423"/>
      <c r="AN32" s="3423"/>
      <c r="AO32" s="3423"/>
      <c r="AP32" s="3423"/>
      <c r="AQ32" s="3423"/>
      <c r="AR32" s="3423"/>
      <c r="AS32" s="3423"/>
      <c r="AT32" s="3423"/>
      <c r="AU32" s="3423"/>
      <c r="AV32" s="3423"/>
      <c r="AW32" s="3423"/>
      <c r="AX32" s="3423"/>
      <c r="AY32" s="3423"/>
      <c r="AZ32" s="3423"/>
      <c r="BA32" s="3423"/>
      <c r="BB32" s="3423"/>
      <c r="BC32" s="3423"/>
      <c r="BD32" s="3423"/>
      <c r="BE32" s="3423"/>
      <c r="BF32" s="3423"/>
      <c r="BG32" s="3423"/>
      <c r="BH32" s="3423"/>
      <c r="BI32" s="3423"/>
      <c r="BJ32" s="3423"/>
      <c r="BK32" s="3773"/>
      <c r="BL32" s="3773"/>
      <c r="BM32" s="3425"/>
      <c r="BN32" s="3423"/>
      <c r="BO32" s="3423"/>
      <c r="BP32" s="3423"/>
      <c r="BQ32" s="3766"/>
      <c r="BR32" s="3766"/>
      <c r="BS32" s="3766"/>
      <c r="BT32" s="3766"/>
      <c r="BU32" s="3769"/>
    </row>
    <row r="33" spans="1:73" s="759" customFormat="1" ht="58.5" customHeight="1" x14ac:dyDescent="0.25">
      <c r="A33" s="1441"/>
      <c r="B33" s="1442"/>
      <c r="C33" s="1441"/>
      <c r="D33" s="1442"/>
      <c r="E33" s="1453"/>
      <c r="F33" s="1453"/>
      <c r="G33" s="3476"/>
      <c r="H33" s="3214"/>
      <c r="I33" s="3476"/>
      <c r="J33" s="3214"/>
      <c r="K33" s="2502"/>
      <c r="L33" s="2771"/>
      <c r="M33" s="2502"/>
      <c r="N33" s="2771"/>
      <c r="O33" s="3828"/>
      <c r="P33" s="3517"/>
      <c r="Q33" s="2745"/>
      <c r="R33" s="3829"/>
      <c r="S33" s="3831"/>
      <c r="T33" s="3832"/>
      <c r="U33" s="3829"/>
      <c r="V33" s="3834"/>
      <c r="W33" s="3334"/>
      <c r="X33" s="1480">
        <v>24000000</v>
      </c>
      <c r="Y33" s="1480">
        <v>17142900</v>
      </c>
      <c r="Z33" s="1480">
        <v>17142900</v>
      </c>
      <c r="AA33" s="996" t="s">
        <v>2201</v>
      </c>
      <c r="AB33" s="1465">
        <v>52</v>
      </c>
      <c r="AC33" s="683" t="s">
        <v>2189</v>
      </c>
      <c r="AD33" s="3423"/>
      <c r="AE33" s="3423"/>
      <c r="AF33" s="3423"/>
      <c r="AG33" s="3423"/>
      <c r="AH33" s="3423"/>
      <c r="AI33" s="3423"/>
      <c r="AJ33" s="3423"/>
      <c r="AK33" s="3423"/>
      <c r="AL33" s="3423"/>
      <c r="AM33" s="3423"/>
      <c r="AN33" s="3423"/>
      <c r="AO33" s="3423"/>
      <c r="AP33" s="3423"/>
      <c r="AQ33" s="3423"/>
      <c r="AR33" s="3423"/>
      <c r="AS33" s="3423"/>
      <c r="AT33" s="3423"/>
      <c r="AU33" s="3423"/>
      <c r="AV33" s="3423"/>
      <c r="AW33" s="3423"/>
      <c r="AX33" s="3423"/>
      <c r="AY33" s="3423"/>
      <c r="AZ33" s="3423"/>
      <c r="BA33" s="3423"/>
      <c r="BB33" s="3423"/>
      <c r="BC33" s="3423"/>
      <c r="BD33" s="3423"/>
      <c r="BE33" s="3423"/>
      <c r="BF33" s="3423"/>
      <c r="BG33" s="3423"/>
      <c r="BH33" s="3423"/>
      <c r="BI33" s="3423"/>
      <c r="BJ33" s="3423"/>
      <c r="BK33" s="3773"/>
      <c r="BL33" s="3773"/>
      <c r="BM33" s="3425"/>
      <c r="BN33" s="3423"/>
      <c r="BO33" s="3423"/>
      <c r="BP33" s="3423"/>
      <c r="BQ33" s="3766"/>
      <c r="BR33" s="3766"/>
      <c r="BS33" s="3766"/>
      <c r="BT33" s="3766"/>
      <c r="BU33" s="3769"/>
    </row>
    <row r="34" spans="1:73" s="759" customFormat="1" ht="61.5" customHeight="1" x14ac:dyDescent="0.25">
      <c r="A34" s="1441"/>
      <c r="B34" s="1442"/>
      <c r="C34" s="1441"/>
      <c r="D34" s="1442"/>
      <c r="E34" s="1453"/>
      <c r="F34" s="1453"/>
      <c r="G34" s="3476"/>
      <c r="H34" s="3214"/>
      <c r="I34" s="3476"/>
      <c r="J34" s="3214"/>
      <c r="K34" s="2502"/>
      <c r="L34" s="2771"/>
      <c r="M34" s="2502"/>
      <c r="N34" s="2771"/>
      <c r="O34" s="3828"/>
      <c r="P34" s="3517"/>
      <c r="Q34" s="2745"/>
      <c r="R34" s="3829"/>
      <c r="S34" s="3831"/>
      <c r="T34" s="3832"/>
      <c r="U34" s="3829"/>
      <c r="V34" s="3835"/>
      <c r="W34" s="1481" t="s">
        <v>2202</v>
      </c>
      <c r="X34" s="1482">
        <v>15000000</v>
      </c>
      <c r="Y34" s="1482">
        <v>14996600</v>
      </c>
      <c r="Z34" s="1482">
        <v>14996600</v>
      </c>
      <c r="AA34" s="996" t="s">
        <v>2203</v>
      </c>
      <c r="AB34" s="1465">
        <v>52</v>
      </c>
      <c r="AC34" s="683" t="s">
        <v>2189</v>
      </c>
      <c r="AD34" s="3423"/>
      <c r="AE34" s="3423"/>
      <c r="AF34" s="3423"/>
      <c r="AG34" s="3423"/>
      <c r="AH34" s="3423"/>
      <c r="AI34" s="3423"/>
      <c r="AJ34" s="3423"/>
      <c r="AK34" s="3423"/>
      <c r="AL34" s="3423"/>
      <c r="AM34" s="3423"/>
      <c r="AN34" s="3423"/>
      <c r="AO34" s="3423"/>
      <c r="AP34" s="3423"/>
      <c r="AQ34" s="3423"/>
      <c r="AR34" s="3423"/>
      <c r="AS34" s="3423"/>
      <c r="AT34" s="3423"/>
      <c r="AU34" s="3423"/>
      <c r="AV34" s="3423"/>
      <c r="AW34" s="3423"/>
      <c r="AX34" s="3423"/>
      <c r="AY34" s="3423"/>
      <c r="AZ34" s="3423"/>
      <c r="BA34" s="3423"/>
      <c r="BB34" s="3423"/>
      <c r="BC34" s="3423"/>
      <c r="BD34" s="3423"/>
      <c r="BE34" s="3423"/>
      <c r="BF34" s="3423"/>
      <c r="BG34" s="3423"/>
      <c r="BH34" s="3423"/>
      <c r="BI34" s="3423"/>
      <c r="BJ34" s="3423"/>
      <c r="BK34" s="3773"/>
      <c r="BL34" s="3773"/>
      <c r="BM34" s="3425"/>
      <c r="BN34" s="3423"/>
      <c r="BO34" s="3423"/>
      <c r="BP34" s="3423"/>
      <c r="BQ34" s="3766"/>
      <c r="BR34" s="3766"/>
      <c r="BS34" s="3766"/>
      <c r="BT34" s="3766"/>
      <c r="BU34" s="3769"/>
    </row>
    <row r="35" spans="1:73" s="759" customFormat="1" ht="63.75" customHeight="1" x14ac:dyDescent="0.25">
      <c r="A35" s="1441"/>
      <c r="B35" s="1442"/>
      <c r="C35" s="1483"/>
      <c r="D35" s="1484"/>
      <c r="E35" s="1453"/>
      <c r="F35" s="1453"/>
      <c r="G35" s="3476"/>
      <c r="H35" s="3214"/>
      <c r="I35" s="3476"/>
      <c r="J35" s="3214"/>
      <c r="K35" s="2502"/>
      <c r="L35" s="2771"/>
      <c r="M35" s="2502"/>
      <c r="N35" s="2771"/>
      <c r="O35" s="3828"/>
      <c r="P35" s="3517"/>
      <c r="Q35" s="2745"/>
      <c r="R35" s="3829"/>
      <c r="S35" s="3831"/>
      <c r="T35" s="3832"/>
      <c r="U35" s="3829"/>
      <c r="V35" s="3835"/>
      <c r="W35" s="1481" t="s">
        <v>2204</v>
      </c>
      <c r="X35" s="1482">
        <v>18000000</v>
      </c>
      <c r="Y35" s="1482">
        <v>6470897.5099999998</v>
      </c>
      <c r="Z35" s="1482">
        <v>6470897.5099999998</v>
      </c>
      <c r="AA35" s="996" t="s">
        <v>2200</v>
      </c>
      <c r="AB35" s="1464">
        <v>52</v>
      </c>
      <c r="AC35" s="707" t="s">
        <v>2189</v>
      </c>
      <c r="AD35" s="3423"/>
      <c r="AE35" s="3423"/>
      <c r="AF35" s="3423"/>
      <c r="AG35" s="3423"/>
      <c r="AH35" s="3423"/>
      <c r="AI35" s="3423"/>
      <c r="AJ35" s="3423"/>
      <c r="AK35" s="3423"/>
      <c r="AL35" s="3423"/>
      <c r="AM35" s="3423"/>
      <c r="AN35" s="3423"/>
      <c r="AO35" s="3423"/>
      <c r="AP35" s="3423"/>
      <c r="AQ35" s="3423"/>
      <c r="AR35" s="3423"/>
      <c r="AS35" s="3423"/>
      <c r="AT35" s="3423"/>
      <c r="AU35" s="3423"/>
      <c r="AV35" s="3423"/>
      <c r="AW35" s="3423"/>
      <c r="AX35" s="3423"/>
      <c r="AY35" s="3423"/>
      <c r="AZ35" s="3423"/>
      <c r="BA35" s="3423"/>
      <c r="BB35" s="3423"/>
      <c r="BC35" s="3423"/>
      <c r="BD35" s="3423"/>
      <c r="BE35" s="3423"/>
      <c r="BF35" s="3423"/>
      <c r="BG35" s="3423"/>
      <c r="BH35" s="3423"/>
      <c r="BI35" s="3423"/>
      <c r="BJ35" s="3840"/>
      <c r="BK35" s="3843"/>
      <c r="BL35" s="3843"/>
      <c r="BM35" s="3844"/>
      <c r="BN35" s="3840"/>
      <c r="BO35" s="3840"/>
      <c r="BP35" s="3840"/>
      <c r="BQ35" s="3841"/>
      <c r="BR35" s="3841"/>
      <c r="BS35" s="3841"/>
      <c r="BT35" s="3841"/>
      <c r="BU35" s="3837"/>
    </row>
    <row r="36" spans="1:73" s="759" customFormat="1" ht="30" customHeight="1" x14ac:dyDescent="0.25">
      <c r="A36" s="1441"/>
      <c r="B36" s="1442"/>
      <c r="C36" s="176">
        <v>36</v>
      </c>
      <c r="D36" s="1485" t="s">
        <v>1508</v>
      </c>
      <c r="E36" s="1486"/>
      <c r="F36" s="1487"/>
      <c r="G36" s="1488"/>
      <c r="H36" s="1489"/>
      <c r="I36" s="1486"/>
      <c r="J36" s="1489"/>
      <c r="K36" s="1486"/>
      <c r="L36" s="1489"/>
      <c r="M36" s="1486"/>
      <c r="N36" s="1489"/>
      <c r="O36" s="1490"/>
      <c r="P36" s="1490"/>
      <c r="Q36" s="1486"/>
      <c r="R36" s="1489"/>
      <c r="S36" s="1491"/>
      <c r="T36" s="1492"/>
      <c r="U36" s="1489"/>
      <c r="V36" s="1493"/>
      <c r="W36" s="1494"/>
      <c r="X36" s="1494"/>
      <c r="Y36" s="1494"/>
      <c r="Z36" s="1494"/>
      <c r="AA36" s="1494"/>
      <c r="AB36" s="1495"/>
      <c r="AC36" s="1486"/>
      <c r="AD36" s="1495"/>
      <c r="AE36" s="1495"/>
      <c r="AF36" s="1495"/>
      <c r="AG36" s="1495"/>
      <c r="AH36" s="1495"/>
      <c r="AI36" s="1495"/>
      <c r="AJ36" s="1495"/>
      <c r="AK36" s="1495"/>
      <c r="AL36" s="1495"/>
      <c r="AM36" s="1495"/>
      <c r="AN36" s="1495"/>
      <c r="AO36" s="1495"/>
      <c r="AP36" s="1495"/>
      <c r="AQ36" s="1495"/>
      <c r="AR36" s="1495"/>
      <c r="AS36" s="1495"/>
      <c r="AT36" s="1495"/>
      <c r="AU36" s="1495"/>
      <c r="AV36" s="1495"/>
      <c r="AW36" s="1495"/>
      <c r="AX36" s="1495"/>
      <c r="AY36" s="1495"/>
      <c r="AZ36" s="1495"/>
      <c r="BA36" s="1495"/>
      <c r="BB36" s="1495"/>
      <c r="BC36" s="1495"/>
      <c r="BD36" s="1495"/>
      <c r="BE36" s="1495"/>
      <c r="BF36" s="1495"/>
      <c r="BG36" s="1495"/>
      <c r="BH36" s="1495"/>
      <c r="BI36" s="1495"/>
      <c r="BJ36" s="1495"/>
      <c r="BK36" s="1496"/>
      <c r="BL36" s="1496"/>
      <c r="BM36" s="1495"/>
      <c r="BN36" s="1495"/>
      <c r="BO36" s="1495"/>
      <c r="BP36" s="1495"/>
      <c r="BQ36" s="1497"/>
      <c r="BR36" s="1497"/>
      <c r="BS36" s="1497"/>
      <c r="BT36" s="1497"/>
      <c r="BU36" s="1498"/>
    </row>
    <row r="37" spans="1:73" s="759" customFormat="1" ht="27" customHeight="1" x14ac:dyDescent="0.25">
      <c r="A37" s="1499"/>
      <c r="B37" s="1500"/>
      <c r="C37" s="1501"/>
      <c r="D37" s="1502"/>
      <c r="E37" s="65">
        <v>3602</v>
      </c>
      <c r="F37" s="3222" t="s">
        <v>2205</v>
      </c>
      <c r="G37" s="3223"/>
      <c r="H37" s="3223"/>
      <c r="I37" s="3223"/>
      <c r="J37" s="3223"/>
      <c r="K37" s="3223"/>
      <c r="L37" s="3223"/>
      <c r="M37" s="3223"/>
      <c r="N37" s="3223"/>
      <c r="O37" s="3223"/>
      <c r="P37" s="3223"/>
      <c r="Q37" s="3223"/>
      <c r="R37" s="1089"/>
      <c r="S37" s="1446"/>
      <c r="T37" s="1503"/>
      <c r="U37" s="1089"/>
      <c r="V37" s="1089"/>
      <c r="W37" s="1089"/>
      <c r="X37" s="1089"/>
      <c r="Y37" s="1089"/>
      <c r="Z37" s="1089"/>
      <c r="AA37" s="1089"/>
      <c r="AB37" s="1450"/>
      <c r="AC37" s="263"/>
      <c r="AD37" s="1504"/>
      <c r="AE37" s="1504"/>
      <c r="AF37" s="1504"/>
      <c r="AG37" s="1504"/>
      <c r="AH37" s="1504"/>
      <c r="AI37" s="1504"/>
      <c r="AJ37" s="1504"/>
      <c r="AK37" s="1504"/>
      <c r="AL37" s="1504"/>
      <c r="AM37" s="1504"/>
      <c r="AN37" s="1504"/>
      <c r="AO37" s="1504"/>
      <c r="AP37" s="1504"/>
      <c r="AQ37" s="1504"/>
      <c r="AR37" s="1504"/>
      <c r="AS37" s="1504"/>
      <c r="AT37" s="1504"/>
      <c r="AU37" s="1504"/>
      <c r="AV37" s="1504"/>
      <c r="AW37" s="1504"/>
      <c r="AX37" s="1504"/>
      <c r="AY37" s="1504"/>
      <c r="AZ37" s="1504"/>
      <c r="BA37" s="1504"/>
      <c r="BB37" s="1504"/>
      <c r="BC37" s="1504"/>
      <c r="BD37" s="1504"/>
      <c r="BE37" s="1504"/>
      <c r="BF37" s="1504"/>
      <c r="BG37" s="1504"/>
      <c r="BH37" s="1504"/>
      <c r="BI37" s="1504"/>
      <c r="BJ37" s="1504"/>
      <c r="BK37" s="1505"/>
      <c r="BL37" s="1505"/>
      <c r="BM37" s="1504"/>
      <c r="BN37" s="1504"/>
      <c r="BO37" s="1504"/>
      <c r="BP37" s="1504"/>
      <c r="BQ37" s="1452"/>
      <c r="BR37" s="1452"/>
      <c r="BS37" s="1452"/>
      <c r="BT37" s="1452"/>
      <c r="BU37" s="65"/>
    </row>
    <row r="38" spans="1:73" ht="131.25" customHeight="1" x14ac:dyDescent="0.25">
      <c r="A38" s="1506"/>
      <c r="B38" s="1507"/>
      <c r="C38" s="1508"/>
      <c r="D38" s="1507"/>
      <c r="F38" s="1509"/>
      <c r="G38" s="708">
        <v>3602018</v>
      </c>
      <c r="H38" s="706" t="s">
        <v>2206</v>
      </c>
      <c r="I38" s="708">
        <v>3602018</v>
      </c>
      <c r="J38" s="706" t="s">
        <v>2206</v>
      </c>
      <c r="K38" s="1510" t="s">
        <v>2207</v>
      </c>
      <c r="L38" s="807" t="s">
        <v>2208</v>
      </c>
      <c r="M38" s="1510" t="s">
        <v>2207</v>
      </c>
      <c r="N38" s="807" t="s">
        <v>2208</v>
      </c>
      <c r="O38" s="2242">
        <v>3</v>
      </c>
      <c r="P38" s="1380">
        <v>0</v>
      </c>
      <c r="Q38" s="2510" t="s">
        <v>2209</v>
      </c>
      <c r="R38" s="3289" t="s">
        <v>2210</v>
      </c>
      <c r="S38" s="1511">
        <f>X38/T38</f>
        <v>0.28907368421052632</v>
      </c>
      <c r="T38" s="3838">
        <f>SUM(X38:X47)</f>
        <v>237500000</v>
      </c>
      <c r="U38" s="3313" t="s">
        <v>2211</v>
      </c>
      <c r="V38" s="718" t="s">
        <v>2212</v>
      </c>
      <c r="W38" s="718" t="s">
        <v>2213</v>
      </c>
      <c r="X38" s="1460">
        <f>120000000-24000000-27345000</f>
        <v>68655000</v>
      </c>
      <c r="Y38" s="1460">
        <v>68655000</v>
      </c>
      <c r="Z38" s="1460">
        <v>68655000</v>
      </c>
      <c r="AA38" s="693" t="s">
        <v>2214</v>
      </c>
      <c r="AB38" s="1461">
        <v>20</v>
      </c>
      <c r="AC38" s="708" t="s">
        <v>1</v>
      </c>
      <c r="AD38" s="3206">
        <v>2725</v>
      </c>
      <c r="AE38" s="3206">
        <v>1500</v>
      </c>
      <c r="AF38" s="3206">
        <v>2620</v>
      </c>
      <c r="AG38" s="3206">
        <v>1350</v>
      </c>
      <c r="AH38" s="3206"/>
      <c r="AI38" s="3206"/>
      <c r="AJ38" s="3206"/>
      <c r="AK38" s="3206"/>
      <c r="AL38" s="3206">
        <f>+AD38+AF38</f>
        <v>5345</v>
      </c>
      <c r="AM38" s="3206">
        <v>2840</v>
      </c>
      <c r="AN38" s="3206"/>
      <c r="AO38" s="3206"/>
      <c r="AP38" s="3206"/>
      <c r="AQ38" s="3206"/>
      <c r="AR38" s="3206"/>
      <c r="AS38" s="3206"/>
      <c r="AT38" s="3206"/>
      <c r="AU38" s="3206"/>
      <c r="AV38" s="3206"/>
      <c r="AW38" s="3206"/>
      <c r="AX38" s="3206"/>
      <c r="AY38" s="3206"/>
      <c r="AZ38" s="3206"/>
      <c r="BA38" s="3206"/>
      <c r="BB38" s="3206"/>
      <c r="BC38" s="3206"/>
      <c r="BD38" s="3206"/>
      <c r="BE38" s="3206"/>
      <c r="BF38" s="3206"/>
      <c r="BG38" s="3206"/>
      <c r="BH38" s="3206">
        <f>+AD38+AF38</f>
        <v>5345</v>
      </c>
      <c r="BI38" s="3206">
        <f>+AE38+AG38</f>
        <v>2850</v>
      </c>
      <c r="BJ38" s="3348">
        <v>12</v>
      </c>
      <c r="BK38" s="3846">
        <f>SUM(Y38:Y47)</f>
        <v>226517451</v>
      </c>
      <c r="BL38" s="3846">
        <f>SUM(Z38:Z47)</f>
        <v>226517451</v>
      </c>
      <c r="BM38" s="3849">
        <f>+BL38/BK38</f>
        <v>1</v>
      </c>
      <c r="BN38" s="3348">
        <v>20</v>
      </c>
      <c r="BO38" s="3348" t="s">
        <v>1</v>
      </c>
      <c r="BP38" s="3850" t="s">
        <v>2215</v>
      </c>
      <c r="BQ38" s="3765">
        <v>44242</v>
      </c>
      <c r="BR38" s="3765">
        <v>44265</v>
      </c>
      <c r="BS38" s="3765">
        <v>44540</v>
      </c>
      <c r="BT38" s="3765">
        <v>44551</v>
      </c>
      <c r="BU38" s="3768" t="s">
        <v>2141</v>
      </c>
    </row>
    <row r="39" spans="1:73" ht="99" customHeight="1" x14ac:dyDescent="0.25">
      <c r="A39" s="1506"/>
      <c r="B39" s="1507"/>
      <c r="C39" s="1508"/>
      <c r="D39" s="1507"/>
      <c r="G39" s="3398">
        <v>3602032</v>
      </c>
      <c r="H39" s="2680" t="s">
        <v>2216</v>
      </c>
      <c r="I39" s="3398">
        <v>3602032</v>
      </c>
      <c r="J39" s="2680" t="s">
        <v>2216</v>
      </c>
      <c r="K39" s="3845" t="s">
        <v>2217</v>
      </c>
      <c r="L39" s="2688" t="s">
        <v>2218</v>
      </c>
      <c r="M39" s="3845" t="s">
        <v>2217</v>
      </c>
      <c r="N39" s="2688" t="s">
        <v>2218</v>
      </c>
      <c r="O39" s="3780">
        <v>14</v>
      </c>
      <c r="P39" s="3781">
        <v>14</v>
      </c>
      <c r="Q39" s="2511"/>
      <c r="R39" s="3289"/>
      <c r="S39" s="3854">
        <f>SUM(X39:X40)/T38</f>
        <v>0.49892631578947366</v>
      </c>
      <c r="T39" s="3838"/>
      <c r="U39" s="3313"/>
      <c r="V39" s="2548" t="s">
        <v>2219</v>
      </c>
      <c r="W39" s="679" t="s">
        <v>2220</v>
      </c>
      <c r="X39" s="1463">
        <f>30000000+31150000</f>
        <v>61150000</v>
      </c>
      <c r="Y39" s="1463">
        <v>59352000</v>
      </c>
      <c r="Z39" s="1463">
        <v>59352000</v>
      </c>
      <c r="AA39" s="693" t="s">
        <v>2221</v>
      </c>
      <c r="AB39" s="1465">
        <v>20</v>
      </c>
      <c r="AC39" s="683" t="s">
        <v>1</v>
      </c>
      <c r="AD39" s="3206"/>
      <c r="AE39" s="3206"/>
      <c r="AF39" s="3206"/>
      <c r="AG39" s="3206"/>
      <c r="AH39" s="3206"/>
      <c r="AI39" s="3206"/>
      <c r="AJ39" s="3206"/>
      <c r="AK39" s="3206"/>
      <c r="AL39" s="3206"/>
      <c r="AM39" s="3206"/>
      <c r="AN39" s="3206"/>
      <c r="AO39" s="3206"/>
      <c r="AP39" s="3206"/>
      <c r="AQ39" s="3206"/>
      <c r="AR39" s="3206"/>
      <c r="AS39" s="3206"/>
      <c r="AT39" s="3206"/>
      <c r="AU39" s="3206"/>
      <c r="AV39" s="3206"/>
      <c r="AW39" s="3206"/>
      <c r="AX39" s="3206"/>
      <c r="AY39" s="3206"/>
      <c r="AZ39" s="3206"/>
      <c r="BA39" s="3206"/>
      <c r="BB39" s="3206"/>
      <c r="BC39" s="3206"/>
      <c r="BD39" s="3206"/>
      <c r="BE39" s="3206"/>
      <c r="BF39" s="3206"/>
      <c r="BG39" s="3206"/>
      <c r="BH39" s="3206"/>
      <c r="BI39" s="3206"/>
      <c r="BJ39" s="3206"/>
      <c r="BK39" s="3847"/>
      <c r="BL39" s="3847"/>
      <c r="BM39" s="3162"/>
      <c r="BN39" s="3206"/>
      <c r="BO39" s="3206"/>
      <c r="BP39" s="2502"/>
      <c r="BQ39" s="3766"/>
      <c r="BR39" s="3766"/>
      <c r="BS39" s="3766"/>
      <c r="BT39" s="3766"/>
      <c r="BU39" s="3769"/>
    </row>
    <row r="40" spans="1:73" ht="76.5" customHeight="1" x14ac:dyDescent="0.25">
      <c r="A40" s="1506"/>
      <c r="B40" s="1507"/>
      <c r="C40" s="1508"/>
      <c r="D40" s="1507"/>
      <c r="G40" s="3398"/>
      <c r="H40" s="2680"/>
      <c r="I40" s="3398"/>
      <c r="J40" s="2680"/>
      <c r="K40" s="3845"/>
      <c r="L40" s="2688"/>
      <c r="M40" s="3845"/>
      <c r="N40" s="2688"/>
      <c r="O40" s="3780"/>
      <c r="P40" s="3781"/>
      <c r="Q40" s="2511"/>
      <c r="R40" s="3289"/>
      <c r="S40" s="3855"/>
      <c r="T40" s="3838"/>
      <c r="U40" s="3313"/>
      <c r="V40" s="2548"/>
      <c r="W40" s="679" t="s">
        <v>2222</v>
      </c>
      <c r="X40" s="1463">
        <f>30000000+27345000</f>
        <v>57345000</v>
      </c>
      <c r="Y40" s="1463">
        <v>57345000</v>
      </c>
      <c r="Z40" s="1463">
        <v>57345000</v>
      </c>
      <c r="AA40" s="693" t="s">
        <v>2223</v>
      </c>
      <c r="AB40" s="1465">
        <v>20</v>
      </c>
      <c r="AC40" s="683" t="s">
        <v>1</v>
      </c>
      <c r="AD40" s="3206"/>
      <c r="AE40" s="3206"/>
      <c r="AF40" s="3206"/>
      <c r="AG40" s="3206"/>
      <c r="AH40" s="3206"/>
      <c r="AI40" s="3206"/>
      <c r="AJ40" s="3206"/>
      <c r="AK40" s="3206"/>
      <c r="AL40" s="3206"/>
      <c r="AM40" s="3206"/>
      <c r="AN40" s="3206"/>
      <c r="AO40" s="3206"/>
      <c r="AP40" s="3206"/>
      <c r="AQ40" s="3206"/>
      <c r="AR40" s="3206"/>
      <c r="AS40" s="3206"/>
      <c r="AT40" s="3206"/>
      <c r="AU40" s="3206"/>
      <c r="AV40" s="3206"/>
      <c r="AW40" s="3206"/>
      <c r="AX40" s="3206"/>
      <c r="AY40" s="3206"/>
      <c r="AZ40" s="3206"/>
      <c r="BA40" s="3206"/>
      <c r="BB40" s="3206"/>
      <c r="BC40" s="3206"/>
      <c r="BD40" s="3206"/>
      <c r="BE40" s="3206"/>
      <c r="BF40" s="3206"/>
      <c r="BG40" s="3206"/>
      <c r="BH40" s="3206"/>
      <c r="BI40" s="3206"/>
      <c r="BJ40" s="3206"/>
      <c r="BK40" s="3847"/>
      <c r="BL40" s="3847"/>
      <c r="BM40" s="3162"/>
      <c r="BN40" s="3206"/>
      <c r="BO40" s="3206"/>
      <c r="BP40" s="2502"/>
      <c r="BQ40" s="3766"/>
      <c r="BR40" s="3766"/>
      <c r="BS40" s="3766"/>
      <c r="BT40" s="3766"/>
      <c r="BU40" s="3769"/>
    </row>
    <row r="41" spans="1:73" ht="75.75" customHeight="1" x14ac:dyDescent="0.25">
      <c r="A41" s="1506"/>
      <c r="B41" s="1507"/>
      <c r="C41" s="1508"/>
      <c r="D41" s="1507"/>
      <c r="G41" s="3398">
        <v>3602029</v>
      </c>
      <c r="H41" s="2680" t="s">
        <v>2224</v>
      </c>
      <c r="I41" s="3398">
        <v>3602029</v>
      </c>
      <c r="J41" s="2680" t="s">
        <v>2224</v>
      </c>
      <c r="K41" s="3845">
        <v>360202904</v>
      </c>
      <c r="L41" s="2688" t="s">
        <v>2225</v>
      </c>
      <c r="M41" s="3845">
        <v>360202904</v>
      </c>
      <c r="N41" s="2688" t="s">
        <v>2225</v>
      </c>
      <c r="O41" s="3851">
        <v>12</v>
      </c>
      <c r="P41" s="2520">
        <v>12</v>
      </c>
      <c r="Q41" s="2511"/>
      <c r="R41" s="3289"/>
      <c r="S41" s="3854">
        <f>SUM(X41:X43)/T38</f>
        <v>9.4736842105263161E-2</v>
      </c>
      <c r="T41" s="3838"/>
      <c r="U41" s="3313"/>
      <c r="V41" s="2549" t="s">
        <v>2226</v>
      </c>
      <c r="W41" s="679" t="s">
        <v>2227</v>
      </c>
      <c r="X41" s="1463">
        <v>20000000</v>
      </c>
      <c r="Y41" s="1463">
        <v>20000000</v>
      </c>
      <c r="Z41" s="1463">
        <v>20000000</v>
      </c>
      <c r="AA41" s="693" t="s">
        <v>2228</v>
      </c>
      <c r="AB41" s="1465">
        <v>20</v>
      </c>
      <c r="AC41" s="683" t="s">
        <v>1</v>
      </c>
      <c r="AD41" s="3206"/>
      <c r="AE41" s="3206"/>
      <c r="AF41" s="3206"/>
      <c r="AG41" s="3206"/>
      <c r="AH41" s="3206"/>
      <c r="AI41" s="3206"/>
      <c r="AJ41" s="3206"/>
      <c r="AK41" s="3206"/>
      <c r="AL41" s="3206"/>
      <c r="AM41" s="3206"/>
      <c r="AN41" s="3206"/>
      <c r="AO41" s="3206"/>
      <c r="AP41" s="3206"/>
      <c r="AQ41" s="3206"/>
      <c r="AR41" s="3206"/>
      <c r="AS41" s="3206"/>
      <c r="AT41" s="3206"/>
      <c r="AU41" s="3206"/>
      <c r="AV41" s="3206"/>
      <c r="AW41" s="3206"/>
      <c r="AX41" s="3206"/>
      <c r="AY41" s="3206"/>
      <c r="AZ41" s="3206"/>
      <c r="BA41" s="3206"/>
      <c r="BB41" s="3206"/>
      <c r="BC41" s="3206"/>
      <c r="BD41" s="3206"/>
      <c r="BE41" s="3206"/>
      <c r="BF41" s="3206"/>
      <c r="BG41" s="3206"/>
      <c r="BH41" s="3206"/>
      <c r="BI41" s="3206"/>
      <c r="BJ41" s="3206"/>
      <c r="BK41" s="3847"/>
      <c r="BL41" s="3847"/>
      <c r="BM41" s="3162"/>
      <c r="BN41" s="3206"/>
      <c r="BO41" s="3206"/>
      <c r="BP41" s="2502"/>
      <c r="BQ41" s="3766"/>
      <c r="BR41" s="3766"/>
      <c r="BS41" s="3766"/>
      <c r="BT41" s="3766"/>
      <c r="BU41" s="3769"/>
    </row>
    <row r="42" spans="1:73" ht="72.75" customHeight="1" x14ac:dyDescent="0.25">
      <c r="A42" s="1506"/>
      <c r="B42" s="1507"/>
      <c r="C42" s="1508"/>
      <c r="D42" s="1507"/>
      <c r="G42" s="3398"/>
      <c r="H42" s="2680"/>
      <c r="I42" s="3398"/>
      <c r="J42" s="2680"/>
      <c r="K42" s="3845"/>
      <c r="L42" s="2688"/>
      <c r="M42" s="3845"/>
      <c r="N42" s="2688"/>
      <c r="O42" s="3852"/>
      <c r="P42" s="2521"/>
      <c r="Q42" s="2511"/>
      <c r="R42" s="3289"/>
      <c r="S42" s="3857"/>
      <c r="T42" s="3838"/>
      <c r="U42" s="3313"/>
      <c r="V42" s="2984"/>
      <c r="W42" s="3789" t="s">
        <v>2229</v>
      </c>
      <c r="X42" s="1463">
        <f>2500000-1500000</f>
        <v>1000000</v>
      </c>
      <c r="Y42" s="1463">
        <v>0</v>
      </c>
      <c r="Z42" s="1463">
        <v>0</v>
      </c>
      <c r="AA42" s="693" t="s">
        <v>2228</v>
      </c>
      <c r="AB42" s="1465">
        <v>20</v>
      </c>
      <c r="AC42" s="683" t="s">
        <v>1</v>
      </c>
      <c r="AD42" s="3206"/>
      <c r="AE42" s="3206"/>
      <c r="AF42" s="3206"/>
      <c r="AG42" s="3206"/>
      <c r="AH42" s="3206"/>
      <c r="AI42" s="3206"/>
      <c r="AJ42" s="3206"/>
      <c r="AK42" s="3206"/>
      <c r="AL42" s="3206"/>
      <c r="AM42" s="3206"/>
      <c r="AN42" s="3206"/>
      <c r="AO42" s="3206"/>
      <c r="AP42" s="3206"/>
      <c r="AQ42" s="3206"/>
      <c r="AR42" s="3206"/>
      <c r="AS42" s="3206"/>
      <c r="AT42" s="3206"/>
      <c r="AU42" s="3206"/>
      <c r="AV42" s="3206"/>
      <c r="AW42" s="3206"/>
      <c r="AX42" s="3206"/>
      <c r="AY42" s="3206"/>
      <c r="AZ42" s="3206"/>
      <c r="BA42" s="3206"/>
      <c r="BB42" s="3206"/>
      <c r="BC42" s="3206"/>
      <c r="BD42" s="3206"/>
      <c r="BE42" s="3206"/>
      <c r="BF42" s="3206"/>
      <c r="BG42" s="3206"/>
      <c r="BH42" s="3206"/>
      <c r="BI42" s="3206"/>
      <c r="BJ42" s="3206"/>
      <c r="BK42" s="3847"/>
      <c r="BL42" s="3847"/>
      <c r="BM42" s="3162"/>
      <c r="BN42" s="3206"/>
      <c r="BO42" s="3206"/>
      <c r="BP42" s="2502"/>
      <c r="BQ42" s="3766"/>
      <c r="BR42" s="3766"/>
      <c r="BS42" s="3766"/>
      <c r="BT42" s="3766"/>
      <c r="BU42" s="3769"/>
    </row>
    <row r="43" spans="1:73" ht="72.75" customHeight="1" x14ac:dyDescent="0.25">
      <c r="A43" s="1506"/>
      <c r="B43" s="1507"/>
      <c r="C43" s="1508"/>
      <c r="D43" s="1507"/>
      <c r="G43" s="3398"/>
      <c r="H43" s="2680"/>
      <c r="I43" s="3398"/>
      <c r="J43" s="2680"/>
      <c r="K43" s="3845"/>
      <c r="L43" s="2688"/>
      <c r="M43" s="3845"/>
      <c r="N43" s="2688"/>
      <c r="O43" s="3853"/>
      <c r="P43" s="3858"/>
      <c r="Q43" s="2511"/>
      <c r="R43" s="3289"/>
      <c r="S43" s="3855"/>
      <c r="T43" s="3838"/>
      <c r="U43" s="3313"/>
      <c r="V43" s="2678"/>
      <c r="W43" s="3790"/>
      <c r="X43" s="1463">
        <v>1500000</v>
      </c>
      <c r="Y43" s="1463"/>
      <c r="Z43" s="1463"/>
      <c r="AA43" s="693" t="s">
        <v>2230</v>
      </c>
      <c r="AB43" s="1465">
        <v>20</v>
      </c>
      <c r="AC43" s="683" t="s">
        <v>1</v>
      </c>
      <c r="AD43" s="3206"/>
      <c r="AE43" s="3206"/>
      <c r="AF43" s="3206"/>
      <c r="AG43" s="3206"/>
      <c r="AH43" s="3206"/>
      <c r="AI43" s="3206"/>
      <c r="AJ43" s="3206"/>
      <c r="AK43" s="3206"/>
      <c r="AL43" s="3206"/>
      <c r="AM43" s="3206"/>
      <c r="AN43" s="3206"/>
      <c r="AO43" s="3206"/>
      <c r="AP43" s="3206"/>
      <c r="AQ43" s="3206"/>
      <c r="AR43" s="3206"/>
      <c r="AS43" s="3206"/>
      <c r="AT43" s="3206"/>
      <c r="AU43" s="3206"/>
      <c r="AV43" s="3206"/>
      <c r="AW43" s="3206"/>
      <c r="AX43" s="3206"/>
      <c r="AY43" s="3206"/>
      <c r="AZ43" s="3206"/>
      <c r="BA43" s="3206"/>
      <c r="BB43" s="3206"/>
      <c r="BC43" s="3206"/>
      <c r="BD43" s="3206"/>
      <c r="BE43" s="3206"/>
      <c r="BF43" s="3206"/>
      <c r="BG43" s="3206"/>
      <c r="BH43" s="3206"/>
      <c r="BI43" s="3206"/>
      <c r="BJ43" s="3206"/>
      <c r="BK43" s="3847"/>
      <c r="BL43" s="3847"/>
      <c r="BM43" s="3162"/>
      <c r="BN43" s="3206"/>
      <c r="BO43" s="3206"/>
      <c r="BP43" s="2502"/>
      <c r="BQ43" s="3766"/>
      <c r="BR43" s="3766"/>
      <c r="BS43" s="3766"/>
      <c r="BT43" s="3766"/>
      <c r="BU43" s="3769"/>
    </row>
    <row r="44" spans="1:73" ht="79.5" customHeight="1" x14ac:dyDescent="0.25">
      <c r="A44" s="1506"/>
      <c r="B44" s="1507"/>
      <c r="C44" s="1508"/>
      <c r="D44" s="1507"/>
      <c r="G44" s="3212">
        <v>3602030</v>
      </c>
      <c r="H44" s="3214" t="s">
        <v>2231</v>
      </c>
      <c r="I44" s="3212">
        <v>3602030</v>
      </c>
      <c r="J44" s="3214" t="s">
        <v>2231</v>
      </c>
      <c r="K44" s="3322" t="s">
        <v>2232</v>
      </c>
      <c r="L44" s="3778" t="s">
        <v>2233</v>
      </c>
      <c r="M44" s="3322" t="s">
        <v>2232</v>
      </c>
      <c r="N44" s="3778" t="s">
        <v>2233</v>
      </c>
      <c r="O44" s="3780">
        <v>3</v>
      </c>
      <c r="P44" s="3281">
        <v>3</v>
      </c>
      <c r="Q44" s="2511"/>
      <c r="R44" s="3289"/>
      <c r="S44" s="3854">
        <f>SUM(X44:X47)/T38</f>
        <v>0.11726315789473685</v>
      </c>
      <c r="T44" s="3838"/>
      <c r="U44" s="3313"/>
      <c r="V44" s="2548" t="s">
        <v>2234</v>
      </c>
      <c r="W44" s="679" t="s">
        <v>2235</v>
      </c>
      <c r="X44" s="1463">
        <v>22500000</v>
      </c>
      <c r="Y44" s="1463">
        <v>21165451</v>
      </c>
      <c r="Z44" s="1463">
        <v>21165451</v>
      </c>
      <c r="AA44" s="693" t="s">
        <v>2236</v>
      </c>
      <c r="AB44" s="1465">
        <v>20</v>
      </c>
      <c r="AC44" s="683" t="s">
        <v>1</v>
      </c>
      <c r="AD44" s="3206"/>
      <c r="AE44" s="3206"/>
      <c r="AF44" s="3206"/>
      <c r="AG44" s="3206"/>
      <c r="AH44" s="3206"/>
      <c r="AI44" s="3206"/>
      <c r="AJ44" s="3206"/>
      <c r="AK44" s="3206"/>
      <c r="AL44" s="3206"/>
      <c r="AM44" s="3206"/>
      <c r="AN44" s="3206"/>
      <c r="AO44" s="3206"/>
      <c r="AP44" s="3206"/>
      <c r="AQ44" s="3206"/>
      <c r="AR44" s="3206"/>
      <c r="AS44" s="3206"/>
      <c r="AT44" s="3206"/>
      <c r="AU44" s="3206"/>
      <c r="AV44" s="3206"/>
      <c r="AW44" s="3206"/>
      <c r="AX44" s="3206"/>
      <c r="AY44" s="3206"/>
      <c r="AZ44" s="3206"/>
      <c r="BA44" s="3206"/>
      <c r="BB44" s="3206"/>
      <c r="BC44" s="3206"/>
      <c r="BD44" s="3206"/>
      <c r="BE44" s="3206"/>
      <c r="BF44" s="3206"/>
      <c r="BG44" s="3206"/>
      <c r="BH44" s="3206"/>
      <c r="BI44" s="3206"/>
      <c r="BJ44" s="3206"/>
      <c r="BK44" s="3847"/>
      <c r="BL44" s="3847"/>
      <c r="BM44" s="3162"/>
      <c r="BN44" s="3206"/>
      <c r="BO44" s="3206"/>
      <c r="BP44" s="2502"/>
      <c r="BQ44" s="3766"/>
      <c r="BR44" s="3766"/>
      <c r="BS44" s="3766"/>
      <c r="BT44" s="3766"/>
      <c r="BU44" s="3769"/>
    </row>
    <row r="45" spans="1:73" ht="65.25" customHeight="1" x14ac:dyDescent="0.25">
      <c r="A45" s="1506"/>
      <c r="B45" s="1507"/>
      <c r="C45" s="1508"/>
      <c r="D45" s="1507"/>
      <c r="G45" s="3213"/>
      <c r="H45" s="3214"/>
      <c r="I45" s="3213"/>
      <c r="J45" s="3214"/>
      <c r="K45" s="3322"/>
      <c r="L45" s="3778"/>
      <c r="M45" s="3322"/>
      <c r="N45" s="3778"/>
      <c r="O45" s="3780"/>
      <c r="P45" s="3281"/>
      <c r="Q45" s="2511"/>
      <c r="R45" s="3289"/>
      <c r="S45" s="3857"/>
      <c r="T45" s="3838"/>
      <c r="U45" s="3313"/>
      <c r="V45" s="2548"/>
      <c r="W45" s="679" t="s">
        <v>2237</v>
      </c>
      <c r="X45" s="1463">
        <f>10000000-7150000</f>
        <v>2850000</v>
      </c>
      <c r="Y45" s="1463">
        <v>0</v>
      </c>
      <c r="Z45" s="1463">
        <v>0</v>
      </c>
      <c r="AA45" s="693" t="s">
        <v>2236</v>
      </c>
      <c r="AB45" s="1465">
        <v>20</v>
      </c>
      <c r="AC45" s="683" t="s">
        <v>1</v>
      </c>
      <c r="AD45" s="3206"/>
      <c r="AE45" s="3206"/>
      <c r="AF45" s="3206"/>
      <c r="AG45" s="3206"/>
      <c r="AH45" s="3206"/>
      <c r="AI45" s="3206"/>
      <c r="AJ45" s="3206"/>
      <c r="AK45" s="3206"/>
      <c r="AL45" s="3206"/>
      <c r="AM45" s="3206"/>
      <c r="AN45" s="3206"/>
      <c r="AO45" s="3206"/>
      <c r="AP45" s="3206"/>
      <c r="AQ45" s="3206"/>
      <c r="AR45" s="3206"/>
      <c r="AS45" s="3206"/>
      <c r="AT45" s="3206"/>
      <c r="AU45" s="3206"/>
      <c r="AV45" s="3206"/>
      <c r="AW45" s="3206"/>
      <c r="AX45" s="3206"/>
      <c r="AY45" s="3206"/>
      <c r="AZ45" s="3206"/>
      <c r="BA45" s="3206"/>
      <c r="BB45" s="3206"/>
      <c r="BC45" s="3206"/>
      <c r="BD45" s="3206"/>
      <c r="BE45" s="3206"/>
      <c r="BF45" s="3206"/>
      <c r="BG45" s="3206"/>
      <c r="BH45" s="3206"/>
      <c r="BI45" s="3206"/>
      <c r="BJ45" s="3206"/>
      <c r="BK45" s="3847"/>
      <c r="BL45" s="3847"/>
      <c r="BM45" s="3162"/>
      <c r="BN45" s="3206"/>
      <c r="BO45" s="3206"/>
      <c r="BP45" s="2502"/>
      <c r="BQ45" s="3766"/>
      <c r="BR45" s="3766"/>
      <c r="BS45" s="3766"/>
      <c r="BT45" s="3766"/>
      <c r="BU45" s="3769"/>
    </row>
    <row r="46" spans="1:73" ht="45" customHeight="1" x14ac:dyDescent="0.25">
      <c r="A46" s="1506"/>
      <c r="B46" s="1507"/>
      <c r="C46" s="1508"/>
      <c r="D46" s="1507"/>
      <c r="G46" s="3400"/>
      <c r="H46" s="3214"/>
      <c r="I46" s="3400"/>
      <c r="J46" s="3214"/>
      <c r="K46" s="3322"/>
      <c r="L46" s="3778"/>
      <c r="M46" s="3322"/>
      <c r="N46" s="3778"/>
      <c r="O46" s="3851"/>
      <c r="P46" s="3856"/>
      <c r="Q46" s="2512"/>
      <c r="R46" s="3289"/>
      <c r="S46" s="3857"/>
      <c r="T46" s="3838"/>
      <c r="U46" s="3313"/>
      <c r="V46" s="2548"/>
      <c r="W46" s="3789" t="s">
        <v>2238</v>
      </c>
      <c r="X46" s="1479">
        <f>2500000-1500000</f>
        <v>1000000</v>
      </c>
      <c r="Y46" s="1479">
        <v>0</v>
      </c>
      <c r="Z46" s="1479">
        <v>0</v>
      </c>
      <c r="AA46" s="693" t="s">
        <v>2236</v>
      </c>
      <c r="AB46" s="1465">
        <v>20</v>
      </c>
      <c r="AC46" s="683" t="s">
        <v>1</v>
      </c>
      <c r="AD46" s="3206"/>
      <c r="AE46" s="3206"/>
      <c r="AF46" s="3206"/>
      <c r="AG46" s="3206"/>
      <c r="AH46" s="3206"/>
      <c r="AI46" s="3206"/>
      <c r="AJ46" s="3206"/>
      <c r="AK46" s="3206"/>
      <c r="AL46" s="3206"/>
      <c r="AM46" s="3206"/>
      <c r="AN46" s="3206"/>
      <c r="AO46" s="3206"/>
      <c r="AP46" s="3206"/>
      <c r="AQ46" s="3206"/>
      <c r="AR46" s="3206"/>
      <c r="AS46" s="3206"/>
      <c r="AT46" s="3206"/>
      <c r="AU46" s="3206"/>
      <c r="AV46" s="3206"/>
      <c r="AW46" s="3206"/>
      <c r="AX46" s="3206"/>
      <c r="AY46" s="3206"/>
      <c r="AZ46" s="3206"/>
      <c r="BA46" s="3206"/>
      <c r="BB46" s="3206"/>
      <c r="BC46" s="3206"/>
      <c r="BD46" s="3206"/>
      <c r="BE46" s="3206"/>
      <c r="BF46" s="3206"/>
      <c r="BG46" s="3206"/>
      <c r="BH46" s="3206"/>
      <c r="BI46" s="3206"/>
      <c r="BJ46" s="3206"/>
      <c r="BK46" s="3847"/>
      <c r="BL46" s="3847"/>
      <c r="BM46" s="3162"/>
      <c r="BN46" s="3206"/>
      <c r="BO46" s="3206"/>
      <c r="BP46" s="2502"/>
      <c r="BQ46" s="3766"/>
      <c r="BR46" s="3766"/>
      <c r="BS46" s="3766"/>
      <c r="BT46" s="3766"/>
      <c r="BU46" s="3769"/>
    </row>
    <row r="47" spans="1:73" ht="45" customHeight="1" x14ac:dyDescent="0.25">
      <c r="A47" s="1216"/>
      <c r="B47" s="1219"/>
      <c r="C47" s="1218"/>
      <c r="D47" s="1219"/>
      <c r="G47" s="3400"/>
      <c r="H47" s="3214"/>
      <c r="I47" s="3400"/>
      <c r="J47" s="3214"/>
      <c r="K47" s="3322"/>
      <c r="L47" s="3778"/>
      <c r="M47" s="3322"/>
      <c r="N47" s="3778"/>
      <c r="O47" s="3851"/>
      <c r="P47" s="3856"/>
      <c r="Q47" s="2512"/>
      <c r="R47" s="3289"/>
      <c r="S47" s="3857"/>
      <c r="T47" s="3839"/>
      <c r="U47" s="3312"/>
      <c r="V47" s="2548"/>
      <c r="W47" s="3790"/>
      <c r="X47" s="1479">
        <v>1500000</v>
      </c>
      <c r="Y47" s="1479">
        <v>0</v>
      </c>
      <c r="Z47" s="1479">
        <v>0</v>
      </c>
      <c r="AA47" s="693" t="s">
        <v>2239</v>
      </c>
      <c r="AB47" s="1465">
        <v>20</v>
      </c>
      <c r="AC47" s="683" t="s">
        <v>1</v>
      </c>
      <c r="AD47" s="3207"/>
      <c r="AE47" s="3207"/>
      <c r="AF47" s="3207"/>
      <c r="AG47" s="3207"/>
      <c r="AH47" s="3207"/>
      <c r="AI47" s="3207"/>
      <c r="AJ47" s="3207"/>
      <c r="AK47" s="3207"/>
      <c r="AL47" s="3207"/>
      <c r="AM47" s="3207"/>
      <c r="AN47" s="3207"/>
      <c r="AO47" s="3207"/>
      <c r="AP47" s="3207"/>
      <c r="AQ47" s="3207"/>
      <c r="AR47" s="3207"/>
      <c r="AS47" s="3207"/>
      <c r="AT47" s="3207"/>
      <c r="AU47" s="3207"/>
      <c r="AV47" s="3207"/>
      <c r="AW47" s="3207"/>
      <c r="AX47" s="3207"/>
      <c r="AY47" s="3207"/>
      <c r="AZ47" s="3207"/>
      <c r="BA47" s="3207"/>
      <c r="BB47" s="3207"/>
      <c r="BC47" s="3207"/>
      <c r="BD47" s="3207"/>
      <c r="BE47" s="3207"/>
      <c r="BF47" s="3207"/>
      <c r="BG47" s="3207"/>
      <c r="BH47" s="3207"/>
      <c r="BI47" s="3207"/>
      <c r="BJ47" s="3207"/>
      <c r="BK47" s="3848"/>
      <c r="BL47" s="3848"/>
      <c r="BM47" s="3163"/>
      <c r="BN47" s="3207"/>
      <c r="BO47" s="3207"/>
      <c r="BP47" s="2770"/>
      <c r="BQ47" s="3767"/>
      <c r="BR47" s="3767"/>
      <c r="BS47" s="3767"/>
      <c r="BT47" s="3767"/>
      <c r="BU47" s="3770"/>
    </row>
    <row r="48" spans="1:73" ht="33" customHeight="1" x14ac:dyDescent="0.25">
      <c r="A48" s="1513"/>
      <c r="B48" s="1514"/>
      <c r="C48" s="1514"/>
      <c r="D48" s="1514"/>
      <c r="E48" s="1514"/>
      <c r="F48" s="1514"/>
      <c r="G48" s="1514"/>
      <c r="H48" s="1515"/>
      <c r="I48" s="1514"/>
      <c r="J48" s="1515"/>
      <c r="K48" s="1514"/>
      <c r="L48" s="1515"/>
      <c r="M48" s="1514"/>
      <c r="N48" s="1515"/>
      <c r="O48" s="1514"/>
      <c r="P48" s="1514"/>
      <c r="Q48" s="1514"/>
      <c r="R48" s="1515"/>
      <c r="S48" s="1516"/>
      <c r="T48" s="1517">
        <f>SUM(T10:T47)</f>
        <v>3556587709.6100001</v>
      </c>
      <c r="U48" s="1518"/>
      <c r="V48" s="1519"/>
      <c r="W48" s="1520" t="s">
        <v>2240</v>
      </c>
      <c r="X48" s="1521">
        <f>SUM(X10:X47)</f>
        <v>3556587709.6100001</v>
      </c>
      <c r="Y48" s="1521">
        <f>SUM(Y10:Y47)</f>
        <v>2928955045.5100002</v>
      </c>
      <c r="Z48" s="1521">
        <f>SUM(Z10:Z47)</f>
        <v>2928955045.5100002</v>
      </c>
      <c r="AA48" s="1522"/>
      <c r="AB48" s="1523"/>
      <c r="AC48" s="1524"/>
      <c r="AD48" s="1524"/>
      <c r="AE48" s="1524"/>
      <c r="AF48" s="1524"/>
      <c r="AG48" s="1524"/>
      <c r="AH48" s="1524"/>
      <c r="AI48" s="1524"/>
      <c r="AJ48" s="1524"/>
      <c r="AK48" s="1524"/>
      <c r="AL48" s="1524"/>
      <c r="AM48" s="1524"/>
      <c r="AN48" s="1524"/>
      <c r="AO48" s="1524"/>
      <c r="AP48" s="1524"/>
      <c r="AQ48" s="1524"/>
      <c r="AR48" s="1524"/>
      <c r="AS48" s="1524"/>
      <c r="AT48" s="1524"/>
      <c r="AU48" s="1524"/>
      <c r="AV48" s="1524"/>
      <c r="AW48" s="1524"/>
      <c r="AX48" s="1524"/>
      <c r="AY48" s="1524"/>
      <c r="AZ48" s="1524"/>
      <c r="BA48" s="1524"/>
      <c r="BB48" s="1524"/>
      <c r="BC48" s="1524"/>
      <c r="BD48" s="1524"/>
      <c r="BE48" s="1524"/>
      <c r="BF48" s="1524"/>
      <c r="BG48" s="1524"/>
      <c r="BH48" s="1524"/>
      <c r="BI48" s="1524"/>
      <c r="BJ48" s="1524"/>
      <c r="BK48" s="1525">
        <f>+BK13+BK17+BK21+BK27+BK38</f>
        <v>2928955045.5100002</v>
      </c>
      <c r="BL48" s="1525">
        <f>+BL13+BL17+BL21+BL27+BL38</f>
        <v>2928955045.5100002</v>
      </c>
      <c r="BM48" s="1524"/>
      <c r="BN48" s="1524"/>
      <c r="BO48" s="1524"/>
      <c r="BP48" s="1524"/>
      <c r="BQ48" s="1526"/>
      <c r="BR48" s="1526"/>
      <c r="BS48" s="1526"/>
      <c r="BT48" s="1526"/>
      <c r="BU48" s="1527"/>
    </row>
  </sheetData>
  <mergeCells count="417">
    <mergeCell ref="W46:W47"/>
    <mergeCell ref="M44:M47"/>
    <mergeCell ref="N44:N47"/>
    <mergeCell ref="O44:O47"/>
    <mergeCell ref="P44:P47"/>
    <mergeCell ref="S44:S47"/>
    <mergeCell ref="V44:V47"/>
    <mergeCell ref="P41:P43"/>
    <mergeCell ref="S41:S43"/>
    <mergeCell ref="V41:V43"/>
    <mergeCell ref="W42:W43"/>
    <mergeCell ref="G44:G47"/>
    <mergeCell ref="H44:H47"/>
    <mergeCell ref="I44:I47"/>
    <mergeCell ref="J44:J47"/>
    <mergeCell ref="K44:K47"/>
    <mergeCell ref="L44:L47"/>
    <mergeCell ref="V39:V40"/>
    <mergeCell ref="G41:G43"/>
    <mergeCell ref="H41:H43"/>
    <mergeCell ref="I41:I43"/>
    <mergeCell ref="J41:J43"/>
    <mergeCell ref="K41:K43"/>
    <mergeCell ref="L41:L43"/>
    <mergeCell ref="M41:M43"/>
    <mergeCell ref="N41:N43"/>
    <mergeCell ref="O41:O43"/>
    <mergeCell ref="L39:L40"/>
    <mergeCell ref="M39:M40"/>
    <mergeCell ref="N39:N40"/>
    <mergeCell ref="O39:O40"/>
    <mergeCell ref="P39:P40"/>
    <mergeCell ref="S39:S40"/>
    <mergeCell ref="BQ38:BQ47"/>
    <mergeCell ref="BR38:BR47"/>
    <mergeCell ref="BS38:BS47"/>
    <mergeCell ref="BT38:BT47"/>
    <mergeCell ref="BU38:BU47"/>
    <mergeCell ref="G39:G40"/>
    <mergeCell ref="H39:H40"/>
    <mergeCell ref="I39:I40"/>
    <mergeCell ref="J39:J40"/>
    <mergeCell ref="K39:K40"/>
    <mergeCell ref="BK38:BK47"/>
    <mergeCell ref="BL38:BL47"/>
    <mergeCell ref="BM38:BM47"/>
    <mergeCell ref="BN38:BN47"/>
    <mergeCell ref="BO38:BO47"/>
    <mergeCell ref="BP38:BP47"/>
    <mergeCell ref="BE38:BE47"/>
    <mergeCell ref="BF38:BF47"/>
    <mergeCell ref="BG38:BG47"/>
    <mergeCell ref="BH38:BH47"/>
    <mergeCell ref="BI38:BI47"/>
    <mergeCell ref="BJ38:BJ47"/>
    <mergeCell ref="AY38:AY47"/>
    <mergeCell ref="AZ38:AZ47"/>
    <mergeCell ref="BA38:BA47"/>
    <mergeCell ref="BB38:BB47"/>
    <mergeCell ref="BC38:BC47"/>
    <mergeCell ref="BD38:BD47"/>
    <mergeCell ref="AS38:AS47"/>
    <mergeCell ref="AT38:AT47"/>
    <mergeCell ref="AU38:AU47"/>
    <mergeCell ref="AV38:AV47"/>
    <mergeCell ref="AW38:AW47"/>
    <mergeCell ref="AX38:AX47"/>
    <mergeCell ref="AM38:AM47"/>
    <mergeCell ref="AN38:AN47"/>
    <mergeCell ref="AO38:AO47"/>
    <mergeCell ref="AP38:AP47"/>
    <mergeCell ref="AQ38:AQ47"/>
    <mergeCell ref="AR38:AR47"/>
    <mergeCell ref="AG38:AG47"/>
    <mergeCell ref="AH38:AH47"/>
    <mergeCell ref="AI38:AI47"/>
    <mergeCell ref="AJ38:AJ47"/>
    <mergeCell ref="AK38:AK47"/>
    <mergeCell ref="AL38:AL47"/>
    <mergeCell ref="BU27:BU35"/>
    <mergeCell ref="W31:W33"/>
    <mergeCell ref="F37:Q37"/>
    <mergeCell ref="Q38:Q47"/>
    <mergeCell ref="R38:R47"/>
    <mergeCell ref="T38:T47"/>
    <mergeCell ref="U38:U47"/>
    <mergeCell ref="AD38:AD47"/>
    <mergeCell ref="AE38:AE47"/>
    <mergeCell ref="AF38:AF47"/>
    <mergeCell ref="BO27:BO35"/>
    <mergeCell ref="BP27:BP35"/>
    <mergeCell ref="BQ27:BQ35"/>
    <mergeCell ref="BR27:BR35"/>
    <mergeCell ref="BS27:BS35"/>
    <mergeCell ref="BT27:BT35"/>
    <mergeCell ref="BI27:BI35"/>
    <mergeCell ref="BJ27:BJ35"/>
    <mergeCell ref="BK27:BK35"/>
    <mergeCell ref="BL27:BL35"/>
    <mergeCell ref="BM27:BM35"/>
    <mergeCell ref="BN27:BN35"/>
    <mergeCell ref="BC27:BC35"/>
    <mergeCell ref="BD27:BD35"/>
    <mergeCell ref="BE27:BE35"/>
    <mergeCell ref="BF27:BF35"/>
    <mergeCell ref="BG27:BG35"/>
    <mergeCell ref="BH27:BH35"/>
    <mergeCell ref="AW27:AW35"/>
    <mergeCell ref="AX27:AX35"/>
    <mergeCell ref="AY27:AY35"/>
    <mergeCell ref="AZ27:AZ35"/>
    <mergeCell ref="BA27:BA35"/>
    <mergeCell ref="BB27:BB35"/>
    <mergeCell ref="AQ27:AQ35"/>
    <mergeCell ref="AR27:AR35"/>
    <mergeCell ref="AS27:AS35"/>
    <mergeCell ref="AT27:AT35"/>
    <mergeCell ref="AU27:AU35"/>
    <mergeCell ref="AV27:AV35"/>
    <mergeCell ref="AK27:AK35"/>
    <mergeCell ref="AL27:AL35"/>
    <mergeCell ref="AM27:AM35"/>
    <mergeCell ref="AN27:AN35"/>
    <mergeCell ref="AO27:AO35"/>
    <mergeCell ref="AP27:AP35"/>
    <mergeCell ref="AE27:AE35"/>
    <mergeCell ref="AF27:AF35"/>
    <mergeCell ref="AG27:AG35"/>
    <mergeCell ref="AH27:AH35"/>
    <mergeCell ref="AI27:AI35"/>
    <mergeCell ref="AJ27:AJ35"/>
    <mergeCell ref="S27:S35"/>
    <mergeCell ref="T27:T35"/>
    <mergeCell ref="U27:U35"/>
    <mergeCell ref="V27:V35"/>
    <mergeCell ref="W27:W29"/>
    <mergeCell ref="AD27:AD35"/>
    <mergeCell ref="M27:M35"/>
    <mergeCell ref="N27:N35"/>
    <mergeCell ref="O27:O35"/>
    <mergeCell ref="P27:P35"/>
    <mergeCell ref="Q27:Q35"/>
    <mergeCell ref="R27:R35"/>
    <mergeCell ref="G27:G35"/>
    <mergeCell ref="H27:H35"/>
    <mergeCell ref="I27:I35"/>
    <mergeCell ref="J27:J35"/>
    <mergeCell ref="K27:K35"/>
    <mergeCell ref="L27:L35"/>
    <mergeCell ref="BU21:BU26"/>
    <mergeCell ref="G24:G26"/>
    <mergeCell ref="H24:H26"/>
    <mergeCell ref="I24:I26"/>
    <mergeCell ref="J24:J26"/>
    <mergeCell ref="K24:K26"/>
    <mergeCell ref="L24:L26"/>
    <mergeCell ref="M24:M26"/>
    <mergeCell ref="N24:N26"/>
    <mergeCell ref="O24:O26"/>
    <mergeCell ref="BO21:BO26"/>
    <mergeCell ref="BP21:BP26"/>
    <mergeCell ref="BQ21:BQ26"/>
    <mergeCell ref="BR21:BR26"/>
    <mergeCell ref="BS21:BS26"/>
    <mergeCell ref="BT21:BT26"/>
    <mergeCell ref="BI21:BI26"/>
    <mergeCell ref="BJ21:BJ26"/>
    <mergeCell ref="BK21:BK26"/>
    <mergeCell ref="BL21:BL26"/>
    <mergeCell ref="BM21:BM26"/>
    <mergeCell ref="BN21:BN26"/>
    <mergeCell ref="BC21:BC26"/>
    <mergeCell ref="BD21:BD26"/>
    <mergeCell ref="BE21:BE26"/>
    <mergeCell ref="BF21:BF26"/>
    <mergeCell ref="BG21:BG26"/>
    <mergeCell ref="BH21:BH26"/>
    <mergeCell ref="AW21:AW26"/>
    <mergeCell ref="AX21:AX26"/>
    <mergeCell ref="AY21:AY26"/>
    <mergeCell ref="AZ21:AZ26"/>
    <mergeCell ref="BA21:BA26"/>
    <mergeCell ref="BB21:BB26"/>
    <mergeCell ref="AQ21:AQ26"/>
    <mergeCell ref="AR21:AR26"/>
    <mergeCell ref="AS21:AS26"/>
    <mergeCell ref="AT21:AT26"/>
    <mergeCell ref="AU21:AU26"/>
    <mergeCell ref="AV21:AV26"/>
    <mergeCell ref="AK21:AK26"/>
    <mergeCell ref="AL21:AL26"/>
    <mergeCell ref="AM21:AM26"/>
    <mergeCell ref="AN21:AN26"/>
    <mergeCell ref="AO21:AO26"/>
    <mergeCell ref="AP21:AP26"/>
    <mergeCell ref="AE21:AE26"/>
    <mergeCell ref="AF21:AF26"/>
    <mergeCell ref="AG21:AG26"/>
    <mergeCell ref="AH21:AH26"/>
    <mergeCell ref="AI21:AI26"/>
    <mergeCell ref="AJ21:AJ26"/>
    <mergeCell ref="S21:S22"/>
    <mergeCell ref="T21:T26"/>
    <mergeCell ref="U21:U26"/>
    <mergeCell ref="V21:V26"/>
    <mergeCell ref="W21:W22"/>
    <mergeCell ref="AD21:AD26"/>
    <mergeCell ref="S24:S26"/>
    <mergeCell ref="W25:W26"/>
    <mergeCell ref="M21:M22"/>
    <mergeCell ref="N21:N22"/>
    <mergeCell ref="O21:O22"/>
    <mergeCell ref="P21:P22"/>
    <mergeCell ref="Q21:Q26"/>
    <mergeCell ref="R21:R26"/>
    <mergeCell ref="P24:P26"/>
    <mergeCell ref="G21:G22"/>
    <mergeCell ref="H21:H22"/>
    <mergeCell ref="I21:I22"/>
    <mergeCell ref="J21:J22"/>
    <mergeCell ref="K21:K22"/>
    <mergeCell ref="L21:L22"/>
    <mergeCell ref="BP17:BP20"/>
    <mergeCell ref="BQ17:BQ20"/>
    <mergeCell ref="BR17:BR20"/>
    <mergeCell ref="BS17:BS20"/>
    <mergeCell ref="BT17:BT20"/>
    <mergeCell ref="BU17:BU20"/>
    <mergeCell ref="BJ17:BJ20"/>
    <mergeCell ref="BK17:BK20"/>
    <mergeCell ref="BL17:BL20"/>
    <mergeCell ref="BM17:BM20"/>
    <mergeCell ref="BN17:BN20"/>
    <mergeCell ref="BO17:BO20"/>
    <mergeCell ref="BD17:BD20"/>
    <mergeCell ref="BE17:BE20"/>
    <mergeCell ref="BF17:BF20"/>
    <mergeCell ref="BG17:BG20"/>
    <mergeCell ref="BH17:BH20"/>
    <mergeCell ref="BI17:BI20"/>
    <mergeCell ref="AX17:AX20"/>
    <mergeCell ref="AY17:AY20"/>
    <mergeCell ref="AZ17:AZ20"/>
    <mergeCell ref="BA17:BA20"/>
    <mergeCell ref="BB17:BB20"/>
    <mergeCell ref="BC17:BC20"/>
    <mergeCell ref="AR17:AR20"/>
    <mergeCell ref="AS17:AS20"/>
    <mergeCell ref="AT17:AT20"/>
    <mergeCell ref="AU17:AU20"/>
    <mergeCell ref="AV17:AV20"/>
    <mergeCell ref="AW17:AW20"/>
    <mergeCell ref="AL17:AL20"/>
    <mergeCell ref="AM17:AM20"/>
    <mergeCell ref="AN17:AN20"/>
    <mergeCell ref="AO17:AO20"/>
    <mergeCell ref="AP17:AP20"/>
    <mergeCell ref="AQ17:AQ20"/>
    <mergeCell ref="AF17:AF20"/>
    <mergeCell ref="AG17:AG20"/>
    <mergeCell ref="AH17:AH20"/>
    <mergeCell ref="AI17:AI20"/>
    <mergeCell ref="AJ17:AJ20"/>
    <mergeCell ref="AK17:AK20"/>
    <mergeCell ref="S17:S19"/>
    <mergeCell ref="T17:T20"/>
    <mergeCell ref="U17:U20"/>
    <mergeCell ref="V17:V19"/>
    <mergeCell ref="AD17:AD20"/>
    <mergeCell ref="AE17:AE20"/>
    <mergeCell ref="W18:W19"/>
    <mergeCell ref="AC14:AC15"/>
    <mergeCell ref="G17:G19"/>
    <mergeCell ref="H17:H19"/>
    <mergeCell ref="I17:I19"/>
    <mergeCell ref="J17:J19"/>
    <mergeCell ref="K17:K19"/>
    <mergeCell ref="L17:L19"/>
    <mergeCell ref="K14:K16"/>
    <mergeCell ref="L14:L16"/>
    <mergeCell ref="M14:M16"/>
    <mergeCell ref="N14:N16"/>
    <mergeCell ref="O14:O16"/>
    <mergeCell ref="P14:P16"/>
    <mergeCell ref="M17:M19"/>
    <mergeCell ref="N17:N19"/>
    <mergeCell ref="O17:O19"/>
    <mergeCell ref="P17:P19"/>
    <mergeCell ref="Q17:Q20"/>
    <mergeCell ref="R17:R20"/>
    <mergeCell ref="S14:S16"/>
    <mergeCell ref="V14:V16"/>
    <mergeCell ref="W14:W15"/>
    <mergeCell ref="E14:E16"/>
    <mergeCell ref="F14:F16"/>
    <mergeCell ref="G14:G16"/>
    <mergeCell ref="H14:H16"/>
    <mergeCell ref="I14:I16"/>
    <mergeCell ref="J14:J16"/>
    <mergeCell ref="BP13:BP16"/>
    <mergeCell ref="BQ13:BQ16"/>
    <mergeCell ref="BR13:BR16"/>
    <mergeCell ref="BD13:BD16"/>
    <mergeCell ref="BE13:BE16"/>
    <mergeCell ref="BF13:BF16"/>
    <mergeCell ref="BG13:BG16"/>
    <mergeCell ref="BH13:BH16"/>
    <mergeCell ref="BI13:BI16"/>
    <mergeCell ref="AX13:AX16"/>
    <mergeCell ref="AY13:AY16"/>
    <mergeCell ref="AZ13:AZ16"/>
    <mergeCell ref="BA13:BA16"/>
    <mergeCell ref="BB13:BB16"/>
    <mergeCell ref="BC13:BC16"/>
    <mergeCell ref="AR13:AR16"/>
    <mergeCell ref="AS13:AS16"/>
    <mergeCell ref="AT13:AT16"/>
    <mergeCell ref="BS13:BS16"/>
    <mergeCell ref="BT13:BT16"/>
    <mergeCell ref="BU13:BU16"/>
    <mergeCell ref="BJ13:BJ16"/>
    <mergeCell ref="BK13:BK16"/>
    <mergeCell ref="BL13:BL16"/>
    <mergeCell ref="BM13:BM16"/>
    <mergeCell ref="BN13:BN16"/>
    <mergeCell ref="BO13:BO16"/>
    <mergeCell ref="AU13:AU16"/>
    <mergeCell ref="AV13:AV16"/>
    <mergeCell ref="AW13:AW16"/>
    <mergeCell ref="AL13:AL16"/>
    <mergeCell ref="AM13:AM16"/>
    <mergeCell ref="AN13:AN16"/>
    <mergeCell ref="AO13:AO16"/>
    <mergeCell ref="AP13:AP16"/>
    <mergeCell ref="AQ13:AQ16"/>
    <mergeCell ref="AF13:AF16"/>
    <mergeCell ref="AG13:AG16"/>
    <mergeCell ref="AH13:AH16"/>
    <mergeCell ref="AI13:AI16"/>
    <mergeCell ref="AJ13:AJ16"/>
    <mergeCell ref="AK13:AK16"/>
    <mergeCell ref="BP8:BP9"/>
    <mergeCell ref="B10:F10"/>
    <mergeCell ref="D11:H11"/>
    <mergeCell ref="F12:Q12"/>
    <mergeCell ref="Q13:Q16"/>
    <mergeCell ref="R13:R16"/>
    <mergeCell ref="T13:T16"/>
    <mergeCell ref="U13:U16"/>
    <mergeCell ref="AD13:AD16"/>
    <mergeCell ref="AE13:AE16"/>
    <mergeCell ref="BF8:BG8"/>
    <mergeCell ref="BJ8:BJ9"/>
    <mergeCell ref="BK8:BK9"/>
    <mergeCell ref="BL8:BL9"/>
    <mergeCell ref="BM8:BM9"/>
    <mergeCell ref="BN8:BO8"/>
    <mergeCell ref="AT8:AU8"/>
    <mergeCell ref="AV8:AW8"/>
    <mergeCell ref="BJ7:BP7"/>
    <mergeCell ref="BQ7:BR8"/>
    <mergeCell ref="BS7:BT8"/>
    <mergeCell ref="T8:T9"/>
    <mergeCell ref="U8:U9"/>
    <mergeCell ref="V8:V9"/>
    <mergeCell ref="W8:W9"/>
    <mergeCell ref="X8:Z8"/>
    <mergeCell ref="AA8:AA9"/>
    <mergeCell ref="AX8:AY8"/>
    <mergeCell ref="AZ8:BA8"/>
    <mergeCell ref="BB8:BC8"/>
    <mergeCell ref="BD8:BE8"/>
    <mergeCell ref="AH8:AI8"/>
    <mergeCell ref="AJ8:AK8"/>
    <mergeCell ref="AL8:AM8"/>
    <mergeCell ref="AN8:AO8"/>
    <mergeCell ref="AP8:AQ8"/>
    <mergeCell ref="AR8:AS8"/>
    <mergeCell ref="AC8:AC9"/>
    <mergeCell ref="AD8:AE8"/>
    <mergeCell ref="AF8:AG8"/>
    <mergeCell ref="BB7:BG7"/>
    <mergeCell ref="BH7:BI8"/>
    <mergeCell ref="J8:J9"/>
    <mergeCell ref="K8:K9"/>
    <mergeCell ref="L8:L9"/>
    <mergeCell ref="M8:M9"/>
    <mergeCell ref="N8:N9"/>
    <mergeCell ref="O8:P8"/>
    <mergeCell ref="AB8:AB9"/>
    <mergeCell ref="Q8:Q9"/>
    <mergeCell ref="R8:R9"/>
    <mergeCell ref="S8:S9"/>
    <mergeCell ref="A1:BS4"/>
    <mergeCell ref="A5:O6"/>
    <mergeCell ref="Q5:BU5"/>
    <mergeCell ref="AD6:BF6"/>
    <mergeCell ref="A7:B7"/>
    <mergeCell ref="C7:D7"/>
    <mergeCell ref="E7:F7"/>
    <mergeCell ref="G7:J7"/>
    <mergeCell ref="K7:N7"/>
    <mergeCell ref="O7:Z7"/>
    <mergeCell ref="BU7:BU9"/>
    <mergeCell ref="A8:A9"/>
    <mergeCell ref="B8:B9"/>
    <mergeCell ref="C8:C9"/>
    <mergeCell ref="D8:D9"/>
    <mergeCell ref="E8:E9"/>
    <mergeCell ref="F8:F9"/>
    <mergeCell ref="AA7:AC7"/>
    <mergeCell ref="AD7:AG7"/>
    <mergeCell ref="AH7:AO7"/>
    <mergeCell ref="AP7:BA7"/>
    <mergeCell ref="G8:G9"/>
    <mergeCell ref="H8:H9"/>
    <mergeCell ref="I8:I9"/>
  </mergeCells>
  <pageMargins left="0.70866141732283472" right="0.70866141732283472" top="0.74803149606299213" bottom="0.74803149606299213" header="0.31496062992125984" footer="0.31496062992125984"/>
  <pageSetup scale="61" fitToHeight="3" orientation="landscape"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CO1635"/>
  <sheetViews>
    <sheetView showGridLines="0" topLeftCell="M71" zoomScale="70" zoomScaleNormal="70" workbookViewId="0">
      <selection activeCell="P80" sqref="P80"/>
    </sheetView>
  </sheetViews>
  <sheetFormatPr baseColWidth="10" defaultColWidth="11.42578125" defaultRowHeight="27" customHeight="1" x14ac:dyDescent="0.25"/>
  <cols>
    <col min="1" max="1" width="17.140625" style="12" customWidth="1"/>
    <col min="2" max="2" width="16.28515625" style="1" customWidth="1"/>
    <col min="3" max="3" width="12.42578125" style="1" customWidth="1"/>
    <col min="4" max="4" width="17.85546875" style="1" customWidth="1"/>
    <col min="5" max="5" width="12.28515625" style="1" customWidth="1"/>
    <col min="6" max="6" width="13.28515625" style="1" customWidth="1"/>
    <col min="7" max="7" width="17.5703125" style="1" customWidth="1"/>
    <col min="8" max="8" width="57.42578125" style="7" customWidth="1"/>
    <col min="9" max="9" width="24.28515625" style="4" customWidth="1"/>
    <col min="10" max="10" width="50.7109375" style="7" customWidth="1"/>
    <col min="11" max="11" width="17.85546875" style="4" customWidth="1"/>
    <col min="12" max="12" width="44.42578125" style="7" customWidth="1"/>
    <col min="13" max="13" width="23.140625" style="4" customWidth="1"/>
    <col min="14" max="14" width="44.7109375" style="7" customWidth="1"/>
    <col min="15" max="16" width="11.7109375" style="4" customWidth="1"/>
    <col min="17" max="17" width="21.85546875" style="4" customWidth="1"/>
    <col min="18" max="18" width="45.5703125" style="7" customWidth="1"/>
    <col min="19" max="19" width="18.28515625" style="9" customWidth="1"/>
    <col min="20" max="20" width="34.7109375" style="6" customWidth="1"/>
    <col min="21" max="21" width="70" style="7" customWidth="1"/>
    <col min="22" max="22" width="85.5703125" style="7" customWidth="1"/>
    <col min="23" max="23" width="59.85546875" style="7" customWidth="1"/>
    <col min="24" max="24" width="30.140625" style="6" bestFit="1" customWidth="1"/>
    <col min="25" max="25" width="30.85546875" style="6" customWidth="1"/>
    <col min="26" max="26" width="32.5703125" style="6" customWidth="1"/>
    <col min="27" max="27" width="58.28515625" style="6" customWidth="1"/>
    <col min="28" max="28" width="13" style="5" customWidth="1"/>
    <col min="29" max="29" width="45.42578125" style="4" bestFit="1" customWidth="1"/>
    <col min="30" max="61" width="12.28515625" style="1" customWidth="1"/>
    <col min="62" max="62" width="16.28515625" style="4" bestFit="1" customWidth="1"/>
    <col min="63" max="63" width="32.28515625" style="1" customWidth="1"/>
    <col min="64" max="64" width="37.28515625" style="1" bestFit="1" customWidth="1"/>
    <col min="65" max="65" width="21.28515625" style="662" bestFit="1" customWidth="1"/>
    <col min="66" max="66" width="19.42578125" style="1" customWidth="1"/>
    <col min="67" max="67" width="19.42578125" style="11" customWidth="1"/>
    <col min="68" max="68" width="42.5703125" style="1" customWidth="1"/>
    <col min="69" max="69" width="16.42578125" style="2" customWidth="1"/>
    <col min="70" max="70" width="19.5703125" style="1413" customWidth="1"/>
    <col min="71" max="71" width="20.28515625" style="2" customWidth="1"/>
    <col min="72" max="72" width="20.85546875" style="663" customWidth="1"/>
    <col min="73" max="73" width="26" style="1" customWidth="1"/>
    <col min="74" max="16384" width="11.42578125" style="1"/>
  </cols>
  <sheetData>
    <row r="1" spans="1:93" ht="25.5" customHeight="1" x14ac:dyDescent="0.25">
      <c r="A1" s="2632" t="s">
        <v>1818</v>
      </c>
      <c r="B1" s="2607"/>
      <c r="C1" s="2607"/>
      <c r="D1" s="2607"/>
      <c r="E1" s="2607"/>
      <c r="F1" s="2607"/>
      <c r="G1" s="2607"/>
      <c r="H1" s="2607"/>
      <c r="I1" s="2607"/>
      <c r="J1" s="2607"/>
      <c r="K1" s="2607"/>
      <c r="L1" s="2607"/>
      <c r="M1" s="2607"/>
      <c r="N1" s="2607"/>
      <c r="O1" s="2607"/>
      <c r="P1" s="2607"/>
      <c r="Q1" s="2607"/>
      <c r="R1" s="2607"/>
      <c r="S1" s="2607"/>
      <c r="T1" s="2607"/>
      <c r="U1" s="2607"/>
      <c r="V1" s="2607"/>
      <c r="W1" s="2607"/>
      <c r="X1" s="2607"/>
      <c r="Y1" s="2607"/>
      <c r="Z1" s="2607"/>
      <c r="AA1" s="2607"/>
      <c r="AB1" s="2607"/>
      <c r="AC1" s="2607"/>
      <c r="AD1" s="2607"/>
      <c r="AE1" s="2607"/>
      <c r="AF1" s="2607"/>
      <c r="AG1" s="2607"/>
      <c r="AH1" s="2607"/>
      <c r="AI1" s="2607"/>
      <c r="AJ1" s="2607"/>
      <c r="AK1" s="2607"/>
      <c r="AL1" s="2607"/>
      <c r="AM1" s="2607"/>
      <c r="AN1" s="2607"/>
      <c r="AO1" s="2607"/>
      <c r="AP1" s="2607"/>
      <c r="AQ1" s="2607"/>
      <c r="AR1" s="2607"/>
      <c r="AS1" s="2607"/>
      <c r="AT1" s="2607"/>
      <c r="AU1" s="2607"/>
      <c r="AV1" s="2607"/>
      <c r="AW1" s="2607"/>
      <c r="AX1" s="2607"/>
      <c r="AY1" s="2607"/>
      <c r="AZ1" s="2607"/>
      <c r="BA1" s="2607"/>
      <c r="BB1" s="2607"/>
      <c r="BC1" s="2607"/>
      <c r="BD1" s="2607"/>
      <c r="BE1" s="2607"/>
      <c r="BF1" s="2607"/>
      <c r="BG1" s="2607"/>
      <c r="BH1" s="2607"/>
      <c r="BI1" s="2607"/>
      <c r="BJ1" s="2607"/>
      <c r="BK1" s="2607"/>
      <c r="BL1" s="2607"/>
      <c r="BM1" s="2607"/>
      <c r="BN1" s="2607"/>
      <c r="BO1" s="2607"/>
      <c r="BP1" s="2607"/>
      <c r="BQ1" s="2607"/>
      <c r="BR1" s="2607"/>
      <c r="BS1" s="2603"/>
      <c r="BT1" s="1290" t="s">
        <v>138</v>
      </c>
      <c r="BU1" s="675" t="s">
        <v>137</v>
      </c>
      <c r="BV1" s="4"/>
      <c r="BW1" s="4"/>
      <c r="BX1" s="4"/>
      <c r="BY1" s="4"/>
      <c r="BZ1" s="4"/>
      <c r="CA1" s="4"/>
      <c r="CB1" s="4"/>
      <c r="CC1" s="4"/>
      <c r="CD1" s="4"/>
      <c r="CE1" s="4"/>
      <c r="CF1" s="4"/>
      <c r="CG1" s="4"/>
      <c r="CH1" s="4"/>
      <c r="CI1" s="4"/>
      <c r="CJ1" s="4"/>
      <c r="CK1" s="4"/>
      <c r="CL1" s="4"/>
      <c r="CM1" s="4"/>
      <c r="CN1" s="4"/>
      <c r="CO1" s="4"/>
    </row>
    <row r="2" spans="1:93" ht="25.5" customHeight="1" x14ac:dyDescent="0.25">
      <c r="A2" s="2607"/>
      <c r="B2" s="2607"/>
      <c r="C2" s="2607"/>
      <c r="D2" s="2607"/>
      <c r="E2" s="2607"/>
      <c r="F2" s="2607"/>
      <c r="G2" s="2607"/>
      <c r="H2" s="2607"/>
      <c r="I2" s="2607"/>
      <c r="J2" s="2607"/>
      <c r="K2" s="2607"/>
      <c r="L2" s="2607"/>
      <c r="M2" s="2607"/>
      <c r="N2" s="2607"/>
      <c r="O2" s="2607"/>
      <c r="P2" s="2607"/>
      <c r="Q2" s="2607"/>
      <c r="R2" s="2607"/>
      <c r="S2" s="2607"/>
      <c r="T2" s="2607"/>
      <c r="U2" s="2607"/>
      <c r="V2" s="2607"/>
      <c r="W2" s="2607"/>
      <c r="X2" s="2607"/>
      <c r="Y2" s="2607"/>
      <c r="Z2" s="2607"/>
      <c r="AA2" s="2607"/>
      <c r="AB2" s="2607"/>
      <c r="AC2" s="2607"/>
      <c r="AD2" s="2607"/>
      <c r="AE2" s="2607"/>
      <c r="AF2" s="2607"/>
      <c r="AG2" s="2607"/>
      <c r="AH2" s="2607"/>
      <c r="AI2" s="2607"/>
      <c r="AJ2" s="2607"/>
      <c r="AK2" s="2607"/>
      <c r="AL2" s="2607"/>
      <c r="AM2" s="2607"/>
      <c r="AN2" s="2607"/>
      <c r="AO2" s="2607"/>
      <c r="AP2" s="2607"/>
      <c r="AQ2" s="2607"/>
      <c r="AR2" s="2607"/>
      <c r="AS2" s="2607"/>
      <c r="AT2" s="2607"/>
      <c r="AU2" s="2607"/>
      <c r="AV2" s="2607"/>
      <c r="AW2" s="2607"/>
      <c r="AX2" s="2607"/>
      <c r="AY2" s="2607"/>
      <c r="AZ2" s="2607"/>
      <c r="BA2" s="2607"/>
      <c r="BB2" s="2607"/>
      <c r="BC2" s="2607"/>
      <c r="BD2" s="2607"/>
      <c r="BE2" s="2607"/>
      <c r="BF2" s="2607"/>
      <c r="BG2" s="2607"/>
      <c r="BH2" s="2607"/>
      <c r="BI2" s="2607"/>
      <c r="BJ2" s="2607"/>
      <c r="BK2" s="2607"/>
      <c r="BL2" s="2607"/>
      <c r="BM2" s="2607"/>
      <c r="BN2" s="2607"/>
      <c r="BO2" s="2607"/>
      <c r="BP2" s="2607"/>
      <c r="BQ2" s="2607"/>
      <c r="BR2" s="2607"/>
      <c r="BS2" s="2603"/>
      <c r="BT2" s="1291" t="s">
        <v>136</v>
      </c>
      <c r="BU2" s="236" t="s">
        <v>135</v>
      </c>
      <c r="BV2" s="4"/>
      <c r="BW2" s="4"/>
      <c r="BX2" s="4"/>
      <c r="BY2" s="4"/>
      <c r="BZ2" s="4"/>
      <c r="CA2" s="4"/>
      <c r="CB2" s="4"/>
      <c r="CC2" s="4"/>
      <c r="CD2" s="4"/>
      <c r="CE2" s="4"/>
      <c r="CF2" s="4"/>
      <c r="CG2" s="4"/>
      <c r="CH2" s="4"/>
      <c r="CI2" s="4"/>
      <c r="CJ2" s="4"/>
      <c r="CK2" s="4"/>
      <c r="CL2" s="4"/>
      <c r="CM2" s="4"/>
      <c r="CN2" s="4"/>
      <c r="CO2" s="4"/>
    </row>
    <row r="3" spans="1:93" ht="25.5" customHeight="1" x14ac:dyDescent="0.25">
      <c r="A3" s="2607"/>
      <c r="B3" s="2607"/>
      <c r="C3" s="2607"/>
      <c r="D3" s="2607"/>
      <c r="E3" s="2607"/>
      <c r="F3" s="2607"/>
      <c r="G3" s="2607"/>
      <c r="H3" s="2607"/>
      <c r="I3" s="2607"/>
      <c r="J3" s="2607"/>
      <c r="K3" s="2607"/>
      <c r="L3" s="2607"/>
      <c r="M3" s="2607"/>
      <c r="N3" s="2607"/>
      <c r="O3" s="2607"/>
      <c r="P3" s="2607"/>
      <c r="Q3" s="2607"/>
      <c r="R3" s="2607"/>
      <c r="S3" s="2607"/>
      <c r="T3" s="2607"/>
      <c r="U3" s="2607"/>
      <c r="V3" s="2607"/>
      <c r="W3" s="2607"/>
      <c r="X3" s="2607"/>
      <c r="Y3" s="2607"/>
      <c r="Z3" s="2607"/>
      <c r="AA3" s="2607"/>
      <c r="AB3" s="2607"/>
      <c r="AC3" s="2607"/>
      <c r="AD3" s="2607"/>
      <c r="AE3" s="2607"/>
      <c r="AF3" s="2607"/>
      <c r="AG3" s="2607"/>
      <c r="AH3" s="2607"/>
      <c r="AI3" s="2607"/>
      <c r="AJ3" s="2607"/>
      <c r="AK3" s="2607"/>
      <c r="AL3" s="2607"/>
      <c r="AM3" s="2607"/>
      <c r="AN3" s="2607"/>
      <c r="AO3" s="2607"/>
      <c r="AP3" s="2607"/>
      <c r="AQ3" s="2607"/>
      <c r="AR3" s="2607"/>
      <c r="AS3" s="2607"/>
      <c r="AT3" s="2607"/>
      <c r="AU3" s="2607"/>
      <c r="AV3" s="2607"/>
      <c r="AW3" s="2607"/>
      <c r="AX3" s="2607"/>
      <c r="AY3" s="2607"/>
      <c r="AZ3" s="2607"/>
      <c r="BA3" s="2607"/>
      <c r="BB3" s="2607"/>
      <c r="BC3" s="2607"/>
      <c r="BD3" s="2607"/>
      <c r="BE3" s="2607"/>
      <c r="BF3" s="2607"/>
      <c r="BG3" s="2607"/>
      <c r="BH3" s="2607"/>
      <c r="BI3" s="2607"/>
      <c r="BJ3" s="2607"/>
      <c r="BK3" s="2607"/>
      <c r="BL3" s="2607"/>
      <c r="BM3" s="2607"/>
      <c r="BN3" s="2607"/>
      <c r="BO3" s="2607"/>
      <c r="BP3" s="2607"/>
      <c r="BQ3" s="2607"/>
      <c r="BR3" s="2607"/>
      <c r="BS3" s="2603"/>
      <c r="BT3" s="1291" t="s">
        <v>134</v>
      </c>
      <c r="BU3" s="762">
        <v>44266</v>
      </c>
      <c r="BV3" s="4"/>
      <c r="BW3" s="4"/>
      <c r="BX3" s="4"/>
      <c r="BY3" s="4"/>
      <c r="BZ3" s="4"/>
      <c r="CA3" s="4"/>
      <c r="CB3" s="4"/>
      <c r="CC3" s="4"/>
      <c r="CD3" s="4"/>
      <c r="CE3" s="4"/>
      <c r="CF3" s="4"/>
      <c r="CG3" s="4"/>
      <c r="CH3" s="4"/>
      <c r="CI3" s="4"/>
      <c r="CJ3" s="4"/>
      <c r="CK3" s="4"/>
      <c r="CL3" s="4"/>
      <c r="CM3" s="4"/>
      <c r="CN3" s="4"/>
      <c r="CO3" s="4"/>
    </row>
    <row r="4" spans="1:93" ht="31.5" customHeight="1" x14ac:dyDescent="0.25">
      <c r="A4" s="2604"/>
      <c r="B4" s="2604"/>
      <c r="C4" s="2604"/>
      <c r="D4" s="2604"/>
      <c r="E4" s="2604"/>
      <c r="F4" s="2604"/>
      <c r="G4" s="2604"/>
      <c r="H4" s="2604"/>
      <c r="I4" s="2604"/>
      <c r="J4" s="2604"/>
      <c r="K4" s="2604"/>
      <c r="L4" s="2604"/>
      <c r="M4" s="2604"/>
      <c r="N4" s="2604"/>
      <c r="O4" s="2604"/>
      <c r="P4" s="2604"/>
      <c r="Q4" s="2604"/>
      <c r="R4" s="2604"/>
      <c r="S4" s="2604"/>
      <c r="T4" s="2604"/>
      <c r="U4" s="2604"/>
      <c r="V4" s="2604"/>
      <c r="W4" s="2604"/>
      <c r="X4" s="2604"/>
      <c r="Y4" s="2604"/>
      <c r="Z4" s="2604"/>
      <c r="AA4" s="2604"/>
      <c r="AB4" s="2604"/>
      <c r="AC4" s="2604"/>
      <c r="AD4" s="2604"/>
      <c r="AE4" s="2604"/>
      <c r="AF4" s="2604"/>
      <c r="AG4" s="2604"/>
      <c r="AH4" s="2604"/>
      <c r="AI4" s="2604"/>
      <c r="AJ4" s="2604"/>
      <c r="AK4" s="2604"/>
      <c r="AL4" s="2604"/>
      <c r="AM4" s="2604"/>
      <c r="AN4" s="2604"/>
      <c r="AO4" s="2604"/>
      <c r="AP4" s="2604"/>
      <c r="AQ4" s="2604"/>
      <c r="AR4" s="2604"/>
      <c r="AS4" s="2604"/>
      <c r="AT4" s="2604"/>
      <c r="AU4" s="2604"/>
      <c r="AV4" s="2604"/>
      <c r="AW4" s="2604"/>
      <c r="AX4" s="2604"/>
      <c r="AY4" s="2604"/>
      <c r="AZ4" s="2604"/>
      <c r="BA4" s="2604"/>
      <c r="BB4" s="2604"/>
      <c r="BC4" s="2604"/>
      <c r="BD4" s="2604"/>
      <c r="BE4" s="2604"/>
      <c r="BF4" s="2604"/>
      <c r="BG4" s="2604"/>
      <c r="BH4" s="2604"/>
      <c r="BI4" s="2604"/>
      <c r="BJ4" s="2604"/>
      <c r="BK4" s="2604"/>
      <c r="BL4" s="2604"/>
      <c r="BM4" s="2604"/>
      <c r="BN4" s="2604"/>
      <c r="BO4" s="2604"/>
      <c r="BP4" s="2604"/>
      <c r="BQ4" s="2604"/>
      <c r="BR4" s="2604"/>
      <c r="BS4" s="2605"/>
      <c r="BT4" s="1291" t="s">
        <v>133</v>
      </c>
      <c r="BU4" s="238" t="s">
        <v>132</v>
      </c>
      <c r="BV4" s="4"/>
      <c r="BW4" s="4"/>
      <c r="BX4" s="4"/>
      <c r="BY4" s="4"/>
      <c r="BZ4" s="4"/>
      <c r="CA4" s="4"/>
      <c r="CB4" s="4"/>
      <c r="CC4" s="4"/>
      <c r="CD4" s="4"/>
      <c r="CE4" s="4"/>
      <c r="CF4" s="4"/>
      <c r="CG4" s="4"/>
      <c r="CH4" s="4"/>
      <c r="CI4" s="4"/>
      <c r="CJ4" s="4"/>
      <c r="CK4" s="4"/>
      <c r="CL4" s="4"/>
      <c r="CM4" s="4"/>
      <c r="CN4" s="4"/>
      <c r="CO4" s="4"/>
    </row>
    <row r="5" spans="1:93" ht="19.5" customHeight="1" x14ac:dyDescent="0.25">
      <c r="A5" s="2606" t="s">
        <v>1819</v>
      </c>
      <c r="B5" s="2606"/>
      <c r="C5" s="2606"/>
      <c r="D5" s="2606"/>
      <c r="E5" s="2606"/>
      <c r="F5" s="2606"/>
      <c r="G5" s="2606"/>
      <c r="H5" s="2606"/>
      <c r="I5" s="2606"/>
      <c r="J5" s="2606"/>
      <c r="K5" s="2606"/>
      <c r="L5" s="2606"/>
      <c r="M5" s="2606"/>
      <c r="N5" s="2606"/>
      <c r="O5" s="2606"/>
      <c r="P5" s="461"/>
      <c r="Q5" s="2608"/>
      <c r="R5" s="2608"/>
      <c r="S5" s="2608"/>
      <c r="T5" s="2608"/>
      <c r="U5" s="2608"/>
      <c r="V5" s="2608"/>
      <c r="W5" s="2608"/>
      <c r="X5" s="2608"/>
      <c r="Y5" s="2608"/>
      <c r="Z5" s="2608"/>
      <c r="AA5" s="2608"/>
      <c r="AB5" s="2608"/>
      <c r="AC5" s="2608"/>
      <c r="AD5" s="2608"/>
      <c r="AE5" s="2608"/>
      <c r="AF5" s="2608"/>
      <c r="AG5" s="2608"/>
      <c r="AH5" s="2608"/>
      <c r="AI5" s="2608"/>
      <c r="AJ5" s="2608"/>
      <c r="AK5" s="2608"/>
      <c r="AL5" s="2608"/>
      <c r="AM5" s="2608"/>
      <c r="AN5" s="2608"/>
      <c r="AO5" s="2608"/>
      <c r="AP5" s="2608"/>
      <c r="AQ5" s="2608"/>
      <c r="AR5" s="2608"/>
      <c r="AS5" s="2608"/>
      <c r="AT5" s="2608"/>
      <c r="AU5" s="2608"/>
      <c r="AV5" s="2608"/>
      <c r="AW5" s="2608"/>
      <c r="AX5" s="2608"/>
      <c r="AY5" s="2608"/>
      <c r="AZ5" s="2608"/>
      <c r="BA5" s="2608"/>
      <c r="BB5" s="2608"/>
      <c r="BC5" s="2608"/>
      <c r="BD5" s="2608"/>
      <c r="BE5" s="2608"/>
      <c r="BF5" s="2608"/>
      <c r="BG5" s="2608"/>
      <c r="BH5" s="2608"/>
      <c r="BI5" s="2608"/>
      <c r="BJ5" s="2608"/>
      <c r="BK5" s="2608"/>
      <c r="BL5" s="2608"/>
      <c r="BM5" s="2608"/>
      <c r="BN5" s="2608"/>
      <c r="BO5" s="2608"/>
      <c r="BP5" s="2608"/>
      <c r="BQ5" s="2608"/>
      <c r="BR5" s="2608"/>
      <c r="BS5" s="2608"/>
      <c r="BT5" s="2608"/>
      <c r="BU5" s="2608"/>
      <c r="BV5" s="4"/>
      <c r="BW5" s="4"/>
      <c r="BX5" s="4"/>
      <c r="BY5" s="4"/>
      <c r="BZ5" s="4"/>
      <c r="CA5" s="4"/>
      <c r="CB5" s="4"/>
      <c r="CC5" s="4"/>
      <c r="CD5" s="4"/>
      <c r="CE5" s="4"/>
      <c r="CF5" s="4"/>
      <c r="CG5" s="4"/>
      <c r="CH5" s="4"/>
      <c r="CI5" s="4"/>
      <c r="CJ5" s="4"/>
      <c r="CK5" s="4"/>
      <c r="CL5" s="4"/>
      <c r="CM5" s="4"/>
      <c r="CN5" s="4"/>
      <c r="CO5" s="4"/>
    </row>
    <row r="6" spans="1:93" ht="20.25" customHeight="1" thickBot="1" x14ac:dyDescent="0.3">
      <c r="A6" s="2604"/>
      <c r="B6" s="2604"/>
      <c r="C6" s="2604"/>
      <c r="D6" s="2604"/>
      <c r="E6" s="2604"/>
      <c r="F6" s="2604"/>
      <c r="G6" s="2604"/>
      <c r="H6" s="2604"/>
      <c r="I6" s="2604"/>
      <c r="J6" s="2604"/>
      <c r="K6" s="2604"/>
      <c r="L6" s="2604"/>
      <c r="M6" s="2604"/>
      <c r="N6" s="2604"/>
      <c r="O6" s="2607"/>
      <c r="P6" s="700"/>
      <c r="Q6" s="674"/>
      <c r="R6" s="1292"/>
      <c r="S6" s="674"/>
      <c r="T6" s="674"/>
      <c r="U6" s="1292"/>
      <c r="V6" s="1292"/>
      <c r="W6" s="1292"/>
      <c r="X6" s="674"/>
      <c r="Y6" s="674"/>
      <c r="Z6" s="674"/>
      <c r="AA6" s="671"/>
      <c r="AB6" s="671"/>
      <c r="AC6" s="671"/>
      <c r="AD6" s="2635" t="s">
        <v>130</v>
      </c>
      <c r="AE6" s="2604"/>
      <c r="AF6" s="2604"/>
      <c r="AG6" s="2604"/>
      <c r="AH6" s="2604"/>
      <c r="AI6" s="2604"/>
      <c r="AJ6" s="2604"/>
      <c r="AK6" s="2604"/>
      <c r="AL6" s="2604"/>
      <c r="AM6" s="2604"/>
      <c r="AN6" s="2604"/>
      <c r="AO6" s="2604"/>
      <c r="AP6" s="2604"/>
      <c r="AQ6" s="2604"/>
      <c r="AR6" s="2604"/>
      <c r="AS6" s="2604"/>
      <c r="AT6" s="2604"/>
      <c r="AU6" s="2604"/>
      <c r="AV6" s="2604"/>
      <c r="AW6" s="2604"/>
      <c r="AX6" s="2604"/>
      <c r="AY6" s="2604"/>
      <c r="AZ6" s="2604"/>
      <c r="BA6" s="2604"/>
      <c r="BB6" s="2604"/>
      <c r="BC6" s="2604"/>
      <c r="BD6" s="2604"/>
      <c r="BE6" s="2604"/>
      <c r="BF6" s="2605"/>
      <c r="BG6" s="671"/>
      <c r="BH6" s="671"/>
      <c r="BI6" s="671"/>
      <c r="BJ6" s="462"/>
      <c r="BK6" s="671"/>
      <c r="BL6" s="671"/>
      <c r="BM6" s="463"/>
      <c r="BN6" s="671"/>
      <c r="BO6" s="464"/>
      <c r="BP6" s="671"/>
      <c r="BQ6" s="671"/>
      <c r="BR6" s="1293"/>
      <c r="BS6" s="671"/>
      <c r="BT6" s="462"/>
      <c r="BU6" s="672"/>
      <c r="BV6" s="4"/>
      <c r="BW6" s="4"/>
      <c r="BX6" s="4"/>
      <c r="BY6" s="4"/>
      <c r="BZ6" s="4"/>
      <c r="CA6" s="4"/>
      <c r="CB6" s="4"/>
      <c r="CC6" s="4"/>
      <c r="CD6" s="4"/>
      <c r="CE6" s="4"/>
      <c r="CF6" s="4"/>
      <c r="CG6" s="4"/>
      <c r="CH6" s="4"/>
      <c r="CI6" s="4"/>
      <c r="CJ6" s="4"/>
      <c r="CK6" s="4"/>
      <c r="CL6" s="4"/>
      <c r="CM6" s="4"/>
      <c r="CN6" s="4"/>
      <c r="CO6" s="4"/>
    </row>
    <row r="7" spans="1:93" ht="36.75" customHeight="1" x14ac:dyDescent="0.25">
      <c r="A7" s="2637" t="s">
        <v>129</v>
      </c>
      <c r="B7" s="2638"/>
      <c r="C7" s="2639" t="s">
        <v>128</v>
      </c>
      <c r="D7" s="2637"/>
      <c r="E7" s="2637" t="s">
        <v>127</v>
      </c>
      <c r="F7" s="2638"/>
      <c r="G7" s="2639" t="s">
        <v>126</v>
      </c>
      <c r="H7" s="2637"/>
      <c r="I7" s="2637"/>
      <c r="J7" s="2637"/>
      <c r="K7" s="2639" t="s">
        <v>125</v>
      </c>
      <c r="L7" s="2637"/>
      <c r="M7" s="2637"/>
      <c r="N7" s="2637"/>
      <c r="O7" s="3859" t="s">
        <v>1820</v>
      </c>
      <c r="P7" s="3859"/>
      <c r="Q7" s="3859"/>
      <c r="R7" s="3859"/>
      <c r="S7" s="3859"/>
      <c r="T7" s="3859"/>
      <c r="U7" s="3859"/>
      <c r="V7" s="3859"/>
      <c r="W7" s="3859"/>
      <c r="X7" s="3859"/>
      <c r="Y7" s="3859"/>
      <c r="Z7" s="3859"/>
      <c r="AA7" s="3598" t="s">
        <v>123</v>
      </c>
      <c r="AB7" s="3598"/>
      <c r="AC7" s="2641"/>
      <c r="AD7" s="2611" t="s">
        <v>122</v>
      </c>
      <c r="AE7" s="2612"/>
      <c r="AF7" s="2612"/>
      <c r="AG7" s="2613"/>
      <c r="AH7" s="2614" t="s">
        <v>121</v>
      </c>
      <c r="AI7" s="2615"/>
      <c r="AJ7" s="2615"/>
      <c r="AK7" s="2615"/>
      <c r="AL7" s="2615"/>
      <c r="AM7" s="2615"/>
      <c r="AN7" s="2615"/>
      <c r="AO7" s="2616"/>
      <c r="AP7" s="2617" t="s">
        <v>120</v>
      </c>
      <c r="AQ7" s="2617"/>
      <c r="AR7" s="2617"/>
      <c r="AS7" s="2617"/>
      <c r="AT7" s="2617"/>
      <c r="AU7" s="2617"/>
      <c r="AV7" s="2617"/>
      <c r="AW7" s="2617"/>
      <c r="AX7" s="2617"/>
      <c r="AY7" s="2617"/>
      <c r="AZ7" s="2617"/>
      <c r="BA7" s="2617"/>
      <c r="BB7" s="2618" t="s">
        <v>119</v>
      </c>
      <c r="BC7" s="2618"/>
      <c r="BD7" s="2618"/>
      <c r="BE7" s="2618"/>
      <c r="BF7" s="2618"/>
      <c r="BG7" s="2618"/>
      <c r="BH7" s="2619" t="s">
        <v>118</v>
      </c>
      <c r="BI7" s="2619"/>
      <c r="BJ7" s="2622" t="s">
        <v>117</v>
      </c>
      <c r="BK7" s="2623"/>
      <c r="BL7" s="2623"/>
      <c r="BM7" s="2623"/>
      <c r="BN7" s="2623"/>
      <c r="BO7" s="2623"/>
      <c r="BP7" s="2624"/>
      <c r="BQ7" s="2593" t="s">
        <v>116</v>
      </c>
      <c r="BR7" s="2593"/>
      <c r="BS7" s="2593" t="s">
        <v>115</v>
      </c>
      <c r="BT7" s="2593"/>
      <c r="BU7" s="2595" t="s">
        <v>114</v>
      </c>
      <c r="BV7" s="4"/>
      <c r="BW7" s="4"/>
      <c r="BX7" s="4"/>
      <c r="BY7" s="4"/>
      <c r="BZ7" s="4"/>
      <c r="CA7" s="4"/>
      <c r="CB7" s="4"/>
      <c r="CC7" s="4"/>
      <c r="CD7" s="4"/>
      <c r="CE7" s="4"/>
      <c r="CF7" s="4"/>
      <c r="CG7" s="4"/>
      <c r="CH7" s="4"/>
      <c r="CI7" s="4"/>
      <c r="CJ7" s="4"/>
      <c r="CK7" s="4"/>
      <c r="CL7" s="4"/>
      <c r="CM7" s="4"/>
      <c r="CN7" s="4"/>
      <c r="CO7" s="4"/>
    </row>
    <row r="8" spans="1:93" ht="125.25" customHeight="1" x14ac:dyDescent="0.25">
      <c r="A8" s="2593" t="s">
        <v>71</v>
      </c>
      <c r="B8" s="2593" t="s">
        <v>70</v>
      </c>
      <c r="C8" s="2593" t="s">
        <v>71</v>
      </c>
      <c r="D8" s="2593" t="s">
        <v>70</v>
      </c>
      <c r="E8" s="2593" t="s">
        <v>71</v>
      </c>
      <c r="F8" s="2593" t="s">
        <v>70</v>
      </c>
      <c r="G8" s="2593" t="s">
        <v>110</v>
      </c>
      <c r="H8" s="2593" t="s">
        <v>113</v>
      </c>
      <c r="I8" s="2593" t="s">
        <v>112</v>
      </c>
      <c r="J8" s="2593" t="s">
        <v>142</v>
      </c>
      <c r="K8" s="2593" t="s">
        <v>110</v>
      </c>
      <c r="L8" s="2593" t="s">
        <v>109</v>
      </c>
      <c r="M8" s="2593" t="s">
        <v>108</v>
      </c>
      <c r="N8" s="2884" t="s">
        <v>107</v>
      </c>
      <c r="O8" s="2599" t="s">
        <v>106</v>
      </c>
      <c r="P8" s="2600"/>
      <c r="Q8" s="2593" t="s">
        <v>105</v>
      </c>
      <c r="R8" s="2884" t="s">
        <v>104</v>
      </c>
      <c r="S8" s="2593" t="s">
        <v>103</v>
      </c>
      <c r="T8" s="2593" t="s">
        <v>102</v>
      </c>
      <c r="U8" s="2884" t="s">
        <v>101</v>
      </c>
      <c r="V8" s="2884" t="s">
        <v>100</v>
      </c>
      <c r="W8" s="2884" t="s">
        <v>99</v>
      </c>
      <c r="X8" s="2594" t="s">
        <v>98</v>
      </c>
      <c r="Y8" s="2594"/>
      <c r="Z8" s="2594"/>
      <c r="AA8" s="2593" t="s">
        <v>97</v>
      </c>
      <c r="AB8" s="2593" t="s">
        <v>96</v>
      </c>
      <c r="AC8" s="2593" t="s">
        <v>70</v>
      </c>
      <c r="AD8" s="2620" t="s">
        <v>95</v>
      </c>
      <c r="AE8" s="2621"/>
      <c r="AF8" s="2597" t="s">
        <v>94</v>
      </c>
      <c r="AG8" s="2598"/>
      <c r="AH8" s="2597" t="s">
        <v>93</v>
      </c>
      <c r="AI8" s="2598"/>
      <c r="AJ8" s="2597" t="s">
        <v>92</v>
      </c>
      <c r="AK8" s="2598"/>
      <c r="AL8" s="2597" t="s">
        <v>91</v>
      </c>
      <c r="AM8" s="2598"/>
      <c r="AN8" s="2597" t="s">
        <v>90</v>
      </c>
      <c r="AO8" s="2598"/>
      <c r="AP8" s="2592" t="s">
        <v>89</v>
      </c>
      <c r="AQ8" s="2592"/>
      <c r="AR8" s="2592" t="s">
        <v>88</v>
      </c>
      <c r="AS8" s="2592"/>
      <c r="AT8" s="2592" t="s">
        <v>87</v>
      </c>
      <c r="AU8" s="2592"/>
      <c r="AV8" s="2592" t="s">
        <v>86</v>
      </c>
      <c r="AW8" s="2592"/>
      <c r="AX8" s="2592" t="s">
        <v>85</v>
      </c>
      <c r="AY8" s="2592"/>
      <c r="AZ8" s="2592" t="s">
        <v>267</v>
      </c>
      <c r="BA8" s="2592"/>
      <c r="BB8" s="2592" t="s">
        <v>83</v>
      </c>
      <c r="BC8" s="2592"/>
      <c r="BD8" s="2592" t="s">
        <v>82</v>
      </c>
      <c r="BE8" s="2592"/>
      <c r="BF8" s="2592" t="s">
        <v>81</v>
      </c>
      <c r="BG8" s="2592"/>
      <c r="BH8" s="2619"/>
      <c r="BI8" s="2619"/>
      <c r="BJ8" s="2583" t="s">
        <v>80</v>
      </c>
      <c r="BK8" s="2583" t="s">
        <v>79</v>
      </c>
      <c r="BL8" s="2584" t="s">
        <v>78</v>
      </c>
      <c r="BM8" s="2924" t="s">
        <v>77</v>
      </c>
      <c r="BN8" s="2586" t="s">
        <v>76</v>
      </c>
      <c r="BO8" s="2587"/>
      <c r="BP8" s="3861" t="s">
        <v>75</v>
      </c>
      <c r="BQ8" s="2593"/>
      <c r="BR8" s="2593"/>
      <c r="BS8" s="2593"/>
      <c r="BT8" s="2593"/>
      <c r="BU8" s="3860"/>
      <c r="BV8" s="4"/>
      <c r="BW8" s="4"/>
      <c r="BX8" s="4"/>
      <c r="BY8" s="4"/>
      <c r="BZ8" s="4"/>
      <c r="CA8" s="4"/>
      <c r="CB8" s="4"/>
      <c r="CC8" s="4"/>
      <c r="CD8" s="4"/>
      <c r="CE8" s="4"/>
      <c r="CF8" s="4"/>
      <c r="CG8" s="4"/>
      <c r="CH8" s="4"/>
      <c r="CI8" s="4"/>
      <c r="CJ8" s="4"/>
      <c r="CK8" s="4"/>
      <c r="CL8" s="4"/>
      <c r="CM8" s="4"/>
      <c r="CN8" s="4"/>
      <c r="CO8" s="4"/>
    </row>
    <row r="9" spans="1:93" ht="34.5" customHeight="1" x14ac:dyDescent="0.25">
      <c r="A9" s="2593"/>
      <c r="B9" s="2593"/>
      <c r="C9" s="2593"/>
      <c r="D9" s="2593"/>
      <c r="E9" s="2593"/>
      <c r="F9" s="2593"/>
      <c r="G9" s="2593"/>
      <c r="H9" s="2593"/>
      <c r="I9" s="2593"/>
      <c r="J9" s="2593"/>
      <c r="K9" s="2593"/>
      <c r="L9" s="2593"/>
      <c r="M9" s="2593"/>
      <c r="N9" s="2884"/>
      <c r="O9" s="131" t="s">
        <v>69</v>
      </c>
      <c r="P9" s="131" t="s">
        <v>68</v>
      </c>
      <c r="Q9" s="2593"/>
      <c r="R9" s="2884"/>
      <c r="S9" s="2593"/>
      <c r="T9" s="2593"/>
      <c r="U9" s="2884"/>
      <c r="V9" s="2884"/>
      <c r="W9" s="2884"/>
      <c r="X9" s="163" t="s">
        <v>74</v>
      </c>
      <c r="Y9" s="163" t="s">
        <v>73</v>
      </c>
      <c r="Z9" s="163" t="s">
        <v>72</v>
      </c>
      <c r="AA9" s="2593"/>
      <c r="AB9" s="2593"/>
      <c r="AC9" s="2593"/>
      <c r="AD9" s="131" t="s">
        <v>69</v>
      </c>
      <c r="AE9" s="131" t="s">
        <v>68</v>
      </c>
      <c r="AF9" s="131" t="s">
        <v>69</v>
      </c>
      <c r="AG9" s="131" t="s">
        <v>68</v>
      </c>
      <c r="AH9" s="131" t="s">
        <v>69</v>
      </c>
      <c r="AI9" s="131" t="s">
        <v>68</v>
      </c>
      <c r="AJ9" s="131" t="s">
        <v>69</v>
      </c>
      <c r="AK9" s="131" t="s">
        <v>68</v>
      </c>
      <c r="AL9" s="131" t="s">
        <v>69</v>
      </c>
      <c r="AM9" s="131" t="s">
        <v>68</v>
      </c>
      <c r="AN9" s="131" t="s">
        <v>69</v>
      </c>
      <c r="AO9" s="131" t="s">
        <v>68</v>
      </c>
      <c r="AP9" s="131" t="s">
        <v>69</v>
      </c>
      <c r="AQ9" s="131" t="s">
        <v>68</v>
      </c>
      <c r="AR9" s="131" t="s">
        <v>69</v>
      </c>
      <c r="AS9" s="131" t="s">
        <v>68</v>
      </c>
      <c r="AT9" s="131" t="s">
        <v>69</v>
      </c>
      <c r="AU9" s="131" t="s">
        <v>68</v>
      </c>
      <c r="AV9" s="131" t="s">
        <v>69</v>
      </c>
      <c r="AW9" s="131" t="s">
        <v>68</v>
      </c>
      <c r="AX9" s="131" t="s">
        <v>69</v>
      </c>
      <c r="AY9" s="131" t="s">
        <v>68</v>
      </c>
      <c r="AZ9" s="131" t="s">
        <v>69</v>
      </c>
      <c r="BA9" s="131" t="s">
        <v>68</v>
      </c>
      <c r="BB9" s="131" t="s">
        <v>69</v>
      </c>
      <c r="BC9" s="131" t="s">
        <v>68</v>
      </c>
      <c r="BD9" s="131" t="s">
        <v>69</v>
      </c>
      <c r="BE9" s="131" t="s">
        <v>68</v>
      </c>
      <c r="BF9" s="131" t="s">
        <v>69</v>
      </c>
      <c r="BG9" s="131" t="s">
        <v>68</v>
      </c>
      <c r="BH9" s="131" t="s">
        <v>69</v>
      </c>
      <c r="BI9" s="131" t="s">
        <v>68</v>
      </c>
      <c r="BJ9" s="2583"/>
      <c r="BK9" s="2583"/>
      <c r="BL9" s="2584"/>
      <c r="BM9" s="2924"/>
      <c r="BN9" s="130" t="s">
        <v>71</v>
      </c>
      <c r="BO9" s="677" t="s">
        <v>70</v>
      </c>
      <c r="BP9" s="3862"/>
      <c r="BQ9" s="702" t="s">
        <v>69</v>
      </c>
      <c r="BR9" s="1294" t="s">
        <v>68</v>
      </c>
      <c r="BS9" s="1294" t="s">
        <v>69</v>
      </c>
      <c r="BT9" s="1294" t="s">
        <v>68</v>
      </c>
      <c r="BU9" s="2596"/>
      <c r="BV9" s="4"/>
      <c r="BW9" s="4"/>
      <c r="BX9" s="4"/>
      <c r="BY9" s="4"/>
      <c r="BZ9" s="4"/>
      <c r="CA9" s="4"/>
      <c r="CB9" s="4"/>
      <c r="CC9" s="4"/>
      <c r="CD9" s="4"/>
      <c r="CE9" s="4"/>
      <c r="CF9" s="4"/>
      <c r="CG9" s="4"/>
      <c r="CH9" s="4"/>
      <c r="CI9" s="4"/>
      <c r="CJ9" s="4"/>
      <c r="CK9" s="4"/>
      <c r="CL9" s="4"/>
      <c r="CM9" s="4"/>
      <c r="CN9" s="4"/>
      <c r="CO9" s="4"/>
    </row>
    <row r="10" spans="1:93" ht="27" customHeight="1" x14ac:dyDescent="0.25">
      <c r="A10" s="517">
        <v>2</v>
      </c>
      <c r="B10" s="3863" t="s">
        <v>1163</v>
      </c>
      <c r="C10" s="3863"/>
      <c r="D10" s="3863"/>
      <c r="E10" s="3863"/>
      <c r="F10" s="248"/>
      <c r="G10" s="248"/>
      <c r="H10" s="247"/>
      <c r="I10" s="248"/>
      <c r="J10" s="247"/>
      <c r="K10" s="248"/>
      <c r="L10" s="247"/>
      <c r="M10" s="248"/>
      <c r="N10" s="247"/>
      <c r="O10" s="248"/>
      <c r="P10" s="248"/>
      <c r="Q10" s="248"/>
      <c r="R10" s="247"/>
      <c r="S10" s="249"/>
      <c r="T10" s="250"/>
      <c r="U10" s="247"/>
      <c r="V10" s="247"/>
      <c r="W10" s="247"/>
      <c r="X10" s="250"/>
      <c r="Y10" s="250"/>
      <c r="Z10" s="250"/>
      <c r="AA10" s="248"/>
      <c r="AB10" s="252"/>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1295"/>
      <c r="BN10" s="248"/>
      <c r="BO10" s="247"/>
      <c r="BP10" s="248"/>
      <c r="BQ10" s="1296"/>
      <c r="BR10" s="1296"/>
      <c r="BS10" s="1296"/>
      <c r="BT10" s="1296"/>
      <c r="BU10" s="253"/>
      <c r="BV10" s="4"/>
      <c r="BW10" s="4"/>
      <c r="BX10" s="4"/>
      <c r="BY10" s="4"/>
      <c r="BZ10" s="4"/>
      <c r="CA10" s="4"/>
      <c r="CB10" s="4"/>
      <c r="CC10" s="4"/>
      <c r="CD10" s="4"/>
      <c r="CE10" s="4"/>
      <c r="CF10" s="4"/>
      <c r="CG10" s="4"/>
      <c r="CH10" s="4"/>
      <c r="CI10" s="4"/>
      <c r="CJ10" s="4"/>
      <c r="CK10" s="4"/>
      <c r="CL10" s="4"/>
      <c r="CM10" s="4"/>
      <c r="CN10" s="4"/>
      <c r="CO10" s="4"/>
    </row>
    <row r="11" spans="1:93" ht="27" customHeight="1" x14ac:dyDescent="0.25">
      <c r="A11" s="3864"/>
      <c r="B11" s="3865"/>
      <c r="C11" s="115">
        <v>17</v>
      </c>
      <c r="D11" s="2577" t="s">
        <v>1495</v>
      </c>
      <c r="E11" s="3219"/>
      <c r="F11" s="3219"/>
      <c r="G11" s="3219"/>
      <c r="H11" s="3219"/>
      <c r="I11" s="108"/>
      <c r="J11" s="111"/>
      <c r="K11" s="108"/>
      <c r="L11" s="111"/>
      <c r="M11" s="108"/>
      <c r="N11" s="111"/>
      <c r="O11" s="108"/>
      <c r="P11" s="108"/>
      <c r="Q11" s="108"/>
      <c r="R11" s="111"/>
      <c r="S11" s="113"/>
      <c r="T11" s="110"/>
      <c r="U11" s="111"/>
      <c r="V11" s="111"/>
      <c r="W11" s="111"/>
      <c r="X11" s="110"/>
      <c r="Y11" s="110"/>
      <c r="Z11" s="110"/>
      <c r="AA11" s="328"/>
      <c r="AB11" s="332"/>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1297"/>
      <c r="BN11" s="328"/>
      <c r="BO11" s="1298"/>
      <c r="BP11" s="328"/>
      <c r="BQ11" s="333"/>
      <c r="BR11" s="333"/>
      <c r="BS11" s="333"/>
      <c r="BT11" s="333"/>
      <c r="BU11" s="334"/>
    </row>
    <row r="12" spans="1:93" s="4" customFormat="1" ht="27" customHeight="1" x14ac:dyDescent="0.25">
      <c r="A12" s="3866"/>
      <c r="B12" s="3867"/>
      <c r="C12" s="2907"/>
      <c r="D12" s="2908"/>
      <c r="E12" s="1299">
        <v>1702</v>
      </c>
      <c r="F12" s="2955" t="s">
        <v>1821</v>
      </c>
      <c r="G12" s="2955"/>
      <c r="H12" s="2955"/>
      <c r="I12" s="2955"/>
      <c r="J12" s="2955"/>
      <c r="K12" s="2955"/>
      <c r="L12" s="2955"/>
      <c r="M12" s="190"/>
      <c r="N12" s="194"/>
      <c r="O12" s="190"/>
      <c r="P12" s="190"/>
      <c r="Q12" s="190"/>
      <c r="R12" s="194"/>
      <c r="S12" s="192"/>
      <c r="T12" s="193"/>
      <c r="U12" s="194"/>
      <c r="V12" s="194"/>
      <c r="W12" s="194"/>
      <c r="X12" s="193"/>
      <c r="Y12" s="193"/>
      <c r="Z12" s="193"/>
      <c r="AA12" s="918"/>
      <c r="AB12" s="343"/>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1300"/>
      <c r="BN12" s="341"/>
      <c r="BO12" s="1301"/>
      <c r="BP12" s="341"/>
      <c r="BQ12" s="344"/>
      <c r="BR12" s="344"/>
      <c r="BS12" s="344"/>
      <c r="BT12" s="344"/>
      <c r="BU12" s="345"/>
    </row>
    <row r="13" spans="1:93" s="4" customFormat="1" ht="95.25" customHeight="1" x14ac:dyDescent="0.25">
      <c r="A13" s="3866"/>
      <c r="B13" s="3867"/>
      <c r="C13" s="2909"/>
      <c r="D13" s="2910"/>
      <c r="E13" s="3870"/>
      <c r="F13" s="3871"/>
      <c r="G13" s="3876">
        <v>1702011</v>
      </c>
      <c r="H13" s="2680" t="s">
        <v>1822</v>
      </c>
      <c r="I13" s="3876">
        <v>1702011</v>
      </c>
      <c r="J13" s="2680" t="s">
        <v>1822</v>
      </c>
      <c r="K13" s="3883">
        <v>170201100</v>
      </c>
      <c r="L13" s="2680" t="s">
        <v>1823</v>
      </c>
      <c r="M13" s="3883">
        <v>170201100</v>
      </c>
      <c r="N13" s="2680" t="s">
        <v>1823</v>
      </c>
      <c r="O13" s="3092">
        <v>30</v>
      </c>
      <c r="P13" s="3877">
        <v>30</v>
      </c>
      <c r="Q13" s="2547" t="s">
        <v>1824</v>
      </c>
      <c r="R13" s="2545" t="s">
        <v>1825</v>
      </c>
      <c r="S13" s="3879">
        <f>SUM(X13:X14)/T13</f>
        <v>0.30581867388362655</v>
      </c>
      <c r="T13" s="3880">
        <f>SUM(X13:X17)</f>
        <v>739000000</v>
      </c>
      <c r="U13" s="2992" t="s">
        <v>1826</v>
      </c>
      <c r="V13" s="2545" t="s">
        <v>1827</v>
      </c>
      <c r="W13" s="2545" t="s">
        <v>1828</v>
      </c>
      <c r="X13" s="1302">
        <v>170000000</v>
      </c>
      <c r="Y13" s="84">
        <v>159728324</v>
      </c>
      <c r="Z13" s="84">
        <v>159728324</v>
      </c>
      <c r="AA13" s="218" t="s">
        <v>1829</v>
      </c>
      <c r="AB13" s="3891">
        <v>20</v>
      </c>
      <c r="AC13" s="2752" t="s">
        <v>1830</v>
      </c>
      <c r="AD13" s="2977">
        <v>140</v>
      </c>
      <c r="AE13" s="2977">
        <v>140</v>
      </c>
      <c r="AF13" s="2977">
        <v>160</v>
      </c>
      <c r="AG13" s="3888">
        <v>155</v>
      </c>
      <c r="AH13" s="2977"/>
      <c r="AI13" s="2977"/>
      <c r="AJ13" s="2977"/>
      <c r="AK13" s="2977"/>
      <c r="AL13" s="2977">
        <v>250</v>
      </c>
      <c r="AM13" s="2977"/>
      <c r="AN13" s="2977">
        <v>50</v>
      </c>
      <c r="AO13" s="2977"/>
      <c r="AP13" s="2965"/>
      <c r="AQ13" s="2965"/>
      <c r="AR13" s="2977"/>
      <c r="AS13" s="2977"/>
      <c r="AT13" s="2977"/>
      <c r="AU13" s="2977"/>
      <c r="AV13" s="2977"/>
      <c r="AW13" s="2977"/>
      <c r="AX13" s="2977"/>
      <c r="AY13" s="2977"/>
      <c r="AZ13" s="2977"/>
      <c r="BA13" s="2977"/>
      <c r="BB13" s="2977"/>
      <c r="BC13" s="2977"/>
      <c r="BD13" s="2977"/>
      <c r="BE13" s="2977"/>
      <c r="BF13" s="2977"/>
      <c r="BG13" s="2977"/>
      <c r="BH13" s="2977">
        <v>300</v>
      </c>
      <c r="BI13" s="2977">
        <v>295</v>
      </c>
      <c r="BJ13" s="2977">
        <v>13</v>
      </c>
      <c r="BK13" s="3009">
        <f>SUM(Y13:Y17)</f>
        <v>509728324</v>
      </c>
      <c r="BL13" s="3009">
        <f>SUM(Z13:Z17)</f>
        <v>509728324</v>
      </c>
      <c r="BM13" s="2682">
        <f>+BL13/BK13</f>
        <v>1</v>
      </c>
      <c r="BN13" s="2977" t="s">
        <v>1831</v>
      </c>
      <c r="BO13" s="3898" t="s">
        <v>1832</v>
      </c>
      <c r="BP13" s="2977" t="s">
        <v>1833</v>
      </c>
      <c r="BQ13" s="2754">
        <v>44211</v>
      </c>
      <c r="BR13" s="2754">
        <v>44228</v>
      </c>
      <c r="BS13" s="2754">
        <v>44561</v>
      </c>
      <c r="BT13" s="2754">
        <v>44560</v>
      </c>
      <c r="BU13" s="3895" t="s">
        <v>1834</v>
      </c>
    </row>
    <row r="14" spans="1:93" s="4" customFormat="1" ht="95.25" customHeight="1" x14ac:dyDescent="0.25">
      <c r="A14" s="3866"/>
      <c r="B14" s="3867"/>
      <c r="C14" s="2909"/>
      <c r="D14" s="2910"/>
      <c r="E14" s="3872"/>
      <c r="F14" s="3873"/>
      <c r="G14" s="3876"/>
      <c r="H14" s="2680"/>
      <c r="I14" s="3876"/>
      <c r="J14" s="2680"/>
      <c r="K14" s="3883"/>
      <c r="L14" s="2680"/>
      <c r="M14" s="3883"/>
      <c r="N14" s="2680"/>
      <c r="O14" s="3092"/>
      <c r="P14" s="3878"/>
      <c r="Q14" s="2716"/>
      <c r="R14" s="2781"/>
      <c r="S14" s="3879"/>
      <c r="T14" s="3881"/>
      <c r="U14" s="2993"/>
      <c r="V14" s="2782"/>
      <c r="W14" s="2782"/>
      <c r="X14" s="1302">
        <v>56000000</v>
      </c>
      <c r="Y14" s="84"/>
      <c r="Z14" s="84">
        <v>0</v>
      </c>
      <c r="AA14" s="218" t="s">
        <v>1835</v>
      </c>
      <c r="AB14" s="3892"/>
      <c r="AC14" s="2756"/>
      <c r="AD14" s="2978"/>
      <c r="AE14" s="2978"/>
      <c r="AF14" s="2978"/>
      <c r="AG14" s="3889"/>
      <c r="AH14" s="2978"/>
      <c r="AI14" s="2978"/>
      <c r="AJ14" s="2978"/>
      <c r="AK14" s="2978"/>
      <c r="AL14" s="2978"/>
      <c r="AM14" s="2978"/>
      <c r="AN14" s="2978"/>
      <c r="AO14" s="2978"/>
      <c r="AP14" s="2965"/>
      <c r="AQ14" s="2965"/>
      <c r="AR14" s="2978"/>
      <c r="AS14" s="2978"/>
      <c r="AT14" s="2978"/>
      <c r="AU14" s="2978"/>
      <c r="AV14" s="2978"/>
      <c r="AW14" s="2978"/>
      <c r="AX14" s="2978"/>
      <c r="AY14" s="2978"/>
      <c r="AZ14" s="2978"/>
      <c r="BA14" s="2978"/>
      <c r="BB14" s="2978"/>
      <c r="BC14" s="2978"/>
      <c r="BD14" s="2978"/>
      <c r="BE14" s="2978"/>
      <c r="BF14" s="2978"/>
      <c r="BG14" s="2978"/>
      <c r="BH14" s="2978"/>
      <c r="BI14" s="2978"/>
      <c r="BJ14" s="2978"/>
      <c r="BK14" s="3010"/>
      <c r="BL14" s="3010"/>
      <c r="BM14" s="3042"/>
      <c r="BN14" s="2978"/>
      <c r="BO14" s="3899"/>
      <c r="BP14" s="2978"/>
      <c r="BQ14" s="3893"/>
      <c r="BR14" s="3893"/>
      <c r="BS14" s="3893"/>
      <c r="BT14" s="3893"/>
      <c r="BU14" s="3896"/>
    </row>
    <row r="15" spans="1:93" s="4" customFormat="1" ht="95.25" customHeight="1" x14ac:dyDescent="0.25">
      <c r="A15" s="3866"/>
      <c r="B15" s="3867"/>
      <c r="C15" s="2909"/>
      <c r="D15" s="2910"/>
      <c r="E15" s="3872"/>
      <c r="F15" s="3873"/>
      <c r="G15" s="812">
        <v>1702007</v>
      </c>
      <c r="H15" s="732" t="s">
        <v>1836</v>
      </c>
      <c r="I15" s="812">
        <v>1702007</v>
      </c>
      <c r="J15" s="732" t="s">
        <v>1836</v>
      </c>
      <c r="K15" s="1303">
        <v>170200700</v>
      </c>
      <c r="L15" s="731" t="s">
        <v>1837</v>
      </c>
      <c r="M15" s="1303">
        <v>170200700</v>
      </c>
      <c r="N15" s="731" t="s">
        <v>1837</v>
      </c>
      <c r="O15" s="730">
        <f>4+2</f>
        <v>6</v>
      </c>
      <c r="P15" s="1304">
        <v>0</v>
      </c>
      <c r="Q15" s="2716"/>
      <c r="R15" s="2781"/>
      <c r="S15" s="1305">
        <f>X15/T13</f>
        <v>0.16644113667117727</v>
      </c>
      <c r="T15" s="3881"/>
      <c r="U15" s="2993"/>
      <c r="V15" s="684" t="s">
        <v>1838</v>
      </c>
      <c r="W15" s="684" t="s">
        <v>1839</v>
      </c>
      <c r="X15" s="1302">
        <v>123000000</v>
      </c>
      <c r="Y15" s="84"/>
      <c r="Z15" s="84">
        <v>0</v>
      </c>
      <c r="AA15" s="218" t="s">
        <v>1840</v>
      </c>
      <c r="AB15" s="813">
        <v>20</v>
      </c>
      <c r="AC15" s="713" t="s">
        <v>1830</v>
      </c>
      <c r="AD15" s="2978"/>
      <c r="AE15" s="2978"/>
      <c r="AF15" s="2978"/>
      <c r="AG15" s="3889"/>
      <c r="AH15" s="2978"/>
      <c r="AI15" s="2978"/>
      <c r="AJ15" s="2978"/>
      <c r="AK15" s="2978"/>
      <c r="AL15" s="2978"/>
      <c r="AM15" s="2978"/>
      <c r="AN15" s="2978"/>
      <c r="AO15" s="2978"/>
      <c r="AP15" s="2965"/>
      <c r="AQ15" s="2965"/>
      <c r="AR15" s="2978"/>
      <c r="AS15" s="2978"/>
      <c r="AT15" s="2978"/>
      <c r="AU15" s="2978"/>
      <c r="AV15" s="2978"/>
      <c r="AW15" s="2978"/>
      <c r="AX15" s="2978"/>
      <c r="AY15" s="2978"/>
      <c r="AZ15" s="2978"/>
      <c r="BA15" s="2978"/>
      <c r="BB15" s="2978"/>
      <c r="BC15" s="2978"/>
      <c r="BD15" s="2978"/>
      <c r="BE15" s="2978"/>
      <c r="BF15" s="2978"/>
      <c r="BG15" s="2978"/>
      <c r="BH15" s="2978"/>
      <c r="BI15" s="2978"/>
      <c r="BJ15" s="2978"/>
      <c r="BK15" s="3010"/>
      <c r="BL15" s="3010"/>
      <c r="BM15" s="3042"/>
      <c r="BN15" s="2978"/>
      <c r="BO15" s="3899"/>
      <c r="BP15" s="2978"/>
      <c r="BQ15" s="3893"/>
      <c r="BR15" s="3893"/>
      <c r="BS15" s="3893"/>
      <c r="BT15" s="3893"/>
      <c r="BU15" s="3896"/>
    </row>
    <row r="16" spans="1:93" s="4" customFormat="1" ht="53.25" customHeight="1" x14ac:dyDescent="0.25">
      <c r="A16" s="3866"/>
      <c r="B16" s="3867"/>
      <c r="C16" s="2909"/>
      <c r="D16" s="2910"/>
      <c r="E16" s="3872"/>
      <c r="F16" s="3873"/>
      <c r="G16" s="3901">
        <v>1702009</v>
      </c>
      <c r="H16" s="2681" t="s">
        <v>1841</v>
      </c>
      <c r="I16" s="3901">
        <v>1702009</v>
      </c>
      <c r="J16" s="2681" t="s">
        <v>1841</v>
      </c>
      <c r="K16" s="3886">
        <v>170200900</v>
      </c>
      <c r="L16" s="3314" t="s">
        <v>1842</v>
      </c>
      <c r="M16" s="3886">
        <v>170200900</v>
      </c>
      <c r="N16" s="3314" t="s">
        <v>1842</v>
      </c>
      <c r="O16" s="3151">
        <v>168</v>
      </c>
      <c r="P16" s="3877">
        <v>202</v>
      </c>
      <c r="Q16" s="2716"/>
      <c r="R16" s="2781"/>
      <c r="S16" s="3884">
        <f>+(X16+X17)/T13</f>
        <v>0.52774018944519618</v>
      </c>
      <c r="T16" s="3881"/>
      <c r="U16" s="2993"/>
      <c r="V16" s="2545" t="s">
        <v>1843</v>
      </c>
      <c r="W16" s="2545" t="s">
        <v>1844</v>
      </c>
      <c r="X16" s="1302">
        <v>90000000</v>
      </c>
      <c r="Y16" s="84">
        <v>50000000</v>
      </c>
      <c r="Z16" s="84">
        <v>50000000</v>
      </c>
      <c r="AA16" s="218" t="s">
        <v>1845</v>
      </c>
      <c r="AB16" s="813">
        <v>20</v>
      </c>
      <c r="AC16" s="713" t="s">
        <v>1830</v>
      </c>
      <c r="AD16" s="2978"/>
      <c r="AE16" s="2978"/>
      <c r="AF16" s="2978"/>
      <c r="AG16" s="3889"/>
      <c r="AH16" s="2978"/>
      <c r="AI16" s="2978"/>
      <c r="AJ16" s="2978"/>
      <c r="AK16" s="2978"/>
      <c r="AL16" s="2978"/>
      <c r="AM16" s="2978"/>
      <c r="AN16" s="2978"/>
      <c r="AO16" s="2978"/>
      <c r="AP16" s="2965"/>
      <c r="AQ16" s="2965"/>
      <c r="AR16" s="2978"/>
      <c r="AS16" s="2978"/>
      <c r="AT16" s="2978"/>
      <c r="AU16" s="2978"/>
      <c r="AV16" s="2978"/>
      <c r="AW16" s="2978"/>
      <c r="AX16" s="2978"/>
      <c r="AY16" s="2978"/>
      <c r="AZ16" s="2978"/>
      <c r="BA16" s="2978"/>
      <c r="BB16" s="2978"/>
      <c r="BC16" s="2978"/>
      <c r="BD16" s="2978"/>
      <c r="BE16" s="2978"/>
      <c r="BF16" s="2978"/>
      <c r="BG16" s="2978"/>
      <c r="BH16" s="2978"/>
      <c r="BI16" s="2978"/>
      <c r="BJ16" s="2978"/>
      <c r="BK16" s="3010"/>
      <c r="BL16" s="3010"/>
      <c r="BM16" s="3042"/>
      <c r="BN16" s="2978"/>
      <c r="BO16" s="3899"/>
      <c r="BP16" s="2978"/>
      <c r="BQ16" s="3893"/>
      <c r="BR16" s="3893"/>
      <c r="BS16" s="3893"/>
      <c r="BT16" s="3893"/>
      <c r="BU16" s="3896"/>
    </row>
    <row r="17" spans="1:73" s="4" customFormat="1" ht="53.25" customHeight="1" x14ac:dyDescent="0.25">
      <c r="A17" s="3866"/>
      <c r="B17" s="3867"/>
      <c r="C17" s="2909"/>
      <c r="D17" s="2910"/>
      <c r="E17" s="3872"/>
      <c r="F17" s="3873"/>
      <c r="G17" s="3902"/>
      <c r="H17" s="2772"/>
      <c r="I17" s="3902"/>
      <c r="J17" s="2772"/>
      <c r="K17" s="3887"/>
      <c r="L17" s="3312"/>
      <c r="M17" s="3887"/>
      <c r="N17" s="3312"/>
      <c r="O17" s="3153"/>
      <c r="P17" s="3878"/>
      <c r="Q17" s="2717"/>
      <c r="R17" s="2782"/>
      <c r="S17" s="3885"/>
      <c r="T17" s="3882"/>
      <c r="U17" s="2994"/>
      <c r="V17" s="2782"/>
      <c r="W17" s="2782"/>
      <c r="X17" s="1302">
        <v>300000000</v>
      </c>
      <c r="Y17" s="84">
        <v>300000000</v>
      </c>
      <c r="Z17" s="84">
        <v>300000000</v>
      </c>
      <c r="AA17" s="218" t="s">
        <v>1846</v>
      </c>
      <c r="AB17" s="809">
        <v>195</v>
      </c>
      <c r="AC17" s="722" t="s">
        <v>1847</v>
      </c>
      <c r="AD17" s="2979"/>
      <c r="AE17" s="2979"/>
      <c r="AF17" s="2979"/>
      <c r="AG17" s="3890"/>
      <c r="AH17" s="2979"/>
      <c r="AI17" s="2979"/>
      <c r="AJ17" s="2979"/>
      <c r="AK17" s="2979"/>
      <c r="AL17" s="2979"/>
      <c r="AM17" s="2979"/>
      <c r="AN17" s="2979"/>
      <c r="AO17" s="2979"/>
      <c r="AP17" s="2965"/>
      <c r="AQ17" s="2965"/>
      <c r="AR17" s="2979"/>
      <c r="AS17" s="2979"/>
      <c r="AT17" s="2979"/>
      <c r="AU17" s="2979"/>
      <c r="AV17" s="2979"/>
      <c r="AW17" s="2979"/>
      <c r="AX17" s="2979"/>
      <c r="AY17" s="2979"/>
      <c r="AZ17" s="2979"/>
      <c r="BA17" s="2979"/>
      <c r="BB17" s="2979"/>
      <c r="BC17" s="2979"/>
      <c r="BD17" s="2979"/>
      <c r="BE17" s="2979"/>
      <c r="BF17" s="2979"/>
      <c r="BG17" s="2979"/>
      <c r="BH17" s="2979"/>
      <c r="BI17" s="2979"/>
      <c r="BJ17" s="2979"/>
      <c r="BK17" s="3011"/>
      <c r="BL17" s="3011"/>
      <c r="BM17" s="3043"/>
      <c r="BN17" s="2979"/>
      <c r="BO17" s="3900"/>
      <c r="BP17" s="2979"/>
      <c r="BQ17" s="3894"/>
      <c r="BR17" s="3894"/>
      <c r="BS17" s="3894"/>
      <c r="BT17" s="3894"/>
      <c r="BU17" s="3897"/>
    </row>
    <row r="18" spans="1:73" ht="59.25" customHeight="1" x14ac:dyDescent="0.25">
      <c r="A18" s="3866"/>
      <c r="B18" s="3867"/>
      <c r="C18" s="2909"/>
      <c r="D18" s="2910"/>
      <c r="E18" s="3872"/>
      <c r="F18" s="3873"/>
      <c r="G18" s="3116">
        <v>1702017</v>
      </c>
      <c r="H18" s="3314" t="s">
        <v>1848</v>
      </c>
      <c r="I18" s="3116">
        <v>1702017</v>
      </c>
      <c r="J18" s="3314" t="s">
        <v>1848</v>
      </c>
      <c r="K18" s="3323" t="s">
        <v>1849</v>
      </c>
      <c r="L18" s="3314" t="s">
        <v>1850</v>
      </c>
      <c r="M18" s="3323" t="s">
        <v>1849</v>
      </c>
      <c r="N18" s="3314" t="s">
        <v>1850</v>
      </c>
      <c r="O18" s="3907">
        <f>750+10</f>
        <v>760</v>
      </c>
      <c r="P18" s="3877">
        <v>760</v>
      </c>
      <c r="Q18" s="2546" t="s">
        <v>1851</v>
      </c>
      <c r="R18" s="2543" t="s">
        <v>1852</v>
      </c>
      <c r="S18" s="3884">
        <f>SUM(X18:X20)/T18</f>
        <v>0.87737064405377529</v>
      </c>
      <c r="T18" s="3904">
        <f>SUM(X18:X22)</f>
        <v>530052526.97000003</v>
      </c>
      <c r="U18" s="2545" t="s">
        <v>1853</v>
      </c>
      <c r="V18" s="2545" t="s">
        <v>1854</v>
      </c>
      <c r="W18" s="2686" t="s">
        <v>1855</v>
      </c>
      <c r="X18" s="1302">
        <v>90000000</v>
      </c>
      <c r="Y18" s="84">
        <v>88229666</v>
      </c>
      <c r="Z18" s="84">
        <v>88229666</v>
      </c>
      <c r="AA18" s="218" t="s">
        <v>1856</v>
      </c>
      <c r="AB18" s="1306">
        <v>20</v>
      </c>
      <c r="AC18" s="1307" t="s">
        <v>1830</v>
      </c>
      <c r="AD18" s="2977">
        <v>25</v>
      </c>
      <c r="AE18" s="2977"/>
      <c r="AF18" s="2977">
        <v>25</v>
      </c>
      <c r="AG18" s="2977"/>
      <c r="AH18" s="2977">
        <v>10</v>
      </c>
      <c r="AI18" s="2977"/>
      <c r="AJ18" s="2977">
        <v>10</v>
      </c>
      <c r="AK18" s="2977"/>
      <c r="AL18" s="2977">
        <v>20</v>
      </c>
      <c r="AM18" s="2977"/>
      <c r="AN18" s="2977">
        <v>10</v>
      </c>
      <c r="AO18" s="2977"/>
      <c r="AP18" s="2977">
        <v>2145</v>
      </c>
      <c r="AQ18" s="2977"/>
      <c r="AR18" s="2977">
        <v>12718</v>
      </c>
      <c r="AS18" s="2977"/>
      <c r="AT18" s="2977">
        <v>26</v>
      </c>
      <c r="AU18" s="2977"/>
      <c r="AV18" s="2977"/>
      <c r="AW18" s="2977"/>
      <c r="AX18" s="2977"/>
      <c r="AY18" s="2977"/>
      <c r="AZ18" s="2977"/>
      <c r="BA18" s="2977"/>
      <c r="BB18" s="2977"/>
      <c r="BC18" s="2977"/>
      <c r="BD18" s="2977"/>
      <c r="BE18" s="2977"/>
      <c r="BF18" s="2977"/>
      <c r="BG18" s="2977"/>
      <c r="BH18" s="2977">
        <v>50</v>
      </c>
      <c r="BI18" s="2977"/>
      <c r="BJ18" s="2977">
        <v>11</v>
      </c>
      <c r="BK18" s="3009">
        <f>SUM(Y18:Y22)</f>
        <v>399880999</v>
      </c>
      <c r="BL18" s="3009">
        <f>SUM(Z18:Z22)</f>
        <v>399880999</v>
      </c>
      <c r="BM18" s="2682">
        <f>+BL18/BK18</f>
        <v>1</v>
      </c>
      <c r="BN18" s="2977" t="s">
        <v>440</v>
      </c>
      <c r="BO18" s="3898" t="s">
        <v>1857</v>
      </c>
      <c r="BP18" s="2977" t="s">
        <v>1858</v>
      </c>
      <c r="BQ18" s="3913">
        <v>44211</v>
      </c>
      <c r="BR18" s="3913">
        <v>44242</v>
      </c>
      <c r="BS18" s="3913">
        <v>44561</v>
      </c>
      <c r="BT18" s="3913">
        <v>44551</v>
      </c>
      <c r="BU18" s="3895" t="s">
        <v>1834</v>
      </c>
    </row>
    <row r="19" spans="1:73" ht="59.25" customHeight="1" x14ac:dyDescent="0.25">
      <c r="A19" s="3866"/>
      <c r="B19" s="3867"/>
      <c r="C19" s="2909"/>
      <c r="D19" s="2910"/>
      <c r="E19" s="3872"/>
      <c r="F19" s="3873"/>
      <c r="G19" s="3117"/>
      <c r="H19" s="3313"/>
      <c r="I19" s="3117"/>
      <c r="J19" s="3313"/>
      <c r="K19" s="3322"/>
      <c r="L19" s="3313"/>
      <c r="M19" s="3322"/>
      <c r="N19" s="3313"/>
      <c r="O19" s="3908"/>
      <c r="P19" s="3910"/>
      <c r="Q19" s="2546"/>
      <c r="R19" s="2543"/>
      <c r="S19" s="3903"/>
      <c r="T19" s="3904"/>
      <c r="U19" s="2781"/>
      <c r="V19" s="2781"/>
      <c r="W19" s="3905"/>
      <c r="X19" s="1302">
        <v>40000000</v>
      </c>
      <c r="Y19" s="84"/>
      <c r="Z19" s="84">
        <v>0</v>
      </c>
      <c r="AA19" s="218" t="s">
        <v>1859</v>
      </c>
      <c r="AB19" s="1306">
        <v>20</v>
      </c>
      <c r="AC19" s="1307" t="s">
        <v>1830</v>
      </c>
      <c r="AD19" s="2978"/>
      <c r="AE19" s="2978"/>
      <c r="AF19" s="2978"/>
      <c r="AG19" s="2978"/>
      <c r="AH19" s="2978"/>
      <c r="AI19" s="2978"/>
      <c r="AJ19" s="2978"/>
      <c r="AK19" s="2978"/>
      <c r="AL19" s="2978"/>
      <c r="AM19" s="2978"/>
      <c r="AN19" s="2978"/>
      <c r="AO19" s="2978"/>
      <c r="AP19" s="2978"/>
      <c r="AQ19" s="2978"/>
      <c r="AR19" s="2978"/>
      <c r="AS19" s="2978"/>
      <c r="AT19" s="2978"/>
      <c r="AU19" s="2978"/>
      <c r="AV19" s="2978"/>
      <c r="AW19" s="2978"/>
      <c r="AX19" s="2978"/>
      <c r="AY19" s="2978"/>
      <c r="AZ19" s="2978"/>
      <c r="BA19" s="2978"/>
      <c r="BB19" s="2978"/>
      <c r="BC19" s="2978"/>
      <c r="BD19" s="2978"/>
      <c r="BE19" s="2978"/>
      <c r="BF19" s="2978"/>
      <c r="BG19" s="2978"/>
      <c r="BH19" s="2978"/>
      <c r="BI19" s="2978"/>
      <c r="BJ19" s="2978"/>
      <c r="BK19" s="3010"/>
      <c r="BL19" s="3010"/>
      <c r="BM19" s="3042"/>
      <c r="BN19" s="2978"/>
      <c r="BO19" s="3899"/>
      <c r="BP19" s="2978"/>
      <c r="BQ19" s="3914"/>
      <c r="BR19" s="3914"/>
      <c r="BS19" s="3914"/>
      <c r="BT19" s="3914"/>
      <c r="BU19" s="3896"/>
    </row>
    <row r="20" spans="1:73" ht="59.25" customHeight="1" x14ac:dyDescent="0.25">
      <c r="A20" s="3866"/>
      <c r="B20" s="3867"/>
      <c r="C20" s="2909"/>
      <c r="D20" s="2910"/>
      <c r="E20" s="3872"/>
      <c r="F20" s="3873"/>
      <c r="G20" s="3118"/>
      <c r="H20" s="3312"/>
      <c r="I20" s="3118"/>
      <c r="J20" s="3312"/>
      <c r="K20" s="3321"/>
      <c r="L20" s="3312"/>
      <c r="M20" s="3321"/>
      <c r="N20" s="3312"/>
      <c r="O20" s="3909"/>
      <c r="P20" s="3878"/>
      <c r="Q20" s="2546"/>
      <c r="R20" s="2543"/>
      <c r="S20" s="3885"/>
      <c r="T20" s="3904"/>
      <c r="U20" s="2781"/>
      <c r="V20" s="2782"/>
      <c r="W20" s="3906"/>
      <c r="X20" s="1302">
        <v>335052526.97000003</v>
      </c>
      <c r="Y20" s="84">
        <v>300000000</v>
      </c>
      <c r="Z20" s="84">
        <v>300000000</v>
      </c>
      <c r="AA20" s="218" t="s">
        <v>1860</v>
      </c>
      <c r="AB20" s="1306">
        <v>88</v>
      </c>
      <c r="AC20" s="1307" t="s">
        <v>1861</v>
      </c>
      <c r="AD20" s="2978"/>
      <c r="AE20" s="2978"/>
      <c r="AF20" s="2978"/>
      <c r="AG20" s="2978"/>
      <c r="AH20" s="2978"/>
      <c r="AI20" s="2978"/>
      <c r="AJ20" s="2978"/>
      <c r="AK20" s="2978"/>
      <c r="AL20" s="2978"/>
      <c r="AM20" s="2978"/>
      <c r="AN20" s="2978"/>
      <c r="AO20" s="2978"/>
      <c r="AP20" s="2978"/>
      <c r="AQ20" s="2978"/>
      <c r="AR20" s="2978"/>
      <c r="AS20" s="2978"/>
      <c r="AT20" s="2978"/>
      <c r="AU20" s="2978"/>
      <c r="AV20" s="2978"/>
      <c r="AW20" s="2978"/>
      <c r="AX20" s="2978"/>
      <c r="AY20" s="2978"/>
      <c r="AZ20" s="2978"/>
      <c r="BA20" s="2978"/>
      <c r="BB20" s="2978"/>
      <c r="BC20" s="2978"/>
      <c r="BD20" s="2978"/>
      <c r="BE20" s="2978"/>
      <c r="BF20" s="2978"/>
      <c r="BG20" s="2978"/>
      <c r="BH20" s="2978"/>
      <c r="BI20" s="2978"/>
      <c r="BJ20" s="2978"/>
      <c r="BK20" s="3010"/>
      <c r="BL20" s="3010"/>
      <c r="BM20" s="3042"/>
      <c r="BN20" s="2978"/>
      <c r="BO20" s="3899"/>
      <c r="BP20" s="2978"/>
      <c r="BQ20" s="3914"/>
      <c r="BR20" s="3914"/>
      <c r="BS20" s="3914"/>
      <c r="BT20" s="3914"/>
      <c r="BU20" s="3896"/>
    </row>
    <row r="21" spans="1:73" ht="59.25" customHeight="1" x14ac:dyDescent="0.25">
      <c r="A21" s="3866"/>
      <c r="B21" s="3867"/>
      <c r="C21" s="2909"/>
      <c r="D21" s="2910"/>
      <c r="E21" s="3872"/>
      <c r="F21" s="3873"/>
      <c r="G21" s="812">
        <v>1702014</v>
      </c>
      <c r="H21" s="732" t="s">
        <v>1862</v>
      </c>
      <c r="I21" s="812">
        <v>1702014</v>
      </c>
      <c r="J21" s="732" t="s">
        <v>1862</v>
      </c>
      <c r="K21" s="1308" t="s">
        <v>1863</v>
      </c>
      <c r="L21" s="731" t="s">
        <v>1864</v>
      </c>
      <c r="M21" s="1308" t="s">
        <v>1863</v>
      </c>
      <c r="N21" s="731" t="s">
        <v>1864</v>
      </c>
      <c r="O21" s="730">
        <f>25+25</f>
        <v>50</v>
      </c>
      <c r="P21" s="1304">
        <v>0</v>
      </c>
      <c r="Q21" s="2546"/>
      <c r="R21" s="2543"/>
      <c r="S21" s="1305">
        <f>+X21/T18</f>
        <v>8.4897246424309403E-2</v>
      </c>
      <c r="T21" s="3904"/>
      <c r="U21" s="2781"/>
      <c r="V21" s="684" t="s">
        <v>1865</v>
      </c>
      <c r="W21" s="827" t="s">
        <v>1866</v>
      </c>
      <c r="X21" s="1302">
        <v>45000000</v>
      </c>
      <c r="Y21" s="84"/>
      <c r="Z21" s="84">
        <v>0</v>
      </c>
      <c r="AA21" s="218" t="s">
        <v>1867</v>
      </c>
      <c r="AB21" s="804">
        <v>20</v>
      </c>
      <c r="AC21" s="724" t="s">
        <v>1830</v>
      </c>
      <c r="AD21" s="2978"/>
      <c r="AE21" s="2978"/>
      <c r="AF21" s="2978"/>
      <c r="AG21" s="2978"/>
      <c r="AH21" s="2978"/>
      <c r="AI21" s="2978"/>
      <c r="AJ21" s="2978"/>
      <c r="AK21" s="2978"/>
      <c r="AL21" s="2978"/>
      <c r="AM21" s="2978"/>
      <c r="AN21" s="2978"/>
      <c r="AO21" s="2978"/>
      <c r="AP21" s="2978"/>
      <c r="AQ21" s="2978"/>
      <c r="AR21" s="2978"/>
      <c r="AS21" s="2978"/>
      <c r="AT21" s="2978"/>
      <c r="AU21" s="2978"/>
      <c r="AV21" s="2978"/>
      <c r="AW21" s="2978"/>
      <c r="AX21" s="2978"/>
      <c r="AY21" s="2978"/>
      <c r="AZ21" s="2978"/>
      <c r="BA21" s="2978"/>
      <c r="BB21" s="2978"/>
      <c r="BC21" s="2978"/>
      <c r="BD21" s="2978"/>
      <c r="BE21" s="2978"/>
      <c r="BF21" s="2978"/>
      <c r="BG21" s="2978"/>
      <c r="BH21" s="2978"/>
      <c r="BI21" s="2978"/>
      <c r="BJ21" s="2978"/>
      <c r="BK21" s="3010"/>
      <c r="BL21" s="3010"/>
      <c r="BM21" s="3042"/>
      <c r="BN21" s="2978"/>
      <c r="BO21" s="3899"/>
      <c r="BP21" s="2978"/>
      <c r="BQ21" s="3914"/>
      <c r="BR21" s="3914"/>
      <c r="BS21" s="3914"/>
      <c r="BT21" s="3914"/>
      <c r="BU21" s="3896"/>
    </row>
    <row r="22" spans="1:73" ht="59.25" customHeight="1" x14ac:dyDescent="0.25">
      <c r="A22" s="3866"/>
      <c r="B22" s="3867"/>
      <c r="C22" s="2909"/>
      <c r="D22" s="2910"/>
      <c r="E22" s="3872"/>
      <c r="F22" s="3873"/>
      <c r="G22" s="812">
        <v>1702021</v>
      </c>
      <c r="H22" s="732" t="s">
        <v>1868</v>
      </c>
      <c r="I22" s="812">
        <v>1702021</v>
      </c>
      <c r="J22" s="732" t="s">
        <v>1868</v>
      </c>
      <c r="K22" s="1308" t="s">
        <v>1869</v>
      </c>
      <c r="L22" s="731" t="s">
        <v>1870</v>
      </c>
      <c r="M22" s="1308" t="s">
        <v>1869</v>
      </c>
      <c r="N22" s="731" t="s">
        <v>1870</v>
      </c>
      <c r="O22" s="730">
        <f>150+50</f>
        <v>200</v>
      </c>
      <c r="P22" s="1304">
        <v>225</v>
      </c>
      <c r="Q22" s="2546"/>
      <c r="R22" s="2543"/>
      <c r="S22" s="1305">
        <f>+X22/T18</f>
        <v>3.7732109521915289E-2</v>
      </c>
      <c r="T22" s="3904"/>
      <c r="U22" s="2782"/>
      <c r="V22" s="684" t="s">
        <v>1871</v>
      </c>
      <c r="W22" s="827" t="s">
        <v>1872</v>
      </c>
      <c r="X22" s="1302">
        <v>20000000</v>
      </c>
      <c r="Y22" s="84">
        <v>11651333</v>
      </c>
      <c r="Z22" s="84">
        <v>11651333</v>
      </c>
      <c r="AA22" s="218" t="s">
        <v>1873</v>
      </c>
      <c r="AB22" s="813">
        <v>20</v>
      </c>
      <c r="AC22" s="713" t="s">
        <v>1830</v>
      </c>
      <c r="AD22" s="2979"/>
      <c r="AE22" s="2979"/>
      <c r="AF22" s="2979"/>
      <c r="AG22" s="2979"/>
      <c r="AH22" s="2979"/>
      <c r="AI22" s="2979"/>
      <c r="AJ22" s="2979"/>
      <c r="AK22" s="2979"/>
      <c r="AL22" s="2979"/>
      <c r="AM22" s="2979"/>
      <c r="AN22" s="2979"/>
      <c r="AO22" s="2979"/>
      <c r="AP22" s="2979"/>
      <c r="AQ22" s="2979"/>
      <c r="AR22" s="2979"/>
      <c r="AS22" s="2979"/>
      <c r="AT22" s="2979"/>
      <c r="AU22" s="2979"/>
      <c r="AV22" s="2979"/>
      <c r="AW22" s="2979"/>
      <c r="AX22" s="2979"/>
      <c r="AY22" s="2979"/>
      <c r="AZ22" s="2979"/>
      <c r="BA22" s="2979"/>
      <c r="BB22" s="2979"/>
      <c r="BC22" s="2979"/>
      <c r="BD22" s="2979"/>
      <c r="BE22" s="2979"/>
      <c r="BF22" s="2979"/>
      <c r="BG22" s="2979"/>
      <c r="BH22" s="2979"/>
      <c r="BI22" s="2979"/>
      <c r="BJ22" s="2979"/>
      <c r="BK22" s="3011"/>
      <c r="BL22" s="3011"/>
      <c r="BM22" s="3043"/>
      <c r="BN22" s="2979"/>
      <c r="BO22" s="3900"/>
      <c r="BP22" s="2979"/>
      <c r="BQ22" s="3915"/>
      <c r="BR22" s="3915">
        <v>44242</v>
      </c>
      <c r="BS22" s="3915">
        <v>44561</v>
      </c>
      <c r="BT22" s="3915">
        <v>44391</v>
      </c>
      <c r="BU22" s="3897"/>
    </row>
    <row r="23" spans="1:73" ht="37.5" customHeight="1" x14ac:dyDescent="0.25">
      <c r="A23" s="3866"/>
      <c r="B23" s="3867"/>
      <c r="C23" s="2909"/>
      <c r="D23" s="2910"/>
      <c r="E23" s="3872"/>
      <c r="F23" s="3873"/>
      <c r="G23" s="3901">
        <v>1702038</v>
      </c>
      <c r="H23" s="2680" t="s">
        <v>1874</v>
      </c>
      <c r="I23" s="3901">
        <v>1702038</v>
      </c>
      <c r="J23" s="2680" t="s">
        <v>1874</v>
      </c>
      <c r="K23" s="2745" t="s">
        <v>1875</v>
      </c>
      <c r="L23" s="2681" t="s">
        <v>1876</v>
      </c>
      <c r="M23" s="2745" t="s">
        <v>1875</v>
      </c>
      <c r="N23" s="2681" t="s">
        <v>1876</v>
      </c>
      <c r="O23" s="3151">
        <v>30</v>
      </c>
      <c r="P23" s="3877">
        <v>30</v>
      </c>
      <c r="Q23" s="2546" t="s">
        <v>1877</v>
      </c>
      <c r="R23" s="2543" t="s">
        <v>1878</v>
      </c>
      <c r="S23" s="3911">
        <f>+(X23+X24+X25)/T23</f>
        <v>1</v>
      </c>
      <c r="T23" s="3904">
        <f>SUM(X23:X25)</f>
        <v>188606585.66</v>
      </c>
      <c r="U23" s="2545" t="s">
        <v>1879</v>
      </c>
      <c r="V23" s="2545" t="s">
        <v>1880</v>
      </c>
      <c r="W23" s="2686" t="s">
        <v>1881</v>
      </c>
      <c r="X23" s="1302">
        <v>65000000</v>
      </c>
      <c r="Y23" s="84">
        <v>65000000</v>
      </c>
      <c r="Z23" s="84">
        <v>65000000</v>
      </c>
      <c r="AA23" s="218" t="s">
        <v>1882</v>
      </c>
      <c r="AB23" s="813">
        <v>20</v>
      </c>
      <c r="AC23" s="713" t="s">
        <v>1830</v>
      </c>
      <c r="AD23" s="3916">
        <v>480</v>
      </c>
      <c r="AE23" s="3916"/>
      <c r="AF23" s="3916">
        <v>500</v>
      </c>
      <c r="AG23" s="3916"/>
      <c r="AH23" s="3916"/>
      <c r="AI23" s="3916"/>
      <c r="AJ23" s="3916">
        <v>150</v>
      </c>
      <c r="AK23" s="3916"/>
      <c r="AL23" s="3916">
        <v>680</v>
      </c>
      <c r="AM23" s="3916"/>
      <c r="AN23" s="3916">
        <v>150</v>
      </c>
      <c r="AO23" s="3916"/>
      <c r="AP23" s="3916"/>
      <c r="AQ23" s="3916"/>
      <c r="AR23" s="3916"/>
      <c r="AS23" s="3916"/>
      <c r="AT23" s="3916"/>
      <c r="AU23" s="3916"/>
      <c r="AV23" s="3916"/>
      <c r="AW23" s="3916"/>
      <c r="AX23" s="3916"/>
      <c r="AY23" s="3916"/>
      <c r="AZ23" s="3916"/>
      <c r="BA23" s="3916"/>
      <c r="BB23" s="3916"/>
      <c r="BC23" s="3916"/>
      <c r="BD23" s="3916"/>
      <c r="BE23" s="3916"/>
      <c r="BF23" s="3916"/>
      <c r="BG23" s="3916"/>
      <c r="BH23" s="3916">
        <v>980</v>
      </c>
      <c r="BI23" s="3916"/>
      <c r="BJ23" s="2977">
        <v>4</v>
      </c>
      <c r="BK23" s="3919">
        <f>SUM(Y23:Y25)</f>
        <v>78670000</v>
      </c>
      <c r="BL23" s="3919">
        <f>SUM(Z23:Z25)</f>
        <v>78670000</v>
      </c>
      <c r="BM23" s="3039">
        <f>+BL23/BK23</f>
        <v>1</v>
      </c>
      <c r="BN23" s="3916" t="s">
        <v>1831</v>
      </c>
      <c r="BO23" s="3922" t="s">
        <v>1883</v>
      </c>
      <c r="BP23" s="3916" t="s">
        <v>1833</v>
      </c>
      <c r="BQ23" s="3913">
        <v>44211</v>
      </c>
      <c r="BR23" s="3913">
        <v>44245</v>
      </c>
      <c r="BS23" s="3913">
        <v>44561</v>
      </c>
      <c r="BT23" s="3913">
        <v>44551</v>
      </c>
      <c r="BU23" s="3895" t="s">
        <v>1834</v>
      </c>
    </row>
    <row r="24" spans="1:73" ht="47.25" customHeight="1" x14ac:dyDescent="0.25">
      <c r="A24" s="3866"/>
      <c r="B24" s="3867"/>
      <c r="C24" s="2909"/>
      <c r="D24" s="2910"/>
      <c r="E24" s="3872"/>
      <c r="F24" s="3873"/>
      <c r="G24" s="3912"/>
      <c r="H24" s="2680"/>
      <c r="I24" s="3912"/>
      <c r="J24" s="2680"/>
      <c r="K24" s="2770"/>
      <c r="L24" s="2772"/>
      <c r="M24" s="2770"/>
      <c r="N24" s="2772"/>
      <c r="O24" s="3153"/>
      <c r="P24" s="3878"/>
      <c r="Q24" s="2546"/>
      <c r="R24" s="2543"/>
      <c r="S24" s="3911"/>
      <c r="T24" s="3904"/>
      <c r="U24" s="2781"/>
      <c r="V24" s="2781"/>
      <c r="W24" s="3906"/>
      <c r="X24" s="1302">
        <v>105606585.66</v>
      </c>
      <c r="Y24" s="84"/>
      <c r="Z24" s="84">
        <v>0</v>
      </c>
      <c r="AA24" s="218" t="s">
        <v>1884</v>
      </c>
      <c r="AB24" s="813">
        <v>195</v>
      </c>
      <c r="AC24" s="722" t="s">
        <v>1847</v>
      </c>
      <c r="AD24" s="3917"/>
      <c r="AE24" s="3917"/>
      <c r="AF24" s="3917"/>
      <c r="AG24" s="3917"/>
      <c r="AH24" s="3917"/>
      <c r="AI24" s="3917"/>
      <c r="AJ24" s="3917"/>
      <c r="AK24" s="3917"/>
      <c r="AL24" s="3917"/>
      <c r="AM24" s="3917"/>
      <c r="AN24" s="3917"/>
      <c r="AO24" s="3917"/>
      <c r="AP24" s="3917"/>
      <c r="AQ24" s="3917"/>
      <c r="AR24" s="3917"/>
      <c r="AS24" s="3917"/>
      <c r="AT24" s="3917"/>
      <c r="AU24" s="3917"/>
      <c r="AV24" s="3917"/>
      <c r="AW24" s="3917"/>
      <c r="AX24" s="3917"/>
      <c r="AY24" s="3917"/>
      <c r="AZ24" s="3917"/>
      <c r="BA24" s="3917"/>
      <c r="BB24" s="3917"/>
      <c r="BC24" s="3917"/>
      <c r="BD24" s="3917"/>
      <c r="BE24" s="3917"/>
      <c r="BF24" s="3917"/>
      <c r="BG24" s="3917"/>
      <c r="BH24" s="3917"/>
      <c r="BI24" s="3917"/>
      <c r="BJ24" s="2978"/>
      <c r="BK24" s="3920"/>
      <c r="BL24" s="3920"/>
      <c r="BM24" s="3040"/>
      <c r="BN24" s="3917"/>
      <c r="BO24" s="3923"/>
      <c r="BP24" s="3917"/>
      <c r="BQ24" s="3914"/>
      <c r="BR24" s="3914"/>
      <c r="BS24" s="3914"/>
      <c r="BT24" s="3914"/>
      <c r="BU24" s="3896"/>
    </row>
    <row r="25" spans="1:73" ht="57" customHeight="1" x14ac:dyDescent="0.25">
      <c r="A25" s="3866"/>
      <c r="B25" s="3867"/>
      <c r="C25" s="2909"/>
      <c r="D25" s="2910"/>
      <c r="E25" s="3872"/>
      <c r="F25" s="3873"/>
      <c r="G25" s="3902"/>
      <c r="H25" s="2680"/>
      <c r="I25" s="3902"/>
      <c r="J25" s="2680"/>
      <c r="K25" s="683" t="s">
        <v>1885</v>
      </c>
      <c r="L25" s="732" t="s">
        <v>1886</v>
      </c>
      <c r="M25" s="683" t="s">
        <v>1885</v>
      </c>
      <c r="N25" s="732" t="s">
        <v>1886</v>
      </c>
      <c r="O25" s="730">
        <f>80+10</f>
        <v>90</v>
      </c>
      <c r="P25" s="1309">
        <v>90</v>
      </c>
      <c r="Q25" s="2546"/>
      <c r="R25" s="2543"/>
      <c r="S25" s="3911"/>
      <c r="T25" s="3904"/>
      <c r="U25" s="2782"/>
      <c r="V25" s="2782"/>
      <c r="W25" s="827" t="s">
        <v>1887</v>
      </c>
      <c r="X25" s="1302">
        <v>18000000</v>
      </c>
      <c r="Y25" s="84">
        <v>13670000</v>
      </c>
      <c r="Z25" s="84">
        <v>13670000</v>
      </c>
      <c r="AA25" s="218" t="s">
        <v>1882</v>
      </c>
      <c r="AB25" s="813">
        <v>20</v>
      </c>
      <c r="AC25" s="713" t="s">
        <v>1830</v>
      </c>
      <c r="AD25" s="3918"/>
      <c r="AE25" s="3918"/>
      <c r="AF25" s="3918"/>
      <c r="AG25" s="3918"/>
      <c r="AH25" s="3918"/>
      <c r="AI25" s="3918"/>
      <c r="AJ25" s="3918"/>
      <c r="AK25" s="3918"/>
      <c r="AL25" s="3918"/>
      <c r="AM25" s="3918"/>
      <c r="AN25" s="3918"/>
      <c r="AO25" s="3918"/>
      <c r="AP25" s="3918"/>
      <c r="AQ25" s="3918"/>
      <c r="AR25" s="3918"/>
      <c r="AS25" s="3918"/>
      <c r="AT25" s="3918"/>
      <c r="AU25" s="3918"/>
      <c r="AV25" s="3918"/>
      <c r="AW25" s="3918"/>
      <c r="AX25" s="3918"/>
      <c r="AY25" s="3918"/>
      <c r="AZ25" s="3918"/>
      <c r="BA25" s="3918"/>
      <c r="BB25" s="3918"/>
      <c r="BC25" s="3918"/>
      <c r="BD25" s="3918"/>
      <c r="BE25" s="3918"/>
      <c r="BF25" s="3918"/>
      <c r="BG25" s="3918"/>
      <c r="BH25" s="3918"/>
      <c r="BI25" s="3918"/>
      <c r="BJ25" s="2979"/>
      <c r="BK25" s="3921"/>
      <c r="BL25" s="3921"/>
      <c r="BM25" s="3041"/>
      <c r="BN25" s="3918"/>
      <c r="BO25" s="3924"/>
      <c r="BP25" s="3918"/>
      <c r="BQ25" s="3915"/>
      <c r="BR25" s="3915"/>
      <c r="BS25" s="3915">
        <v>44561</v>
      </c>
      <c r="BT25" s="3915">
        <v>44371</v>
      </c>
      <c r="BU25" s="3897"/>
    </row>
    <row r="26" spans="1:73" ht="50.25" customHeight="1" x14ac:dyDescent="0.25">
      <c r="A26" s="3866"/>
      <c r="B26" s="3867"/>
      <c r="C26" s="2909"/>
      <c r="D26" s="2910"/>
      <c r="E26" s="3872"/>
      <c r="F26" s="3873"/>
      <c r="G26" s="812">
        <v>1702023</v>
      </c>
      <c r="H26" s="732" t="s">
        <v>941</v>
      </c>
      <c r="I26" s="812">
        <v>1702023</v>
      </c>
      <c r="J26" s="732" t="s">
        <v>941</v>
      </c>
      <c r="K26" s="683" t="s">
        <v>1888</v>
      </c>
      <c r="L26" s="732" t="s">
        <v>1889</v>
      </c>
      <c r="M26" s="683" t="s">
        <v>1888</v>
      </c>
      <c r="N26" s="732" t="s">
        <v>1889</v>
      </c>
      <c r="O26" s="730">
        <v>1</v>
      </c>
      <c r="P26" s="1304">
        <v>1</v>
      </c>
      <c r="Q26" s="2544" t="s">
        <v>1890</v>
      </c>
      <c r="R26" s="2543" t="s">
        <v>1891</v>
      </c>
      <c r="S26" s="1208">
        <f>X26/T26</f>
        <v>0.4279954674695699</v>
      </c>
      <c r="T26" s="3904">
        <f>SUM(X26:X27)</f>
        <v>78242387</v>
      </c>
      <c r="U26" s="2545" t="s">
        <v>1891</v>
      </c>
      <c r="V26" s="1310" t="s">
        <v>1892</v>
      </c>
      <c r="W26" s="1311" t="s">
        <v>1893</v>
      </c>
      <c r="X26" s="1302">
        <v>33487387</v>
      </c>
      <c r="Y26" s="84">
        <v>32310000</v>
      </c>
      <c r="Z26" s="84">
        <v>32310000</v>
      </c>
      <c r="AA26" s="218" t="s">
        <v>1894</v>
      </c>
      <c r="AB26" s="813">
        <v>20</v>
      </c>
      <c r="AC26" s="713" t="s">
        <v>1830</v>
      </c>
      <c r="AD26" s="3916">
        <v>65000</v>
      </c>
      <c r="AE26" s="3916"/>
      <c r="AF26" s="3916">
        <v>65000</v>
      </c>
      <c r="AG26" s="3916"/>
      <c r="AH26" s="3916">
        <v>22000</v>
      </c>
      <c r="AI26" s="3916"/>
      <c r="AJ26" s="3916">
        <v>14000</v>
      </c>
      <c r="AK26" s="3916"/>
      <c r="AL26" s="3916">
        <v>79000</v>
      </c>
      <c r="AM26" s="3916"/>
      <c r="AN26" s="3916">
        <v>15000</v>
      </c>
      <c r="AO26" s="3916"/>
      <c r="AP26" s="3916"/>
      <c r="AQ26" s="3916"/>
      <c r="AR26" s="3916"/>
      <c r="AS26" s="3916"/>
      <c r="AT26" s="3916"/>
      <c r="AU26" s="3916"/>
      <c r="AV26" s="3916"/>
      <c r="AW26" s="3916"/>
      <c r="AX26" s="3916"/>
      <c r="AY26" s="3916"/>
      <c r="AZ26" s="3916"/>
      <c r="BA26" s="3916"/>
      <c r="BB26" s="3916"/>
      <c r="BC26" s="3916"/>
      <c r="BD26" s="3916"/>
      <c r="BE26" s="3916"/>
      <c r="BF26" s="3916"/>
      <c r="BG26" s="3916"/>
      <c r="BH26" s="3916">
        <v>130000</v>
      </c>
      <c r="BI26" s="3916"/>
      <c r="BJ26" s="2977">
        <v>8</v>
      </c>
      <c r="BK26" s="3919">
        <f>SUM(Y26:Y27)</f>
        <v>77065000</v>
      </c>
      <c r="BL26" s="3919">
        <f>SUM(Z26:Z27)</f>
        <v>77065000</v>
      </c>
      <c r="BM26" s="3039">
        <f>+BL26/BK26</f>
        <v>1</v>
      </c>
      <c r="BN26" s="3916">
        <v>20</v>
      </c>
      <c r="BO26" s="3922" t="s">
        <v>1830</v>
      </c>
      <c r="BP26" s="3916" t="s">
        <v>1858</v>
      </c>
      <c r="BQ26" s="3913">
        <v>44211</v>
      </c>
      <c r="BR26" s="3913">
        <v>44228</v>
      </c>
      <c r="BS26" s="3913">
        <v>44561</v>
      </c>
      <c r="BT26" s="3913">
        <v>44551</v>
      </c>
      <c r="BU26" s="3895" t="s">
        <v>1834</v>
      </c>
    </row>
    <row r="27" spans="1:73" ht="75" customHeight="1" x14ac:dyDescent="0.25">
      <c r="A27" s="3866"/>
      <c r="B27" s="3867"/>
      <c r="C27" s="2909"/>
      <c r="D27" s="2910"/>
      <c r="E27" s="3872"/>
      <c r="F27" s="3873"/>
      <c r="G27" s="812">
        <v>1702024</v>
      </c>
      <c r="H27" s="732" t="s">
        <v>1895</v>
      </c>
      <c r="I27" s="812">
        <v>1702024</v>
      </c>
      <c r="J27" s="732" t="s">
        <v>1895</v>
      </c>
      <c r="K27" s="1308" t="s">
        <v>1896</v>
      </c>
      <c r="L27" s="731" t="s">
        <v>1897</v>
      </c>
      <c r="M27" s="1308" t="s">
        <v>1896</v>
      </c>
      <c r="N27" s="731" t="s">
        <v>1897</v>
      </c>
      <c r="O27" s="730">
        <v>12</v>
      </c>
      <c r="P27" s="1304">
        <v>12</v>
      </c>
      <c r="Q27" s="2544"/>
      <c r="R27" s="2543"/>
      <c r="S27" s="1208">
        <f>X27/T26</f>
        <v>0.57200453253043004</v>
      </c>
      <c r="T27" s="3904"/>
      <c r="U27" s="2782"/>
      <c r="V27" s="1310" t="s">
        <v>1898</v>
      </c>
      <c r="W27" s="1311" t="s">
        <v>1899</v>
      </c>
      <c r="X27" s="1302">
        <v>44755000</v>
      </c>
      <c r="Y27" s="84">
        <v>44755000</v>
      </c>
      <c r="Z27" s="84">
        <v>44755000</v>
      </c>
      <c r="AA27" s="218" t="s">
        <v>1900</v>
      </c>
      <c r="AB27" s="813">
        <v>20</v>
      </c>
      <c r="AC27" s="713" t="s">
        <v>1830</v>
      </c>
      <c r="AD27" s="3918"/>
      <c r="AE27" s="3918"/>
      <c r="AF27" s="3918"/>
      <c r="AG27" s="3918"/>
      <c r="AH27" s="3918"/>
      <c r="AI27" s="3918"/>
      <c r="AJ27" s="3918"/>
      <c r="AK27" s="3918"/>
      <c r="AL27" s="3918"/>
      <c r="AM27" s="3918"/>
      <c r="AN27" s="3918"/>
      <c r="AO27" s="3918"/>
      <c r="AP27" s="3918"/>
      <c r="AQ27" s="3918"/>
      <c r="AR27" s="3918"/>
      <c r="AS27" s="3918"/>
      <c r="AT27" s="3918"/>
      <c r="AU27" s="3918"/>
      <c r="AV27" s="3918"/>
      <c r="AW27" s="3918"/>
      <c r="AX27" s="3918"/>
      <c r="AY27" s="3918"/>
      <c r="AZ27" s="3918"/>
      <c r="BA27" s="3918"/>
      <c r="BB27" s="3918"/>
      <c r="BC27" s="3918"/>
      <c r="BD27" s="3918"/>
      <c r="BE27" s="3918"/>
      <c r="BF27" s="3918"/>
      <c r="BG27" s="3918"/>
      <c r="BH27" s="3918"/>
      <c r="BI27" s="3918"/>
      <c r="BJ27" s="2979"/>
      <c r="BK27" s="3921"/>
      <c r="BL27" s="3921"/>
      <c r="BM27" s="3041"/>
      <c r="BN27" s="3918"/>
      <c r="BO27" s="3924"/>
      <c r="BP27" s="3918"/>
      <c r="BQ27" s="3915"/>
      <c r="BR27" s="3915">
        <v>44228</v>
      </c>
      <c r="BS27" s="3915">
        <v>44561</v>
      </c>
      <c r="BT27" s="3915">
        <v>44379</v>
      </c>
      <c r="BU27" s="3897"/>
    </row>
    <row r="28" spans="1:73" ht="90" customHeight="1" x14ac:dyDescent="0.25">
      <c r="A28" s="3866"/>
      <c r="B28" s="3867"/>
      <c r="C28" s="2909"/>
      <c r="D28" s="2910"/>
      <c r="E28" s="3874"/>
      <c r="F28" s="3875"/>
      <c r="G28" s="812">
        <v>1702025</v>
      </c>
      <c r="H28" s="732" t="s">
        <v>1901</v>
      </c>
      <c r="I28" s="812">
        <v>1702025</v>
      </c>
      <c r="J28" s="732" t="s">
        <v>1901</v>
      </c>
      <c r="K28" s="1308" t="s">
        <v>1902</v>
      </c>
      <c r="L28" s="731" t="s">
        <v>1903</v>
      </c>
      <c r="M28" s="1308" t="s">
        <v>1902</v>
      </c>
      <c r="N28" s="731" t="s">
        <v>1903</v>
      </c>
      <c r="O28" s="730">
        <v>25</v>
      </c>
      <c r="P28" s="1304">
        <v>28</v>
      </c>
      <c r="Q28" s="683" t="s">
        <v>1904</v>
      </c>
      <c r="R28" s="732" t="s">
        <v>1905</v>
      </c>
      <c r="S28" s="1208">
        <f>X28/T28</f>
        <v>1</v>
      </c>
      <c r="T28" s="478">
        <f>SUM(X28)</f>
        <v>27000000</v>
      </c>
      <c r="U28" s="684" t="s">
        <v>1906</v>
      </c>
      <c r="V28" s="684" t="s">
        <v>1907</v>
      </c>
      <c r="W28" s="827" t="s">
        <v>1908</v>
      </c>
      <c r="X28" s="1302">
        <v>27000000</v>
      </c>
      <c r="Y28" s="84">
        <v>26940000</v>
      </c>
      <c r="Z28" s="84">
        <v>26940000</v>
      </c>
      <c r="AA28" s="218" t="s">
        <v>1909</v>
      </c>
      <c r="AB28" s="813">
        <v>20</v>
      </c>
      <c r="AC28" s="713" t="s">
        <v>1830</v>
      </c>
      <c r="AD28" s="978">
        <v>1057</v>
      </c>
      <c r="AE28" s="978"/>
      <c r="AF28" s="978">
        <v>832</v>
      </c>
      <c r="AG28" s="978"/>
      <c r="AH28" s="978">
        <v>253</v>
      </c>
      <c r="AI28" s="978"/>
      <c r="AJ28" s="978">
        <v>142</v>
      </c>
      <c r="AK28" s="978"/>
      <c r="AL28" s="978">
        <v>1200</v>
      </c>
      <c r="AM28" s="978"/>
      <c r="AN28" s="978">
        <v>663</v>
      </c>
      <c r="AO28" s="978"/>
      <c r="AP28" s="978"/>
      <c r="AQ28" s="978"/>
      <c r="AR28" s="978"/>
      <c r="AS28" s="978"/>
      <c r="AT28" s="978"/>
      <c r="AU28" s="978"/>
      <c r="AV28" s="978"/>
      <c r="AW28" s="978"/>
      <c r="AX28" s="978"/>
      <c r="AY28" s="978"/>
      <c r="AZ28" s="978"/>
      <c r="BA28" s="978"/>
      <c r="BB28" s="978">
        <v>582</v>
      </c>
      <c r="BC28" s="978"/>
      <c r="BD28" s="978">
        <v>33</v>
      </c>
      <c r="BE28" s="978"/>
      <c r="BF28" s="978">
        <v>51</v>
      </c>
      <c r="BG28" s="978"/>
      <c r="BH28" s="978">
        <v>1889</v>
      </c>
      <c r="BI28" s="978"/>
      <c r="BJ28" s="714">
        <v>4</v>
      </c>
      <c r="BK28" s="44">
        <f>SUM(Y28)</f>
        <v>26940000</v>
      </c>
      <c r="BL28" s="44">
        <f>+Z28</f>
        <v>26940000</v>
      </c>
      <c r="BM28" s="1010">
        <f>+BL28/BK28</f>
        <v>1</v>
      </c>
      <c r="BN28" s="978">
        <v>20</v>
      </c>
      <c r="BO28" s="1312" t="s">
        <v>1830</v>
      </c>
      <c r="BP28" s="978" t="s">
        <v>1833</v>
      </c>
      <c r="BQ28" s="1313">
        <v>44211</v>
      </c>
      <c r="BR28" s="710">
        <v>44242</v>
      </c>
      <c r="BS28" s="710">
        <v>44561</v>
      </c>
      <c r="BT28" s="710">
        <v>44443</v>
      </c>
      <c r="BU28" s="711" t="s">
        <v>1834</v>
      </c>
    </row>
    <row r="29" spans="1:73" ht="15.75" x14ac:dyDescent="0.25">
      <c r="A29" s="3866"/>
      <c r="B29" s="3867"/>
      <c r="C29" s="2909"/>
      <c r="D29" s="2910"/>
      <c r="E29" s="1299">
        <v>1703</v>
      </c>
      <c r="F29" s="712" t="s">
        <v>1910</v>
      </c>
      <c r="G29" s="712"/>
      <c r="H29" s="194"/>
      <c r="I29" s="712"/>
      <c r="J29" s="194"/>
      <c r="K29" s="712"/>
      <c r="L29" s="194"/>
      <c r="M29" s="712"/>
      <c r="N29" s="194"/>
      <c r="O29" s="190"/>
      <c r="P29" s="190"/>
      <c r="Q29" s="190"/>
      <c r="R29" s="194"/>
      <c r="S29" s="192"/>
      <c r="T29" s="528"/>
      <c r="U29" s="194"/>
      <c r="V29" s="194"/>
      <c r="W29" s="1314"/>
      <c r="X29" s="1315"/>
      <c r="Y29" s="528"/>
      <c r="Z29" s="528"/>
      <c r="AA29" s="918"/>
      <c r="AB29" s="1316"/>
      <c r="AC29" s="1317"/>
      <c r="AD29" s="799"/>
      <c r="AE29" s="799"/>
      <c r="AF29" s="799"/>
      <c r="AG29" s="799"/>
      <c r="AH29" s="799"/>
      <c r="AI29" s="799"/>
      <c r="AJ29" s="799"/>
      <c r="AK29" s="799"/>
      <c r="AL29" s="799"/>
      <c r="AM29" s="799"/>
      <c r="AN29" s="799"/>
      <c r="AO29" s="799"/>
      <c r="AP29" s="799"/>
      <c r="AQ29" s="799"/>
      <c r="AR29" s="799"/>
      <c r="AS29" s="799"/>
      <c r="AT29" s="799"/>
      <c r="AU29" s="799"/>
      <c r="AV29" s="799"/>
      <c r="AW29" s="799"/>
      <c r="AX29" s="799"/>
      <c r="AY29" s="799"/>
      <c r="AZ29" s="799"/>
      <c r="BA29" s="799"/>
      <c r="BB29" s="799"/>
      <c r="BC29" s="799"/>
      <c r="BD29" s="799"/>
      <c r="BE29" s="799"/>
      <c r="BF29" s="799"/>
      <c r="BG29" s="799"/>
      <c r="BH29" s="799"/>
      <c r="BI29" s="799"/>
      <c r="BJ29" s="799"/>
      <c r="BK29" s="1318"/>
      <c r="BL29" s="1318"/>
      <c r="BM29" s="1319"/>
      <c r="BN29" s="799"/>
      <c r="BO29" s="1320"/>
      <c r="BP29" s="799"/>
      <c r="BQ29" s="1321"/>
      <c r="BR29" s="1321"/>
      <c r="BS29" s="1321"/>
      <c r="BT29" s="1321"/>
      <c r="BU29" s="1322"/>
    </row>
    <row r="30" spans="1:73" ht="47.25" customHeight="1" x14ac:dyDescent="0.25">
      <c r="A30" s="3866"/>
      <c r="B30" s="3867"/>
      <c r="C30" s="2909"/>
      <c r="D30" s="2910"/>
      <c r="E30" s="2998"/>
      <c r="F30" s="2999"/>
      <c r="G30" s="3901">
        <v>1703013</v>
      </c>
      <c r="H30" s="2681" t="s">
        <v>1911</v>
      </c>
      <c r="I30" s="3901">
        <v>1703013</v>
      </c>
      <c r="J30" s="2681" t="s">
        <v>1911</v>
      </c>
      <c r="K30" s="3323" t="s">
        <v>1912</v>
      </c>
      <c r="L30" s="2545" t="s">
        <v>1913</v>
      </c>
      <c r="M30" s="3323" t="s">
        <v>1912</v>
      </c>
      <c r="N30" s="2545" t="s">
        <v>1913</v>
      </c>
      <c r="O30" s="3151">
        <v>100</v>
      </c>
      <c r="P30" s="3910">
        <v>100</v>
      </c>
      <c r="Q30" s="2745" t="s">
        <v>1914</v>
      </c>
      <c r="R30" s="2545" t="s">
        <v>1915</v>
      </c>
      <c r="S30" s="3925">
        <f>+(X30+X31)/T30</f>
        <v>1</v>
      </c>
      <c r="T30" s="3927">
        <f>SUM(X30:X31)</f>
        <v>325000000</v>
      </c>
      <c r="U30" s="2545" t="s">
        <v>1916</v>
      </c>
      <c r="V30" s="2545" t="s">
        <v>1917</v>
      </c>
      <c r="W30" s="2720" t="s">
        <v>1918</v>
      </c>
      <c r="X30" s="1323">
        <v>75000000</v>
      </c>
      <c r="Y30" s="1324">
        <v>74995000</v>
      </c>
      <c r="Z30" s="1324">
        <v>74995000</v>
      </c>
      <c r="AA30" s="218" t="s">
        <v>1919</v>
      </c>
      <c r="AB30" s="1306">
        <v>20</v>
      </c>
      <c r="AC30" s="953" t="s">
        <v>1830</v>
      </c>
      <c r="AD30" s="3916">
        <v>270331</v>
      </c>
      <c r="AE30" s="3916"/>
      <c r="AF30" s="3916">
        <v>291286</v>
      </c>
      <c r="AG30" s="1325"/>
      <c r="AH30" s="3916">
        <v>102045</v>
      </c>
      <c r="AI30" s="3916"/>
      <c r="AJ30" s="3916">
        <v>141228</v>
      </c>
      <c r="AK30" s="3916"/>
      <c r="AL30" s="3916">
        <v>310195</v>
      </c>
      <c r="AM30" s="3916"/>
      <c r="AN30" s="3916">
        <v>110694</v>
      </c>
      <c r="AO30" s="3916"/>
      <c r="AP30" s="3916"/>
      <c r="AQ30" s="3916"/>
      <c r="AR30" s="3916"/>
      <c r="AS30" s="3916"/>
      <c r="AT30" s="3916"/>
      <c r="AU30" s="3916"/>
      <c r="AV30" s="1325"/>
      <c r="AW30" s="3916"/>
      <c r="AX30" s="3916"/>
      <c r="AY30" s="3916"/>
      <c r="AZ30" s="3916"/>
      <c r="BA30" s="3916"/>
      <c r="BB30" s="3916"/>
      <c r="BC30" s="3916"/>
      <c r="BD30" s="3916"/>
      <c r="BE30" s="3916"/>
      <c r="BF30" s="3916"/>
      <c r="BG30" s="3916"/>
      <c r="BH30" s="3916">
        <v>562117</v>
      </c>
      <c r="BI30" s="3916"/>
      <c r="BJ30" s="2977">
        <v>9</v>
      </c>
      <c r="BK30" s="3931">
        <f>+Y30+Y31</f>
        <v>324995000</v>
      </c>
      <c r="BL30" s="3931">
        <f>+Z30+Z31</f>
        <v>324995000</v>
      </c>
      <c r="BM30" s="3933">
        <f>+BL30/BK30</f>
        <v>1</v>
      </c>
      <c r="BN30" s="1016">
        <v>20</v>
      </c>
      <c r="BO30" s="1326" t="s">
        <v>1830</v>
      </c>
      <c r="BP30" s="3916" t="s">
        <v>1858</v>
      </c>
      <c r="BQ30" s="3018">
        <v>44211</v>
      </c>
      <c r="BR30" s="3018">
        <v>44228</v>
      </c>
      <c r="BS30" s="3018">
        <v>44561</v>
      </c>
      <c r="BT30" s="3018">
        <v>44560</v>
      </c>
      <c r="BU30" s="3895" t="s">
        <v>1834</v>
      </c>
    </row>
    <row r="31" spans="1:73" ht="47.25" customHeight="1" x14ac:dyDescent="0.25">
      <c r="A31" s="3866"/>
      <c r="B31" s="3867"/>
      <c r="C31" s="2909"/>
      <c r="D31" s="2910"/>
      <c r="E31" s="3002"/>
      <c r="F31" s="3003"/>
      <c r="G31" s="3902"/>
      <c r="H31" s="2772"/>
      <c r="I31" s="3902"/>
      <c r="J31" s="2772"/>
      <c r="K31" s="3321"/>
      <c r="L31" s="2782"/>
      <c r="M31" s="3321"/>
      <c r="N31" s="2782"/>
      <c r="O31" s="3153"/>
      <c r="P31" s="3878"/>
      <c r="Q31" s="2770"/>
      <c r="R31" s="2782"/>
      <c r="S31" s="3926"/>
      <c r="T31" s="3928"/>
      <c r="U31" s="2782"/>
      <c r="V31" s="2782"/>
      <c r="W31" s="2720"/>
      <c r="X31" s="1302">
        <v>250000000</v>
      </c>
      <c r="Y31" s="84">
        <v>250000000</v>
      </c>
      <c r="Z31" s="84">
        <v>250000000</v>
      </c>
      <c r="AA31" s="218" t="s">
        <v>1920</v>
      </c>
      <c r="AB31" s="1327">
        <v>195</v>
      </c>
      <c r="AC31" s="1307" t="s">
        <v>1847</v>
      </c>
      <c r="AD31" s="3918"/>
      <c r="AE31" s="3918"/>
      <c r="AF31" s="3918"/>
      <c r="AG31" s="1328"/>
      <c r="AH31" s="3918"/>
      <c r="AI31" s="3918"/>
      <c r="AJ31" s="3918"/>
      <c r="AK31" s="3918"/>
      <c r="AL31" s="3918"/>
      <c r="AM31" s="3918"/>
      <c r="AN31" s="3918"/>
      <c r="AO31" s="3918"/>
      <c r="AP31" s="3918"/>
      <c r="AQ31" s="3918"/>
      <c r="AR31" s="3918"/>
      <c r="AS31" s="3918"/>
      <c r="AT31" s="3918"/>
      <c r="AU31" s="3918"/>
      <c r="AV31" s="1328"/>
      <c r="AW31" s="3918"/>
      <c r="AX31" s="3918"/>
      <c r="AY31" s="3918"/>
      <c r="AZ31" s="3918"/>
      <c r="BA31" s="3918"/>
      <c r="BB31" s="3918"/>
      <c r="BC31" s="3918"/>
      <c r="BD31" s="3918"/>
      <c r="BE31" s="3918"/>
      <c r="BF31" s="3918"/>
      <c r="BG31" s="3918"/>
      <c r="BH31" s="3918"/>
      <c r="BI31" s="3918"/>
      <c r="BJ31" s="2979"/>
      <c r="BK31" s="3932"/>
      <c r="BL31" s="3932"/>
      <c r="BM31" s="3933"/>
      <c r="BN31" s="978">
        <v>195</v>
      </c>
      <c r="BO31" s="1312" t="s">
        <v>1847</v>
      </c>
      <c r="BP31" s="3918"/>
      <c r="BQ31" s="3020"/>
      <c r="BR31" s="3020"/>
      <c r="BS31" s="3020"/>
      <c r="BT31" s="3020"/>
      <c r="BU31" s="3897"/>
    </row>
    <row r="32" spans="1:73" ht="15.75" x14ac:dyDescent="0.25">
      <c r="A32" s="3866"/>
      <c r="B32" s="3867"/>
      <c r="C32" s="2909"/>
      <c r="D32" s="2910"/>
      <c r="E32" s="1299">
        <v>1704</v>
      </c>
      <c r="F32" s="2955" t="s">
        <v>1921</v>
      </c>
      <c r="G32" s="2955"/>
      <c r="H32" s="2955"/>
      <c r="I32" s="2955"/>
      <c r="J32" s="2955"/>
      <c r="K32" s="2955"/>
      <c r="L32" s="2955"/>
      <c r="M32" s="2955"/>
      <c r="N32" s="194"/>
      <c r="O32" s="190"/>
      <c r="P32" s="190"/>
      <c r="Q32" s="190"/>
      <c r="R32" s="194"/>
      <c r="S32" s="192"/>
      <c r="T32" s="528"/>
      <c r="U32" s="194"/>
      <c r="V32" s="194"/>
      <c r="W32" s="1301"/>
      <c r="X32" s="1315"/>
      <c r="Y32" s="1329"/>
      <c r="Z32" s="1329"/>
      <c r="AA32" s="918"/>
      <c r="AB32" s="343"/>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1330"/>
      <c r="BL32" s="1330"/>
      <c r="BM32" s="1300"/>
      <c r="BN32" s="341"/>
      <c r="BO32" s="1301"/>
      <c r="BP32" s="341"/>
      <c r="BQ32" s="344"/>
      <c r="BR32" s="344"/>
      <c r="BS32" s="344"/>
      <c r="BT32" s="344"/>
      <c r="BU32" s="345"/>
    </row>
    <row r="33" spans="1:73" ht="60" customHeight="1" x14ac:dyDescent="0.25">
      <c r="A33" s="3866"/>
      <c r="B33" s="3867"/>
      <c r="C33" s="2909"/>
      <c r="D33" s="2910"/>
      <c r="E33" s="2998"/>
      <c r="F33" s="2999"/>
      <c r="G33" s="812">
        <v>1704002</v>
      </c>
      <c r="H33" s="732" t="s">
        <v>1218</v>
      </c>
      <c r="I33" s="812">
        <v>1704002</v>
      </c>
      <c r="J33" s="732" t="s">
        <v>1218</v>
      </c>
      <c r="K33" s="683" t="s">
        <v>1922</v>
      </c>
      <c r="L33" s="732" t="s">
        <v>1923</v>
      </c>
      <c r="M33" s="683" t="s">
        <v>1922</v>
      </c>
      <c r="N33" s="732" t="s">
        <v>1923</v>
      </c>
      <c r="O33" s="1331">
        <v>1</v>
      </c>
      <c r="P33" s="1304">
        <v>1</v>
      </c>
      <c r="Q33" s="3929" t="s">
        <v>1924</v>
      </c>
      <c r="R33" s="2680" t="s">
        <v>1925</v>
      </c>
      <c r="S33" s="1208">
        <f>X33/T33</f>
        <v>0.59569998050696338</v>
      </c>
      <c r="T33" s="3930">
        <f>SUM(X33:X34)</f>
        <v>69255500</v>
      </c>
      <c r="U33" s="2545" t="s">
        <v>1926</v>
      </c>
      <c r="V33" s="684" t="s">
        <v>1927</v>
      </c>
      <c r="W33" s="827" t="s">
        <v>1928</v>
      </c>
      <c r="X33" s="1332">
        <v>41255500</v>
      </c>
      <c r="Y33" s="681">
        <v>41255500</v>
      </c>
      <c r="Z33" s="681">
        <v>41255500</v>
      </c>
      <c r="AA33" s="218" t="s">
        <v>1929</v>
      </c>
      <c r="AB33" s="813">
        <v>20</v>
      </c>
      <c r="AC33" s="713" t="s">
        <v>1830</v>
      </c>
      <c r="AD33" s="3916">
        <v>295972</v>
      </c>
      <c r="AE33" s="3916"/>
      <c r="AF33" s="3916">
        <v>285580</v>
      </c>
      <c r="AG33" s="3916"/>
      <c r="AH33" s="3916">
        <v>135545</v>
      </c>
      <c r="AI33" s="3916"/>
      <c r="AJ33" s="3916">
        <v>44254</v>
      </c>
      <c r="AK33" s="3916"/>
      <c r="AL33" s="3916">
        <v>309146</v>
      </c>
      <c r="AM33" s="3916"/>
      <c r="AN33" s="3916">
        <v>92607</v>
      </c>
      <c r="AO33" s="3916"/>
      <c r="AP33" s="3916"/>
      <c r="AQ33" s="3916"/>
      <c r="AR33" s="3916"/>
      <c r="AS33" s="3916"/>
      <c r="AT33" s="3916"/>
      <c r="AU33" s="3916"/>
      <c r="AV33" s="3916"/>
      <c r="AW33" s="3916"/>
      <c r="AX33" s="3916"/>
      <c r="AY33" s="3916"/>
      <c r="AZ33" s="3916"/>
      <c r="BA33" s="3916"/>
      <c r="BB33" s="3916">
        <v>44350</v>
      </c>
      <c r="BC33" s="3916"/>
      <c r="BD33" s="3916">
        <v>21944</v>
      </c>
      <c r="BE33" s="3916"/>
      <c r="BF33" s="3916"/>
      <c r="BG33" s="3916"/>
      <c r="BH33" s="3916">
        <v>581552</v>
      </c>
      <c r="BI33" s="3916"/>
      <c r="BJ33" s="2977">
        <v>6</v>
      </c>
      <c r="BK33" s="3919">
        <f>SUM(Y33:Y34)</f>
        <v>69255166</v>
      </c>
      <c r="BL33" s="3919">
        <f>SUM(Z33:Z34)</f>
        <v>69255166</v>
      </c>
      <c r="BM33" s="3039">
        <f>+BL33/BK33</f>
        <v>1</v>
      </c>
      <c r="BN33" s="3916">
        <v>20</v>
      </c>
      <c r="BO33" s="3922" t="s">
        <v>1830</v>
      </c>
      <c r="BP33" s="3916" t="s">
        <v>1858</v>
      </c>
      <c r="BQ33" s="3913">
        <v>44211</v>
      </c>
      <c r="BR33" s="3913">
        <v>44243</v>
      </c>
      <c r="BS33" s="3913">
        <v>44561</v>
      </c>
      <c r="BT33" s="3913">
        <v>44551</v>
      </c>
      <c r="BU33" s="3895" t="s">
        <v>1834</v>
      </c>
    </row>
    <row r="34" spans="1:73" ht="60" customHeight="1" x14ac:dyDescent="0.25">
      <c r="A34" s="3866"/>
      <c r="B34" s="3867"/>
      <c r="C34" s="2909"/>
      <c r="D34" s="2910"/>
      <c r="E34" s="3002"/>
      <c r="F34" s="3003"/>
      <c r="G34" s="812">
        <v>1704017</v>
      </c>
      <c r="H34" s="732" t="s">
        <v>1930</v>
      </c>
      <c r="I34" s="812">
        <v>1704017</v>
      </c>
      <c r="J34" s="732" t="s">
        <v>1930</v>
      </c>
      <c r="K34" s="683" t="s">
        <v>1931</v>
      </c>
      <c r="L34" s="732" t="s">
        <v>1932</v>
      </c>
      <c r="M34" s="683" t="s">
        <v>1931</v>
      </c>
      <c r="N34" s="732" t="s">
        <v>1932</v>
      </c>
      <c r="O34" s="1331">
        <v>150</v>
      </c>
      <c r="P34" s="1304">
        <v>150</v>
      </c>
      <c r="Q34" s="3929"/>
      <c r="R34" s="2680"/>
      <c r="S34" s="1208">
        <f>X34/T33</f>
        <v>0.40430001949303668</v>
      </c>
      <c r="T34" s="3930"/>
      <c r="U34" s="2782"/>
      <c r="V34" s="684" t="s">
        <v>1933</v>
      </c>
      <c r="W34" s="827" t="s">
        <v>1934</v>
      </c>
      <c r="X34" s="1332">
        <v>28000000</v>
      </c>
      <c r="Y34" s="681">
        <v>27999666</v>
      </c>
      <c r="Z34" s="681">
        <v>27999666</v>
      </c>
      <c r="AA34" s="218" t="s">
        <v>1935</v>
      </c>
      <c r="AB34" s="813">
        <v>20</v>
      </c>
      <c r="AC34" s="713" t="s">
        <v>1830</v>
      </c>
      <c r="AD34" s="3918"/>
      <c r="AE34" s="3918"/>
      <c r="AF34" s="3918"/>
      <c r="AG34" s="3918"/>
      <c r="AH34" s="3918"/>
      <c r="AI34" s="3918"/>
      <c r="AJ34" s="3918"/>
      <c r="AK34" s="3918"/>
      <c r="AL34" s="3918"/>
      <c r="AM34" s="3918"/>
      <c r="AN34" s="3918"/>
      <c r="AO34" s="3918"/>
      <c r="AP34" s="3918"/>
      <c r="AQ34" s="3918"/>
      <c r="AR34" s="3918"/>
      <c r="AS34" s="3918"/>
      <c r="AT34" s="3918"/>
      <c r="AU34" s="3918"/>
      <c r="AV34" s="3918"/>
      <c r="AW34" s="3918"/>
      <c r="AX34" s="3918"/>
      <c r="AY34" s="3918"/>
      <c r="AZ34" s="3918"/>
      <c r="BA34" s="3918"/>
      <c r="BB34" s="3918"/>
      <c r="BC34" s="3918"/>
      <c r="BD34" s="3918"/>
      <c r="BE34" s="3918"/>
      <c r="BF34" s="3918"/>
      <c r="BG34" s="3918"/>
      <c r="BH34" s="3918"/>
      <c r="BI34" s="3918"/>
      <c r="BJ34" s="2979"/>
      <c r="BK34" s="3921"/>
      <c r="BL34" s="3921"/>
      <c r="BM34" s="3041"/>
      <c r="BN34" s="3918"/>
      <c r="BO34" s="3924"/>
      <c r="BP34" s="3918"/>
      <c r="BQ34" s="3915"/>
      <c r="BR34" s="3915">
        <v>44243</v>
      </c>
      <c r="BS34" s="3915">
        <v>44561</v>
      </c>
      <c r="BT34" s="3915">
        <v>44377</v>
      </c>
      <c r="BU34" s="3897"/>
    </row>
    <row r="35" spans="1:73" ht="15.75" x14ac:dyDescent="0.25">
      <c r="A35" s="3866"/>
      <c r="B35" s="3867"/>
      <c r="C35" s="2909"/>
      <c r="D35" s="2910"/>
      <c r="E35" s="1299">
        <v>1706</v>
      </c>
      <c r="F35" s="2955" t="s">
        <v>1936</v>
      </c>
      <c r="G35" s="2955"/>
      <c r="H35" s="2955"/>
      <c r="I35" s="2955"/>
      <c r="J35" s="2955"/>
      <c r="K35" s="2955"/>
      <c r="L35" s="2955"/>
      <c r="M35" s="2955"/>
      <c r="N35" s="194"/>
      <c r="O35" s="190"/>
      <c r="P35" s="190"/>
      <c r="Q35" s="190"/>
      <c r="R35" s="194"/>
      <c r="S35" s="192"/>
      <c r="T35" s="528"/>
      <c r="U35" s="194"/>
      <c r="V35" s="194"/>
      <c r="W35" s="1320"/>
      <c r="X35" s="1315"/>
      <c r="Y35" s="528"/>
      <c r="Z35" s="528"/>
      <c r="AA35" s="918"/>
      <c r="AB35" s="1333"/>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799"/>
      <c r="AZ35" s="799"/>
      <c r="BA35" s="799"/>
      <c r="BB35" s="799"/>
      <c r="BC35" s="799"/>
      <c r="BD35" s="799"/>
      <c r="BE35" s="799"/>
      <c r="BF35" s="799"/>
      <c r="BG35" s="799"/>
      <c r="BH35" s="799"/>
      <c r="BI35" s="799"/>
      <c r="BJ35" s="799"/>
      <c r="BK35" s="799"/>
      <c r="BL35" s="1318"/>
      <c r="BM35" s="1319"/>
      <c r="BN35" s="799"/>
      <c r="BO35" s="1320"/>
      <c r="BP35" s="799"/>
      <c r="BQ35" s="1321"/>
      <c r="BR35" s="1321"/>
      <c r="BS35" s="1321"/>
      <c r="BT35" s="1321"/>
      <c r="BU35" s="1322"/>
    </row>
    <row r="36" spans="1:73" ht="60" x14ac:dyDescent="0.25">
      <c r="A36" s="3866"/>
      <c r="B36" s="3867"/>
      <c r="C36" s="2909"/>
      <c r="D36" s="2910"/>
      <c r="E36" s="3934"/>
      <c r="F36" s="3935"/>
      <c r="G36" s="812">
        <v>1706004</v>
      </c>
      <c r="H36" s="732" t="s">
        <v>1937</v>
      </c>
      <c r="I36" s="812">
        <v>1706004</v>
      </c>
      <c r="J36" s="732" t="s">
        <v>1937</v>
      </c>
      <c r="K36" s="683" t="s">
        <v>1938</v>
      </c>
      <c r="L36" s="732" t="s">
        <v>1939</v>
      </c>
      <c r="M36" s="683" t="s">
        <v>1938</v>
      </c>
      <c r="N36" s="732" t="s">
        <v>1939</v>
      </c>
      <c r="O36" s="730">
        <v>10</v>
      </c>
      <c r="P36" s="1334">
        <v>4</v>
      </c>
      <c r="Q36" s="683" t="s">
        <v>1940</v>
      </c>
      <c r="R36" s="732" t="s">
        <v>1941</v>
      </c>
      <c r="S36" s="1208">
        <f>X36/T36</f>
        <v>1</v>
      </c>
      <c r="T36" s="478">
        <f>SUM(X36)</f>
        <v>20000000</v>
      </c>
      <c r="U36" s="684" t="s">
        <v>1942</v>
      </c>
      <c r="V36" s="684" t="s">
        <v>1943</v>
      </c>
      <c r="W36" s="827" t="s">
        <v>1944</v>
      </c>
      <c r="X36" s="1323">
        <v>20000000</v>
      </c>
      <c r="Y36" s="84">
        <v>20000000</v>
      </c>
      <c r="Z36" s="84">
        <v>20000000</v>
      </c>
      <c r="AA36" s="218" t="s">
        <v>1945</v>
      </c>
      <c r="AB36" s="813">
        <v>20</v>
      </c>
      <c r="AC36" s="713" t="s">
        <v>1830</v>
      </c>
      <c r="AD36" s="978">
        <v>1233</v>
      </c>
      <c r="AE36" s="978"/>
      <c r="AF36" s="978">
        <v>656</v>
      </c>
      <c r="AG36" s="978"/>
      <c r="AH36" s="978">
        <v>253</v>
      </c>
      <c r="AI36" s="978"/>
      <c r="AJ36" s="978">
        <v>142</v>
      </c>
      <c r="AK36" s="978"/>
      <c r="AL36" s="978">
        <v>1200</v>
      </c>
      <c r="AM36" s="978"/>
      <c r="AN36" s="978">
        <v>663</v>
      </c>
      <c r="AO36" s="978"/>
      <c r="AP36" s="978">
        <v>126</v>
      </c>
      <c r="AQ36" s="978"/>
      <c r="AR36" s="978">
        <v>120</v>
      </c>
      <c r="AS36" s="978"/>
      <c r="AT36" s="978"/>
      <c r="AU36" s="978"/>
      <c r="AV36" s="978"/>
      <c r="AW36" s="978"/>
      <c r="AX36" s="978"/>
      <c r="AY36" s="978"/>
      <c r="AZ36" s="978"/>
      <c r="BA36" s="978"/>
      <c r="BB36" s="978">
        <v>582</v>
      </c>
      <c r="BC36" s="978"/>
      <c r="BD36" s="978">
        <v>33</v>
      </c>
      <c r="BE36" s="978"/>
      <c r="BF36" s="978">
        <v>51</v>
      </c>
      <c r="BG36" s="978"/>
      <c r="BH36" s="978">
        <v>1889</v>
      </c>
      <c r="BI36" s="978"/>
      <c r="BJ36" s="714">
        <v>1</v>
      </c>
      <c r="BK36" s="44">
        <f>+Y36</f>
        <v>20000000</v>
      </c>
      <c r="BL36" s="44">
        <f>+Z36</f>
        <v>20000000</v>
      </c>
      <c r="BM36" s="1010">
        <f>+BL36/BK36</f>
        <v>1</v>
      </c>
      <c r="BN36" s="1016">
        <v>20</v>
      </c>
      <c r="BO36" s="1325" t="s">
        <v>1830</v>
      </c>
      <c r="BP36" s="978" t="s">
        <v>1833</v>
      </c>
      <c r="BQ36" s="1313">
        <v>44423</v>
      </c>
      <c r="BR36" s="710">
        <v>44440</v>
      </c>
      <c r="BS36" s="710">
        <v>44561</v>
      </c>
      <c r="BT36" s="710">
        <v>44454</v>
      </c>
      <c r="BU36" s="711" t="s">
        <v>1834</v>
      </c>
    </row>
    <row r="37" spans="1:73" ht="15.75" x14ac:dyDescent="0.25">
      <c r="A37" s="3866"/>
      <c r="B37" s="3867"/>
      <c r="C37" s="2909"/>
      <c r="D37" s="2910"/>
      <c r="E37" s="1299">
        <v>1707</v>
      </c>
      <c r="F37" s="2955" t="s">
        <v>1946</v>
      </c>
      <c r="G37" s="2955"/>
      <c r="H37" s="2955"/>
      <c r="I37" s="2955"/>
      <c r="J37" s="2955"/>
      <c r="K37" s="2955"/>
      <c r="L37" s="2955"/>
      <c r="M37" s="190"/>
      <c r="N37" s="194"/>
      <c r="O37" s="190"/>
      <c r="P37" s="190"/>
      <c r="Q37" s="190"/>
      <c r="R37" s="194"/>
      <c r="S37" s="192"/>
      <c r="T37" s="528"/>
      <c r="U37" s="194"/>
      <c r="V37" s="194"/>
      <c r="W37" s="1320"/>
      <c r="X37" s="1315"/>
      <c r="Y37" s="528"/>
      <c r="Z37" s="528"/>
      <c r="AA37" s="918"/>
      <c r="AB37" s="1333"/>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799"/>
      <c r="AY37" s="799"/>
      <c r="AZ37" s="799"/>
      <c r="BA37" s="799"/>
      <c r="BB37" s="799"/>
      <c r="BC37" s="799"/>
      <c r="BD37" s="799"/>
      <c r="BE37" s="799"/>
      <c r="BF37" s="799"/>
      <c r="BG37" s="799"/>
      <c r="BH37" s="799"/>
      <c r="BI37" s="799"/>
      <c r="BJ37" s="799"/>
      <c r="BK37" s="1318"/>
      <c r="BL37" s="1318"/>
      <c r="BM37" s="1319"/>
      <c r="BN37" s="1319"/>
      <c r="BO37" s="1319"/>
      <c r="BP37" s="799"/>
      <c r="BQ37" s="1321"/>
      <c r="BR37" s="1321"/>
      <c r="BS37" s="1321"/>
      <c r="BT37" s="1321"/>
      <c r="BU37" s="1322"/>
    </row>
    <row r="38" spans="1:73" ht="90" x14ac:dyDescent="0.25">
      <c r="A38" s="3866"/>
      <c r="B38" s="3867"/>
      <c r="C38" s="2909"/>
      <c r="D38" s="2910"/>
      <c r="E38" s="3934"/>
      <c r="F38" s="3935"/>
      <c r="G38" s="812">
        <v>1707069</v>
      </c>
      <c r="H38" s="732" t="s">
        <v>1947</v>
      </c>
      <c r="I38" s="812">
        <v>1707069</v>
      </c>
      <c r="J38" s="732" t="s">
        <v>1947</v>
      </c>
      <c r="K38" s="683" t="s">
        <v>1948</v>
      </c>
      <c r="L38" s="732" t="s">
        <v>1949</v>
      </c>
      <c r="M38" s="683" t="s">
        <v>1948</v>
      </c>
      <c r="N38" s="732" t="s">
        <v>1949</v>
      </c>
      <c r="O38" s="730">
        <v>5</v>
      </c>
      <c r="P38" s="1335">
        <v>5</v>
      </c>
      <c r="Q38" s="686" t="s">
        <v>1950</v>
      </c>
      <c r="R38" s="684" t="s">
        <v>1951</v>
      </c>
      <c r="S38" s="1208">
        <f>X38/T38</f>
        <v>1</v>
      </c>
      <c r="T38" s="478">
        <f>SUM(X38)</f>
        <v>43000000</v>
      </c>
      <c r="U38" s="684" t="s">
        <v>1952</v>
      </c>
      <c r="V38" s="684" t="s">
        <v>1953</v>
      </c>
      <c r="W38" s="827" t="s">
        <v>1954</v>
      </c>
      <c r="X38" s="1323">
        <v>43000000</v>
      </c>
      <c r="Y38" s="84">
        <v>34865000</v>
      </c>
      <c r="Z38" s="84">
        <v>34865000</v>
      </c>
      <c r="AA38" s="218" t="s">
        <v>1955</v>
      </c>
      <c r="AB38" s="813">
        <v>20</v>
      </c>
      <c r="AC38" s="713" t="s">
        <v>1830</v>
      </c>
      <c r="AD38" s="978">
        <v>1233</v>
      </c>
      <c r="AE38" s="978"/>
      <c r="AF38" s="978">
        <v>656</v>
      </c>
      <c r="AG38" s="978"/>
      <c r="AH38" s="978">
        <v>253</v>
      </c>
      <c r="AI38" s="978"/>
      <c r="AJ38" s="978">
        <v>142</v>
      </c>
      <c r="AK38" s="978"/>
      <c r="AL38" s="978">
        <v>1200</v>
      </c>
      <c r="AM38" s="978"/>
      <c r="AN38" s="978">
        <v>663</v>
      </c>
      <c r="AO38" s="978"/>
      <c r="AP38" s="978">
        <v>126</v>
      </c>
      <c r="AQ38" s="978"/>
      <c r="AR38" s="978">
        <v>120</v>
      </c>
      <c r="AS38" s="978"/>
      <c r="AT38" s="978"/>
      <c r="AU38" s="978"/>
      <c r="AV38" s="978"/>
      <c r="AW38" s="978"/>
      <c r="AX38" s="978"/>
      <c r="AY38" s="978"/>
      <c r="AZ38" s="978"/>
      <c r="BA38" s="978"/>
      <c r="BB38" s="978">
        <v>582</v>
      </c>
      <c r="BC38" s="978"/>
      <c r="BD38" s="978">
        <v>33</v>
      </c>
      <c r="BE38" s="978"/>
      <c r="BF38" s="978">
        <v>51</v>
      </c>
      <c r="BG38" s="978"/>
      <c r="BH38" s="978">
        <v>1889</v>
      </c>
      <c r="BI38" s="978"/>
      <c r="BJ38" s="714">
        <v>3</v>
      </c>
      <c r="BK38" s="44">
        <f>SUM(Y38)</f>
        <v>34865000</v>
      </c>
      <c r="BL38" s="44">
        <f>SUM(Z38)</f>
        <v>34865000</v>
      </c>
      <c r="BM38" s="1010">
        <f>+BL38/BK38</f>
        <v>1</v>
      </c>
      <c r="BN38" s="1016">
        <v>20</v>
      </c>
      <c r="BO38" s="1325" t="s">
        <v>1830</v>
      </c>
      <c r="BP38" s="978" t="s">
        <v>1858</v>
      </c>
      <c r="BQ38" s="710">
        <v>44228</v>
      </c>
      <c r="BR38" s="710">
        <v>44433</v>
      </c>
      <c r="BS38" s="710">
        <v>44561</v>
      </c>
      <c r="BT38" s="710">
        <v>44554</v>
      </c>
      <c r="BU38" s="711" t="s">
        <v>1834</v>
      </c>
    </row>
    <row r="39" spans="1:73" ht="15.75" x14ac:dyDescent="0.25">
      <c r="A39" s="3866"/>
      <c r="B39" s="3867"/>
      <c r="C39" s="2909"/>
      <c r="D39" s="2910"/>
      <c r="E39" s="1299">
        <v>1708</v>
      </c>
      <c r="F39" s="2955" t="s">
        <v>1956</v>
      </c>
      <c r="G39" s="2955"/>
      <c r="H39" s="2955"/>
      <c r="I39" s="2955"/>
      <c r="J39" s="2955"/>
      <c r="K39" s="2955"/>
      <c r="L39" s="2955"/>
      <c r="M39" s="190"/>
      <c r="N39" s="194"/>
      <c r="O39" s="190"/>
      <c r="P39" s="190"/>
      <c r="Q39" s="190"/>
      <c r="R39" s="194"/>
      <c r="S39" s="192"/>
      <c r="T39" s="528"/>
      <c r="U39" s="194"/>
      <c r="V39" s="194"/>
      <c r="W39" s="1320"/>
      <c r="X39" s="1315"/>
      <c r="Y39" s="528"/>
      <c r="Z39" s="528"/>
      <c r="AA39" s="918"/>
      <c r="AB39" s="1333"/>
      <c r="AC39" s="799"/>
      <c r="AD39" s="799"/>
      <c r="AE39" s="799"/>
      <c r="AF39" s="799"/>
      <c r="AG39" s="799"/>
      <c r="AH39" s="799"/>
      <c r="AI39" s="799"/>
      <c r="AJ39" s="799"/>
      <c r="AK39" s="799"/>
      <c r="AL39" s="799"/>
      <c r="AM39" s="799"/>
      <c r="AN39" s="799"/>
      <c r="AO39" s="799"/>
      <c r="AP39" s="799"/>
      <c r="AQ39" s="799"/>
      <c r="AR39" s="799"/>
      <c r="AS39" s="799"/>
      <c r="AT39" s="799"/>
      <c r="AU39" s="799"/>
      <c r="AV39" s="799"/>
      <c r="AW39" s="799"/>
      <c r="AX39" s="799"/>
      <c r="AY39" s="799"/>
      <c r="AZ39" s="799"/>
      <c r="BA39" s="799"/>
      <c r="BB39" s="799"/>
      <c r="BC39" s="799"/>
      <c r="BD39" s="799"/>
      <c r="BE39" s="799"/>
      <c r="BF39" s="799"/>
      <c r="BG39" s="799"/>
      <c r="BH39" s="799"/>
      <c r="BI39" s="799"/>
      <c r="BJ39" s="799"/>
      <c r="BK39" s="1318"/>
      <c r="BL39" s="1318"/>
      <c r="BM39" s="1319"/>
      <c r="BN39" s="1319"/>
      <c r="BO39" s="1319"/>
      <c r="BP39" s="799"/>
      <c r="BQ39" s="1321"/>
      <c r="BR39" s="1321"/>
      <c r="BS39" s="1321"/>
      <c r="BT39" s="1321"/>
      <c r="BU39" s="1322"/>
    </row>
    <row r="40" spans="1:73" ht="75" customHeight="1" x14ac:dyDescent="0.25">
      <c r="A40" s="3866"/>
      <c r="B40" s="3867"/>
      <c r="C40" s="2909"/>
      <c r="D40" s="2910"/>
      <c r="E40" s="2998"/>
      <c r="F40" s="2999"/>
      <c r="G40" s="812">
        <v>1708016</v>
      </c>
      <c r="H40" s="732" t="s">
        <v>1218</v>
      </c>
      <c r="I40" s="812">
        <v>1708016</v>
      </c>
      <c r="J40" s="732" t="s">
        <v>1218</v>
      </c>
      <c r="K40" s="1308" t="s">
        <v>1957</v>
      </c>
      <c r="L40" s="731" t="s">
        <v>1958</v>
      </c>
      <c r="M40" s="1308" t="s">
        <v>1957</v>
      </c>
      <c r="N40" s="731" t="s">
        <v>1958</v>
      </c>
      <c r="O40" s="730">
        <v>2</v>
      </c>
      <c r="P40" s="1304">
        <v>2</v>
      </c>
      <c r="Q40" s="2544" t="s">
        <v>1959</v>
      </c>
      <c r="R40" s="2680" t="s">
        <v>1960</v>
      </c>
      <c r="S40" s="1208">
        <f>X40/T40</f>
        <v>0.46744774330981226</v>
      </c>
      <c r="T40" s="3930">
        <f>SUM(X40:X41)</f>
        <v>37555000</v>
      </c>
      <c r="U40" s="2545" t="s">
        <v>1961</v>
      </c>
      <c r="V40" s="684" t="s">
        <v>1962</v>
      </c>
      <c r="W40" s="827" t="s">
        <v>1963</v>
      </c>
      <c r="X40" s="1332">
        <v>17555000</v>
      </c>
      <c r="Y40" s="681">
        <v>17555000</v>
      </c>
      <c r="Z40" s="681">
        <v>17555000</v>
      </c>
      <c r="AA40" s="218" t="s">
        <v>1964</v>
      </c>
      <c r="AB40" s="813">
        <v>20</v>
      </c>
      <c r="AC40" s="713" t="s">
        <v>1830</v>
      </c>
      <c r="AD40" s="978">
        <v>295972</v>
      </c>
      <c r="AE40" s="978"/>
      <c r="AF40" s="978">
        <v>285580</v>
      </c>
      <c r="AG40" s="978"/>
      <c r="AH40" s="978">
        <v>135545</v>
      </c>
      <c r="AI40" s="978"/>
      <c r="AJ40" s="978">
        <v>44254</v>
      </c>
      <c r="AK40" s="978"/>
      <c r="AL40" s="978">
        <v>309146</v>
      </c>
      <c r="AM40" s="978"/>
      <c r="AN40" s="978">
        <v>92607</v>
      </c>
      <c r="AO40" s="978"/>
      <c r="AP40" s="978"/>
      <c r="AQ40" s="978"/>
      <c r="AR40" s="978"/>
      <c r="AS40" s="978"/>
      <c r="AT40" s="978"/>
      <c r="AU40" s="978"/>
      <c r="AV40" s="978"/>
      <c r="AW40" s="978"/>
      <c r="AX40" s="978"/>
      <c r="AY40" s="978"/>
      <c r="AZ40" s="978"/>
      <c r="BA40" s="978"/>
      <c r="BB40" s="978">
        <v>44350</v>
      </c>
      <c r="BC40" s="978"/>
      <c r="BD40" s="978">
        <v>21944</v>
      </c>
      <c r="BE40" s="978"/>
      <c r="BF40" s="978"/>
      <c r="BG40" s="978"/>
      <c r="BH40" s="978">
        <v>581552</v>
      </c>
      <c r="BI40" s="978"/>
      <c r="BJ40" s="2977">
        <v>3</v>
      </c>
      <c r="BK40" s="3931">
        <f>SUM(Y40:Y41)</f>
        <v>17555000</v>
      </c>
      <c r="BL40" s="3931">
        <f>SUM(Z40:Z41)</f>
        <v>17555000</v>
      </c>
      <c r="BM40" s="3721">
        <f>+BL40/BK40</f>
        <v>1</v>
      </c>
      <c r="BN40" s="3916">
        <v>20</v>
      </c>
      <c r="BO40" s="3922" t="s">
        <v>1830</v>
      </c>
      <c r="BP40" s="3916" t="s">
        <v>1858</v>
      </c>
      <c r="BQ40" s="3936">
        <v>44211</v>
      </c>
      <c r="BR40" s="3018">
        <v>44271</v>
      </c>
      <c r="BS40" s="3018">
        <v>44561</v>
      </c>
      <c r="BT40" s="3018">
        <v>44467</v>
      </c>
      <c r="BU40" s="3895" t="s">
        <v>1834</v>
      </c>
    </row>
    <row r="41" spans="1:73" ht="66" customHeight="1" x14ac:dyDescent="0.25">
      <c r="A41" s="3866"/>
      <c r="B41" s="3867"/>
      <c r="C41" s="2909"/>
      <c r="D41" s="2910"/>
      <c r="E41" s="3002"/>
      <c r="F41" s="3003"/>
      <c r="G41" s="812">
        <v>1708051</v>
      </c>
      <c r="H41" s="732" t="s">
        <v>1965</v>
      </c>
      <c r="I41" s="812">
        <v>1708051</v>
      </c>
      <c r="J41" s="732" t="s">
        <v>1965</v>
      </c>
      <c r="K41" s="1308" t="s">
        <v>1966</v>
      </c>
      <c r="L41" s="731" t="s">
        <v>1967</v>
      </c>
      <c r="M41" s="1308" t="s">
        <v>1966</v>
      </c>
      <c r="N41" s="731" t="s">
        <v>1967</v>
      </c>
      <c r="O41" s="730">
        <v>1</v>
      </c>
      <c r="P41" s="1304">
        <v>0</v>
      </c>
      <c r="Q41" s="2544"/>
      <c r="R41" s="2680"/>
      <c r="S41" s="1208">
        <f>X41/T40</f>
        <v>0.53255225669018769</v>
      </c>
      <c r="T41" s="3930"/>
      <c r="U41" s="2782"/>
      <c r="V41" s="684" t="s">
        <v>1968</v>
      </c>
      <c r="W41" s="827" t="s">
        <v>1969</v>
      </c>
      <c r="X41" s="1332">
        <v>20000000</v>
      </c>
      <c r="Y41" s="681">
        <v>0</v>
      </c>
      <c r="Z41" s="681">
        <v>0</v>
      </c>
      <c r="AA41" s="218" t="s">
        <v>1970</v>
      </c>
      <c r="AB41" s="813">
        <v>20</v>
      </c>
      <c r="AC41" s="713" t="s">
        <v>1830</v>
      </c>
      <c r="AD41" s="978">
        <v>3000</v>
      </c>
      <c r="AE41" s="978"/>
      <c r="AF41" s="978">
        <v>3000</v>
      </c>
      <c r="AG41" s="978"/>
      <c r="AH41" s="978">
        <v>2000</v>
      </c>
      <c r="AI41" s="978"/>
      <c r="AJ41" s="978">
        <v>1000</v>
      </c>
      <c r="AK41" s="978"/>
      <c r="AL41" s="978">
        <v>2500</v>
      </c>
      <c r="AM41" s="978"/>
      <c r="AN41" s="978">
        <v>500</v>
      </c>
      <c r="AO41" s="978"/>
      <c r="AP41" s="978"/>
      <c r="AQ41" s="978"/>
      <c r="AR41" s="978"/>
      <c r="AS41" s="978"/>
      <c r="AT41" s="978"/>
      <c r="AU41" s="978"/>
      <c r="AV41" s="978"/>
      <c r="AW41" s="978"/>
      <c r="AX41" s="978"/>
      <c r="AY41" s="978"/>
      <c r="AZ41" s="978"/>
      <c r="BA41" s="978"/>
      <c r="BB41" s="978"/>
      <c r="BC41" s="978"/>
      <c r="BD41" s="978"/>
      <c r="BE41" s="978"/>
      <c r="BF41" s="978"/>
      <c r="BG41" s="978"/>
      <c r="BH41" s="978">
        <v>6000</v>
      </c>
      <c r="BI41" s="978"/>
      <c r="BJ41" s="2979"/>
      <c r="BK41" s="3932"/>
      <c r="BL41" s="3932"/>
      <c r="BM41" s="2727"/>
      <c r="BN41" s="3918"/>
      <c r="BO41" s="3924"/>
      <c r="BP41" s="3918"/>
      <c r="BQ41" s="3937"/>
      <c r="BR41" s="3020"/>
      <c r="BS41" s="3020"/>
      <c r="BT41" s="3020"/>
      <c r="BU41" s="3897"/>
    </row>
    <row r="42" spans="1:73" ht="15.75" x14ac:dyDescent="0.25">
      <c r="A42" s="3866"/>
      <c r="B42" s="3867"/>
      <c r="C42" s="2909"/>
      <c r="D42" s="2910"/>
      <c r="E42" s="1299">
        <v>1709</v>
      </c>
      <c r="F42" s="2955" t="s">
        <v>1971</v>
      </c>
      <c r="G42" s="2955"/>
      <c r="H42" s="2955"/>
      <c r="I42" s="2955"/>
      <c r="J42" s="2955"/>
      <c r="K42" s="2955"/>
      <c r="L42" s="2955"/>
      <c r="M42" s="190"/>
      <c r="N42" s="194"/>
      <c r="O42" s="190"/>
      <c r="P42" s="190"/>
      <c r="Q42" s="190"/>
      <c r="R42" s="194"/>
      <c r="S42" s="192"/>
      <c r="T42" s="528"/>
      <c r="U42" s="194"/>
      <c r="V42" s="194"/>
      <c r="W42" s="1320"/>
      <c r="X42" s="1315"/>
      <c r="Y42" s="528"/>
      <c r="Z42" s="528"/>
      <c r="AA42" s="918"/>
      <c r="AB42" s="1333"/>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799"/>
      <c r="AY42" s="799"/>
      <c r="AZ42" s="799"/>
      <c r="BA42" s="799"/>
      <c r="BB42" s="799"/>
      <c r="BC42" s="799"/>
      <c r="BD42" s="799"/>
      <c r="BE42" s="799"/>
      <c r="BF42" s="799"/>
      <c r="BG42" s="799"/>
      <c r="BH42" s="799"/>
      <c r="BI42" s="799"/>
      <c r="BJ42" s="799"/>
      <c r="BK42" s="799"/>
      <c r="BL42" s="1318"/>
      <c r="BM42" s="1319"/>
      <c r="BN42" s="799"/>
      <c r="BO42" s="1320"/>
      <c r="BP42" s="799"/>
      <c r="BQ42" s="1321"/>
      <c r="BR42" s="1321"/>
      <c r="BS42" s="1321"/>
      <c r="BT42" s="1321"/>
      <c r="BU42" s="1322"/>
    </row>
    <row r="43" spans="1:73" ht="51.75" customHeight="1" x14ac:dyDescent="0.25">
      <c r="A43" s="3866"/>
      <c r="B43" s="3867"/>
      <c r="C43" s="2909"/>
      <c r="D43" s="2910"/>
      <c r="E43" s="3870"/>
      <c r="F43" s="3871"/>
      <c r="G43" s="812">
        <v>1709019</v>
      </c>
      <c r="H43" s="732" t="s">
        <v>1972</v>
      </c>
      <c r="I43" s="812">
        <v>1709019</v>
      </c>
      <c r="J43" s="732" t="s">
        <v>1972</v>
      </c>
      <c r="K43" s="1308" t="s">
        <v>1973</v>
      </c>
      <c r="L43" s="731" t="s">
        <v>1972</v>
      </c>
      <c r="M43" s="1308" t="s">
        <v>1973</v>
      </c>
      <c r="N43" s="731" t="s">
        <v>1972</v>
      </c>
      <c r="O43" s="1331">
        <v>4</v>
      </c>
      <c r="P43" s="1304">
        <v>4</v>
      </c>
      <c r="Q43" s="3929" t="s">
        <v>1974</v>
      </c>
      <c r="R43" s="2543" t="s">
        <v>1975</v>
      </c>
      <c r="S43" s="1305">
        <f>X43/T43</f>
        <v>0.39814814814814814</v>
      </c>
      <c r="T43" s="3930">
        <f>SUM(X43:X46)</f>
        <v>108000000</v>
      </c>
      <c r="U43" s="2992" t="s">
        <v>1976</v>
      </c>
      <c r="V43" s="684" t="s">
        <v>1977</v>
      </c>
      <c r="W43" s="827" t="s">
        <v>1978</v>
      </c>
      <c r="X43" s="1332">
        <v>43000000</v>
      </c>
      <c r="Y43" s="681">
        <v>43000000</v>
      </c>
      <c r="Z43" s="681">
        <v>43000000</v>
      </c>
      <c r="AA43" s="218" t="s">
        <v>1979</v>
      </c>
      <c r="AB43" s="813">
        <v>20</v>
      </c>
      <c r="AC43" s="713" t="s">
        <v>1830</v>
      </c>
      <c r="AD43" s="2977">
        <v>600</v>
      </c>
      <c r="AE43" s="2977"/>
      <c r="AF43" s="2977">
        <v>600</v>
      </c>
      <c r="AG43" s="2977"/>
      <c r="AH43" s="2977">
        <v>125</v>
      </c>
      <c r="AI43" s="2977"/>
      <c r="AJ43" s="2977">
        <v>75</v>
      </c>
      <c r="AK43" s="2977"/>
      <c r="AL43" s="2977">
        <v>300</v>
      </c>
      <c r="AM43" s="2977"/>
      <c r="AN43" s="2977">
        <v>700</v>
      </c>
      <c r="AO43" s="2977"/>
      <c r="AP43" s="2977">
        <v>50</v>
      </c>
      <c r="AQ43" s="2977"/>
      <c r="AR43" s="2977">
        <v>30</v>
      </c>
      <c r="AS43" s="2977"/>
      <c r="AT43" s="2977"/>
      <c r="AU43" s="2977"/>
      <c r="AV43" s="2977"/>
      <c r="AW43" s="2977"/>
      <c r="AX43" s="2977"/>
      <c r="AY43" s="2977"/>
      <c r="AZ43" s="2977"/>
      <c r="BA43" s="2977"/>
      <c r="BB43" s="2977">
        <v>10</v>
      </c>
      <c r="BC43" s="2977"/>
      <c r="BD43" s="2977">
        <v>10</v>
      </c>
      <c r="BE43" s="2977"/>
      <c r="BF43" s="2977"/>
      <c r="BG43" s="2977"/>
      <c r="BH43" s="2977">
        <v>1200</v>
      </c>
      <c r="BI43" s="2977"/>
      <c r="BJ43" s="2977">
        <v>3</v>
      </c>
      <c r="BK43" s="3009">
        <f>SUM(Y43:Y46)</f>
        <v>108000000</v>
      </c>
      <c r="BL43" s="3009">
        <f>SUM(Z43:Z46)</f>
        <v>108000000</v>
      </c>
      <c r="BM43" s="2505">
        <f>+BL43/BK43</f>
        <v>1</v>
      </c>
      <c r="BN43" s="2977">
        <v>20</v>
      </c>
      <c r="BO43" s="3898" t="s">
        <v>1830</v>
      </c>
      <c r="BP43" s="2977" t="s">
        <v>1833</v>
      </c>
      <c r="BQ43" s="3941">
        <v>44211</v>
      </c>
      <c r="BR43" s="3938">
        <v>44252</v>
      </c>
      <c r="BS43" s="3938">
        <v>44561</v>
      </c>
      <c r="BT43" s="3938">
        <v>44560</v>
      </c>
      <c r="BU43" s="3895" t="s">
        <v>1834</v>
      </c>
    </row>
    <row r="44" spans="1:73" ht="51.75" customHeight="1" x14ac:dyDescent="0.25">
      <c r="A44" s="3866"/>
      <c r="B44" s="3867"/>
      <c r="C44" s="2909"/>
      <c r="D44" s="2910"/>
      <c r="E44" s="3872"/>
      <c r="F44" s="3873"/>
      <c r="G44" s="3876">
        <v>1709034</v>
      </c>
      <c r="H44" s="2680" t="s">
        <v>1980</v>
      </c>
      <c r="I44" s="3876">
        <v>1709034</v>
      </c>
      <c r="J44" s="2680" t="s">
        <v>1980</v>
      </c>
      <c r="K44" s="3845" t="s">
        <v>1981</v>
      </c>
      <c r="L44" s="2688" t="s">
        <v>1980</v>
      </c>
      <c r="M44" s="3845" t="s">
        <v>1981</v>
      </c>
      <c r="N44" s="2688" t="s">
        <v>1980</v>
      </c>
      <c r="O44" s="2679">
        <v>3</v>
      </c>
      <c r="P44" s="2679">
        <v>2</v>
      </c>
      <c r="Q44" s="3929"/>
      <c r="R44" s="2543"/>
      <c r="S44" s="3879">
        <f>SUM(X44:X45)/T43</f>
        <v>0.39814814814814814</v>
      </c>
      <c r="T44" s="3930"/>
      <c r="U44" s="2993"/>
      <c r="V44" s="2545" t="s">
        <v>1982</v>
      </c>
      <c r="W44" s="2545" t="s">
        <v>1983</v>
      </c>
      <c r="X44" s="1332">
        <v>30000000</v>
      </c>
      <c r="Y44" s="681">
        <v>30000000</v>
      </c>
      <c r="Z44" s="681">
        <v>30000000</v>
      </c>
      <c r="AA44" s="218" t="s">
        <v>1984</v>
      </c>
      <c r="AB44" s="3891">
        <v>20</v>
      </c>
      <c r="AC44" s="2752" t="s">
        <v>1830</v>
      </c>
      <c r="AD44" s="2978"/>
      <c r="AE44" s="2978"/>
      <c r="AF44" s="2978"/>
      <c r="AG44" s="2978"/>
      <c r="AH44" s="2978"/>
      <c r="AI44" s="2978"/>
      <c r="AJ44" s="2978"/>
      <c r="AK44" s="2978"/>
      <c r="AL44" s="2978"/>
      <c r="AM44" s="2978"/>
      <c r="AN44" s="2978"/>
      <c r="AO44" s="2978"/>
      <c r="AP44" s="2978"/>
      <c r="AQ44" s="2978"/>
      <c r="AR44" s="2978"/>
      <c r="AS44" s="2978"/>
      <c r="AT44" s="2978"/>
      <c r="AU44" s="2978"/>
      <c r="AV44" s="2978"/>
      <c r="AW44" s="2978"/>
      <c r="AX44" s="2978"/>
      <c r="AY44" s="2978"/>
      <c r="AZ44" s="2978"/>
      <c r="BA44" s="2978"/>
      <c r="BB44" s="2978"/>
      <c r="BC44" s="2978"/>
      <c r="BD44" s="2978"/>
      <c r="BE44" s="2978"/>
      <c r="BF44" s="2978"/>
      <c r="BG44" s="2978"/>
      <c r="BH44" s="2978"/>
      <c r="BI44" s="2978"/>
      <c r="BJ44" s="2978"/>
      <c r="BK44" s="3010"/>
      <c r="BL44" s="3010"/>
      <c r="BM44" s="2505"/>
      <c r="BN44" s="2978"/>
      <c r="BO44" s="3899"/>
      <c r="BP44" s="2978"/>
      <c r="BQ44" s="3942"/>
      <c r="BR44" s="3939"/>
      <c r="BS44" s="3939"/>
      <c r="BT44" s="3939"/>
      <c r="BU44" s="3896"/>
    </row>
    <row r="45" spans="1:73" ht="51.75" customHeight="1" x14ac:dyDescent="0.25">
      <c r="A45" s="3866"/>
      <c r="B45" s="3867"/>
      <c r="C45" s="2909"/>
      <c r="D45" s="2910"/>
      <c r="E45" s="3872"/>
      <c r="F45" s="3873"/>
      <c r="G45" s="3876"/>
      <c r="H45" s="2680"/>
      <c r="I45" s="3876"/>
      <c r="J45" s="2680"/>
      <c r="K45" s="3845"/>
      <c r="L45" s="2688"/>
      <c r="M45" s="3845"/>
      <c r="N45" s="2688"/>
      <c r="O45" s="2679"/>
      <c r="P45" s="2679">
        <v>0</v>
      </c>
      <c r="Q45" s="3929"/>
      <c r="R45" s="2543"/>
      <c r="S45" s="3879"/>
      <c r="T45" s="3930"/>
      <c r="U45" s="2993"/>
      <c r="V45" s="2782"/>
      <c r="W45" s="2782"/>
      <c r="X45" s="1332">
        <v>13000000</v>
      </c>
      <c r="Y45" s="681">
        <v>13000000</v>
      </c>
      <c r="Z45" s="681">
        <v>13000000</v>
      </c>
      <c r="AA45" s="218" t="s">
        <v>1985</v>
      </c>
      <c r="AB45" s="3892"/>
      <c r="AC45" s="2756"/>
      <c r="AD45" s="2978"/>
      <c r="AE45" s="2978"/>
      <c r="AF45" s="2978"/>
      <c r="AG45" s="2978"/>
      <c r="AH45" s="2978"/>
      <c r="AI45" s="2978"/>
      <c r="AJ45" s="2978"/>
      <c r="AK45" s="2978"/>
      <c r="AL45" s="2978"/>
      <c r="AM45" s="2978"/>
      <c r="AN45" s="2978"/>
      <c r="AO45" s="2978"/>
      <c r="AP45" s="2978"/>
      <c r="AQ45" s="2978"/>
      <c r="AR45" s="2978"/>
      <c r="AS45" s="2978"/>
      <c r="AT45" s="2978"/>
      <c r="AU45" s="2978"/>
      <c r="AV45" s="2978"/>
      <c r="AW45" s="2978"/>
      <c r="AX45" s="2978"/>
      <c r="AY45" s="2978"/>
      <c r="AZ45" s="2978"/>
      <c r="BA45" s="2978"/>
      <c r="BB45" s="2978"/>
      <c r="BC45" s="2978"/>
      <c r="BD45" s="2978"/>
      <c r="BE45" s="2978"/>
      <c r="BF45" s="2978"/>
      <c r="BG45" s="2978"/>
      <c r="BH45" s="2978"/>
      <c r="BI45" s="2978"/>
      <c r="BJ45" s="2978"/>
      <c r="BK45" s="3010"/>
      <c r="BL45" s="3010"/>
      <c r="BM45" s="2505"/>
      <c r="BN45" s="2978"/>
      <c r="BO45" s="3899"/>
      <c r="BP45" s="2978"/>
      <c r="BQ45" s="3942"/>
      <c r="BR45" s="3939">
        <v>44252</v>
      </c>
      <c r="BS45" s="3939">
        <v>44561</v>
      </c>
      <c r="BT45" s="3939">
        <v>44379</v>
      </c>
      <c r="BU45" s="3896"/>
    </row>
    <row r="46" spans="1:73" ht="51.75" customHeight="1" x14ac:dyDescent="0.25">
      <c r="A46" s="3866"/>
      <c r="B46" s="3867"/>
      <c r="C46" s="2911"/>
      <c r="D46" s="2912"/>
      <c r="E46" s="3874"/>
      <c r="F46" s="3875"/>
      <c r="G46" s="812">
        <v>1709093</v>
      </c>
      <c r="H46" s="732" t="s">
        <v>1986</v>
      </c>
      <c r="I46" s="812">
        <v>1709093</v>
      </c>
      <c r="J46" s="732" t="s">
        <v>1986</v>
      </c>
      <c r="K46" s="683" t="s">
        <v>1987</v>
      </c>
      <c r="L46" s="732" t="s">
        <v>1988</v>
      </c>
      <c r="M46" s="683" t="s">
        <v>1987</v>
      </c>
      <c r="N46" s="732" t="s">
        <v>1988</v>
      </c>
      <c r="O46" s="1331">
        <v>2</v>
      </c>
      <c r="P46" s="1304">
        <v>2</v>
      </c>
      <c r="Q46" s="3929"/>
      <c r="R46" s="2543"/>
      <c r="S46" s="1305">
        <f>X46/T43</f>
        <v>0.20370370370370369</v>
      </c>
      <c r="T46" s="3930"/>
      <c r="U46" s="2994"/>
      <c r="V46" s="732" t="s">
        <v>1989</v>
      </c>
      <c r="W46" s="1336" t="s">
        <v>1990</v>
      </c>
      <c r="X46" s="1332">
        <v>22000000</v>
      </c>
      <c r="Y46" s="681">
        <v>22000000</v>
      </c>
      <c r="Z46" s="681">
        <v>22000000</v>
      </c>
      <c r="AA46" s="218" t="s">
        <v>1991</v>
      </c>
      <c r="AB46" s="809">
        <v>20</v>
      </c>
      <c r="AC46" s="722" t="s">
        <v>1830</v>
      </c>
      <c r="AD46" s="2978"/>
      <c r="AE46" s="2978"/>
      <c r="AF46" s="2978"/>
      <c r="AG46" s="2978"/>
      <c r="AH46" s="2978"/>
      <c r="AI46" s="2978"/>
      <c r="AJ46" s="2978"/>
      <c r="AK46" s="2978"/>
      <c r="AL46" s="2978"/>
      <c r="AM46" s="2978"/>
      <c r="AN46" s="2978"/>
      <c r="AO46" s="2978"/>
      <c r="AP46" s="2978"/>
      <c r="AQ46" s="2978"/>
      <c r="AR46" s="2978"/>
      <c r="AS46" s="2978"/>
      <c r="AT46" s="2978"/>
      <c r="AU46" s="2978"/>
      <c r="AV46" s="2978"/>
      <c r="AW46" s="2978"/>
      <c r="AX46" s="2978"/>
      <c r="AY46" s="2978"/>
      <c r="AZ46" s="2978"/>
      <c r="BA46" s="2978"/>
      <c r="BB46" s="2978"/>
      <c r="BC46" s="2978"/>
      <c r="BD46" s="2978"/>
      <c r="BE46" s="2978"/>
      <c r="BF46" s="2978"/>
      <c r="BG46" s="2978"/>
      <c r="BH46" s="2978"/>
      <c r="BI46" s="2978"/>
      <c r="BJ46" s="2978"/>
      <c r="BK46" s="3010"/>
      <c r="BL46" s="3010"/>
      <c r="BM46" s="2505"/>
      <c r="BN46" s="2978"/>
      <c r="BO46" s="3899"/>
      <c r="BP46" s="2978"/>
      <c r="BQ46" s="3943"/>
      <c r="BR46" s="3940"/>
      <c r="BS46" s="3940"/>
      <c r="BT46" s="3940"/>
      <c r="BU46" s="3896"/>
    </row>
    <row r="47" spans="1:73" s="1357" customFormat="1" ht="23.25" customHeight="1" x14ac:dyDescent="0.25">
      <c r="A47" s="3866"/>
      <c r="B47" s="3867"/>
      <c r="C47" s="1337">
        <v>35</v>
      </c>
      <c r="D47" s="3944" t="s">
        <v>719</v>
      </c>
      <c r="E47" s="3944"/>
      <c r="F47" s="3944"/>
      <c r="G47" s="3944"/>
      <c r="H47" s="3944"/>
      <c r="I47" s="3944"/>
      <c r="J47" s="3944"/>
      <c r="K47" s="1338"/>
      <c r="L47" s="1339"/>
      <c r="M47" s="1338"/>
      <c r="N47" s="1339"/>
      <c r="O47" s="1340"/>
      <c r="P47" s="1340"/>
      <c r="Q47" s="1340"/>
      <c r="R47" s="1341"/>
      <c r="S47" s="1342"/>
      <c r="T47" s="1343"/>
      <c r="U47" s="1341"/>
      <c r="V47" s="1344"/>
      <c r="W47" s="1345"/>
      <c r="X47" s="1346"/>
      <c r="Y47" s="1343"/>
      <c r="Z47" s="1343"/>
      <c r="AA47" s="1347"/>
      <c r="AB47" s="1348"/>
      <c r="AC47" s="1349"/>
      <c r="AD47" s="1350"/>
      <c r="AE47" s="1350"/>
      <c r="AF47" s="1350"/>
      <c r="AG47" s="1350"/>
      <c r="AH47" s="1350"/>
      <c r="AI47" s="1350"/>
      <c r="AJ47" s="1350"/>
      <c r="AK47" s="1350"/>
      <c r="AL47" s="1350"/>
      <c r="AM47" s="1350"/>
      <c r="AN47" s="1350"/>
      <c r="AO47" s="1350"/>
      <c r="AP47" s="1351"/>
      <c r="AQ47" s="1351"/>
      <c r="AR47" s="1351"/>
      <c r="AS47" s="1351"/>
      <c r="AT47" s="1351"/>
      <c r="AU47" s="1351"/>
      <c r="AV47" s="1351"/>
      <c r="AW47" s="1351"/>
      <c r="AX47" s="1351"/>
      <c r="AY47" s="1351"/>
      <c r="AZ47" s="1351"/>
      <c r="BA47" s="1351"/>
      <c r="BB47" s="1351"/>
      <c r="BC47" s="1351"/>
      <c r="BD47" s="1351"/>
      <c r="BE47" s="1351"/>
      <c r="BF47" s="1350"/>
      <c r="BG47" s="1350"/>
      <c r="BH47" s="1350"/>
      <c r="BI47" s="1350"/>
      <c r="BJ47" s="1350"/>
      <c r="BK47" s="1352"/>
      <c r="BL47" s="1352"/>
      <c r="BM47" s="1353"/>
      <c r="BN47" s="1350"/>
      <c r="BO47" s="1354"/>
      <c r="BP47" s="1350"/>
      <c r="BQ47" s="1355"/>
      <c r="BR47" s="1355"/>
      <c r="BS47" s="1355"/>
      <c r="BT47" s="1355"/>
      <c r="BU47" s="1356"/>
    </row>
    <row r="48" spans="1:73" ht="23.25" customHeight="1" x14ac:dyDescent="0.25">
      <c r="A48" s="3866"/>
      <c r="B48" s="3867"/>
      <c r="C48" s="2968"/>
      <c r="D48" s="2969"/>
      <c r="E48" s="1299">
        <v>3502</v>
      </c>
      <c r="F48" s="2955" t="s">
        <v>1992</v>
      </c>
      <c r="G48" s="2955"/>
      <c r="H48" s="2955"/>
      <c r="I48" s="2955"/>
      <c r="J48" s="2955"/>
      <c r="K48" s="2955"/>
      <c r="L48" s="2955"/>
      <c r="M48" s="190"/>
      <c r="N48" s="194"/>
      <c r="O48" s="190"/>
      <c r="P48" s="190"/>
      <c r="Q48" s="190"/>
      <c r="R48" s="194"/>
      <c r="S48" s="192"/>
      <c r="T48" s="528"/>
      <c r="U48" s="194"/>
      <c r="V48" s="194"/>
      <c r="W48" s="1301"/>
      <c r="X48" s="1315"/>
      <c r="Y48" s="528"/>
      <c r="Z48" s="528"/>
      <c r="AA48" s="918"/>
      <c r="AB48" s="343"/>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1330"/>
      <c r="BL48" s="1330"/>
      <c r="BM48" s="1300"/>
      <c r="BN48" s="341"/>
      <c r="BO48" s="1301"/>
      <c r="BP48" s="341"/>
      <c r="BQ48" s="344"/>
      <c r="BR48" s="344"/>
      <c r="BS48" s="344"/>
      <c r="BT48" s="344"/>
      <c r="BU48" s="345"/>
    </row>
    <row r="49" spans="1:73" ht="75" customHeight="1" x14ac:dyDescent="0.25">
      <c r="A49" s="3866"/>
      <c r="B49" s="3867"/>
      <c r="C49" s="2795"/>
      <c r="D49" s="2498"/>
      <c r="E49" s="3870"/>
      <c r="F49" s="3871"/>
      <c r="G49" s="812">
        <v>3502017</v>
      </c>
      <c r="H49" s="732" t="s">
        <v>1993</v>
      </c>
      <c r="I49" s="812">
        <v>3502017</v>
      </c>
      <c r="J49" s="732" t="s">
        <v>1993</v>
      </c>
      <c r="K49" s="1308" t="s">
        <v>1994</v>
      </c>
      <c r="L49" s="731" t="s">
        <v>1995</v>
      </c>
      <c r="M49" s="1308" t="s">
        <v>1994</v>
      </c>
      <c r="N49" s="731" t="s">
        <v>1995</v>
      </c>
      <c r="O49" s="730">
        <v>6</v>
      </c>
      <c r="P49" s="1331">
        <v>6</v>
      </c>
      <c r="Q49" s="2546" t="s">
        <v>1996</v>
      </c>
      <c r="R49" s="2680" t="s">
        <v>1997</v>
      </c>
      <c r="S49" s="1305">
        <f>X49/T49</f>
        <v>0.5</v>
      </c>
      <c r="T49" s="3930">
        <f>SUM(X49:X50)</f>
        <v>36000000</v>
      </c>
      <c r="U49" s="2992" t="s">
        <v>1998</v>
      </c>
      <c r="V49" s="2545" t="s">
        <v>1999</v>
      </c>
      <c r="W49" s="684" t="s">
        <v>2000</v>
      </c>
      <c r="X49" s="1323">
        <v>18000000</v>
      </c>
      <c r="Y49" s="84">
        <v>18000000</v>
      </c>
      <c r="Z49" s="84">
        <v>18000000</v>
      </c>
      <c r="AA49" s="218" t="s">
        <v>2001</v>
      </c>
      <c r="AB49" s="813">
        <v>20</v>
      </c>
      <c r="AC49" s="713" t="s">
        <v>1830</v>
      </c>
      <c r="AD49" s="2977">
        <v>655</v>
      </c>
      <c r="AE49" s="2977"/>
      <c r="AF49" s="2977">
        <v>1234</v>
      </c>
      <c r="AG49" s="2977"/>
      <c r="AH49" s="2977">
        <v>253</v>
      </c>
      <c r="AI49" s="2977"/>
      <c r="AJ49" s="2977">
        <v>172</v>
      </c>
      <c r="AK49" s="2977"/>
      <c r="AL49" s="2977">
        <v>1200</v>
      </c>
      <c r="AM49" s="2977"/>
      <c r="AN49" s="2977">
        <v>633</v>
      </c>
      <c r="AO49" s="2977"/>
      <c r="AP49" s="2977">
        <v>126</v>
      </c>
      <c r="AQ49" s="2977"/>
      <c r="AR49" s="2977">
        <v>120</v>
      </c>
      <c r="AS49" s="2977"/>
      <c r="AT49" s="2977"/>
      <c r="AU49" s="2977"/>
      <c r="AV49" s="2977"/>
      <c r="AW49" s="2977"/>
      <c r="AX49" s="2977"/>
      <c r="AY49" s="2977"/>
      <c r="AZ49" s="2977"/>
      <c r="BA49" s="2977"/>
      <c r="BB49" s="2977">
        <v>582</v>
      </c>
      <c r="BC49" s="2977"/>
      <c r="BD49" s="2977">
        <v>33</v>
      </c>
      <c r="BE49" s="2977"/>
      <c r="BF49" s="2977">
        <v>51</v>
      </c>
      <c r="BG49" s="2977"/>
      <c r="BH49" s="2977">
        <v>1889</v>
      </c>
      <c r="BI49" s="2977"/>
      <c r="BJ49" s="2977">
        <v>3</v>
      </c>
      <c r="BK49" s="3009">
        <f>SUM(Y49:Y50)</f>
        <v>34195000</v>
      </c>
      <c r="BL49" s="3009">
        <f>SUM(Z49:Z50)</f>
        <v>34195000</v>
      </c>
      <c r="BM49" s="2682">
        <f>+BL49/BK49</f>
        <v>1</v>
      </c>
      <c r="BN49" s="2977">
        <v>20</v>
      </c>
      <c r="BO49" s="3898" t="s">
        <v>1830</v>
      </c>
      <c r="BP49" s="2977" t="s">
        <v>2002</v>
      </c>
      <c r="BQ49" s="3018"/>
      <c r="BR49" s="3018">
        <v>44293</v>
      </c>
      <c r="BS49" s="3018">
        <v>44561</v>
      </c>
      <c r="BT49" s="3018">
        <v>44551</v>
      </c>
      <c r="BU49" s="3895" t="s">
        <v>1834</v>
      </c>
    </row>
    <row r="50" spans="1:73" ht="63.75" customHeight="1" x14ac:dyDescent="0.25">
      <c r="A50" s="3868"/>
      <c r="B50" s="3869"/>
      <c r="C50" s="2796"/>
      <c r="D50" s="2970"/>
      <c r="E50" s="3874"/>
      <c r="F50" s="3875"/>
      <c r="G50" s="812">
        <v>3502007</v>
      </c>
      <c r="H50" s="732" t="s">
        <v>2003</v>
      </c>
      <c r="I50" s="812">
        <v>3502007</v>
      </c>
      <c r="J50" s="732" t="s">
        <v>2003</v>
      </c>
      <c r="K50" s="683" t="s">
        <v>2004</v>
      </c>
      <c r="L50" s="732" t="s">
        <v>2005</v>
      </c>
      <c r="M50" s="683" t="s">
        <v>2004</v>
      </c>
      <c r="N50" s="732" t="s">
        <v>2005</v>
      </c>
      <c r="O50" s="683">
        <v>5</v>
      </c>
      <c r="P50" s="678">
        <v>4</v>
      </c>
      <c r="Q50" s="2546"/>
      <c r="R50" s="2680"/>
      <c r="S50" s="1305">
        <f>X50/T49</f>
        <v>0.5</v>
      </c>
      <c r="T50" s="3930"/>
      <c r="U50" s="2994"/>
      <c r="V50" s="2782"/>
      <c r="W50" s="684" t="s">
        <v>2006</v>
      </c>
      <c r="X50" s="1323">
        <v>18000000</v>
      </c>
      <c r="Y50" s="84">
        <v>16195000</v>
      </c>
      <c r="Z50" s="84">
        <v>16195000</v>
      </c>
      <c r="AA50" s="218" t="s">
        <v>2007</v>
      </c>
      <c r="AB50" s="809">
        <v>20</v>
      </c>
      <c r="AC50" s="722" t="s">
        <v>1830</v>
      </c>
      <c r="AD50" s="2978"/>
      <c r="AE50" s="2978"/>
      <c r="AF50" s="2978"/>
      <c r="AG50" s="2978"/>
      <c r="AH50" s="2978"/>
      <c r="AI50" s="2978"/>
      <c r="AJ50" s="2978"/>
      <c r="AK50" s="2978"/>
      <c r="AL50" s="2978"/>
      <c r="AM50" s="2978"/>
      <c r="AN50" s="2978"/>
      <c r="AO50" s="2978"/>
      <c r="AP50" s="2978"/>
      <c r="AQ50" s="2978"/>
      <c r="AR50" s="2978"/>
      <c r="AS50" s="2978"/>
      <c r="AT50" s="2978"/>
      <c r="AU50" s="2978"/>
      <c r="AV50" s="2978"/>
      <c r="AW50" s="2978"/>
      <c r="AX50" s="2978"/>
      <c r="AY50" s="2978"/>
      <c r="AZ50" s="2978"/>
      <c r="BA50" s="2978"/>
      <c r="BB50" s="2978"/>
      <c r="BC50" s="2978"/>
      <c r="BD50" s="2978"/>
      <c r="BE50" s="2978"/>
      <c r="BF50" s="2978"/>
      <c r="BG50" s="2978"/>
      <c r="BH50" s="2978"/>
      <c r="BI50" s="2978"/>
      <c r="BJ50" s="2978"/>
      <c r="BK50" s="3010"/>
      <c r="BL50" s="3010"/>
      <c r="BM50" s="3042"/>
      <c r="BN50" s="2978"/>
      <c r="BO50" s="3899"/>
      <c r="BP50" s="2978"/>
      <c r="BQ50" s="3945"/>
      <c r="BR50" s="3945"/>
      <c r="BS50" s="3019"/>
      <c r="BT50" s="3945"/>
      <c r="BU50" s="3896"/>
    </row>
    <row r="51" spans="1:73" ht="15.75" x14ac:dyDescent="0.25">
      <c r="A51" s="467">
        <v>3</v>
      </c>
      <c r="B51" s="2900" t="s">
        <v>524</v>
      </c>
      <c r="C51" s="2900"/>
      <c r="D51" s="2900"/>
      <c r="E51" s="2900"/>
      <c r="F51" s="2900"/>
      <c r="G51" s="2900"/>
      <c r="H51" s="2900"/>
      <c r="I51" s="166"/>
      <c r="J51" s="165"/>
      <c r="K51" s="166"/>
      <c r="L51" s="165"/>
      <c r="M51" s="166"/>
      <c r="N51" s="165"/>
      <c r="O51" s="166"/>
      <c r="P51" s="166"/>
      <c r="Q51" s="166"/>
      <c r="R51" s="165"/>
      <c r="S51" s="169"/>
      <c r="T51" s="519"/>
      <c r="U51" s="165"/>
      <c r="V51" s="165"/>
      <c r="W51" s="1358"/>
      <c r="X51" s="1359"/>
      <c r="Y51" s="1360"/>
      <c r="Z51" s="519"/>
      <c r="AA51" s="778"/>
      <c r="AB51" s="252"/>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1361"/>
      <c r="BM51" s="1295"/>
      <c r="BN51" s="248"/>
      <c r="BO51" s="247"/>
      <c r="BP51" s="248"/>
      <c r="BQ51" s="325"/>
      <c r="BR51" s="325"/>
      <c r="BS51" s="325"/>
      <c r="BT51" s="325"/>
      <c r="BU51" s="326"/>
    </row>
    <row r="52" spans="1:73" ht="15.75" x14ac:dyDescent="0.25">
      <c r="A52" s="3864"/>
      <c r="B52" s="3865"/>
      <c r="C52" s="483">
        <v>32</v>
      </c>
      <c r="D52" s="2943" t="s">
        <v>2008</v>
      </c>
      <c r="E52" s="2943"/>
      <c r="F52" s="2943"/>
      <c r="G52" s="2943"/>
      <c r="H52" s="2943"/>
      <c r="I52" s="2943"/>
      <c r="J52" s="2943"/>
      <c r="K52" s="2943"/>
      <c r="L52" s="180"/>
      <c r="M52" s="179"/>
      <c r="N52" s="180"/>
      <c r="O52" s="179"/>
      <c r="P52" s="179"/>
      <c r="Q52" s="179"/>
      <c r="R52" s="180"/>
      <c r="S52" s="182"/>
      <c r="T52" s="522"/>
      <c r="U52" s="180"/>
      <c r="V52" s="180"/>
      <c r="W52" s="1298"/>
      <c r="X52" s="1362"/>
      <c r="Y52" s="522"/>
      <c r="Z52" s="522"/>
      <c r="AA52" s="328"/>
      <c r="AB52" s="332"/>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1363"/>
      <c r="BM52" s="1297"/>
      <c r="BN52" s="328"/>
      <c r="BO52" s="1298"/>
      <c r="BP52" s="328"/>
      <c r="BQ52" s="333"/>
      <c r="BR52" s="333"/>
      <c r="BS52" s="333"/>
      <c r="BT52" s="333"/>
      <c r="BU52" s="334"/>
    </row>
    <row r="53" spans="1:73" ht="15.75" x14ac:dyDescent="0.25">
      <c r="A53" s="3866"/>
      <c r="B53" s="3867"/>
      <c r="C53" s="2968"/>
      <c r="D53" s="2969"/>
      <c r="E53" s="190">
        <v>3201</v>
      </c>
      <c r="F53" s="2955" t="s">
        <v>2009</v>
      </c>
      <c r="G53" s="2955"/>
      <c r="H53" s="2955"/>
      <c r="I53" s="2955"/>
      <c r="J53" s="2955"/>
      <c r="K53" s="2955"/>
      <c r="L53" s="2955"/>
      <c r="M53" s="190"/>
      <c r="N53" s="194"/>
      <c r="O53" s="190"/>
      <c r="P53" s="190"/>
      <c r="Q53" s="190"/>
      <c r="R53" s="194"/>
      <c r="S53" s="190"/>
      <c r="T53" s="528"/>
      <c r="U53" s="194"/>
      <c r="V53" s="194"/>
      <c r="W53" s="1029"/>
      <c r="X53" s="1315"/>
      <c r="Y53" s="528"/>
      <c r="Z53" s="528"/>
      <c r="AA53" s="918"/>
      <c r="AB53" s="918"/>
      <c r="AC53" s="918"/>
      <c r="AD53" s="918"/>
      <c r="AE53" s="918"/>
      <c r="AF53" s="918"/>
      <c r="AG53" s="918"/>
      <c r="AH53" s="918"/>
      <c r="AI53" s="918"/>
      <c r="AJ53" s="918"/>
      <c r="AK53" s="918"/>
      <c r="AL53" s="918"/>
      <c r="AM53" s="918"/>
      <c r="AN53" s="918"/>
      <c r="AO53" s="918"/>
      <c r="AP53" s="918"/>
      <c r="AQ53" s="918"/>
      <c r="AR53" s="918"/>
      <c r="AS53" s="918"/>
      <c r="AT53" s="918"/>
      <c r="AU53" s="918"/>
      <c r="AV53" s="918"/>
      <c r="AW53" s="918"/>
      <c r="AX53" s="918"/>
      <c r="AY53" s="918"/>
      <c r="AZ53" s="918"/>
      <c r="BA53" s="918"/>
      <c r="BB53" s="918"/>
      <c r="BC53" s="918"/>
      <c r="BD53" s="918"/>
      <c r="BE53" s="918"/>
      <c r="BF53" s="918"/>
      <c r="BG53" s="918"/>
      <c r="BH53" s="918"/>
      <c r="BI53" s="918"/>
      <c r="BJ53" s="918"/>
      <c r="BK53" s="918"/>
      <c r="BL53" s="1364"/>
      <c r="BM53" s="1365"/>
      <c r="BN53" s="918"/>
      <c r="BO53" s="1029"/>
      <c r="BP53" s="918"/>
      <c r="BQ53" s="918"/>
      <c r="BR53" s="918"/>
      <c r="BS53" s="918"/>
      <c r="BT53" s="918"/>
      <c r="BU53" s="918"/>
    </row>
    <row r="54" spans="1:73" ht="69.75" customHeight="1" x14ac:dyDescent="0.25">
      <c r="A54" s="3866"/>
      <c r="B54" s="3867"/>
      <c r="C54" s="2795"/>
      <c r="D54" s="2498"/>
      <c r="E54" s="3864"/>
      <c r="F54" s="3865"/>
      <c r="G54" s="683">
        <v>3201013</v>
      </c>
      <c r="H54" s="732" t="s">
        <v>2010</v>
      </c>
      <c r="I54" s="683">
        <v>3201013</v>
      </c>
      <c r="J54" s="732" t="s">
        <v>2010</v>
      </c>
      <c r="K54" s="683">
        <v>320101300</v>
      </c>
      <c r="L54" s="732" t="s">
        <v>2011</v>
      </c>
      <c r="M54" s="683">
        <v>320101300</v>
      </c>
      <c r="N54" s="732" t="s">
        <v>2011</v>
      </c>
      <c r="O54" s="615">
        <v>1</v>
      </c>
      <c r="P54" s="747">
        <v>1</v>
      </c>
      <c r="Q54" s="2546" t="s">
        <v>2012</v>
      </c>
      <c r="R54" s="2543" t="s">
        <v>2013</v>
      </c>
      <c r="S54" s="1366">
        <f>X54/T54</f>
        <v>0.38617543579917424</v>
      </c>
      <c r="T54" s="3946">
        <f>SUM(X54:X55)</f>
        <v>81456499</v>
      </c>
      <c r="U54" s="2545" t="s">
        <v>2014</v>
      </c>
      <c r="V54" s="2681" t="s">
        <v>2015</v>
      </c>
      <c r="W54" s="1367" t="s">
        <v>2016</v>
      </c>
      <c r="X54" s="1368">
        <v>31456499</v>
      </c>
      <c r="Y54" s="51">
        <v>31456499</v>
      </c>
      <c r="Z54" s="51">
        <v>31456499</v>
      </c>
      <c r="AA54" s="218" t="s">
        <v>2017</v>
      </c>
      <c r="AB54" s="3947">
        <v>20</v>
      </c>
      <c r="AC54" s="3948" t="s">
        <v>1830</v>
      </c>
      <c r="AD54" s="3955">
        <v>39408</v>
      </c>
      <c r="AE54" s="3955"/>
      <c r="AF54" s="3955">
        <v>38892</v>
      </c>
      <c r="AG54" s="3955"/>
      <c r="AH54" s="3955">
        <v>15324</v>
      </c>
      <c r="AI54" s="3955"/>
      <c r="AJ54" s="3955">
        <v>7104</v>
      </c>
      <c r="AK54" s="3955"/>
      <c r="AL54" s="3955">
        <v>40867</v>
      </c>
      <c r="AM54" s="3955"/>
      <c r="AN54" s="3955">
        <v>15005</v>
      </c>
      <c r="AO54" s="3955"/>
      <c r="AP54" s="3955"/>
      <c r="AQ54" s="3955"/>
      <c r="AR54" s="3955"/>
      <c r="AS54" s="3955"/>
      <c r="AT54" s="3955"/>
      <c r="AU54" s="3955"/>
      <c r="AV54" s="3955"/>
      <c r="AW54" s="3955"/>
      <c r="AX54" s="3955"/>
      <c r="AY54" s="3955"/>
      <c r="AZ54" s="3955"/>
      <c r="BA54" s="3955"/>
      <c r="BB54" s="3955"/>
      <c r="BC54" s="3955"/>
      <c r="BD54" s="3955"/>
      <c r="BE54" s="3955"/>
      <c r="BF54" s="3955"/>
      <c r="BG54" s="3955"/>
      <c r="BH54" s="3955">
        <f>SUM(AD54:AF55)</f>
        <v>78300</v>
      </c>
      <c r="BI54" s="3955"/>
      <c r="BJ54" s="3969">
        <v>4</v>
      </c>
      <c r="BK54" s="3956">
        <f>SUM(Y54:Y55)</f>
        <v>81456499</v>
      </c>
      <c r="BL54" s="3956">
        <f>SUM(Z54:Z55)</f>
        <v>81456499</v>
      </c>
      <c r="BM54" s="3957">
        <f>+BL54/BK54</f>
        <v>1</v>
      </c>
      <c r="BN54" s="3955">
        <v>20</v>
      </c>
      <c r="BO54" s="3966" t="s">
        <v>1830</v>
      </c>
      <c r="BP54" s="3955" t="s">
        <v>2018</v>
      </c>
      <c r="BQ54" s="3967">
        <v>44211</v>
      </c>
      <c r="BR54" s="3958">
        <v>44250</v>
      </c>
      <c r="BS54" s="3958">
        <v>44561</v>
      </c>
      <c r="BT54" s="3958">
        <v>44551</v>
      </c>
      <c r="BU54" s="3948" t="s">
        <v>1834</v>
      </c>
    </row>
    <row r="55" spans="1:73" ht="69.75" customHeight="1" x14ac:dyDescent="0.25">
      <c r="A55" s="3866"/>
      <c r="B55" s="3867"/>
      <c r="C55" s="2795"/>
      <c r="D55" s="2498"/>
      <c r="E55" s="3868"/>
      <c r="F55" s="3869"/>
      <c r="G55" s="683">
        <v>3201008</v>
      </c>
      <c r="H55" s="732" t="s">
        <v>2019</v>
      </c>
      <c r="I55" s="683">
        <v>3201008</v>
      </c>
      <c r="J55" s="732" t="s">
        <v>2019</v>
      </c>
      <c r="K55" s="683">
        <v>320100805</v>
      </c>
      <c r="L55" s="732" t="s">
        <v>2020</v>
      </c>
      <c r="M55" s="683">
        <v>320100805</v>
      </c>
      <c r="N55" s="732" t="s">
        <v>2020</v>
      </c>
      <c r="O55" s="615">
        <v>2</v>
      </c>
      <c r="P55" s="747">
        <v>2</v>
      </c>
      <c r="Q55" s="2546"/>
      <c r="R55" s="2543"/>
      <c r="S55" s="1366">
        <f>X55/T54</f>
        <v>0.61382456420082576</v>
      </c>
      <c r="T55" s="3946"/>
      <c r="U55" s="2782"/>
      <c r="V55" s="2772"/>
      <c r="W55" s="1367" t="s">
        <v>2021</v>
      </c>
      <c r="X55" s="1368">
        <v>50000000</v>
      </c>
      <c r="Y55" s="51">
        <v>50000000</v>
      </c>
      <c r="Z55" s="51">
        <v>50000000</v>
      </c>
      <c r="AA55" s="218" t="s">
        <v>2022</v>
      </c>
      <c r="AB55" s="3947"/>
      <c r="AC55" s="3948"/>
      <c r="AD55" s="3955"/>
      <c r="AE55" s="3955"/>
      <c r="AF55" s="3955"/>
      <c r="AG55" s="3955"/>
      <c r="AH55" s="3955"/>
      <c r="AI55" s="3955"/>
      <c r="AJ55" s="3955"/>
      <c r="AK55" s="3955"/>
      <c r="AL55" s="3955"/>
      <c r="AM55" s="3955"/>
      <c r="AN55" s="3955"/>
      <c r="AO55" s="3955"/>
      <c r="AP55" s="3955"/>
      <c r="AQ55" s="3955"/>
      <c r="AR55" s="3955"/>
      <c r="AS55" s="3955"/>
      <c r="AT55" s="3955"/>
      <c r="AU55" s="3955"/>
      <c r="AV55" s="3955"/>
      <c r="AW55" s="3955"/>
      <c r="AX55" s="3955"/>
      <c r="AY55" s="3955"/>
      <c r="AZ55" s="3955"/>
      <c r="BA55" s="3955"/>
      <c r="BB55" s="3955"/>
      <c r="BC55" s="3955"/>
      <c r="BD55" s="3955"/>
      <c r="BE55" s="3955"/>
      <c r="BF55" s="3955"/>
      <c r="BG55" s="3955"/>
      <c r="BH55" s="3955"/>
      <c r="BI55" s="3955"/>
      <c r="BJ55" s="3969"/>
      <c r="BK55" s="3956"/>
      <c r="BL55" s="3956"/>
      <c r="BM55" s="3957"/>
      <c r="BN55" s="3955"/>
      <c r="BO55" s="3966"/>
      <c r="BP55" s="3955"/>
      <c r="BQ55" s="3968"/>
      <c r="BR55" s="3959"/>
      <c r="BS55" s="3959"/>
      <c r="BT55" s="3959"/>
      <c r="BU55" s="3948"/>
    </row>
    <row r="56" spans="1:73" ht="15.75" x14ac:dyDescent="0.25">
      <c r="A56" s="3866"/>
      <c r="B56" s="3867"/>
      <c r="C56" s="2795"/>
      <c r="D56" s="2498"/>
      <c r="E56" s="1299">
        <v>3202</v>
      </c>
      <c r="F56" s="2955" t="s">
        <v>2023</v>
      </c>
      <c r="G56" s="2955"/>
      <c r="H56" s="2955"/>
      <c r="I56" s="2955"/>
      <c r="J56" s="2955"/>
      <c r="K56" s="2955"/>
      <c r="L56" s="2955"/>
      <c r="M56" s="190"/>
      <c r="N56" s="194"/>
      <c r="O56" s="190"/>
      <c r="P56" s="190"/>
      <c r="Q56" s="190"/>
      <c r="R56" s="194"/>
      <c r="S56" s="190"/>
      <c r="T56" s="528"/>
      <c r="U56" s="194"/>
      <c r="V56" s="194"/>
      <c r="W56" s="1301"/>
      <c r="X56" s="1315"/>
      <c r="Y56" s="528"/>
      <c r="Z56" s="528"/>
      <c r="AA56" s="918"/>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1330"/>
      <c r="BL56" s="1330"/>
      <c r="BM56" s="1300"/>
      <c r="BN56" s="341"/>
      <c r="BO56" s="1301"/>
      <c r="BP56" s="341"/>
      <c r="BQ56" s="341"/>
      <c r="BR56" s="341"/>
      <c r="BS56" s="341"/>
      <c r="BT56" s="341"/>
      <c r="BU56" s="341"/>
    </row>
    <row r="57" spans="1:73" ht="39" customHeight="1" x14ac:dyDescent="0.25">
      <c r="A57" s="3866"/>
      <c r="B57" s="3867"/>
      <c r="C57" s="2795"/>
      <c r="D57" s="2498"/>
      <c r="E57" s="3960"/>
      <c r="F57" s="3961"/>
      <c r="G57" s="3876" t="s">
        <v>2024</v>
      </c>
      <c r="H57" s="2680" t="s">
        <v>2025</v>
      </c>
      <c r="I57" s="3876" t="s">
        <v>2024</v>
      </c>
      <c r="J57" s="2680" t="s">
        <v>2025</v>
      </c>
      <c r="K57" s="3845" t="s">
        <v>2026</v>
      </c>
      <c r="L57" s="2688" t="s">
        <v>2027</v>
      </c>
      <c r="M57" s="3845" t="s">
        <v>2026</v>
      </c>
      <c r="N57" s="2688" t="s">
        <v>2027</v>
      </c>
      <c r="O57" s="3092">
        <v>600</v>
      </c>
      <c r="P57" s="2679">
        <v>0</v>
      </c>
      <c r="Q57" s="2547" t="s">
        <v>2028</v>
      </c>
      <c r="R57" s="2681" t="s">
        <v>2029</v>
      </c>
      <c r="S57" s="3884">
        <f>SUM(X57:X59)/T57</f>
        <v>0.19203384449166835</v>
      </c>
      <c r="T57" s="3949">
        <f>SUM(X57:X65)</f>
        <v>1145631389</v>
      </c>
      <c r="U57" s="2992" t="s">
        <v>2030</v>
      </c>
      <c r="V57" s="2681" t="s">
        <v>2031</v>
      </c>
      <c r="W57" s="3952" t="s">
        <v>2032</v>
      </c>
      <c r="X57" s="1369">
        <f>220000000-20000000-10100000</f>
        <v>189900000</v>
      </c>
      <c r="Y57" s="51">
        <v>0</v>
      </c>
      <c r="Z57" s="51">
        <v>0</v>
      </c>
      <c r="AA57" s="218" t="s">
        <v>2033</v>
      </c>
      <c r="AB57" s="813">
        <v>20</v>
      </c>
      <c r="AC57" s="713" t="s">
        <v>1830</v>
      </c>
      <c r="AD57" s="2965">
        <v>291786</v>
      </c>
      <c r="AE57" s="2965"/>
      <c r="AF57" s="2965">
        <v>270331</v>
      </c>
      <c r="AG57" s="2965"/>
      <c r="AH57" s="2965">
        <v>102045</v>
      </c>
      <c r="AI57" s="2965"/>
      <c r="AJ57" s="2965">
        <v>39183</v>
      </c>
      <c r="AK57" s="2965"/>
      <c r="AL57" s="2965">
        <v>310195</v>
      </c>
      <c r="AM57" s="2965"/>
      <c r="AN57" s="2965">
        <v>110694</v>
      </c>
      <c r="AO57" s="2965"/>
      <c r="AP57" s="2965"/>
      <c r="AQ57" s="2965"/>
      <c r="AR57" s="2965"/>
      <c r="AS57" s="2965"/>
      <c r="AT57" s="2965"/>
      <c r="AU57" s="2965"/>
      <c r="AV57" s="2965"/>
      <c r="AW57" s="2965"/>
      <c r="AX57" s="2965"/>
      <c r="AY57" s="2965"/>
      <c r="AZ57" s="2965"/>
      <c r="BA57" s="2965"/>
      <c r="BB57" s="2965"/>
      <c r="BC57" s="2965"/>
      <c r="BD57" s="2965"/>
      <c r="BE57" s="2965"/>
      <c r="BF57" s="2965"/>
      <c r="BG57" s="2965"/>
      <c r="BH57" s="2965">
        <v>562117</v>
      </c>
      <c r="BI57" s="2965"/>
      <c r="BJ57" s="2965">
        <v>38</v>
      </c>
      <c r="BK57" s="2973">
        <f>SUM(Y57:Y65)</f>
        <v>386628018.56999999</v>
      </c>
      <c r="BL57" s="2973">
        <f>SUM(Z57:Z65)</f>
        <v>386628018.56999999</v>
      </c>
      <c r="BM57" s="2505">
        <f>+BL57/BK57</f>
        <v>1</v>
      </c>
      <c r="BN57" s="2965" t="s">
        <v>440</v>
      </c>
      <c r="BO57" s="3970" t="s">
        <v>1857</v>
      </c>
      <c r="BP57" s="2965" t="s">
        <v>2018</v>
      </c>
      <c r="BQ57" s="2794">
        <v>44211</v>
      </c>
      <c r="BR57" s="3973">
        <v>44242</v>
      </c>
      <c r="BS57" s="3973">
        <v>44561</v>
      </c>
      <c r="BT57" s="2753">
        <v>44551</v>
      </c>
      <c r="BU57" s="3108" t="s">
        <v>1834</v>
      </c>
    </row>
    <row r="58" spans="1:73" ht="39" customHeight="1" x14ac:dyDescent="0.25">
      <c r="A58" s="3866"/>
      <c r="B58" s="3867"/>
      <c r="C58" s="2795"/>
      <c r="D58" s="2498"/>
      <c r="E58" s="3962"/>
      <c r="F58" s="3963"/>
      <c r="G58" s="3876"/>
      <c r="H58" s="2680"/>
      <c r="I58" s="3876"/>
      <c r="J58" s="2680"/>
      <c r="K58" s="3845"/>
      <c r="L58" s="2688"/>
      <c r="M58" s="3845"/>
      <c r="N58" s="2688"/>
      <c r="O58" s="3092"/>
      <c r="P58" s="2679">
        <v>1</v>
      </c>
      <c r="Q58" s="2716"/>
      <c r="R58" s="2771"/>
      <c r="S58" s="3903"/>
      <c r="T58" s="3950"/>
      <c r="U58" s="2993"/>
      <c r="V58" s="2771"/>
      <c r="W58" s="3953"/>
      <c r="X58" s="1369">
        <v>20000000</v>
      </c>
      <c r="Y58" s="51">
        <v>20000000</v>
      </c>
      <c r="Z58" s="51">
        <v>20000000</v>
      </c>
      <c r="AA58" s="218" t="s">
        <v>2034</v>
      </c>
      <c r="AB58" s="813">
        <v>20</v>
      </c>
      <c r="AC58" s="713" t="s">
        <v>1830</v>
      </c>
      <c r="AD58" s="2965"/>
      <c r="AE58" s="2965"/>
      <c r="AF58" s="2965"/>
      <c r="AG58" s="2965"/>
      <c r="AH58" s="2965"/>
      <c r="AI58" s="2965"/>
      <c r="AJ58" s="2965"/>
      <c r="AK58" s="2965"/>
      <c r="AL58" s="2965"/>
      <c r="AM58" s="2965"/>
      <c r="AN58" s="2965"/>
      <c r="AO58" s="2965"/>
      <c r="AP58" s="2965"/>
      <c r="AQ58" s="2965"/>
      <c r="AR58" s="2965"/>
      <c r="AS58" s="2965"/>
      <c r="AT58" s="2965"/>
      <c r="AU58" s="2965"/>
      <c r="AV58" s="2965"/>
      <c r="AW58" s="2965"/>
      <c r="AX58" s="2965"/>
      <c r="AY58" s="2965"/>
      <c r="AZ58" s="2965"/>
      <c r="BA58" s="2965"/>
      <c r="BB58" s="2965"/>
      <c r="BC58" s="2965"/>
      <c r="BD58" s="2965"/>
      <c r="BE58" s="2965"/>
      <c r="BF58" s="2965"/>
      <c r="BG58" s="2965"/>
      <c r="BH58" s="2965"/>
      <c r="BI58" s="2965"/>
      <c r="BJ58" s="2965"/>
      <c r="BK58" s="2973"/>
      <c r="BL58" s="2973"/>
      <c r="BM58" s="2505"/>
      <c r="BN58" s="2965"/>
      <c r="BO58" s="3970"/>
      <c r="BP58" s="2965"/>
      <c r="BQ58" s="3971"/>
      <c r="BR58" s="3974"/>
      <c r="BS58" s="3974"/>
      <c r="BT58" s="2753"/>
      <c r="BU58" s="3108"/>
    </row>
    <row r="59" spans="1:73" ht="39" customHeight="1" x14ac:dyDescent="0.25">
      <c r="A59" s="3866"/>
      <c r="B59" s="3867"/>
      <c r="C59" s="2795"/>
      <c r="D59" s="2498"/>
      <c r="E59" s="3962"/>
      <c r="F59" s="3963"/>
      <c r="G59" s="3876"/>
      <c r="H59" s="2680"/>
      <c r="I59" s="3876"/>
      <c r="J59" s="2680"/>
      <c r="K59" s="3845"/>
      <c r="L59" s="2688"/>
      <c r="M59" s="3845"/>
      <c r="N59" s="2688"/>
      <c r="O59" s="3092"/>
      <c r="P59" s="2679">
        <v>0</v>
      </c>
      <c r="Q59" s="2716"/>
      <c r="R59" s="2771"/>
      <c r="S59" s="3885"/>
      <c r="T59" s="3950"/>
      <c r="U59" s="2993"/>
      <c r="V59" s="2771"/>
      <c r="W59" s="3954"/>
      <c r="X59" s="1369">
        <v>10100000</v>
      </c>
      <c r="Y59" s="51">
        <v>0</v>
      </c>
      <c r="Z59" s="51">
        <v>0</v>
      </c>
      <c r="AA59" s="218" t="s">
        <v>2035</v>
      </c>
      <c r="AB59" s="813">
        <v>20</v>
      </c>
      <c r="AC59" s="713" t="s">
        <v>1830</v>
      </c>
      <c r="AD59" s="2965"/>
      <c r="AE59" s="2965"/>
      <c r="AF59" s="2965"/>
      <c r="AG59" s="2965"/>
      <c r="AH59" s="2965"/>
      <c r="AI59" s="2965"/>
      <c r="AJ59" s="2965"/>
      <c r="AK59" s="2965"/>
      <c r="AL59" s="2965"/>
      <c r="AM59" s="2965"/>
      <c r="AN59" s="2965"/>
      <c r="AO59" s="2965"/>
      <c r="AP59" s="2965"/>
      <c r="AQ59" s="2965"/>
      <c r="AR59" s="2965"/>
      <c r="AS59" s="2965"/>
      <c r="AT59" s="2965"/>
      <c r="AU59" s="2965"/>
      <c r="AV59" s="2965"/>
      <c r="AW59" s="2965"/>
      <c r="AX59" s="2965"/>
      <c r="AY59" s="2965"/>
      <c r="AZ59" s="2965"/>
      <c r="BA59" s="2965"/>
      <c r="BB59" s="2965"/>
      <c r="BC59" s="2965"/>
      <c r="BD59" s="2965"/>
      <c r="BE59" s="2965"/>
      <c r="BF59" s="2965"/>
      <c r="BG59" s="2965"/>
      <c r="BH59" s="2965"/>
      <c r="BI59" s="2965"/>
      <c r="BJ59" s="2965"/>
      <c r="BK59" s="2973"/>
      <c r="BL59" s="2973"/>
      <c r="BM59" s="2505"/>
      <c r="BN59" s="2965"/>
      <c r="BO59" s="3970"/>
      <c r="BP59" s="2965"/>
      <c r="BQ59" s="3971"/>
      <c r="BR59" s="3974"/>
      <c r="BS59" s="3974"/>
      <c r="BT59" s="2753"/>
      <c r="BU59" s="3108"/>
    </row>
    <row r="60" spans="1:73" ht="70.5" customHeight="1" x14ac:dyDescent="0.25">
      <c r="A60" s="3866"/>
      <c r="B60" s="3867"/>
      <c r="C60" s="2795"/>
      <c r="D60" s="2498"/>
      <c r="E60" s="3962"/>
      <c r="F60" s="3963"/>
      <c r="G60" s="812">
        <v>3202037</v>
      </c>
      <c r="H60" s="732" t="s">
        <v>2036</v>
      </c>
      <c r="I60" s="812">
        <v>3202037</v>
      </c>
      <c r="J60" s="732" t="s">
        <v>2036</v>
      </c>
      <c r="K60" s="1308">
        <v>320203704</v>
      </c>
      <c r="L60" s="731" t="s">
        <v>2037</v>
      </c>
      <c r="M60" s="1308" t="s">
        <v>2038</v>
      </c>
      <c r="N60" s="731" t="s">
        <v>2037</v>
      </c>
      <c r="O60" s="730">
        <v>40</v>
      </c>
      <c r="P60" s="1304">
        <v>0</v>
      </c>
      <c r="Q60" s="2716"/>
      <c r="R60" s="2771"/>
      <c r="S60" s="1305">
        <f>X60/T57</f>
        <v>8.3140342447443186E-2</v>
      </c>
      <c r="T60" s="3950"/>
      <c r="U60" s="2993"/>
      <c r="V60" s="2771"/>
      <c r="W60" s="1311" t="s">
        <v>2039</v>
      </c>
      <c r="X60" s="1370">
        <f>82575952+12672234</f>
        <v>95248186</v>
      </c>
      <c r="Y60" s="1371">
        <v>0</v>
      </c>
      <c r="Z60" s="681">
        <v>0</v>
      </c>
      <c r="AA60" s="218" t="s">
        <v>2040</v>
      </c>
      <c r="AB60" s="809">
        <v>20</v>
      </c>
      <c r="AC60" s="722" t="s">
        <v>1830</v>
      </c>
      <c r="AD60" s="2965"/>
      <c r="AE60" s="2965"/>
      <c r="AF60" s="2965"/>
      <c r="AG60" s="2965"/>
      <c r="AH60" s="2965"/>
      <c r="AI60" s="2965"/>
      <c r="AJ60" s="2965"/>
      <c r="AK60" s="2965"/>
      <c r="AL60" s="2965"/>
      <c r="AM60" s="2965"/>
      <c r="AN60" s="2965"/>
      <c r="AO60" s="2965"/>
      <c r="AP60" s="2965"/>
      <c r="AQ60" s="2965"/>
      <c r="AR60" s="2965"/>
      <c r="AS60" s="2965"/>
      <c r="AT60" s="2965"/>
      <c r="AU60" s="2965"/>
      <c r="AV60" s="2965"/>
      <c r="AW60" s="2965"/>
      <c r="AX60" s="2965"/>
      <c r="AY60" s="2965"/>
      <c r="AZ60" s="2965"/>
      <c r="BA60" s="2965"/>
      <c r="BB60" s="2965"/>
      <c r="BC60" s="2965"/>
      <c r="BD60" s="2965"/>
      <c r="BE60" s="2965"/>
      <c r="BF60" s="2965"/>
      <c r="BG60" s="2965"/>
      <c r="BH60" s="2965"/>
      <c r="BI60" s="2965"/>
      <c r="BJ60" s="2965"/>
      <c r="BK60" s="2973"/>
      <c r="BL60" s="2973"/>
      <c r="BM60" s="2505"/>
      <c r="BN60" s="2965"/>
      <c r="BO60" s="3970"/>
      <c r="BP60" s="2965"/>
      <c r="BQ60" s="3971"/>
      <c r="BR60" s="3974"/>
      <c r="BS60" s="3974"/>
      <c r="BT60" s="2753"/>
      <c r="BU60" s="3108"/>
    </row>
    <row r="61" spans="1:73" ht="39" customHeight="1" x14ac:dyDescent="0.25">
      <c r="A61" s="3866"/>
      <c r="B61" s="3867"/>
      <c r="C61" s="2795"/>
      <c r="D61" s="2498"/>
      <c r="E61" s="3962"/>
      <c r="F61" s="3963"/>
      <c r="G61" s="2547" t="s">
        <v>20</v>
      </c>
      <c r="H61" s="2681" t="s">
        <v>2041</v>
      </c>
      <c r="I61" s="2547">
        <v>3202037</v>
      </c>
      <c r="J61" s="2681" t="s">
        <v>2036</v>
      </c>
      <c r="K61" s="2547" t="s">
        <v>20</v>
      </c>
      <c r="L61" s="3314" t="s">
        <v>2042</v>
      </c>
      <c r="M61" s="2729">
        <v>320203700</v>
      </c>
      <c r="N61" s="3314" t="s">
        <v>2043</v>
      </c>
      <c r="O61" s="3151">
        <v>60</v>
      </c>
      <c r="P61" s="3978">
        <v>58.3</v>
      </c>
      <c r="Q61" s="2716"/>
      <c r="R61" s="2771"/>
      <c r="S61" s="3884">
        <f>SUM(X61:X64)/T57</f>
        <v>0.62008007970179668</v>
      </c>
      <c r="T61" s="3950"/>
      <c r="U61" s="2993"/>
      <c r="V61" s="2771"/>
      <c r="W61" s="2540" t="s">
        <v>2044</v>
      </c>
      <c r="X61" s="651">
        <v>290383203</v>
      </c>
      <c r="Y61" s="681">
        <v>108629997</v>
      </c>
      <c r="Z61" s="681">
        <v>108629997</v>
      </c>
      <c r="AA61" s="218" t="s">
        <v>2045</v>
      </c>
      <c r="AB61" s="1372">
        <v>88</v>
      </c>
      <c r="AC61" s="1307" t="s">
        <v>1861</v>
      </c>
      <c r="AD61" s="2965"/>
      <c r="AE61" s="2965"/>
      <c r="AF61" s="2965"/>
      <c r="AG61" s="2965"/>
      <c r="AH61" s="2965"/>
      <c r="AI61" s="2965"/>
      <c r="AJ61" s="2965"/>
      <c r="AK61" s="2965"/>
      <c r="AL61" s="2965"/>
      <c r="AM61" s="2965"/>
      <c r="AN61" s="2965"/>
      <c r="AO61" s="2965"/>
      <c r="AP61" s="2965"/>
      <c r="AQ61" s="2965"/>
      <c r="AR61" s="2965"/>
      <c r="AS61" s="2965"/>
      <c r="AT61" s="2965"/>
      <c r="AU61" s="2965"/>
      <c r="AV61" s="2965"/>
      <c r="AW61" s="2965"/>
      <c r="AX61" s="2965"/>
      <c r="AY61" s="2965"/>
      <c r="AZ61" s="2965"/>
      <c r="BA61" s="2965"/>
      <c r="BB61" s="2965"/>
      <c r="BC61" s="2965"/>
      <c r="BD61" s="2965"/>
      <c r="BE61" s="2965"/>
      <c r="BF61" s="2965"/>
      <c r="BG61" s="2965"/>
      <c r="BH61" s="2965"/>
      <c r="BI61" s="2965"/>
      <c r="BJ61" s="2965"/>
      <c r="BK61" s="2973"/>
      <c r="BL61" s="2973"/>
      <c r="BM61" s="2505"/>
      <c r="BN61" s="2965"/>
      <c r="BO61" s="3970"/>
      <c r="BP61" s="2965"/>
      <c r="BQ61" s="3971"/>
      <c r="BR61" s="3974"/>
      <c r="BS61" s="3974"/>
      <c r="BT61" s="2753"/>
      <c r="BU61" s="3108"/>
    </row>
    <row r="62" spans="1:73" ht="39" customHeight="1" x14ac:dyDescent="0.25">
      <c r="A62" s="3866"/>
      <c r="B62" s="3867"/>
      <c r="C62" s="2795"/>
      <c r="D62" s="2498"/>
      <c r="E62" s="3962"/>
      <c r="F62" s="3963"/>
      <c r="G62" s="2716"/>
      <c r="H62" s="2771"/>
      <c r="I62" s="2716"/>
      <c r="J62" s="2771"/>
      <c r="K62" s="2716"/>
      <c r="L62" s="3313"/>
      <c r="M62" s="2730"/>
      <c r="N62" s="3313"/>
      <c r="O62" s="3152"/>
      <c r="P62" s="3979">
        <v>0</v>
      </c>
      <c r="Q62" s="2716"/>
      <c r="R62" s="2771"/>
      <c r="S62" s="3903"/>
      <c r="T62" s="3950"/>
      <c r="U62" s="2993"/>
      <c r="V62" s="2771"/>
      <c r="W62" s="2541"/>
      <c r="X62" s="1370">
        <v>372000000</v>
      </c>
      <c r="Y62" s="681">
        <v>201230112.56999999</v>
      </c>
      <c r="Z62" s="681">
        <v>201230112.56999999</v>
      </c>
      <c r="AA62" s="218" t="s">
        <v>2046</v>
      </c>
      <c r="AB62" s="804">
        <v>20</v>
      </c>
      <c r="AC62" s="724" t="s">
        <v>1830</v>
      </c>
      <c r="AD62" s="2965"/>
      <c r="AE62" s="2965"/>
      <c r="AF62" s="2965"/>
      <c r="AG62" s="2965"/>
      <c r="AH62" s="2965"/>
      <c r="AI62" s="2965"/>
      <c r="AJ62" s="2965"/>
      <c r="AK62" s="2965"/>
      <c r="AL62" s="2965"/>
      <c r="AM62" s="2965"/>
      <c r="AN62" s="2965"/>
      <c r="AO62" s="2965"/>
      <c r="AP62" s="2965"/>
      <c r="AQ62" s="2965"/>
      <c r="AR62" s="2965"/>
      <c r="AS62" s="2965"/>
      <c r="AT62" s="2965"/>
      <c r="AU62" s="2965"/>
      <c r="AV62" s="2965"/>
      <c r="AW62" s="2965"/>
      <c r="AX62" s="2965"/>
      <c r="AY62" s="2965"/>
      <c r="AZ62" s="2965"/>
      <c r="BA62" s="2965"/>
      <c r="BB62" s="2965"/>
      <c r="BC62" s="2965"/>
      <c r="BD62" s="2965"/>
      <c r="BE62" s="2965"/>
      <c r="BF62" s="2965"/>
      <c r="BG62" s="2965"/>
      <c r="BH62" s="2965"/>
      <c r="BI62" s="2965"/>
      <c r="BJ62" s="2965"/>
      <c r="BK62" s="2973"/>
      <c r="BL62" s="2973"/>
      <c r="BM62" s="2505"/>
      <c r="BN62" s="2965"/>
      <c r="BO62" s="3970"/>
      <c r="BP62" s="2965"/>
      <c r="BQ62" s="3971"/>
      <c r="BR62" s="3974">
        <v>44242</v>
      </c>
      <c r="BS62" s="3974" t="s">
        <v>2047</v>
      </c>
      <c r="BT62" s="2753">
        <v>44369</v>
      </c>
      <c r="BU62" s="3108"/>
    </row>
    <row r="63" spans="1:73" ht="39" customHeight="1" x14ac:dyDescent="0.25">
      <c r="A63" s="3866"/>
      <c r="B63" s="3867"/>
      <c r="C63" s="2795"/>
      <c r="D63" s="2498"/>
      <c r="E63" s="3962"/>
      <c r="F63" s="3963"/>
      <c r="G63" s="2716"/>
      <c r="H63" s="2771"/>
      <c r="I63" s="2716"/>
      <c r="J63" s="2771"/>
      <c r="K63" s="2716"/>
      <c r="L63" s="3313"/>
      <c r="M63" s="2730"/>
      <c r="N63" s="3313"/>
      <c r="O63" s="3152"/>
      <c r="P63" s="3979">
        <v>0</v>
      </c>
      <c r="Q63" s="2716"/>
      <c r="R63" s="2771"/>
      <c r="S63" s="3903"/>
      <c r="T63" s="3950"/>
      <c r="U63" s="2993"/>
      <c r="V63" s="2771"/>
      <c r="W63" s="3977"/>
      <c r="X63" s="1370">
        <v>20000000</v>
      </c>
      <c r="Y63" s="681">
        <v>20000000</v>
      </c>
      <c r="Z63" s="681">
        <v>20000000</v>
      </c>
      <c r="AA63" s="218" t="s">
        <v>2048</v>
      </c>
      <c r="AB63" s="813">
        <v>20</v>
      </c>
      <c r="AC63" s="713" t="s">
        <v>1830</v>
      </c>
      <c r="AD63" s="2965"/>
      <c r="AE63" s="2965"/>
      <c r="AF63" s="2965"/>
      <c r="AG63" s="2965"/>
      <c r="AH63" s="2965"/>
      <c r="AI63" s="2965"/>
      <c r="AJ63" s="2965"/>
      <c r="AK63" s="2965"/>
      <c r="AL63" s="2965"/>
      <c r="AM63" s="2965"/>
      <c r="AN63" s="2965"/>
      <c r="AO63" s="2965"/>
      <c r="AP63" s="2965"/>
      <c r="AQ63" s="2965"/>
      <c r="AR63" s="2965"/>
      <c r="AS63" s="2965"/>
      <c r="AT63" s="2965"/>
      <c r="AU63" s="2965"/>
      <c r="AV63" s="2965"/>
      <c r="AW63" s="2965"/>
      <c r="AX63" s="2965"/>
      <c r="AY63" s="2965"/>
      <c r="AZ63" s="2965"/>
      <c r="BA63" s="2965"/>
      <c r="BB63" s="2965"/>
      <c r="BC63" s="2965"/>
      <c r="BD63" s="2965"/>
      <c r="BE63" s="2965"/>
      <c r="BF63" s="2965"/>
      <c r="BG63" s="2965"/>
      <c r="BH63" s="2965"/>
      <c r="BI63" s="2965"/>
      <c r="BJ63" s="2965"/>
      <c r="BK63" s="2973"/>
      <c r="BL63" s="2973"/>
      <c r="BM63" s="2505"/>
      <c r="BN63" s="2965"/>
      <c r="BO63" s="3970"/>
      <c r="BP63" s="2965"/>
      <c r="BQ63" s="3971"/>
      <c r="BR63" s="3974"/>
      <c r="BS63" s="3974"/>
      <c r="BT63" s="2753"/>
      <c r="BU63" s="3108"/>
    </row>
    <row r="64" spans="1:73" ht="84" customHeight="1" x14ac:dyDescent="0.25">
      <c r="A64" s="3866"/>
      <c r="B64" s="3867"/>
      <c r="C64" s="2795"/>
      <c r="D64" s="2498"/>
      <c r="E64" s="3962"/>
      <c r="F64" s="3963"/>
      <c r="G64" s="2717"/>
      <c r="H64" s="2772"/>
      <c r="I64" s="2717"/>
      <c r="J64" s="2772"/>
      <c r="K64" s="2717"/>
      <c r="L64" s="3312"/>
      <c r="M64" s="2731"/>
      <c r="N64" s="3312"/>
      <c r="O64" s="3153"/>
      <c r="P64" s="3980">
        <v>0</v>
      </c>
      <c r="Q64" s="2716"/>
      <c r="R64" s="2771"/>
      <c r="S64" s="3885"/>
      <c r="T64" s="3950"/>
      <c r="U64" s="2993"/>
      <c r="V64" s="2771"/>
      <c r="W64" s="887" t="s">
        <v>2049</v>
      </c>
      <c r="X64" s="1370">
        <v>28000000</v>
      </c>
      <c r="Y64" s="681">
        <v>2095243</v>
      </c>
      <c r="Z64" s="681">
        <v>2095243</v>
      </c>
      <c r="AA64" s="218" t="s">
        <v>2050</v>
      </c>
      <c r="AB64" s="809">
        <v>20</v>
      </c>
      <c r="AC64" s="722" t="s">
        <v>1830</v>
      </c>
      <c r="AD64" s="2965"/>
      <c r="AE64" s="2965"/>
      <c r="AF64" s="2965"/>
      <c r="AG64" s="2965"/>
      <c r="AH64" s="2965"/>
      <c r="AI64" s="2965"/>
      <c r="AJ64" s="2965"/>
      <c r="AK64" s="2965"/>
      <c r="AL64" s="2965"/>
      <c r="AM64" s="2965"/>
      <c r="AN64" s="2965"/>
      <c r="AO64" s="2965"/>
      <c r="AP64" s="2965"/>
      <c r="AQ64" s="2965"/>
      <c r="AR64" s="2965"/>
      <c r="AS64" s="2965"/>
      <c r="AT64" s="2965"/>
      <c r="AU64" s="2965"/>
      <c r="AV64" s="2965"/>
      <c r="AW64" s="2965"/>
      <c r="AX64" s="2965"/>
      <c r="AY64" s="2965"/>
      <c r="AZ64" s="2965"/>
      <c r="BA64" s="2965"/>
      <c r="BB64" s="2965"/>
      <c r="BC64" s="2965"/>
      <c r="BD64" s="2965"/>
      <c r="BE64" s="2965"/>
      <c r="BF64" s="2965"/>
      <c r="BG64" s="2965"/>
      <c r="BH64" s="2965"/>
      <c r="BI64" s="2965"/>
      <c r="BJ64" s="2965"/>
      <c r="BK64" s="2973"/>
      <c r="BL64" s="2973"/>
      <c r="BM64" s="2505"/>
      <c r="BN64" s="2965"/>
      <c r="BO64" s="3970"/>
      <c r="BP64" s="2965"/>
      <c r="BQ64" s="3971"/>
      <c r="BR64" s="3974"/>
      <c r="BS64" s="3974"/>
      <c r="BT64" s="2753"/>
      <c r="BU64" s="3108"/>
    </row>
    <row r="65" spans="1:73" ht="90" customHeight="1" x14ac:dyDescent="0.25">
      <c r="A65" s="3866"/>
      <c r="B65" s="3867"/>
      <c r="C65" s="2795"/>
      <c r="D65" s="2498"/>
      <c r="E65" s="3962"/>
      <c r="F65" s="3963"/>
      <c r="G65" s="683">
        <v>3202043</v>
      </c>
      <c r="H65" s="732" t="s">
        <v>2051</v>
      </c>
      <c r="I65" s="812">
        <v>3202043</v>
      </c>
      <c r="J65" s="732" t="s">
        <v>2051</v>
      </c>
      <c r="K65" s="683">
        <v>3202043</v>
      </c>
      <c r="L65" s="731" t="s">
        <v>2052</v>
      </c>
      <c r="M65" s="1308">
        <v>320204300</v>
      </c>
      <c r="N65" s="731" t="s">
        <v>2052</v>
      </c>
      <c r="O65" s="1373">
        <v>1</v>
      </c>
      <c r="P65" s="1374">
        <v>0.5</v>
      </c>
      <c r="Q65" s="2717"/>
      <c r="R65" s="2772"/>
      <c r="S65" s="1305">
        <f>X65/T57</f>
        <v>0.10474573335909182</v>
      </c>
      <c r="T65" s="3951"/>
      <c r="U65" s="2994"/>
      <c r="V65" s="2772"/>
      <c r="W65" s="1336" t="s">
        <v>2053</v>
      </c>
      <c r="X65" s="1370">
        <f>100000000+20000000</f>
        <v>120000000</v>
      </c>
      <c r="Y65" s="681">
        <v>34672666</v>
      </c>
      <c r="Z65" s="681">
        <v>34672666</v>
      </c>
      <c r="AA65" s="218" t="s">
        <v>2054</v>
      </c>
      <c r="AB65" s="809">
        <v>20</v>
      </c>
      <c r="AC65" s="722" t="s">
        <v>1830</v>
      </c>
      <c r="AD65" s="2965"/>
      <c r="AE65" s="2965"/>
      <c r="AF65" s="2965"/>
      <c r="AG65" s="2965"/>
      <c r="AH65" s="2965"/>
      <c r="AI65" s="2965"/>
      <c r="AJ65" s="2965"/>
      <c r="AK65" s="2965"/>
      <c r="AL65" s="2965"/>
      <c r="AM65" s="2965"/>
      <c r="AN65" s="2965"/>
      <c r="AO65" s="2965"/>
      <c r="AP65" s="2965"/>
      <c r="AQ65" s="2965"/>
      <c r="AR65" s="2965"/>
      <c r="AS65" s="2965"/>
      <c r="AT65" s="2965"/>
      <c r="AU65" s="2965"/>
      <c r="AV65" s="2965"/>
      <c r="AW65" s="2965"/>
      <c r="AX65" s="2965"/>
      <c r="AY65" s="2965"/>
      <c r="AZ65" s="2965"/>
      <c r="BA65" s="2965"/>
      <c r="BB65" s="2965"/>
      <c r="BC65" s="2965"/>
      <c r="BD65" s="2965"/>
      <c r="BE65" s="2965"/>
      <c r="BF65" s="2965"/>
      <c r="BG65" s="2965"/>
      <c r="BH65" s="2965"/>
      <c r="BI65" s="2965"/>
      <c r="BJ65" s="2965"/>
      <c r="BK65" s="2973"/>
      <c r="BL65" s="2973"/>
      <c r="BM65" s="2505"/>
      <c r="BN65" s="2965"/>
      <c r="BO65" s="3970"/>
      <c r="BP65" s="2965"/>
      <c r="BQ65" s="3972"/>
      <c r="BR65" s="3975"/>
      <c r="BS65" s="3975"/>
      <c r="BT65" s="2753"/>
      <c r="BU65" s="3108"/>
    </row>
    <row r="66" spans="1:73" ht="88.5" customHeight="1" x14ac:dyDescent="0.25">
      <c r="A66" s="3866"/>
      <c r="B66" s="3867"/>
      <c r="C66" s="2795"/>
      <c r="D66" s="2498"/>
      <c r="E66" s="3962"/>
      <c r="F66" s="3963"/>
      <c r="G66" s="2544" t="s">
        <v>20</v>
      </c>
      <c r="H66" s="2680" t="s">
        <v>2055</v>
      </c>
      <c r="I66" s="2544">
        <v>3202014</v>
      </c>
      <c r="J66" s="2680" t="s">
        <v>2056</v>
      </c>
      <c r="K66" s="3092" t="s">
        <v>20</v>
      </c>
      <c r="L66" s="2688" t="s">
        <v>2057</v>
      </c>
      <c r="M66" s="3092">
        <v>320201402</v>
      </c>
      <c r="N66" s="2688" t="s">
        <v>2058</v>
      </c>
      <c r="O66" s="3976">
        <v>1</v>
      </c>
      <c r="P66" s="3499">
        <v>1</v>
      </c>
      <c r="Q66" s="3929" t="s">
        <v>2059</v>
      </c>
      <c r="R66" s="2680" t="s">
        <v>2060</v>
      </c>
      <c r="S66" s="3911">
        <f>SUM(X66:X67)/T66</f>
        <v>1</v>
      </c>
      <c r="T66" s="3115">
        <f>SUM(X66:X67)</f>
        <v>36000000</v>
      </c>
      <c r="U66" s="2545" t="s">
        <v>2061</v>
      </c>
      <c r="V66" s="2545" t="s">
        <v>2062</v>
      </c>
      <c r="W66" s="2543" t="s">
        <v>2063</v>
      </c>
      <c r="X66" s="1370">
        <f>36000000-4400000</f>
        <v>31600000</v>
      </c>
      <c r="Y66" s="681">
        <v>31580000</v>
      </c>
      <c r="Z66" s="681">
        <v>31580000</v>
      </c>
      <c r="AA66" s="218" t="s">
        <v>2064</v>
      </c>
      <c r="AB66" s="3981">
        <v>20</v>
      </c>
      <c r="AC66" s="3982" t="s">
        <v>1830</v>
      </c>
      <c r="AD66" s="3983">
        <v>6100</v>
      </c>
      <c r="AE66" s="3983"/>
      <c r="AF66" s="3983">
        <v>5060</v>
      </c>
      <c r="AG66" s="3983"/>
      <c r="AH66" s="3983">
        <v>2550</v>
      </c>
      <c r="AI66" s="3983"/>
      <c r="AJ66" s="3983">
        <v>2150</v>
      </c>
      <c r="AK66" s="3983"/>
      <c r="AL66" s="3983">
        <v>5500</v>
      </c>
      <c r="AM66" s="3983"/>
      <c r="AN66" s="3983">
        <v>960</v>
      </c>
      <c r="AO66" s="3983"/>
      <c r="AP66" s="3983"/>
      <c r="AQ66" s="3983"/>
      <c r="AR66" s="3983"/>
      <c r="AS66" s="3983"/>
      <c r="AT66" s="3983"/>
      <c r="AU66" s="3983"/>
      <c r="AV66" s="3983"/>
      <c r="AW66" s="3983"/>
      <c r="AX66" s="3983"/>
      <c r="AY66" s="3983"/>
      <c r="AZ66" s="3983"/>
      <c r="BA66" s="3983"/>
      <c r="BB66" s="3983">
        <v>400</v>
      </c>
      <c r="BC66" s="3983"/>
      <c r="BD66" s="3983">
        <v>100</v>
      </c>
      <c r="BE66" s="3983"/>
      <c r="BF66" s="3983">
        <v>200</v>
      </c>
      <c r="BG66" s="3983"/>
      <c r="BH66" s="3983">
        <v>11160</v>
      </c>
      <c r="BI66" s="3983"/>
      <c r="BJ66" s="2965">
        <v>3</v>
      </c>
      <c r="BK66" s="3986">
        <f>SUM(Y66:Y67)</f>
        <v>34532000</v>
      </c>
      <c r="BL66" s="3986">
        <f>SUM(Z66:Z67)</f>
        <v>34532000</v>
      </c>
      <c r="BM66" s="3933">
        <f>+BL66/BK66</f>
        <v>1</v>
      </c>
      <c r="BN66" s="3983">
        <v>20</v>
      </c>
      <c r="BO66" s="3987" t="s">
        <v>1830</v>
      </c>
      <c r="BP66" s="3983" t="s">
        <v>2018</v>
      </c>
      <c r="BQ66" s="2738">
        <v>44211</v>
      </c>
      <c r="BR66" s="2754">
        <v>44243</v>
      </c>
      <c r="BS66" s="2754">
        <v>44561</v>
      </c>
      <c r="BT66" s="2754">
        <v>44551</v>
      </c>
      <c r="BU66" s="3984" t="s">
        <v>1834</v>
      </c>
    </row>
    <row r="67" spans="1:73" ht="88.5" customHeight="1" x14ac:dyDescent="0.25">
      <c r="A67" s="3866"/>
      <c r="B67" s="3867"/>
      <c r="C67" s="2795"/>
      <c r="D67" s="2498"/>
      <c r="E67" s="3962"/>
      <c r="F67" s="3963"/>
      <c r="G67" s="2544"/>
      <c r="H67" s="2680"/>
      <c r="I67" s="2544"/>
      <c r="J67" s="2680"/>
      <c r="K67" s="3092"/>
      <c r="L67" s="2688"/>
      <c r="M67" s="3092"/>
      <c r="N67" s="2688"/>
      <c r="O67" s="3976"/>
      <c r="P67" s="3501"/>
      <c r="Q67" s="3929"/>
      <c r="R67" s="2680"/>
      <c r="S67" s="3911"/>
      <c r="T67" s="3115"/>
      <c r="U67" s="2782"/>
      <c r="V67" s="2782"/>
      <c r="W67" s="2543"/>
      <c r="X67" s="1370">
        <v>4400000</v>
      </c>
      <c r="Y67" s="681">
        <v>2952000</v>
      </c>
      <c r="Z67" s="681">
        <v>2952000</v>
      </c>
      <c r="AA67" s="218" t="s">
        <v>2065</v>
      </c>
      <c r="AB67" s="3981"/>
      <c r="AC67" s="3982"/>
      <c r="AD67" s="3983"/>
      <c r="AE67" s="3983"/>
      <c r="AF67" s="3983"/>
      <c r="AG67" s="3983"/>
      <c r="AH67" s="3983"/>
      <c r="AI67" s="3983"/>
      <c r="AJ67" s="3983"/>
      <c r="AK67" s="3983"/>
      <c r="AL67" s="3983"/>
      <c r="AM67" s="3983"/>
      <c r="AN67" s="3983"/>
      <c r="AO67" s="3983"/>
      <c r="AP67" s="3983"/>
      <c r="AQ67" s="3983"/>
      <c r="AR67" s="3983"/>
      <c r="AS67" s="3983"/>
      <c r="AT67" s="3983"/>
      <c r="AU67" s="3983"/>
      <c r="AV67" s="3983"/>
      <c r="AW67" s="3983"/>
      <c r="AX67" s="3983"/>
      <c r="AY67" s="3983"/>
      <c r="AZ67" s="3983"/>
      <c r="BA67" s="3983"/>
      <c r="BB67" s="3983"/>
      <c r="BC67" s="3983"/>
      <c r="BD67" s="3983"/>
      <c r="BE67" s="3983"/>
      <c r="BF67" s="3983"/>
      <c r="BG67" s="3983"/>
      <c r="BH67" s="3983"/>
      <c r="BI67" s="3983"/>
      <c r="BJ67" s="2965"/>
      <c r="BK67" s="3986"/>
      <c r="BL67" s="3986"/>
      <c r="BM67" s="3933"/>
      <c r="BN67" s="3983"/>
      <c r="BO67" s="3987"/>
      <c r="BP67" s="3983"/>
      <c r="BQ67" s="2737"/>
      <c r="BR67" s="3894"/>
      <c r="BS67" s="3894"/>
      <c r="BT67" s="3894"/>
      <c r="BU67" s="3985"/>
    </row>
    <row r="68" spans="1:73" ht="52.5" customHeight="1" x14ac:dyDescent="0.25">
      <c r="A68" s="3866"/>
      <c r="B68" s="3867"/>
      <c r="C68" s="2795"/>
      <c r="D68" s="2498"/>
      <c r="E68" s="3962"/>
      <c r="F68" s="3963"/>
      <c r="G68" s="2745" t="s">
        <v>20</v>
      </c>
      <c r="H68" s="2681" t="s">
        <v>2066</v>
      </c>
      <c r="I68" s="2745">
        <v>3202014</v>
      </c>
      <c r="J68" s="2681" t="s">
        <v>2056</v>
      </c>
      <c r="K68" s="2745" t="s">
        <v>20</v>
      </c>
      <c r="L68" s="3314" t="s">
        <v>2067</v>
      </c>
      <c r="M68" s="2745">
        <v>320201402</v>
      </c>
      <c r="N68" s="3314" t="s">
        <v>2058</v>
      </c>
      <c r="O68" s="3499">
        <v>1</v>
      </c>
      <c r="P68" s="3499">
        <v>1</v>
      </c>
      <c r="Q68" s="2547" t="s">
        <v>2068</v>
      </c>
      <c r="R68" s="2681" t="s">
        <v>2069</v>
      </c>
      <c r="S68" s="3925">
        <f>SUM(X68:X70)/T68</f>
        <v>1</v>
      </c>
      <c r="T68" s="3989">
        <f>SUM(X68:X70)</f>
        <v>54000000</v>
      </c>
      <c r="U68" s="2545" t="s">
        <v>2070</v>
      </c>
      <c r="V68" s="2545" t="s">
        <v>2071</v>
      </c>
      <c r="W68" s="2543" t="s">
        <v>2072</v>
      </c>
      <c r="X68" s="1370">
        <f>48000000-8300000</f>
        <v>39700000</v>
      </c>
      <c r="Y68" s="681">
        <v>37269000</v>
      </c>
      <c r="Z68" s="681">
        <v>37269000</v>
      </c>
      <c r="AA68" s="218" t="s">
        <v>2073</v>
      </c>
      <c r="AB68" s="3992">
        <v>20</v>
      </c>
      <c r="AC68" s="3993" t="s">
        <v>1830</v>
      </c>
      <c r="AD68" s="3916">
        <v>6100</v>
      </c>
      <c r="AE68" s="3916"/>
      <c r="AF68" s="3916">
        <v>5060</v>
      </c>
      <c r="AG68" s="3916"/>
      <c r="AH68" s="3916">
        <v>2550</v>
      </c>
      <c r="AI68" s="3916"/>
      <c r="AJ68" s="3916">
        <v>2150</v>
      </c>
      <c r="AK68" s="3916"/>
      <c r="AL68" s="3916">
        <v>5500</v>
      </c>
      <c r="AM68" s="3916"/>
      <c r="AN68" s="3916">
        <v>960</v>
      </c>
      <c r="AO68" s="3916"/>
      <c r="AP68" s="3916"/>
      <c r="AQ68" s="3916"/>
      <c r="AR68" s="3916"/>
      <c r="AS68" s="3916"/>
      <c r="AT68" s="3916"/>
      <c r="AU68" s="3916"/>
      <c r="AV68" s="3916"/>
      <c r="AW68" s="3916"/>
      <c r="AX68" s="3916"/>
      <c r="AY68" s="3916"/>
      <c r="AZ68" s="3916"/>
      <c r="BA68" s="3916"/>
      <c r="BB68" s="3916">
        <v>400</v>
      </c>
      <c r="BC68" s="3916"/>
      <c r="BD68" s="3916">
        <v>100</v>
      </c>
      <c r="BE68" s="3916"/>
      <c r="BF68" s="3916">
        <v>200</v>
      </c>
      <c r="BG68" s="3916"/>
      <c r="BH68" s="3916">
        <v>11160</v>
      </c>
      <c r="BI68" s="3916"/>
      <c r="BJ68" s="2977">
        <v>5</v>
      </c>
      <c r="BK68" s="3931">
        <f>SUM(Y68:Y70)</f>
        <v>43120666</v>
      </c>
      <c r="BL68" s="3931">
        <f>SUM(Z68:Z70)</f>
        <v>43120666</v>
      </c>
      <c r="BM68" s="3721">
        <f>+BL68/BK68</f>
        <v>1</v>
      </c>
      <c r="BN68" s="3916">
        <v>20</v>
      </c>
      <c r="BO68" s="3916" t="s">
        <v>1830</v>
      </c>
      <c r="BP68" s="3916" t="s">
        <v>2018</v>
      </c>
      <c r="BQ68" s="2738">
        <v>44211</v>
      </c>
      <c r="BR68" s="2754">
        <v>44250</v>
      </c>
      <c r="BS68" s="2754">
        <v>44561</v>
      </c>
      <c r="BT68" s="2754">
        <v>44552</v>
      </c>
      <c r="BU68" s="3108" t="s">
        <v>1834</v>
      </c>
    </row>
    <row r="69" spans="1:73" ht="52.5" customHeight="1" x14ac:dyDescent="0.25">
      <c r="A69" s="3866"/>
      <c r="B69" s="3867"/>
      <c r="C69" s="2795"/>
      <c r="D69" s="2498"/>
      <c r="E69" s="3962"/>
      <c r="F69" s="3963"/>
      <c r="G69" s="2502"/>
      <c r="H69" s="2771"/>
      <c r="I69" s="2502"/>
      <c r="J69" s="2771"/>
      <c r="K69" s="2502"/>
      <c r="L69" s="3313"/>
      <c r="M69" s="2502"/>
      <c r="N69" s="3313"/>
      <c r="O69" s="3500"/>
      <c r="P69" s="3500"/>
      <c r="Q69" s="2716"/>
      <c r="R69" s="2771"/>
      <c r="S69" s="3988"/>
      <c r="T69" s="3990"/>
      <c r="U69" s="2781"/>
      <c r="V69" s="2781"/>
      <c r="W69" s="2543"/>
      <c r="X69" s="1370">
        <v>8300000</v>
      </c>
      <c r="Y69" s="51">
        <v>0</v>
      </c>
      <c r="Z69" s="51">
        <v>0</v>
      </c>
      <c r="AA69" s="218" t="s">
        <v>2074</v>
      </c>
      <c r="AB69" s="3992"/>
      <c r="AC69" s="3993"/>
      <c r="AD69" s="3917"/>
      <c r="AE69" s="3917"/>
      <c r="AF69" s="3917"/>
      <c r="AG69" s="3917"/>
      <c r="AH69" s="3917"/>
      <c r="AI69" s="3917"/>
      <c r="AJ69" s="3917"/>
      <c r="AK69" s="3917"/>
      <c r="AL69" s="3917"/>
      <c r="AM69" s="3917"/>
      <c r="AN69" s="3917"/>
      <c r="AO69" s="3917"/>
      <c r="AP69" s="3917"/>
      <c r="AQ69" s="3917"/>
      <c r="AR69" s="3917"/>
      <c r="AS69" s="3917"/>
      <c r="AT69" s="3917"/>
      <c r="AU69" s="3917"/>
      <c r="AV69" s="3917"/>
      <c r="AW69" s="3917"/>
      <c r="AX69" s="3917"/>
      <c r="AY69" s="3917"/>
      <c r="AZ69" s="3917"/>
      <c r="BA69" s="3917"/>
      <c r="BB69" s="3917"/>
      <c r="BC69" s="3917"/>
      <c r="BD69" s="3917"/>
      <c r="BE69" s="3917"/>
      <c r="BF69" s="3917"/>
      <c r="BG69" s="3917"/>
      <c r="BH69" s="3917"/>
      <c r="BI69" s="3917"/>
      <c r="BJ69" s="2978"/>
      <c r="BK69" s="4005"/>
      <c r="BL69" s="4005"/>
      <c r="BM69" s="2726"/>
      <c r="BN69" s="3917"/>
      <c r="BO69" s="3917"/>
      <c r="BP69" s="3917"/>
      <c r="BQ69" s="2736"/>
      <c r="BR69" s="3893"/>
      <c r="BS69" s="3893"/>
      <c r="BT69" s="3893"/>
      <c r="BU69" s="3108"/>
    </row>
    <row r="70" spans="1:73" ht="52.5" customHeight="1" x14ac:dyDescent="0.25">
      <c r="A70" s="3866"/>
      <c r="B70" s="3867"/>
      <c r="C70" s="2795"/>
      <c r="D70" s="2498"/>
      <c r="E70" s="3964"/>
      <c r="F70" s="3965"/>
      <c r="G70" s="2770"/>
      <c r="H70" s="2772"/>
      <c r="I70" s="2770"/>
      <c r="J70" s="2772"/>
      <c r="K70" s="2770"/>
      <c r="L70" s="3312"/>
      <c r="M70" s="2770"/>
      <c r="N70" s="3312"/>
      <c r="O70" s="3501"/>
      <c r="P70" s="3501"/>
      <c r="Q70" s="2717"/>
      <c r="R70" s="2772"/>
      <c r="S70" s="3926"/>
      <c r="T70" s="3991"/>
      <c r="U70" s="2782"/>
      <c r="V70" s="2782"/>
      <c r="W70" s="2543"/>
      <c r="X70" s="1370">
        <v>6000000</v>
      </c>
      <c r="Y70" s="51">
        <v>5851666</v>
      </c>
      <c r="Z70" s="51">
        <v>5851666</v>
      </c>
      <c r="AA70" s="218" t="s">
        <v>2075</v>
      </c>
      <c r="AB70" s="3981"/>
      <c r="AC70" s="3994"/>
      <c r="AD70" s="3918"/>
      <c r="AE70" s="3918"/>
      <c r="AF70" s="3918"/>
      <c r="AG70" s="3918"/>
      <c r="AH70" s="3918"/>
      <c r="AI70" s="3918"/>
      <c r="AJ70" s="3918"/>
      <c r="AK70" s="3918"/>
      <c r="AL70" s="3918"/>
      <c r="AM70" s="3918"/>
      <c r="AN70" s="3918"/>
      <c r="AO70" s="3918"/>
      <c r="AP70" s="3918"/>
      <c r="AQ70" s="3918"/>
      <c r="AR70" s="3918"/>
      <c r="AS70" s="3918"/>
      <c r="AT70" s="3918"/>
      <c r="AU70" s="3918"/>
      <c r="AV70" s="3918"/>
      <c r="AW70" s="3918"/>
      <c r="AX70" s="3918"/>
      <c r="AY70" s="3918"/>
      <c r="AZ70" s="3918"/>
      <c r="BA70" s="3918"/>
      <c r="BB70" s="3918"/>
      <c r="BC70" s="3918"/>
      <c r="BD70" s="3918"/>
      <c r="BE70" s="3918"/>
      <c r="BF70" s="3918"/>
      <c r="BG70" s="3918"/>
      <c r="BH70" s="3918"/>
      <c r="BI70" s="3918"/>
      <c r="BJ70" s="2979"/>
      <c r="BK70" s="3932"/>
      <c r="BL70" s="3932"/>
      <c r="BM70" s="2727"/>
      <c r="BN70" s="3918"/>
      <c r="BO70" s="3918"/>
      <c r="BP70" s="3918"/>
      <c r="BQ70" s="2737"/>
      <c r="BR70" s="3894"/>
      <c r="BS70" s="3894"/>
      <c r="BT70" s="3894"/>
      <c r="BU70" s="3108"/>
    </row>
    <row r="71" spans="1:73" ht="15.75" x14ac:dyDescent="0.25">
      <c r="A71" s="3866"/>
      <c r="B71" s="3867"/>
      <c r="C71" s="2795"/>
      <c r="D71" s="2498"/>
      <c r="E71" s="1299">
        <v>3204</v>
      </c>
      <c r="F71" s="712" t="s">
        <v>2076</v>
      </c>
      <c r="G71" s="712"/>
      <c r="H71" s="194"/>
      <c r="I71" s="712"/>
      <c r="J71" s="194"/>
      <c r="K71" s="712"/>
      <c r="L71" s="194"/>
      <c r="M71" s="190"/>
      <c r="N71" s="194"/>
      <c r="O71" s="190"/>
      <c r="P71" s="190"/>
      <c r="Q71" s="190"/>
      <c r="R71" s="194"/>
      <c r="S71" s="192"/>
      <c r="T71" s="528"/>
      <c r="U71" s="194"/>
      <c r="V71" s="194"/>
      <c r="W71" s="1301"/>
      <c r="X71" s="1315"/>
      <c r="Y71" s="1329"/>
      <c r="Z71" s="528"/>
      <c r="AA71" s="918"/>
      <c r="AB71" s="343"/>
      <c r="AC71" s="341"/>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528"/>
      <c r="BL71" s="528"/>
      <c r="BM71" s="502"/>
      <c r="BN71" s="190"/>
      <c r="BO71" s="194"/>
      <c r="BP71" s="190"/>
      <c r="BQ71" s="196"/>
      <c r="BR71" s="196"/>
      <c r="BS71" s="196"/>
      <c r="BT71" s="196"/>
      <c r="BU71" s="345"/>
    </row>
    <row r="72" spans="1:73" ht="110.25" customHeight="1" x14ac:dyDescent="0.25">
      <c r="A72" s="3866"/>
      <c r="B72" s="3867"/>
      <c r="C72" s="2795"/>
      <c r="D72" s="2498"/>
      <c r="E72" s="573"/>
      <c r="F72" s="573"/>
      <c r="G72" s="1375">
        <v>3204012</v>
      </c>
      <c r="H72" s="1376" t="s">
        <v>2077</v>
      </c>
      <c r="I72" s="1375">
        <v>3204012</v>
      </c>
      <c r="J72" s="1376" t="s">
        <v>2077</v>
      </c>
      <c r="K72" s="1377" t="s">
        <v>2078</v>
      </c>
      <c r="L72" s="699" t="s">
        <v>2079</v>
      </c>
      <c r="M72" s="1378" t="s">
        <v>2078</v>
      </c>
      <c r="N72" s="800" t="s">
        <v>2079</v>
      </c>
      <c r="O72" s="1379">
        <v>2</v>
      </c>
      <c r="P72" s="1380">
        <v>1</v>
      </c>
      <c r="Q72" s="692" t="s">
        <v>2080</v>
      </c>
      <c r="R72" s="815" t="s">
        <v>2081</v>
      </c>
      <c r="S72" s="1381">
        <f>X72/T72</f>
        <v>1</v>
      </c>
      <c r="T72" s="1382">
        <f>SUM(X72)</f>
        <v>120000000</v>
      </c>
      <c r="U72" s="695" t="s">
        <v>2082</v>
      </c>
      <c r="V72" s="695" t="s">
        <v>2083</v>
      </c>
      <c r="W72" s="827" t="s">
        <v>2084</v>
      </c>
      <c r="X72" s="1332">
        <v>120000000</v>
      </c>
      <c r="Y72" s="1383">
        <v>52835333</v>
      </c>
      <c r="Z72" s="1383">
        <v>52835333</v>
      </c>
      <c r="AA72" s="218" t="s">
        <v>2085</v>
      </c>
      <c r="AB72" s="813">
        <v>20</v>
      </c>
      <c r="AC72" s="713" t="s">
        <v>1830</v>
      </c>
      <c r="AD72" s="978">
        <v>6100</v>
      </c>
      <c r="AE72" s="978"/>
      <c r="AF72" s="978">
        <v>5060</v>
      </c>
      <c r="AG72" s="978"/>
      <c r="AH72" s="978">
        <v>2550</v>
      </c>
      <c r="AI72" s="978"/>
      <c r="AJ72" s="978">
        <v>2150</v>
      </c>
      <c r="AK72" s="978"/>
      <c r="AL72" s="978">
        <v>5500</v>
      </c>
      <c r="AM72" s="978"/>
      <c r="AN72" s="978">
        <v>960</v>
      </c>
      <c r="AO72" s="978"/>
      <c r="AP72" s="978"/>
      <c r="AQ72" s="978"/>
      <c r="AR72" s="978"/>
      <c r="AS72" s="978"/>
      <c r="AT72" s="978"/>
      <c r="AU72" s="978"/>
      <c r="AV72" s="978"/>
      <c r="AW72" s="978"/>
      <c r="AX72" s="978"/>
      <c r="AY72" s="978"/>
      <c r="AZ72" s="978"/>
      <c r="BA72" s="978"/>
      <c r="BB72" s="978">
        <v>400</v>
      </c>
      <c r="BC72" s="978"/>
      <c r="BD72" s="978">
        <v>100</v>
      </c>
      <c r="BE72" s="978"/>
      <c r="BF72" s="978">
        <v>200</v>
      </c>
      <c r="BG72" s="978"/>
      <c r="BH72" s="978">
        <v>11160</v>
      </c>
      <c r="BI72" s="978"/>
      <c r="BJ72" s="714">
        <v>3</v>
      </c>
      <c r="BK72" s="44">
        <f>+Y72</f>
        <v>52835333</v>
      </c>
      <c r="BL72" s="44">
        <f>+Z72</f>
        <v>52835333</v>
      </c>
      <c r="BM72" s="1010">
        <f>+BL72/BK72</f>
        <v>1</v>
      </c>
      <c r="BN72" s="978">
        <v>20</v>
      </c>
      <c r="BO72" s="1312" t="s">
        <v>1830</v>
      </c>
      <c r="BP72" s="978" t="s">
        <v>2018</v>
      </c>
      <c r="BQ72" s="1313">
        <v>44211</v>
      </c>
      <c r="BR72" s="710">
        <v>44242</v>
      </c>
      <c r="BS72" s="710">
        <v>44561</v>
      </c>
      <c r="BT72" s="710">
        <v>44551</v>
      </c>
      <c r="BU72" s="1384" t="s">
        <v>1834</v>
      </c>
    </row>
    <row r="73" spans="1:73" ht="15.75" x14ac:dyDescent="0.25">
      <c r="A73" s="3866"/>
      <c r="B73" s="3867"/>
      <c r="C73" s="2795"/>
      <c r="D73" s="2498"/>
      <c r="E73" s="1385">
        <v>3205</v>
      </c>
      <c r="F73" s="3995" t="s">
        <v>587</v>
      </c>
      <c r="G73" s="3996"/>
      <c r="H73" s="3996"/>
      <c r="I73" s="3996"/>
      <c r="J73" s="3996"/>
      <c r="K73" s="3996"/>
      <c r="L73" s="3996"/>
      <c r="M73" s="799"/>
      <c r="N73" s="1320"/>
      <c r="O73" s="799"/>
      <c r="P73" s="799"/>
      <c r="Q73" s="799"/>
      <c r="R73" s="1320"/>
      <c r="S73" s="1386"/>
      <c r="T73" s="1318"/>
      <c r="U73" s="1320"/>
      <c r="V73" s="1320"/>
      <c r="W73" s="1320"/>
      <c r="X73" s="1315"/>
      <c r="Y73" s="1387"/>
      <c r="Z73" s="1387"/>
      <c r="AA73" s="918"/>
      <c r="AB73" s="1333"/>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799"/>
      <c r="BA73" s="799"/>
      <c r="BB73" s="799"/>
      <c r="BC73" s="799"/>
      <c r="BD73" s="799"/>
      <c r="BE73" s="799"/>
      <c r="BF73" s="799"/>
      <c r="BG73" s="799"/>
      <c r="BH73" s="799"/>
      <c r="BI73" s="799"/>
      <c r="BJ73" s="799"/>
      <c r="BK73" s="1318"/>
      <c r="BL73" s="1318"/>
      <c r="BM73" s="1319"/>
      <c r="BN73" s="799"/>
      <c r="BO73" s="1320"/>
      <c r="BP73" s="799"/>
      <c r="BQ73" s="1321"/>
      <c r="BR73" s="1321"/>
      <c r="BS73" s="1321"/>
      <c r="BT73" s="1321"/>
      <c r="BU73" s="1322"/>
    </row>
    <row r="74" spans="1:73" ht="55.5" customHeight="1" x14ac:dyDescent="0.25">
      <c r="A74" s="3866"/>
      <c r="B74" s="3867"/>
      <c r="C74" s="2795"/>
      <c r="D74" s="2498"/>
      <c r="E74" s="10"/>
      <c r="F74" s="10"/>
      <c r="G74" s="822" t="s">
        <v>2086</v>
      </c>
      <c r="H74" s="1388" t="s">
        <v>2087</v>
      </c>
      <c r="I74" s="822" t="s">
        <v>2086</v>
      </c>
      <c r="J74" s="1388" t="s">
        <v>2087</v>
      </c>
      <c r="K74" s="693" t="s">
        <v>2088</v>
      </c>
      <c r="L74" s="817" t="s">
        <v>2089</v>
      </c>
      <c r="M74" s="693" t="s">
        <v>2088</v>
      </c>
      <c r="N74" s="817" t="s">
        <v>2089</v>
      </c>
      <c r="O74" s="1389">
        <v>200</v>
      </c>
      <c r="P74" s="1390">
        <v>0</v>
      </c>
      <c r="Q74" s="3997" t="s">
        <v>2090</v>
      </c>
      <c r="R74" s="3405" t="s">
        <v>2091</v>
      </c>
      <c r="S74" s="1305">
        <f>X74/T74</f>
        <v>0.24390243902439024</v>
      </c>
      <c r="T74" s="3999">
        <f>SUM(X74:X76)</f>
        <v>82000000</v>
      </c>
      <c r="U74" s="4002" t="s">
        <v>2092</v>
      </c>
      <c r="V74" s="757" t="s">
        <v>2093</v>
      </c>
      <c r="W74" s="827" t="s">
        <v>2094</v>
      </c>
      <c r="X74" s="1332">
        <v>20000000</v>
      </c>
      <c r="Y74" s="1391"/>
      <c r="Z74" s="1391">
        <v>0</v>
      </c>
      <c r="AA74" s="218" t="s">
        <v>2095</v>
      </c>
      <c r="AB74" s="813">
        <v>20</v>
      </c>
      <c r="AC74" s="713" t="s">
        <v>1830</v>
      </c>
      <c r="AD74" s="2977">
        <v>295972</v>
      </c>
      <c r="AE74" s="2977"/>
      <c r="AF74" s="2977">
        <v>285580</v>
      </c>
      <c r="AG74" s="2977"/>
      <c r="AH74" s="2977">
        <v>135545</v>
      </c>
      <c r="AI74" s="2977"/>
      <c r="AJ74" s="2977">
        <v>44254</v>
      </c>
      <c r="AK74" s="2977"/>
      <c r="AL74" s="2977">
        <v>309146</v>
      </c>
      <c r="AM74" s="2977"/>
      <c r="AN74" s="2977">
        <v>92607</v>
      </c>
      <c r="AO74" s="2977"/>
      <c r="AP74" s="2977"/>
      <c r="AQ74" s="2977"/>
      <c r="AR74" s="2977"/>
      <c r="AS74" s="2977"/>
      <c r="AT74" s="2977"/>
      <c r="AU74" s="2977"/>
      <c r="AV74" s="2977"/>
      <c r="AW74" s="2977"/>
      <c r="AX74" s="2977"/>
      <c r="AY74" s="2977"/>
      <c r="AZ74" s="2977"/>
      <c r="BA74" s="2977"/>
      <c r="BB74" s="2977"/>
      <c r="BC74" s="2977"/>
      <c r="BD74" s="2977"/>
      <c r="BE74" s="2977"/>
      <c r="BF74" s="2977"/>
      <c r="BG74" s="2977"/>
      <c r="BH74" s="2977">
        <v>581552</v>
      </c>
      <c r="BI74" s="2977"/>
      <c r="BJ74" s="2977">
        <v>0</v>
      </c>
      <c r="BK74" s="3009">
        <f>SUM(Y74:Y76)</f>
        <v>0</v>
      </c>
      <c r="BL74" s="3009">
        <f>SUM(Z74:Z76)</f>
        <v>0</v>
      </c>
      <c r="BM74" s="4006" t="e">
        <f>+BL74/BK74</f>
        <v>#DIV/0!</v>
      </c>
      <c r="BN74" s="2977">
        <v>20</v>
      </c>
      <c r="BO74" s="3898" t="s">
        <v>1830</v>
      </c>
      <c r="BP74" s="2977" t="s">
        <v>2018</v>
      </c>
      <c r="BQ74" s="3018"/>
      <c r="BR74" s="3018"/>
      <c r="BS74" s="3018"/>
      <c r="BT74" s="3018"/>
      <c r="BU74" s="3895" t="s">
        <v>1834</v>
      </c>
    </row>
    <row r="75" spans="1:73" ht="55.5" customHeight="1" x14ac:dyDescent="0.25">
      <c r="A75" s="3866"/>
      <c r="B75" s="3867"/>
      <c r="C75" s="2795"/>
      <c r="D75" s="2498"/>
      <c r="E75" s="10"/>
      <c r="F75" s="10"/>
      <c r="G75" s="822" t="s">
        <v>2096</v>
      </c>
      <c r="H75" s="1388" t="s">
        <v>2097</v>
      </c>
      <c r="I75" s="822" t="s">
        <v>2096</v>
      </c>
      <c r="J75" s="1388" t="s">
        <v>2097</v>
      </c>
      <c r="K75" s="693" t="s">
        <v>2098</v>
      </c>
      <c r="L75" s="817" t="s">
        <v>2099</v>
      </c>
      <c r="M75" s="693" t="s">
        <v>2098</v>
      </c>
      <c r="N75" s="817" t="s">
        <v>2099</v>
      </c>
      <c r="O75" s="1389">
        <v>10</v>
      </c>
      <c r="P75" s="1390">
        <v>0</v>
      </c>
      <c r="Q75" s="3997"/>
      <c r="R75" s="3406"/>
      <c r="S75" s="1305">
        <f>X75/T74</f>
        <v>0.24390243902439024</v>
      </c>
      <c r="T75" s="4000"/>
      <c r="U75" s="4003"/>
      <c r="V75" s="757" t="s">
        <v>2100</v>
      </c>
      <c r="W75" s="827" t="s">
        <v>2101</v>
      </c>
      <c r="X75" s="1332">
        <v>20000000</v>
      </c>
      <c r="Y75" s="1391"/>
      <c r="Z75" s="1391">
        <v>0</v>
      </c>
      <c r="AA75" s="218" t="s">
        <v>2102</v>
      </c>
      <c r="AB75" s="813">
        <v>20</v>
      </c>
      <c r="AC75" s="713" t="s">
        <v>1830</v>
      </c>
      <c r="AD75" s="2978"/>
      <c r="AE75" s="2978"/>
      <c r="AF75" s="2978"/>
      <c r="AG75" s="2978"/>
      <c r="AH75" s="2978"/>
      <c r="AI75" s="2978"/>
      <c r="AJ75" s="2978"/>
      <c r="AK75" s="2978"/>
      <c r="AL75" s="2978"/>
      <c r="AM75" s="2978"/>
      <c r="AN75" s="2978"/>
      <c r="AO75" s="2978"/>
      <c r="AP75" s="2978"/>
      <c r="AQ75" s="2978"/>
      <c r="AR75" s="2978"/>
      <c r="AS75" s="2978"/>
      <c r="AT75" s="2978"/>
      <c r="AU75" s="2978"/>
      <c r="AV75" s="2978"/>
      <c r="AW75" s="2978"/>
      <c r="AX75" s="2978"/>
      <c r="AY75" s="2978"/>
      <c r="AZ75" s="2978"/>
      <c r="BA75" s="2978"/>
      <c r="BB75" s="2978"/>
      <c r="BC75" s="2978"/>
      <c r="BD75" s="2978"/>
      <c r="BE75" s="2978"/>
      <c r="BF75" s="2978"/>
      <c r="BG75" s="2978"/>
      <c r="BH75" s="2978"/>
      <c r="BI75" s="2978"/>
      <c r="BJ75" s="2978"/>
      <c r="BK75" s="3010"/>
      <c r="BL75" s="3010"/>
      <c r="BM75" s="3042"/>
      <c r="BN75" s="2978"/>
      <c r="BO75" s="3899"/>
      <c r="BP75" s="2978"/>
      <c r="BQ75" s="3019"/>
      <c r="BR75" s="3019"/>
      <c r="BS75" s="3019"/>
      <c r="BT75" s="3019"/>
      <c r="BU75" s="3896"/>
    </row>
    <row r="76" spans="1:73" ht="55.5" customHeight="1" x14ac:dyDescent="0.25">
      <c r="A76" s="3866"/>
      <c r="B76" s="3867"/>
      <c r="C76" s="2795"/>
      <c r="D76" s="2498"/>
      <c r="E76" s="10"/>
      <c r="F76" s="10"/>
      <c r="G76" s="825">
        <v>3205010</v>
      </c>
      <c r="H76" s="1392" t="s">
        <v>588</v>
      </c>
      <c r="I76" s="825">
        <v>3205010</v>
      </c>
      <c r="J76" s="1392" t="s">
        <v>588</v>
      </c>
      <c r="K76" s="694" t="s">
        <v>589</v>
      </c>
      <c r="L76" s="755" t="s">
        <v>590</v>
      </c>
      <c r="M76" s="694" t="s">
        <v>589</v>
      </c>
      <c r="N76" s="817" t="s">
        <v>590</v>
      </c>
      <c r="O76" s="1389">
        <v>1</v>
      </c>
      <c r="P76" s="1390">
        <v>0</v>
      </c>
      <c r="Q76" s="3997"/>
      <c r="R76" s="3998"/>
      <c r="S76" s="1305">
        <f>X76/T74</f>
        <v>0.51219512195121952</v>
      </c>
      <c r="T76" s="4001"/>
      <c r="U76" s="4004"/>
      <c r="V76" s="732" t="s">
        <v>2103</v>
      </c>
      <c r="W76" s="827" t="s">
        <v>2104</v>
      </c>
      <c r="X76" s="1332">
        <v>42000000</v>
      </c>
      <c r="Y76" s="1391"/>
      <c r="Z76" s="1391">
        <v>0</v>
      </c>
      <c r="AA76" s="218" t="s">
        <v>2105</v>
      </c>
      <c r="AB76" s="813">
        <v>20</v>
      </c>
      <c r="AC76" s="713" t="s">
        <v>1830</v>
      </c>
      <c r="AD76" s="2979"/>
      <c r="AE76" s="2979"/>
      <c r="AF76" s="2979"/>
      <c r="AG76" s="2979"/>
      <c r="AH76" s="2979"/>
      <c r="AI76" s="2979"/>
      <c r="AJ76" s="2979"/>
      <c r="AK76" s="2979"/>
      <c r="AL76" s="2979"/>
      <c r="AM76" s="2979"/>
      <c r="AN76" s="2979"/>
      <c r="AO76" s="2979"/>
      <c r="AP76" s="2979"/>
      <c r="AQ76" s="2979"/>
      <c r="AR76" s="2979"/>
      <c r="AS76" s="2979"/>
      <c r="AT76" s="2979"/>
      <c r="AU76" s="2979"/>
      <c r="AV76" s="2979"/>
      <c r="AW76" s="2979"/>
      <c r="AX76" s="2979"/>
      <c r="AY76" s="2979"/>
      <c r="AZ76" s="2979"/>
      <c r="BA76" s="2979"/>
      <c r="BB76" s="2979"/>
      <c r="BC76" s="2979"/>
      <c r="BD76" s="2979"/>
      <c r="BE76" s="2979"/>
      <c r="BF76" s="2979"/>
      <c r="BG76" s="2979"/>
      <c r="BH76" s="2979"/>
      <c r="BI76" s="2979"/>
      <c r="BJ76" s="2979"/>
      <c r="BK76" s="3011"/>
      <c r="BL76" s="3011"/>
      <c r="BM76" s="3043"/>
      <c r="BN76" s="2979"/>
      <c r="BO76" s="3900"/>
      <c r="BP76" s="2979"/>
      <c r="BQ76" s="3020"/>
      <c r="BR76" s="3020"/>
      <c r="BS76" s="3020"/>
      <c r="BT76" s="3020"/>
      <c r="BU76" s="3897"/>
    </row>
    <row r="77" spans="1:73" ht="15.75" x14ac:dyDescent="0.25">
      <c r="A77" s="3866"/>
      <c r="B77" s="3867"/>
      <c r="C77" s="2795"/>
      <c r="D77" s="2498"/>
      <c r="E77" s="1385">
        <v>3206</v>
      </c>
      <c r="F77" s="1393" t="s">
        <v>2106</v>
      </c>
      <c r="G77" s="337"/>
      <c r="H77" s="1394"/>
      <c r="I77" s="337"/>
      <c r="J77" s="1394"/>
      <c r="K77" s="337"/>
      <c r="L77" s="1394"/>
      <c r="M77" s="337"/>
      <c r="N77" s="1320"/>
      <c r="O77" s="799"/>
      <c r="P77" s="799"/>
      <c r="Q77" s="799"/>
      <c r="R77" s="1320"/>
      <c r="S77" s="1386"/>
      <c r="T77" s="1318"/>
      <c r="U77" s="1320"/>
      <c r="V77" s="1320"/>
      <c r="W77" s="1320"/>
      <c r="X77" s="1315"/>
      <c r="Y77" s="1387"/>
      <c r="Z77" s="1387"/>
      <c r="AA77" s="918"/>
      <c r="AB77" s="1333"/>
      <c r="AC77" s="1317"/>
      <c r="AD77" s="799"/>
      <c r="AE77" s="799"/>
      <c r="AF77" s="799"/>
      <c r="AG77" s="799"/>
      <c r="AH77" s="799"/>
      <c r="AI77" s="799"/>
      <c r="AJ77" s="799"/>
      <c r="AK77" s="799"/>
      <c r="AL77" s="799"/>
      <c r="AM77" s="799"/>
      <c r="AN77" s="799"/>
      <c r="AO77" s="799"/>
      <c r="AP77" s="799"/>
      <c r="AQ77" s="799"/>
      <c r="AR77" s="799"/>
      <c r="AS77" s="799"/>
      <c r="AT77" s="799"/>
      <c r="AU77" s="799"/>
      <c r="AV77" s="799"/>
      <c r="AW77" s="799"/>
      <c r="AX77" s="799"/>
      <c r="AY77" s="799"/>
      <c r="AZ77" s="799"/>
      <c r="BA77" s="799"/>
      <c r="BB77" s="799"/>
      <c r="BC77" s="799"/>
      <c r="BD77" s="799"/>
      <c r="BE77" s="799"/>
      <c r="BF77" s="799"/>
      <c r="BG77" s="799"/>
      <c r="BH77" s="799"/>
      <c r="BI77" s="799"/>
      <c r="BJ77" s="799"/>
      <c r="BK77" s="799"/>
      <c r="BL77" s="1318"/>
      <c r="BM77" s="1319"/>
      <c r="BN77" s="799"/>
      <c r="BO77" s="1320"/>
      <c r="BP77" s="799"/>
      <c r="BQ77" s="1321"/>
      <c r="BR77" s="1321"/>
      <c r="BS77" s="1321"/>
      <c r="BT77" s="1321"/>
      <c r="BU77" s="1322"/>
    </row>
    <row r="78" spans="1:73" ht="75.75" customHeight="1" x14ac:dyDescent="0.25">
      <c r="A78" s="3866"/>
      <c r="B78" s="3867"/>
      <c r="C78" s="2795"/>
      <c r="D78" s="2498"/>
      <c r="E78" s="10"/>
      <c r="F78" s="10"/>
      <c r="G78" s="822" t="s">
        <v>2107</v>
      </c>
      <c r="H78" s="1388" t="s">
        <v>2108</v>
      </c>
      <c r="I78" s="822" t="s">
        <v>2107</v>
      </c>
      <c r="J78" s="1388" t="s">
        <v>2108</v>
      </c>
      <c r="K78" s="1395" t="s">
        <v>2109</v>
      </c>
      <c r="L78" s="818" t="s">
        <v>2110</v>
      </c>
      <c r="M78" s="1395" t="s">
        <v>2109</v>
      </c>
      <c r="N78" s="818" t="s">
        <v>2110</v>
      </c>
      <c r="O78" s="1389">
        <v>6</v>
      </c>
      <c r="P78" s="1390">
        <v>6</v>
      </c>
      <c r="Q78" s="2511" t="s">
        <v>2111</v>
      </c>
      <c r="R78" s="3204" t="s">
        <v>2112</v>
      </c>
      <c r="S78" s="1305">
        <f>X78/T78</f>
        <v>0.21186440677966101</v>
      </c>
      <c r="T78" s="3999">
        <f>SUM(X78:X80)</f>
        <v>118000000</v>
      </c>
      <c r="U78" s="4002" t="s">
        <v>2113</v>
      </c>
      <c r="V78" s="2545" t="s">
        <v>2114</v>
      </c>
      <c r="W78" s="827" t="s">
        <v>2115</v>
      </c>
      <c r="X78" s="1332">
        <v>25000000</v>
      </c>
      <c r="Y78" s="1391">
        <v>9535000</v>
      </c>
      <c r="Z78" s="1391">
        <v>9535000</v>
      </c>
      <c r="AA78" s="218" t="s">
        <v>2116</v>
      </c>
      <c r="AB78" s="1327">
        <v>20</v>
      </c>
      <c r="AC78" s="1396" t="s">
        <v>1830</v>
      </c>
      <c r="AD78" s="2977">
        <v>291786</v>
      </c>
      <c r="AE78" s="2977"/>
      <c r="AF78" s="2977">
        <v>270331</v>
      </c>
      <c r="AG78" s="2977"/>
      <c r="AH78" s="2977">
        <v>102045</v>
      </c>
      <c r="AI78" s="2977"/>
      <c r="AJ78" s="2977">
        <v>39183</v>
      </c>
      <c r="AK78" s="2977"/>
      <c r="AL78" s="2977">
        <v>310195</v>
      </c>
      <c r="AM78" s="2977"/>
      <c r="AN78" s="2977">
        <v>110694</v>
      </c>
      <c r="AO78" s="2977"/>
      <c r="AP78" s="2977"/>
      <c r="AQ78" s="2977"/>
      <c r="AR78" s="2977"/>
      <c r="AS78" s="2977"/>
      <c r="AT78" s="2977"/>
      <c r="AU78" s="2977"/>
      <c r="AV78" s="2977"/>
      <c r="AW78" s="2977"/>
      <c r="AX78" s="2977"/>
      <c r="AY78" s="2977"/>
      <c r="AZ78" s="2977"/>
      <c r="BA78" s="2977"/>
      <c r="BB78" s="2977"/>
      <c r="BC78" s="2977"/>
      <c r="BD78" s="2977"/>
      <c r="BE78" s="2977"/>
      <c r="BF78" s="2977"/>
      <c r="BG78" s="2977"/>
      <c r="BH78" s="2977">
        <v>562117</v>
      </c>
      <c r="BI78" s="2977"/>
      <c r="BJ78" s="2977">
        <v>2</v>
      </c>
      <c r="BK78" s="3009">
        <f>SUM(Y78:Y80)</f>
        <v>9535000</v>
      </c>
      <c r="BL78" s="3009">
        <f>SUM(Z78:Z80)</f>
        <v>9535000</v>
      </c>
      <c r="BM78" s="3721">
        <f>+BL78/BK78</f>
        <v>1</v>
      </c>
      <c r="BN78" s="2977">
        <v>20</v>
      </c>
      <c r="BO78" s="3898" t="s">
        <v>1830</v>
      </c>
      <c r="BP78" s="2977" t="s">
        <v>2018</v>
      </c>
      <c r="BQ78" s="3018">
        <v>44256</v>
      </c>
      <c r="BR78" s="3018">
        <v>44511</v>
      </c>
      <c r="BS78" s="3018">
        <v>44561</v>
      </c>
      <c r="BT78" s="3018">
        <v>44541</v>
      </c>
      <c r="BU78" s="3895" t="s">
        <v>1834</v>
      </c>
    </row>
    <row r="79" spans="1:73" ht="75.75" customHeight="1" x14ac:dyDescent="0.25">
      <c r="A79" s="3866"/>
      <c r="B79" s="3867"/>
      <c r="C79" s="2795"/>
      <c r="D79" s="2498"/>
      <c r="E79" s="10"/>
      <c r="F79" s="10"/>
      <c r="G79" s="822">
        <v>3206014</v>
      </c>
      <c r="H79" s="1388" t="s">
        <v>2117</v>
      </c>
      <c r="I79" s="822">
        <v>3206014</v>
      </c>
      <c r="J79" s="1388" t="s">
        <v>2117</v>
      </c>
      <c r="K79" s="1395" t="s">
        <v>2118</v>
      </c>
      <c r="L79" s="818" t="s">
        <v>2119</v>
      </c>
      <c r="M79" s="1395" t="s">
        <v>2118</v>
      </c>
      <c r="N79" s="818" t="s">
        <v>2119</v>
      </c>
      <c r="O79" s="1389">
        <v>1950</v>
      </c>
      <c r="P79" s="1390">
        <v>1932</v>
      </c>
      <c r="Q79" s="2511"/>
      <c r="R79" s="3204"/>
      <c r="S79" s="1305">
        <f>X79/T78</f>
        <v>0.15254237288135594</v>
      </c>
      <c r="T79" s="4000"/>
      <c r="U79" s="4003"/>
      <c r="V79" s="2781"/>
      <c r="W79" s="827" t="s">
        <v>2120</v>
      </c>
      <c r="X79" s="1332">
        <v>18000000</v>
      </c>
      <c r="Y79" s="1391">
        <v>0</v>
      </c>
      <c r="Z79" s="1391">
        <v>0</v>
      </c>
      <c r="AA79" s="218" t="s">
        <v>2121</v>
      </c>
      <c r="AB79" s="1327">
        <v>20</v>
      </c>
      <c r="AC79" s="1396" t="s">
        <v>1830</v>
      </c>
      <c r="AD79" s="2978"/>
      <c r="AE79" s="2978"/>
      <c r="AF79" s="2978"/>
      <c r="AG79" s="2978"/>
      <c r="AH79" s="2978"/>
      <c r="AI79" s="2978"/>
      <c r="AJ79" s="2978"/>
      <c r="AK79" s="2978"/>
      <c r="AL79" s="2978"/>
      <c r="AM79" s="2978"/>
      <c r="AN79" s="2978"/>
      <c r="AO79" s="2978"/>
      <c r="AP79" s="2978"/>
      <c r="AQ79" s="2978"/>
      <c r="AR79" s="2978"/>
      <c r="AS79" s="2978"/>
      <c r="AT79" s="2978"/>
      <c r="AU79" s="2978"/>
      <c r="AV79" s="2978"/>
      <c r="AW79" s="2978"/>
      <c r="AX79" s="2978"/>
      <c r="AY79" s="2978"/>
      <c r="AZ79" s="2978"/>
      <c r="BA79" s="2978"/>
      <c r="BB79" s="2978"/>
      <c r="BC79" s="2978"/>
      <c r="BD79" s="2978"/>
      <c r="BE79" s="2978"/>
      <c r="BF79" s="2978"/>
      <c r="BG79" s="2978"/>
      <c r="BH79" s="2978"/>
      <c r="BI79" s="2978"/>
      <c r="BJ79" s="2978"/>
      <c r="BK79" s="3010"/>
      <c r="BL79" s="3010"/>
      <c r="BM79" s="2726"/>
      <c r="BN79" s="2978"/>
      <c r="BO79" s="3899"/>
      <c r="BP79" s="2978"/>
      <c r="BQ79" s="3019"/>
      <c r="BR79" s="3019"/>
      <c r="BS79" s="3019"/>
      <c r="BT79" s="3019"/>
      <c r="BU79" s="3896"/>
    </row>
    <row r="80" spans="1:73" ht="75.75" customHeight="1" x14ac:dyDescent="0.25">
      <c r="A80" s="3866"/>
      <c r="B80" s="3867"/>
      <c r="C80" s="2795"/>
      <c r="D80" s="2498"/>
      <c r="E80" s="10"/>
      <c r="F80" s="10"/>
      <c r="G80" s="825">
        <v>3206015</v>
      </c>
      <c r="H80" s="1392" t="s">
        <v>2122</v>
      </c>
      <c r="I80" s="825" t="s">
        <v>2123</v>
      </c>
      <c r="J80" s="1392" t="s">
        <v>2122</v>
      </c>
      <c r="K80" s="1397" t="s">
        <v>2124</v>
      </c>
      <c r="L80" s="698" t="s">
        <v>2125</v>
      </c>
      <c r="M80" s="1397" t="s">
        <v>2124</v>
      </c>
      <c r="N80" s="698" t="s">
        <v>2125</v>
      </c>
      <c r="O80" s="697">
        <v>20</v>
      </c>
      <c r="P80" s="752">
        <v>0</v>
      </c>
      <c r="Q80" s="2512"/>
      <c r="R80" s="3205"/>
      <c r="S80" s="1012">
        <f>X80/T78</f>
        <v>0.63559322033898302</v>
      </c>
      <c r="T80" s="4000"/>
      <c r="U80" s="4003"/>
      <c r="V80" s="2781"/>
      <c r="W80" s="827" t="s">
        <v>2126</v>
      </c>
      <c r="X80" s="1332">
        <v>75000000</v>
      </c>
      <c r="Y80" s="1398"/>
      <c r="Z80" s="1398"/>
      <c r="AA80" s="218" t="s">
        <v>2127</v>
      </c>
      <c r="AB80" s="1327">
        <v>20</v>
      </c>
      <c r="AC80" s="1396" t="s">
        <v>1830</v>
      </c>
      <c r="AD80" s="2978"/>
      <c r="AE80" s="2978"/>
      <c r="AF80" s="2978"/>
      <c r="AG80" s="2978"/>
      <c r="AH80" s="2978"/>
      <c r="AI80" s="2978"/>
      <c r="AJ80" s="2978"/>
      <c r="AK80" s="2978"/>
      <c r="AL80" s="2978"/>
      <c r="AM80" s="2978"/>
      <c r="AN80" s="2978"/>
      <c r="AO80" s="2978"/>
      <c r="AP80" s="2978"/>
      <c r="AQ80" s="2978"/>
      <c r="AR80" s="2978"/>
      <c r="AS80" s="2978"/>
      <c r="AT80" s="2978"/>
      <c r="AU80" s="2978"/>
      <c r="AV80" s="2978"/>
      <c r="AW80" s="2978"/>
      <c r="AX80" s="2978"/>
      <c r="AY80" s="2978"/>
      <c r="AZ80" s="2978"/>
      <c r="BA80" s="2978"/>
      <c r="BB80" s="2978"/>
      <c r="BC80" s="2978"/>
      <c r="BD80" s="2978"/>
      <c r="BE80" s="2978"/>
      <c r="BF80" s="2978"/>
      <c r="BG80" s="2978"/>
      <c r="BH80" s="2978"/>
      <c r="BI80" s="2978"/>
      <c r="BJ80" s="2978"/>
      <c r="BK80" s="3010"/>
      <c r="BL80" s="3010"/>
      <c r="BM80" s="2727"/>
      <c r="BN80" s="2978"/>
      <c r="BO80" s="3899"/>
      <c r="BP80" s="2978"/>
      <c r="BQ80" s="3019"/>
      <c r="BR80" s="3019"/>
      <c r="BS80" s="3019"/>
      <c r="BT80" s="3019"/>
      <c r="BU80" s="3896"/>
    </row>
    <row r="81" spans="1:74" ht="27" customHeight="1" x14ac:dyDescent="0.25">
      <c r="A81" s="1399"/>
      <c r="B81" s="1400"/>
      <c r="C81" s="1400"/>
      <c r="D81" s="1400"/>
      <c r="E81" s="1400"/>
      <c r="F81" s="1400"/>
      <c r="G81" s="1400"/>
      <c r="H81" s="1401"/>
      <c r="I81" s="1400"/>
      <c r="J81" s="1401"/>
      <c r="K81" s="1400"/>
      <c r="L81" s="1401"/>
      <c r="M81" s="1400"/>
      <c r="N81" s="1401"/>
      <c r="O81" s="1400"/>
      <c r="P81" s="1400"/>
      <c r="Q81" s="1400"/>
      <c r="R81" s="1401"/>
      <c r="S81" s="1402"/>
      <c r="T81" s="1403">
        <f>SUM(T10:T80)</f>
        <v>3838799887.6300001</v>
      </c>
      <c r="U81" s="1404"/>
      <c r="V81" s="1405"/>
      <c r="W81" s="32" t="s">
        <v>0</v>
      </c>
      <c r="X81" s="28">
        <f>SUM(X10:X80)</f>
        <v>3838799887.6300001</v>
      </c>
      <c r="Y81" s="28">
        <f t="shared" ref="Y81:Z81" si="0">SUM(Y10:Y80)</f>
        <v>2309257005.5699997</v>
      </c>
      <c r="Z81" s="28">
        <f t="shared" si="0"/>
        <v>2309257005.5699997</v>
      </c>
      <c r="AA81" s="1406"/>
      <c r="AB81" s="1407"/>
      <c r="AC81" s="1400"/>
      <c r="AD81" s="1400"/>
      <c r="AE81" s="1400"/>
      <c r="AF81" s="1400"/>
      <c r="AG81" s="1400"/>
      <c r="AH81" s="1400"/>
      <c r="AI81" s="1400"/>
      <c r="AJ81" s="1400"/>
      <c r="AK81" s="1400"/>
      <c r="AL81" s="1400"/>
      <c r="AM81" s="1400"/>
      <c r="AN81" s="1400"/>
      <c r="AO81" s="1400"/>
      <c r="AP81" s="1400"/>
      <c r="AQ81" s="1400"/>
      <c r="AR81" s="1400"/>
      <c r="AS81" s="1400"/>
      <c r="AT81" s="1400"/>
      <c r="AU81" s="1400"/>
      <c r="AV81" s="1400"/>
      <c r="AW81" s="1400"/>
      <c r="AX81" s="1400"/>
      <c r="AY81" s="1400"/>
      <c r="AZ81" s="1400"/>
      <c r="BA81" s="1400"/>
      <c r="BB81" s="1400"/>
      <c r="BC81" s="1400"/>
      <c r="BD81" s="1400"/>
      <c r="BE81" s="1400"/>
      <c r="BF81" s="1400"/>
      <c r="BG81" s="1400"/>
      <c r="BH81" s="1400"/>
      <c r="BI81" s="1400"/>
      <c r="BJ81" s="1400"/>
      <c r="BK81" s="28">
        <f>SUM(BK13:BK80)</f>
        <v>2309257005.5700002</v>
      </c>
      <c r="BL81" s="28">
        <f>SUM(BL13:BL80)</f>
        <v>2309257005.5700002</v>
      </c>
      <c r="BM81" s="1408"/>
      <c r="BN81" s="1400"/>
      <c r="BO81" s="1401"/>
      <c r="BP81" s="1400"/>
      <c r="BQ81" s="1409"/>
      <c r="BR81" s="1409"/>
      <c r="BS81" s="1409"/>
      <c r="BT81" s="1409"/>
      <c r="BU81" s="1410"/>
    </row>
    <row r="82" spans="1:74" ht="15" x14ac:dyDescent="0.25">
      <c r="T82" s="1411"/>
      <c r="X82" s="1411"/>
      <c r="Y82" s="1411"/>
      <c r="Z82" s="1411"/>
      <c r="BR82" s="663"/>
      <c r="BS82" s="663"/>
      <c r="BU82" s="4"/>
      <c r="BV82" s="4"/>
    </row>
    <row r="83" spans="1:74" ht="27" customHeight="1" x14ac:dyDescent="0.25">
      <c r="T83" s="667"/>
      <c r="X83" s="1412"/>
      <c r="Y83" s="1412"/>
      <c r="Z83" s="1412"/>
      <c r="BK83" s="1412"/>
      <c r="BL83" s="1412"/>
      <c r="BR83" s="663"/>
      <c r="BS83" s="663"/>
      <c r="BU83" s="4"/>
      <c r="BV83" s="4"/>
    </row>
    <row r="84" spans="1:74" ht="27" customHeight="1" x14ac:dyDescent="0.25">
      <c r="BR84" s="663"/>
      <c r="BS84" s="663"/>
      <c r="BU84" s="4"/>
      <c r="BV84" s="4"/>
    </row>
    <row r="85" spans="1:74" ht="27" customHeight="1" x14ac:dyDescent="0.25">
      <c r="BR85" s="663"/>
      <c r="BS85" s="663"/>
      <c r="BU85" s="4"/>
      <c r="BV85" s="4"/>
    </row>
    <row r="86" spans="1:74" ht="27" customHeight="1" x14ac:dyDescent="0.25">
      <c r="BR86" s="663"/>
      <c r="BS86" s="663"/>
      <c r="BU86" s="4"/>
      <c r="BV86" s="4"/>
    </row>
    <row r="87" spans="1:74" ht="27" customHeight="1" x14ac:dyDescent="0.25">
      <c r="BR87" s="663"/>
      <c r="BS87" s="663"/>
      <c r="BU87" s="4"/>
      <c r="BV87" s="4"/>
    </row>
    <row r="88" spans="1:74" ht="27" customHeight="1" x14ac:dyDescent="0.25">
      <c r="BR88" s="663"/>
      <c r="BS88" s="663"/>
      <c r="BU88" s="4"/>
      <c r="BV88" s="4"/>
    </row>
    <row r="89" spans="1:74" ht="27" customHeight="1" x14ac:dyDescent="0.25">
      <c r="BR89" s="663"/>
      <c r="BS89" s="663"/>
      <c r="BU89" s="4"/>
      <c r="BV89" s="4"/>
    </row>
    <row r="90" spans="1:74" ht="27" customHeight="1" x14ac:dyDescent="0.25">
      <c r="BR90" s="663"/>
      <c r="BS90" s="663"/>
      <c r="BU90" s="4"/>
      <c r="BV90" s="4"/>
    </row>
    <row r="91" spans="1:74" ht="27" customHeight="1" x14ac:dyDescent="0.25">
      <c r="BR91" s="663"/>
      <c r="BS91" s="663"/>
      <c r="BU91" s="4"/>
      <c r="BV91" s="4"/>
    </row>
    <row r="92" spans="1:74" ht="27" customHeight="1" x14ac:dyDescent="0.25">
      <c r="BR92" s="663"/>
      <c r="BS92" s="663"/>
      <c r="BU92" s="4"/>
      <c r="BV92" s="4"/>
    </row>
    <row r="93" spans="1:74" ht="27" customHeight="1" x14ac:dyDescent="0.25">
      <c r="BR93" s="663"/>
      <c r="BS93" s="663"/>
      <c r="BU93" s="4"/>
      <c r="BV93" s="4"/>
    </row>
    <row r="94" spans="1:74" ht="27" customHeight="1" x14ac:dyDescent="0.25">
      <c r="BR94" s="663"/>
      <c r="BS94" s="663"/>
      <c r="BU94" s="4"/>
      <c r="BV94" s="4"/>
    </row>
    <row r="95" spans="1:74" ht="27" customHeight="1" x14ac:dyDescent="0.25">
      <c r="BR95" s="663"/>
      <c r="BS95" s="663"/>
      <c r="BU95" s="4"/>
      <c r="BV95" s="4"/>
    </row>
    <row r="96" spans="1:74" ht="27" customHeight="1" x14ac:dyDescent="0.25">
      <c r="BR96" s="663"/>
      <c r="BS96" s="663"/>
      <c r="BU96" s="4"/>
      <c r="BV96" s="4"/>
    </row>
    <row r="97" spans="70:74" ht="27" customHeight="1" x14ac:dyDescent="0.25">
      <c r="BR97" s="663"/>
      <c r="BS97" s="663"/>
      <c r="BU97" s="4"/>
      <c r="BV97" s="4"/>
    </row>
    <row r="98" spans="70:74" ht="27" customHeight="1" x14ac:dyDescent="0.25">
      <c r="BR98" s="663"/>
      <c r="BS98" s="663"/>
      <c r="BU98" s="4"/>
      <c r="BV98" s="4"/>
    </row>
    <row r="99" spans="70:74" ht="27" customHeight="1" x14ac:dyDescent="0.25">
      <c r="BR99" s="663"/>
      <c r="BS99" s="663"/>
      <c r="BU99" s="4"/>
      <c r="BV99" s="4"/>
    </row>
    <row r="100" spans="70:74" ht="27" customHeight="1" x14ac:dyDescent="0.25">
      <c r="BR100" s="663"/>
      <c r="BS100" s="663"/>
      <c r="BU100" s="4"/>
      <c r="BV100" s="4"/>
    </row>
    <row r="101" spans="70:74" ht="27" customHeight="1" x14ac:dyDescent="0.25">
      <c r="BR101" s="663"/>
      <c r="BS101" s="663"/>
      <c r="BU101" s="4"/>
      <c r="BV101" s="4"/>
    </row>
    <row r="102" spans="70:74" ht="27" customHeight="1" x14ac:dyDescent="0.25">
      <c r="BR102" s="663"/>
      <c r="BS102" s="663"/>
      <c r="BU102" s="4"/>
      <c r="BV102" s="4"/>
    </row>
    <row r="103" spans="70:74" ht="27" customHeight="1" x14ac:dyDescent="0.25">
      <c r="BR103" s="663"/>
      <c r="BS103" s="663"/>
      <c r="BU103" s="4"/>
      <c r="BV103" s="4"/>
    </row>
    <row r="104" spans="70:74" ht="27" customHeight="1" x14ac:dyDescent="0.25">
      <c r="BR104" s="663"/>
      <c r="BS104" s="663"/>
      <c r="BU104" s="4"/>
      <c r="BV104" s="4"/>
    </row>
    <row r="105" spans="70:74" ht="27" customHeight="1" x14ac:dyDescent="0.25">
      <c r="BR105" s="663"/>
      <c r="BS105" s="663"/>
      <c r="BU105" s="4"/>
      <c r="BV105" s="4"/>
    </row>
    <row r="106" spans="70:74" ht="27" customHeight="1" x14ac:dyDescent="0.25">
      <c r="BR106" s="663"/>
      <c r="BS106" s="663"/>
      <c r="BU106" s="4"/>
      <c r="BV106" s="4"/>
    </row>
    <row r="107" spans="70:74" ht="27" customHeight="1" x14ac:dyDescent="0.25">
      <c r="BR107" s="663"/>
      <c r="BS107" s="663"/>
      <c r="BU107" s="4"/>
      <c r="BV107" s="4"/>
    </row>
    <row r="108" spans="70:74" ht="27" customHeight="1" x14ac:dyDescent="0.25">
      <c r="BR108" s="663"/>
      <c r="BS108" s="663"/>
      <c r="BU108" s="4"/>
      <c r="BV108" s="4"/>
    </row>
    <row r="109" spans="70:74" ht="27" customHeight="1" x14ac:dyDescent="0.25">
      <c r="BR109" s="663"/>
      <c r="BS109" s="663"/>
      <c r="BU109" s="4"/>
      <c r="BV109" s="4"/>
    </row>
    <row r="110" spans="70:74" ht="27" customHeight="1" x14ac:dyDescent="0.25">
      <c r="BR110" s="663"/>
      <c r="BS110" s="663"/>
      <c r="BU110" s="4"/>
      <c r="BV110" s="4"/>
    </row>
    <row r="111" spans="70:74" ht="27" customHeight="1" x14ac:dyDescent="0.25">
      <c r="BR111" s="663"/>
      <c r="BS111" s="663"/>
      <c r="BU111" s="4"/>
      <c r="BV111" s="4"/>
    </row>
    <row r="112" spans="70:74" ht="27" customHeight="1" x14ac:dyDescent="0.25">
      <c r="BR112" s="663"/>
      <c r="BS112" s="663"/>
      <c r="BU112" s="4"/>
      <c r="BV112" s="4"/>
    </row>
    <row r="113" spans="70:74" ht="27" customHeight="1" x14ac:dyDescent="0.25">
      <c r="BR113" s="663"/>
      <c r="BS113" s="663"/>
      <c r="BU113" s="4"/>
      <c r="BV113" s="4"/>
    </row>
    <row r="114" spans="70:74" ht="27" customHeight="1" x14ac:dyDescent="0.25">
      <c r="BR114" s="663"/>
      <c r="BS114" s="663"/>
      <c r="BU114" s="4"/>
      <c r="BV114" s="4"/>
    </row>
    <row r="115" spans="70:74" ht="27" customHeight="1" x14ac:dyDescent="0.25">
      <c r="BR115" s="663"/>
      <c r="BS115" s="663"/>
      <c r="BU115" s="4"/>
      <c r="BV115" s="4"/>
    </row>
    <row r="116" spans="70:74" ht="27" customHeight="1" x14ac:dyDescent="0.25">
      <c r="BR116" s="663"/>
      <c r="BS116" s="663"/>
      <c r="BU116" s="4"/>
      <c r="BV116" s="4"/>
    </row>
    <row r="117" spans="70:74" ht="27" customHeight="1" x14ac:dyDescent="0.25">
      <c r="BR117" s="663"/>
      <c r="BS117" s="663"/>
      <c r="BU117" s="4"/>
      <c r="BV117" s="4"/>
    </row>
    <row r="118" spans="70:74" ht="27" customHeight="1" x14ac:dyDescent="0.25">
      <c r="BR118" s="663"/>
      <c r="BS118" s="663"/>
      <c r="BU118" s="4"/>
      <c r="BV118" s="4"/>
    </row>
    <row r="119" spans="70:74" ht="27" customHeight="1" x14ac:dyDescent="0.25">
      <c r="BR119" s="663"/>
      <c r="BS119" s="663"/>
      <c r="BU119" s="4"/>
      <c r="BV119" s="4"/>
    </row>
    <row r="120" spans="70:74" ht="27" customHeight="1" x14ac:dyDescent="0.25">
      <c r="BR120" s="663"/>
      <c r="BS120" s="663"/>
      <c r="BU120" s="4"/>
      <c r="BV120" s="4"/>
    </row>
    <row r="121" spans="70:74" ht="27" customHeight="1" x14ac:dyDescent="0.25">
      <c r="BR121" s="663"/>
      <c r="BS121" s="663"/>
      <c r="BU121" s="4"/>
      <c r="BV121" s="4"/>
    </row>
    <row r="122" spans="70:74" ht="27" customHeight="1" x14ac:dyDescent="0.25">
      <c r="BR122" s="663"/>
      <c r="BS122" s="663"/>
      <c r="BU122" s="4"/>
      <c r="BV122" s="4"/>
    </row>
    <row r="123" spans="70:74" ht="27" customHeight="1" x14ac:dyDescent="0.25">
      <c r="BR123" s="663"/>
      <c r="BS123" s="663"/>
      <c r="BU123" s="4"/>
      <c r="BV123" s="4"/>
    </row>
    <row r="124" spans="70:74" ht="27" customHeight="1" x14ac:dyDescent="0.25">
      <c r="BR124" s="663"/>
      <c r="BS124" s="663"/>
      <c r="BU124" s="4"/>
      <c r="BV124" s="4"/>
    </row>
    <row r="125" spans="70:74" ht="27" customHeight="1" x14ac:dyDescent="0.25">
      <c r="BR125" s="663"/>
      <c r="BS125" s="663"/>
      <c r="BU125" s="4"/>
      <c r="BV125" s="4"/>
    </row>
    <row r="126" spans="70:74" ht="27" customHeight="1" x14ac:dyDescent="0.25">
      <c r="BR126" s="663"/>
      <c r="BS126" s="663"/>
      <c r="BU126" s="4"/>
      <c r="BV126" s="4"/>
    </row>
    <row r="127" spans="70:74" ht="27" customHeight="1" x14ac:dyDescent="0.25">
      <c r="BR127" s="663"/>
      <c r="BS127" s="663"/>
      <c r="BU127" s="4"/>
      <c r="BV127" s="4"/>
    </row>
    <row r="128" spans="70:74" ht="27" customHeight="1" x14ac:dyDescent="0.25">
      <c r="BR128" s="663"/>
      <c r="BS128" s="663"/>
      <c r="BU128" s="4"/>
      <c r="BV128" s="4"/>
    </row>
    <row r="129" spans="70:74" ht="27" customHeight="1" x14ac:dyDescent="0.25">
      <c r="BR129" s="663"/>
      <c r="BS129" s="663"/>
      <c r="BU129" s="4"/>
      <c r="BV129" s="4"/>
    </row>
    <row r="130" spans="70:74" ht="27" customHeight="1" x14ac:dyDescent="0.25">
      <c r="BR130" s="663"/>
      <c r="BS130" s="663"/>
      <c r="BU130" s="4"/>
      <c r="BV130" s="4"/>
    </row>
    <row r="131" spans="70:74" ht="27" customHeight="1" x14ac:dyDescent="0.25">
      <c r="BR131" s="663"/>
      <c r="BS131" s="663"/>
      <c r="BU131" s="4"/>
      <c r="BV131" s="4"/>
    </row>
    <row r="132" spans="70:74" ht="27" customHeight="1" x14ac:dyDescent="0.25">
      <c r="BR132" s="663"/>
      <c r="BS132" s="663"/>
      <c r="BU132" s="4"/>
      <c r="BV132" s="4"/>
    </row>
    <row r="133" spans="70:74" ht="27" customHeight="1" x14ac:dyDescent="0.25">
      <c r="BR133" s="663"/>
      <c r="BS133" s="663"/>
      <c r="BU133" s="4"/>
      <c r="BV133" s="4"/>
    </row>
    <row r="134" spans="70:74" ht="27" customHeight="1" x14ac:dyDescent="0.25">
      <c r="BR134" s="663"/>
      <c r="BS134" s="663"/>
      <c r="BU134" s="4"/>
      <c r="BV134" s="4"/>
    </row>
    <row r="135" spans="70:74" ht="27" customHeight="1" x14ac:dyDescent="0.25">
      <c r="BR135" s="663"/>
      <c r="BS135" s="663"/>
      <c r="BU135" s="4"/>
      <c r="BV135" s="4"/>
    </row>
    <row r="136" spans="70:74" ht="27" customHeight="1" x14ac:dyDescent="0.25">
      <c r="BR136" s="663"/>
      <c r="BS136" s="663"/>
      <c r="BU136" s="4"/>
      <c r="BV136" s="4"/>
    </row>
    <row r="137" spans="70:74" ht="27" customHeight="1" x14ac:dyDescent="0.25">
      <c r="BR137" s="663"/>
      <c r="BS137" s="663"/>
      <c r="BU137" s="4"/>
      <c r="BV137" s="4"/>
    </row>
    <row r="138" spans="70:74" ht="27" customHeight="1" x14ac:dyDescent="0.25">
      <c r="BR138" s="663"/>
      <c r="BS138" s="663"/>
      <c r="BU138" s="4"/>
      <c r="BV138" s="4"/>
    </row>
    <row r="139" spans="70:74" ht="27" customHeight="1" x14ac:dyDescent="0.25">
      <c r="BR139" s="663"/>
      <c r="BS139" s="663"/>
      <c r="BU139" s="4"/>
      <c r="BV139" s="4"/>
    </row>
    <row r="140" spans="70:74" ht="27" customHeight="1" x14ac:dyDescent="0.25">
      <c r="BR140" s="663"/>
      <c r="BS140" s="663"/>
      <c r="BU140" s="4"/>
      <c r="BV140" s="4"/>
    </row>
    <row r="141" spans="70:74" ht="27" customHeight="1" x14ac:dyDescent="0.25">
      <c r="BR141" s="663"/>
      <c r="BS141" s="663"/>
      <c r="BU141" s="4"/>
      <c r="BV141" s="4"/>
    </row>
    <row r="142" spans="70:74" ht="27" customHeight="1" x14ac:dyDescent="0.25">
      <c r="BR142" s="663"/>
      <c r="BS142" s="663"/>
      <c r="BU142" s="4"/>
      <c r="BV142" s="4"/>
    </row>
    <row r="143" spans="70:74" ht="27" customHeight="1" x14ac:dyDescent="0.25">
      <c r="BR143" s="663"/>
      <c r="BS143" s="663"/>
      <c r="BU143" s="4"/>
      <c r="BV143" s="4"/>
    </row>
    <row r="144" spans="70:74" ht="27" customHeight="1" x14ac:dyDescent="0.25">
      <c r="BR144" s="663"/>
      <c r="BS144" s="663"/>
      <c r="BU144" s="4"/>
      <c r="BV144" s="4"/>
    </row>
    <row r="145" spans="70:74" ht="27" customHeight="1" x14ac:dyDescent="0.25">
      <c r="BR145" s="663"/>
      <c r="BS145" s="663"/>
      <c r="BU145" s="4"/>
      <c r="BV145" s="4"/>
    </row>
    <row r="146" spans="70:74" ht="27" customHeight="1" x14ac:dyDescent="0.25">
      <c r="BR146" s="663"/>
      <c r="BS146" s="663"/>
      <c r="BU146" s="4"/>
      <c r="BV146" s="4"/>
    </row>
    <row r="147" spans="70:74" ht="27" customHeight="1" x14ac:dyDescent="0.25">
      <c r="BR147" s="663"/>
      <c r="BS147" s="663"/>
      <c r="BU147" s="4"/>
      <c r="BV147" s="4"/>
    </row>
    <row r="148" spans="70:74" ht="27" customHeight="1" x14ac:dyDescent="0.25">
      <c r="BR148" s="663"/>
      <c r="BS148" s="663"/>
      <c r="BU148" s="4"/>
      <c r="BV148" s="4"/>
    </row>
    <row r="149" spans="70:74" ht="27" customHeight="1" x14ac:dyDescent="0.25">
      <c r="BR149" s="663"/>
      <c r="BS149" s="663"/>
      <c r="BU149" s="4"/>
      <c r="BV149" s="4"/>
    </row>
    <row r="150" spans="70:74" ht="27" customHeight="1" x14ac:dyDescent="0.25">
      <c r="BR150" s="663"/>
      <c r="BS150" s="663"/>
      <c r="BU150" s="4"/>
      <c r="BV150" s="4"/>
    </row>
    <row r="151" spans="70:74" ht="27" customHeight="1" x14ac:dyDescent="0.25">
      <c r="BR151" s="663"/>
      <c r="BS151" s="663"/>
      <c r="BU151" s="4"/>
      <c r="BV151" s="4"/>
    </row>
    <row r="152" spans="70:74" ht="27" customHeight="1" x14ac:dyDescent="0.25">
      <c r="BR152" s="663"/>
      <c r="BS152" s="663"/>
      <c r="BU152" s="4"/>
      <c r="BV152" s="4"/>
    </row>
    <row r="153" spans="70:74" ht="27" customHeight="1" x14ac:dyDescent="0.25">
      <c r="BR153" s="663"/>
      <c r="BS153" s="663"/>
      <c r="BU153" s="4"/>
      <c r="BV153" s="4"/>
    </row>
    <row r="154" spans="70:74" ht="27" customHeight="1" x14ac:dyDescent="0.25">
      <c r="BR154" s="663"/>
      <c r="BS154" s="663"/>
      <c r="BU154" s="4"/>
      <c r="BV154" s="4"/>
    </row>
    <row r="155" spans="70:74" ht="27" customHeight="1" x14ac:dyDescent="0.25">
      <c r="BR155" s="663"/>
      <c r="BS155" s="663"/>
      <c r="BU155" s="4"/>
      <c r="BV155" s="4"/>
    </row>
    <row r="156" spans="70:74" ht="27" customHeight="1" x14ac:dyDescent="0.25">
      <c r="BR156" s="663"/>
      <c r="BS156" s="663"/>
      <c r="BU156" s="4"/>
      <c r="BV156" s="4"/>
    </row>
    <row r="157" spans="70:74" ht="27" customHeight="1" x14ac:dyDescent="0.25">
      <c r="BR157" s="663"/>
      <c r="BS157" s="663"/>
      <c r="BU157" s="4"/>
      <c r="BV157" s="4"/>
    </row>
    <row r="158" spans="70:74" ht="27" customHeight="1" x14ac:dyDescent="0.25">
      <c r="BR158" s="663"/>
      <c r="BS158" s="663"/>
      <c r="BU158" s="4"/>
      <c r="BV158" s="4"/>
    </row>
    <row r="159" spans="70:74" ht="27" customHeight="1" x14ac:dyDescent="0.25">
      <c r="BR159" s="663"/>
      <c r="BS159" s="663"/>
      <c r="BU159" s="4"/>
      <c r="BV159" s="4"/>
    </row>
    <row r="160" spans="70:74" ht="27" customHeight="1" x14ac:dyDescent="0.25">
      <c r="BR160" s="663"/>
      <c r="BS160" s="663"/>
      <c r="BU160" s="4"/>
      <c r="BV160" s="4"/>
    </row>
    <row r="161" spans="70:74" ht="27" customHeight="1" x14ac:dyDescent="0.25">
      <c r="BR161" s="663"/>
      <c r="BS161" s="663"/>
      <c r="BU161" s="4"/>
      <c r="BV161" s="4"/>
    </row>
    <row r="162" spans="70:74" ht="27" customHeight="1" x14ac:dyDescent="0.25">
      <c r="BR162" s="663"/>
      <c r="BS162" s="663"/>
      <c r="BU162" s="4"/>
      <c r="BV162" s="4"/>
    </row>
    <row r="163" spans="70:74" ht="27" customHeight="1" x14ac:dyDescent="0.25">
      <c r="BR163" s="663"/>
      <c r="BS163" s="663"/>
      <c r="BU163" s="4"/>
      <c r="BV163" s="4"/>
    </row>
    <row r="164" spans="70:74" ht="27" customHeight="1" x14ac:dyDescent="0.25">
      <c r="BR164" s="663"/>
      <c r="BS164" s="663"/>
      <c r="BU164" s="4"/>
      <c r="BV164" s="4"/>
    </row>
    <row r="165" spans="70:74" ht="27" customHeight="1" x14ac:dyDescent="0.25">
      <c r="BR165" s="663"/>
      <c r="BS165" s="663"/>
      <c r="BU165" s="4"/>
      <c r="BV165" s="4"/>
    </row>
    <row r="166" spans="70:74" ht="27" customHeight="1" x14ac:dyDescent="0.25">
      <c r="BR166" s="663"/>
      <c r="BS166" s="663"/>
      <c r="BU166" s="4"/>
      <c r="BV166" s="4"/>
    </row>
    <row r="167" spans="70:74" ht="27" customHeight="1" x14ac:dyDescent="0.25">
      <c r="BR167" s="663"/>
      <c r="BS167" s="663"/>
      <c r="BU167" s="4"/>
      <c r="BV167" s="4"/>
    </row>
    <row r="168" spans="70:74" ht="27" customHeight="1" x14ac:dyDescent="0.25">
      <c r="BR168" s="663"/>
      <c r="BS168" s="663"/>
      <c r="BU168" s="4"/>
      <c r="BV168" s="4"/>
    </row>
    <row r="169" spans="70:74" ht="27" customHeight="1" x14ac:dyDescent="0.25">
      <c r="BR169" s="663"/>
      <c r="BS169" s="663"/>
      <c r="BU169" s="4"/>
      <c r="BV169" s="4"/>
    </row>
    <row r="170" spans="70:74" ht="27" customHeight="1" x14ac:dyDescent="0.25">
      <c r="BR170" s="663"/>
      <c r="BS170" s="663"/>
      <c r="BU170" s="4"/>
      <c r="BV170" s="4"/>
    </row>
    <row r="171" spans="70:74" ht="27" customHeight="1" x14ac:dyDescent="0.25">
      <c r="BR171" s="663"/>
      <c r="BS171" s="663"/>
      <c r="BU171" s="4"/>
      <c r="BV171" s="4"/>
    </row>
    <row r="172" spans="70:74" ht="27" customHeight="1" x14ac:dyDescent="0.25">
      <c r="BR172" s="663"/>
      <c r="BS172" s="663"/>
      <c r="BU172" s="4"/>
      <c r="BV172" s="4"/>
    </row>
    <row r="173" spans="70:74" ht="27" customHeight="1" x14ac:dyDescent="0.25">
      <c r="BR173" s="663"/>
      <c r="BS173" s="663"/>
      <c r="BU173" s="4"/>
      <c r="BV173" s="4"/>
    </row>
    <row r="174" spans="70:74" ht="27" customHeight="1" x14ac:dyDescent="0.25">
      <c r="BR174" s="663"/>
      <c r="BS174" s="663"/>
      <c r="BU174" s="4"/>
      <c r="BV174" s="4"/>
    </row>
    <row r="175" spans="70:74" ht="27" customHeight="1" x14ac:dyDescent="0.25">
      <c r="BR175" s="663"/>
      <c r="BS175" s="663"/>
      <c r="BU175" s="4"/>
      <c r="BV175" s="4"/>
    </row>
    <row r="176" spans="70:74" ht="27" customHeight="1" x14ac:dyDescent="0.25">
      <c r="BR176" s="663"/>
      <c r="BS176" s="663"/>
      <c r="BU176" s="4"/>
      <c r="BV176" s="4"/>
    </row>
    <row r="177" spans="70:74" ht="27" customHeight="1" x14ac:dyDescent="0.25">
      <c r="BR177" s="663"/>
      <c r="BS177" s="663"/>
      <c r="BU177" s="4"/>
      <c r="BV177" s="4"/>
    </row>
    <row r="178" spans="70:74" ht="27" customHeight="1" x14ac:dyDescent="0.25">
      <c r="BR178" s="663"/>
      <c r="BS178" s="663"/>
      <c r="BU178" s="4"/>
      <c r="BV178" s="4"/>
    </row>
    <row r="179" spans="70:74" ht="27" customHeight="1" x14ac:dyDescent="0.25">
      <c r="BR179" s="663"/>
      <c r="BS179" s="663"/>
      <c r="BU179" s="4"/>
      <c r="BV179" s="4"/>
    </row>
    <row r="180" spans="70:74" ht="27" customHeight="1" x14ac:dyDescent="0.25">
      <c r="BR180" s="663"/>
      <c r="BS180" s="663"/>
      <c r="BU180" s="4"/>
      <c r="BV180" s="4"/>
    </row>
    <row r="181" spans="70:74" ht="27" customHeight="1" x14ac:dyDescent="0.25">
      <c r="BR181" s="663"/>
      <c r="BS181" s="663"/>
      <c r="BU181" s="4"/>
      <c r="BV181" s="4"/>
    </row>
    <row r="182" spans="70:74" ht="27" customHeight="1" x14ac:dyDescent="0.25">
      <c r="BR182" s="663"/>
      <c r="BS182" s="663"/>
      <c r="BU182" s="4"/>
      <c r="BV182" s="4"/>
    </row>
    <row r="183" spans="70:74" ht="27" customHeight="1" x14ac:dyDescent="0.25">
      <c r="BR183" s="663"/>
      <c r="BS183" s="663"/>
      <c r="BU183" s="4"/>
      <c r="BV183" s="4"/>
    </row>
    <row r="184" spans="70:74" ht="27" customHeight="1" x14ac:dyDescent="0.25">
      <c r="BR184" s="663"/>
      <c r="BS184" s="663"/>
      <c r="BU184" s="4"/>
      <c r="BV184" s="4"/>
    </row>
    <row r="185" spans="70:74" ht="27" customHeight="1" x14ac:dyDescent="0.25">
      <c r="BR185" s="663"/>
      <c r="BS185" s="663"/>
      <c r="BU185" s="4"/>
      <c r="BV185" s="4"/>
    </row>
    <row r="186" spans="70:74" ht="27" customHeight="1" x14ac:dyDescent="0.25">
      <c r="BR186" s="663"/>
      <c r="BS186" s="663"/>
      <c r="BU186" s="4"/>
      <c r="BV186" s="4"/>
    </row>
    <row r="187" spans="70:74" ht="27" customHeight="1" x14ac:dyDescent="0.25">
      <c r="BR187" s="663"/>
      <c r="BS187" s="663"/>
      <c r="BU187" s="4"/>
      <c r="BV187" s="4"/>
    </row>
    <row r="188" spans="70:74" ht="27" customHeight="1" x14ac:dyDescent="0.25">
      <c r="BR188" s="663"/>
      <c r="BS188" s="663"/>
      <c r="BU188" s="4"/>
      <c r="BV188" s="4"/>
    </row>
    <row r="189" spans="70:74" ht="27" customHeight="1" x14ac:dyDescent="0.25">
      <c r="BR189" s="663"/>
      <c r="BS189" s="663"/>
      <c r="BU189" s="4"/>
      <c r="BV189" s="4"/>
    </row>
    <row r="190" spans="70:74" ht="27" customHeight="1" x14ac:dyDescent="0.25">
      <c r="BR190" s="663"/>
      <c r="BS190" s="663"/>
      <c r="BU190" s="4"/>
      <c r="BV190" s="4"/>
    </row>
    <row r="191" spans="70:74" ht="27" customHeight="1" x14ac:dyDescent="0.25">
      <c r="BR191" s="663"/>
      <c r="BS191" s="663"/>
      <c r="BU191" s="4"/>
      <c r="BV191" s="4"/>
    </row>
    <row r="192" spans="70:74" ht="27" customHeight="1" x14ac:dyDescent="0.25">
      <c r="BR192" s="663"/>
      <c r="BS192" s="663"/>
      <c r="BU192" s="4"/>
      <c r="BV192" s="4"/>
    </row>
    <row r="193" spans="70:74" ht="27" customHeight="1" x14ac:dyDescent="0.25">
      <c r="BR193" s="663"/>
      <c r="BS193" s="663"/>
      <c r="BU193" s="4"/>
      <c r="BV193" s="4"/>
    </row>
    <row r="194" spans="70:74" ht="27" customHeight="1" x14ac:dyDescent="0.25">
      <c r="BR194" s="663"/>
      <c r="BS194" s="663"/>
      <c r="BU194" s="4"/>
      <c r="BV194" s="4"/>
    </row>
    <row r="195" spans="70:74" ht="27" customHeight="1" x14ac:dyDescent="0.25">
      <c r="BR195" s="663"/>
      <c r="BS195" s="663"/>
      <c r="BU195" s="4"/>
      <c r="BV195" s="4"/>
    </row>
    <row r="196" spans="70:74" ht="27" customHeight="1" x14ac:dyDescent="0.25">
      <c r="BR196" s="663"/>
      <c r="BS196" s="663"/>
      <c r="BU196" s="4"/>
      <c r="BV196" s="4"/>
    </row>
    <row r="197" spans="70:74" ht="27" customHeight="1" x14ac:dyDescent="0.25">
      <c r="BR197" s="663"/>
      <c r="BS197" s="663"/>
      <c r="BU197" s="4"/>
      <c r="BV197" s="4"/>
    </row>
    <row r="198" spans="70:74" ht="27" customHeight="1" x14ac:dyDescent="0.25">
      <c r="BR198" s="663"/>
      <c r="BS198" s="663"/>
      <c r="BU198" s="4"/>
      <c r="BV198" s="4"/>
    </row>
    <row r="199" spans="70:74" ht="27" customHeight="1" x14ac:dyDescent="0.25">
      <c r="BR199" s="663"/>
      <c r="BS199" s="663"/>
      <c r="BU199" s="4"/>
      <c r="BV199" s="4"/>
    </row>
    <row r="200" spans="70:74" ht="27" customHeight="1" x14ac:dyDescent="0.25">
      <c r="BR200" s="663"/>
      <c r="BS200" s="663"/>
      <c r="BU200" s="4"/>
      <c r="BV200" s="4"/>
    </row>
    <row r="201" spans="70:74" ht="27" customHeight="1" x14ac:dyDescent="0.25">
      <c r="BR201" s="663"/>
      <c r="BS201" s="663"/>
      <c r="BU201" s="4"/>
      <c r="BV201" s="4"/>
    </row>
    <row r="202" spans="70:74" ht="27" customHeight="1" x14ac:dyDescent="0.25">
      <c r="BR202" s="663"/>
      <c r="BS202" s="663"/>
      <c r="BU202" s="4"/>
      <c r="BV202" s="4"/>
    </row>
    <row r="203" spans="70:74" ht="27" customHeight="1" x14ac:dyDescent="0.25">
      <c r="BR203" s="663"/>
      <c r="BS203" s="663"/>
      <c r="BU203" s="4"/>
      <c r="BV203" s="4"/>
    </row>
    <row r="204" spans="70:74" ht="27" customHeight="1" x14ac:dyDescent="0.25">
      <c r="BR204" s="663"/>
      <c r="BS204" s="663"/>
      <c r="BU204" s="4"/>
      <c r="BV204" s="4"/>
    </row>
    <row r="205" spans="70:74" ht="27" customHeight="1" x14ac:dyDescent="0.25">
      <c r="BR205" s="663"/>
      <c r="BS205" s="663"/>
      <c r="BU205" s="4"/>
      <c r="BV205" s="4"/>
    </row>
    <row r="206" spans="70:74" ht="27" customHeight="1" x14ac:dyDescent="0.25">
      <c r="BR206" s="663"/>
      <c r="BS206" s="663"/>
      <c r="BU206" s="4"/>
      <c r="BV206" s="4"/>
    </row>
    <row r="207" spans="70:74" ht="27" customHeight="1" x14ac:dyDescent="0.25">
      <c r="BR207" s="663"/>
      <c r="BS207" s="663"/>
      <c r="BU207" s="4"/>
      <c r="BV207" s="4"/>
    </row>
    <row r="208" spans="70:74" ht="27" customHeight="1" x14ac:dyDescent="0.25">
      <c r="BR208" s="663"/>
      <c r="BS208" s="663"/>
      <c r="BU208" s="4"/>
      <c r="BV208" s="4"/>
    </row>
    <row r="209" spans="70:74" ht="27" customHeight="1" x14ac:dyDescent="0.25">
      <c r="BR209" s="663"/>
      <c r="BS209" s="663"/>
      <c r="BU209" s="4"/>
      <c r="BV209" s="4"/>
    </row>
    <row r="210" spans="70:74" ht="27" customHeight="1" x14ac:dyDescent="0.25">
      <c r="BR210" s="663"/>
      <c r="BS210" s="663"/>
      <c r="BU210" s="4"/>
      <c r="BV210" s="4"/>
    </row>
    <row r="211" spans="70:74" ht="27" customHeight="1" x14ac:dyDescent="0.25">
      <c r="BR211" s="663"/>
      <c r="BS211" s="663"/>
      <c r="BU211" s="4"/>
      <c r="BV211" s="4"/>
    </row>
    <row r="212" spans="70:74" ht="27" customHeight="1" x14ac:dyDescent="0.25">
      <c r="BR212" s="663"/>
      <c r="BS212" s="663"/>
      <c r="BU212" s="4"/>
      <c r="BV212" s="4"/>
    </row>
    <row r="213" spans="70:74" ht="27" customHeight="1" x14ac:dyDescent="0.25">
      <c r="BR213" s="663"/>
      <c r="BS213" s="663"/>
      <c r="BU213" s="4"/>
      <c r="BV213" s="4"/>
    </row>
    <row r="214" spans="70:74" ht="27" customHeight="1" x14ac:dyDescent="0.25">
      <c r="BR214" s="663"/>
      <c r="BS214" s="663"/>
      <c r="BU214" s="4"/>
      <c r="BV214" s="4"/>
    </row>
    <row r="215" spans="70:74" ht="27" customHeight="1" x14ac:dyDescent="0.25">
      <c r="BR215" s="663"/>
      <c r="BS215" s="663"/>
      <c r="BU215" s="4"/>
      <c r="BV215" s="4"/>
    </row>
    <row r="216" spans="70:74" ht="27" customHeight="1" x14ac:dyDescent="0.25">
      <c r="BR216" s="663"/>
      <c r="BS216" s="663"/>
      <c r="BU216" s="4"/>
      <c r="BV216" s="4"/>
    </row>
    <row r="217" spans="70:74" ht="27" customHeight="1" x14ac:dyDescent="0.25">
      <c r="BR217" s="663"/>
      <c r="BS217" s="663"/>
      <c r="BU217" s="4"/>
      <c r="BV217" s="4"/>
    </row>
    <row r="218" spans="70:74" ht="27" customHeight="1" x14ac:dyDescent="0.25">
      <c r="BR218" s="663"/>
      <c r="BS218" s="663"/>
      <c r="BU218" s="4"/>
      <c r="BV218" s="4"/>
    </row>
    <row r="219" spans="70:74" ht="27" customHeight="1" x14ac:dyDescent="0.25">
      <c r="BR219" s="663"/>
      <c r="BS219" s="663"/>
      <c r="BU219" s="4"/>
      <c r="BV219" s="4"/>
    </row>
    <row r="220" spans="70:74" ht="27" customHeight="1" x14ac:dyDescent="0.25">
      <c r="BR220" s="663"/>
      <c r="BS220" s="663"/>
      <c r="BU220" s="4"/>
      <c r="BV220" s="4"/>
    </row>
    <row r="221" spans="70:74" ht="27" customHeight="1" x14ac:dyDescent="0.25">
      <c r="BR221" s="663"/>
      <c r="BS221" s="663"/>
      <c r="BU221" s="4"/>
      <c r="BV221" s="4"/>
    </row>
    <row r="222" spans="70:74" ht="27" customHeight="1" x14ac:dyDescent="0.25">
      <c r="BR222" s="663"/>
      <c r="BS222" s="663"/>
      <c r="BU222" s="4"/>
      <c r="BV222" s="4"/>
    </row>
    <row r="223" spans="70:74" ht="27" customHeight="1" x14ac:dyDescent="0.25">
      <c r="BR223" s="663"/>
      <c r="BS223" s="663"/>
      <c r="BU223" s="4"/>
      <c r="BV223" s="4"/>
    </row>
    <row r="224" spans="70:74" ht="27" customHeight="1" x14ac:dyDescent="0.25">
      <c r="BR224" s="663"/>
      <c r="BS224" s="663"/>
      <c r="BU224" s="4"/>
      <c r="BV224" s="4"/>
    </row>
    <row r="225" spans="70:74" ht="27" customHeight="1" x14ac:dyDescent="0.25">
      <c r="BR225" s="663"/>
      <c r="BS225" s="663"/>
      <c r="BU225" s="4"/>
      <c r="BV225" s="4"/>
    </row>
    <row r="226" spans="70:74" ht="27" customHeight="1" x14ac:dyDescent="0.25">
      <c r="BR226" s="663"/>
      <c r="BS226" s="663"/>
      <c r="BU226" s="4"/>
      <c r="BV226" s="4"/>
    </row>
    <row r="227" spans="70:74" ht="27" customHeight="1" x14ac:dyDescent="0.25">
      <c r="BR227" s="663"/>
      <c r="BS227" s="663"/>
      <c r="BU227" s="4"/>
      <c r="BV227" s="4"/>
    </row>
    <row r="228" spans="70:74" ht="27" customHeight="1" x14ac:dyDescent="0.25">
      <c r="BR228" s="663"/>
      <c r="BS228" s="663"/>
      <c r="BU228" s="4"/>
      <c r="BV228" s="4"/>
    </row>
    <row r="229" spans="70:74" ht="27" customHeight="1" x14ac:dyDescent="0.25">
      <c r="BR229" s="663"/>
      <c r="BS229" s="663"/>
      <c r="BU229" s="4"/>
      <c r="BV229" s="4"/>
    </row>
    <row r="230" spans="70:74" ht="27" customHeight="1" x14ac:dyDescent="0.25">
      <c r="BR230" s="663"/>
      <c r="BS230" s="663"/>
      <c r="BU230" s="4"/>
      <c r="BV230" s="4"/>
    </row>
    <row r="231" spans="70:74" ht="27" customHeight="1" x14ac:dyDescent="0.25">
      <c r="BR231" s="663"/>
      <c r="BS231" s="663"/>
      <c r="BU231" s="4"/>
      <c r="BV231" s="4"/>
    </row>
    <row r="232" spans="70:74" ht="27" customHeight="1" x14ac:dyDescent="0.25">
      <c r="BR232" s="663"/>
      <c r="BS232" s="663"/>
      <c r="BU232" s="4"/>
      <c r="BV232" s="4"/>
    </row>
    <row r="233" spans="70:74" ht="27" customHeight="1" x14ac:dyDescent="0.25">
      <c r="BR233" s="663"/>
      <c r="BS233" s="663"/>
      <c r="BU233" s="4"/>
      <c r="BV233" s="4"/>
    </row>
    <row r="234" spans="70:74" ht="27" customHeight="1" x14ac:dyDescent="0.25">
      <c r="BR234" s="663"/>
      <c r="BS234" s="663"/>
      <c r="BU234" s="4"/>
      <c r="BV234" s="4"/>
    </row>
    <row r="235" spans="70:74" ht="27" customHeight="1" x14ac:dyDescent="0.25">
      <c r="BR235" s="663"/>
      <c r="BS235" s="663"/>
      <c r="BU235" s="4"/>
      <c r="BV235" s="4"/>
    </row>
    <row r="236" spans="70:74" ht="27" customHeight="1" x14ac:dyDescent="0.25">
      <c r="BR236" s="663"/>
      <c r="BS236" s="663"/>
      <c r="BU236" s="4"/>
      <c r="BV236" s="4"/>
    </row>
    <row r="237" spans="70:74" ht="27" customHeight="1" x14ac:dyDescent="0.25">
      <c r="BR237" s="663"/>
      <c r="BS237" s="663"/>
      <c r="BU237" s="4"/>
      <c r="BV237" s="4"/>
    </row>
    <row r="238" spans="70:74" ht="27" customHeight="1" x14ac:dyDescent="0.25">
      <c r="BR238" s="663"/>
      <c r="BS238" s="663"/>
      <c r="BU238" s="4"/>
      <c r="BV238" s="4"/>
    </row>
    <row r="239" spans="70:74" ht="27" customHeight="1" x14ac:dyDescent="0.25">
      <c r="BR239" s="663"/>
      <c r="BS239" s="663"/>
      <c r="BU239" s="4"/>
      <c r="BV239" s="4"/>
    </row>
    <row r="240" spans="70:74" ht="27" customHeight="1" x14ac:dyDescent="0.25">
      <c r="BR240" s="663"/>
      <c r="BS240" s="663"/>
      <c r="BU240" s="4"/>
      <c r="BV240" s="4"/>
    </row>
    <row r="241" spans="70:74" ht="27" customHeight="1" x14ac:dyDescent="0.25">
      <c r="BR241" s="663"/>
      <c r="BS241" s="663"/>
      <c r="BU241" s="4"/>
      <c r="BV241" s="4"/>
    </row>
    <row r="242" spans="70:74" ht="27" customHeight="1" x14ac:dyDescent="0.25">
      <c r="BR242" s="663"/>
      <c r="BS242" s="663"/>
      <c r="BU242" s="4"/>
      <c r="BV242" s="4"/>
    </row>
    <row r="243" spans="70:74" ht="27" customHeight="1" x14ac:dyDescent="0.25">
      <c r="BR243" s="663"/>
      <c r="BS243" s="663"/>
      <c r="BU243" s="4"/>
      <c r="BV243" s="4"/>
    </row>
    <row r="244" spans="70:74" ht="27" customHeight="1" x14ac:dyDescent="0.25">
      <c r="BR244" s="663"/>
      <c r="BS244" s="663"/>
      <c r="BU244" s="4"/>
      <c r="BV244" s="4"/>
    </row>
    <row r="245" spans="70:74" ht="27" customHeight="1" x14ac:dyDescent="0.25">
      <c r="BR245" s="663"/>
      <c r="BS245" s="663"/>
      <c r="BU245" s="4"/>
      <c r="BV245" s="4"/>
    </row>
    <row r="246" spans="70:74" ht="27" customHeight="1" x14ac:dyDescent="0.25">
      <c r="BR246" s="663"/>
      <c r="BS246" s="663"/>
      <c r="BU246" s="4"/>
      <c r="BV246" s="4"/>
    </row>
    <row r="247" spans="70:74" ht="27" customHeight="1" x14ac:dyDescent="0.25">
      <c r="BR247" s="663"/>
      <c r="BS247" s="663"/>
      <c r="BU247" s="4"/>
      <c r="BV247" s="4"/>
    </row>
    <row r="248" spans="70:74" ht="27" customHeight="1" x14ac:dyDescent="0.25">
      <c r="BR248" s="663"/>
      <c r="BS248" s="663"/>
      <c r="BU248" s="4"/>
      <c r="BV248" s="4"/>
    </row>
    <row r="249" spans="70:74" ht="27" customHeight="1" x14ac:dyDescent="0.25">
      <c r="BR249" s="663"/>
      <c r="BS249" s="663"/>
      <c r="BU249" s="4"/>
      <c r="BV249" s="4"/>
    </row>
    <row r="250" spans="70:74" ht="27" customHeight="1" x14ac:dyDescent="0.25">
      <c r="BR250" s="663"/>
      <c r="BS250" s="663"/>
      <c r="BU250" s="4"/>
      <c r="BV250" s="4"/>
    </row>
    <row r="251" spans="70:74" ht="27" customHeight="1" x14ac:dyDescent="0.25">
      <c r="BR251" s="663"/>
      <c r="BS251" s="663"/>
      <c r="BU251" s="4"/>
      <c r="BV251" s="4"/>
    </row>
    <row r="252" spans="70:74" ht="27" customHeight="1" x14ac:dyDescent="0.25">
      <c r="BR252" s="663"/>
      <c r="BS252" s="663"/>
      <c r="BU252" s="4"/>
      <c r="BV252" s="4"/>
    </row>
    <row r="253" spans="70:74" ht="27" customHeight="1" x14ac:dyDescent="0.25">
      <c r="BR253" s="663"/>
      <c r="BS253" s="663"/>
      <c r="BU253" s="4"/>
      <c r="BV253" s="4"/>
    </row>
    <row r="254" spans="70:74" ht="27" customHeight="1" x14ac:dyDescent="0.25">
      <c r="BR254" s="663"/>
      <c r="BS254" s="663"/>
      <c r="BU254" s="4"/>
      <c r="BV254" s="4"/>
    </row>
    <row r="255" spans="70:74" ht="27" customHeight="1" x14ac:dyDescent="0.25">
      <c r="BR255" s="663"/>
      <c r="BS255" s="663"/>
      <c r="BU255" s="4"/>
      <c r="BV255" s="4"/>
    </row>
    <row r="256" spans="70:74" ht="27" customHeight="1" x14ac:dyDescent="0.25">
      <c r="BR256" s="663"/>
      <c r="BS256" s="663"/>
      <c r="BU256" s="4"/>
      <c r="BV256" s="4"/>
    </row>
    <row r="257" spans="70:74" ht="27" customHeight="1" x14ac:dyDescent="0.25">
      <c r="BR257" s="663"/>
      <c r="BS257" s="663"/>
      <c r="BU257" s="4"/>
      <c r="BV257" s="4"/>
    </row>
    <row r="258" spans="70:74" ht="27" customHeight="1" x14ac:dyDescent="0.25">
      <c r="BR258" s="663"/>
      <c r="BS258" s="663"/>
      <c r="BU258" s="4"/>
      <c r="BV258" s="4"/>
    </row>
    <row r="259" spans="70:74" ht="27" customHeight="1" x14ac:dyDescent="0.25">
      <c r="BR259" s="663"/>
      <c r="BS259" s="663"/>
      <c r="BU259" s="4"/>
      <c r="BV259" s="4"/>
    </row>
    <row r="260" spans="70:74" ht="27" customHeight="1" x14ac:dyDescent="0.25">
      <c r="BR260" s="663"/>
      <c r="BS260" s="663"/>
      <c r="BU260" s="4"/>
      <c r="BV260" s="4"/>
    </row>
    <row r="261" spans="70:74" ht="27" customHeight="1" x14ac:dyDescent="0.25">
      <c r="BR261" s="663"/>
      <c r="BS261" s="663"/>
      <c r="BU261" s="4"/>
      <c r="BV261" s="4"/>
    </row>
    <row r="262" spans="70:74" ht="27" customHeight="1" x14ac:dyDescent="0.25">
      <c r="BR262" s="663"/>
      <c r="BS262" s="663"/>
      <c r="BU262" s="4"/>
      <c r="BV262" s="4"/>
    </row>
    <row r="263" spans="70:74" ht="27" customHeight="1" x14ac:dyDescent="0.25">
      <c r="BR263" s="663"/>
      <c r="BS263" s="663"/>
      <c r="BU263" s="4"/>
      <c r="BV263" s="4"/>
    </row>
    <row r="264" spans="70:74" ht="27" customHeight="1" x14ac:dyDescent="0.25">
      <c r="BR264" s="663"/>
      <c r="BS264" s="663"/>
      <c r="BU264" s="4"/>
      <c r="BV264" s="4"/>
    </row>
    <row r="265" spans="70:74" ht="27" customHeight="1" x14ac:dyDescent="0.25">
      <c r="BR265" s="663"/>
      <c r="BS265" s="663"/>
      <c r="BU265" s="4"/>
      <c r="BV265" s="4"/>
    </row>
    <row r="266" spans="70:74" ht="27" customHeight="1" x14ac:dyDescent="0.25">
      <c r="BR266" s="663"/>
      <c r="BS266" s="663"/>
      <c r="BU266" s="4"/>
      <c r="BV266" s="4"/>
    </row>
    <row r="267" spans="70:74" ht="27" customHeight="1" x14ac:dyDescent="0.25">
      <c r="BR267" s="663"/>
      <c r="BS267" s="663"/>
      <c r="BU267" s="4"/>
      <c r="BV267" s="4"/>
    </row>
    <row r="268" spans="70:74" ht="27" customHeight="1" x14ac:dyDescent="0.25">
      <c r="BR268" s="663"/>
      <c r="BS268" s="663"/>
      <c r="BU268" s="4"/>
      <c r="BV268" s="4"/>
    </row>
    <row r="269" spans="70:74" ht="27" customHeight="1" x14ac:dyDescent="0.25">
      <c r="BR269" s="663"/>
      <c r="BS269" s="663"/>
      <c r="BU269" s="4"/>
      <c r="BV269" s="4"/>
    </row>
    <row r="270" spans="70:74" ht="27" customHeight="1" x14ac:dyDescent="0.25">
      <c r="BR270" s="663"/>
      <c r="BS270" s="663"/>
      <c r="BU270" s="4"/>
      <c r="BV270" s="4"/>
    </row>
    <row r="271" spans="70:74" ht="27" customHeight="1" x14ac:dyDescent="0.25">
      <c r="BR271" s="663"/>
      <c r="BS271" s="663"/>
      <c r="BU271" s="4"/>
      <c r="BV271" s="4"/>
    </row>
    <row r="272" spans="70:74" ht="27" customHeight="1" x14ac:dyDescent="0.25">
      <c r="BR272" s="663"/>
      <c r="BS272" s="663"/>
      <c r="BU272" s="4"/>
      <c r="BV272" s="4"/>
    </row>
    <row r="273" spans="70:74" ht="27" customHeight="1" x14ac:dyDescent="0.25">
      <c r="BR273" s="663"/>
      <c r="BS273" s="663"/>
      <c r="BU273" s="4"/>
      <c r="BV273" s="4"/>
    </row>
    <row r="274" spans="70:74" ht="27" customHeight="1" x14ac:dyDescent="0.25">
      <c r="BR274" s="663"/>
      <c r="BS274" s="663"/>
      <c r="BU274" s="4"/>
      <c r="BV274" s="4"/>
    </row>
    <row r="275" spans="70:74" ht="27" customHeight="1" x14ac:dyDescent="0.25">
      <c r="BR275" s="663"/>
      <c r="BS275" s="663"/>
      <c r="BU275" s="4"/>
      <c r="BV275" s="4"/>
    </row>
    <row r="276" spans="70:74" ht="27" customHeight="1" x14ac:dyDescent="0.25">
      <c r="BR276" s="663"/>
      <c r="BS276" s="663"/>
      <c r="BU276" s="4"/>
      <c r="BV276" s="4"/>
    </row>
    <row r="277" spans="70:74" ht="27" customHeight="1" x14ac:dyDescent="0.25">
      <c r="BR277" s="663"/>
      <c r="BS277" s="663"/>
      <c r="BU277" s="4"/>
      <c r="BV277" s="4"/>
    </row>
    <row r="278" spans="70:74" ht="27" customHeight="1" x14ac:dyDescent="0.25">
      <c r="BR278" s="663"/>
      <c r="BS278" s="663"/>
      <c r="BU278" s="4"/>
      <c r="BV278" s="4"/>
    </row>
    <row r="279" spans="70:74" ht="27" customHeight="1" x14ac:dyDescent="0.25">
      <c r="BR279" s="663"/>
      <c r="BS279" s="663"/>
      <c r="BU279" s="4"/>
      <c r="BV279" s="4"/>
    </row>
    <row r="280" spans="70:74" ht="27" customHeight="1" x14ac:dyDescent="0.25">
      <c r="BR280" s="663"/>
      <c r="BS280" s="663"/>
      <c r="BU280" s="4"/>
      <c r="BV280" s="4"/>
    </row>
    <row r="281" spans="70:74" ht="27" customHeight="1" x14ac:dyDescent="0.25">
      <c r="BR281" s="663"/>
      <c r="BS281" s="663"/>
      <c r="BU281" s="4"/>
      <c r="BV281" s="4"/>
    </row>
    <row r="282" spans="70:74" ht="27" customHeight="1" x14ac:dyDescent="0.25">
      <c r="BR282" s="663"/>
      <c r="BS282" s="663"/>
      <c r="BU282" s="4"/>
      <c r="BV282" s="4"/>
    </row>
    <row r="283" spans="70:74" ht="27" customHeight="1" x14ac:dyDescent="0.25">
      <c r="BR283" s="663"/>
      <c r="BS283" s="663"/>
      <c r="BU283" s="4"/>
      <c r="BV283" s="4"/>
    </row>
    <row r="284" spans="70:74" ht="27" customHeight="1" x14ac:dyDescent="0.25">
      <c r="BR284" s="663"/>
      <c r="BS284" s="663"/>
      <c r="BU284" s="4"/>
      <c r="BV284" s="4"/>
    </row>
    <row r="285" spans="70:74" ht="27" customHeight="1" x14ac:dyDescent="0.25">
      <c r="BR285" s="663"/>
      <c r="BS285" s="663"/>
      <c r="BU285" s="4"/>
      <c r="BV285" s="4"/>
    </row>
    <row r="286" spans="70:74" ht="27" customHeight="1" x14ac:dyDescent="0.25">
      <c r="BR286" s="663"/>
      <c r="BS286" s="663"/>
      <c r="BU286" s="4"/>
      <c r="BV286" s="4"/>
    </row>
    <row r="287" spans="70:74" ht="27" customHeight="1" x14ac:dyDescent="0.25">
      <c r="BR287" s="663"/>
      <c r="BS287" s="663"/>
      <c r="BU287" s="4"/>
      <c r="BV287" s="4"/>
    </row>
    <row r="288" spans="70:74" ht="27" customHeight="1" x14ac:dyDescent="0.25">
      <c r="BR288" s="663"/>
      <c r="BS288" s="663"/>
      <c r="BU288" s="4"/>
      <c r="BV288" s="4"/>
    </row>
    <row r="289" spans="70:74" ht="27" customHeight="1" x14ac:dyDescent="0.25">
      <c r="BR289" s="663"/>
      <c r="BS289" s="663"/>
      <c r="BU289" s="4"/>
      <c r="BV289" s="4"/>
    </row>
    <row r="290" spans="70:74" ht="27" customHeight="1" x14ac:dyDescent="0.25">
      <c r="BR290" s="663"/>
      <c r="BS290" s="663"/>
      <c r="BU290" s="4"/>
      <c r="BV290" s="4"/>
    </row>
    <row r="291" spans="70:74" ht="27" customHeight="1" x14ac:dyDescent="0.25">
      <c r="BR291" s="663"/>
      <c r="BS291" s="663"/>
      <c r="BU291" s="4"/>
      <c r="BV291" s="4"/>
    </row>
    <row r="292" spans="70:74" ht="27" customHeight="1" x14ac:dyDescent="0.25">
      <c r="BR292" s="663"/>
      <c r="BS292" s="663"/>
      <c r="BU292" s="4"/>
      <c r="BV292" s="4"/>
    </row>
    <row r="293" spans="70:74" ht="27" customHeight="1" x14ac:dyDescent="0.25">
      <c r="BR293" s="663"/>
      <c r="BS293" s="663"/>
      <c r="BU293" s="4"/>
      <c r="BV293" s="4"/>
    </row>
    <row r="294" spans="70:74" ht="27" customHeight="1" x14ac:dyDescent="0.25">
      <c r="BR294" s="663"/>
      <c r="BS294" s="663"/>
      <c r="BU294" s="4"/>
      <c r="BV294" s="4"/>
    </row>
    <row r="295" spans="70:74" ht="27" customHeight="1" x14ac:dyDescent="0.25">
      <c r="BR295" s="663"/>
      <c r="BS295" s="663"/>
      <c r="BU295" s="4"/>
      <c r="BV295" s="4"/>
    </row>
    <row r="296" spans="70:74" ht="27" customHeight="1" x14ac:dyDescent="0.25">
      <c r="BR296" s="663"/>
      <c r="BS296" s="663"/>
      <c r="BU296" s="4"/>
      <c r="BV296" s="4"/>
    </row>
    <row r="297" spans="70:74" ht="27" customHeight="1" x14ac:dyDescent="0.25">
      <c r="BR297" s="663"/>
      <c r="BS297" s="663"/>
      <c r="BU297" s="4"/>
      <c r="BV297" s="4"/>
    </row>
    <row r="298" spans="70:74" ht="27" customHeight="1" x14ac:dyDescent="0.25">
      <c r="BR298" s="663"/>
      <c r="BS298" s="663"/>
      <c r="BU298" s="4"/>
      <c r="BV298" s="4"/>
    </row>
    <row r="299" spans="70:74" ht="27" customHeight="1" x14ac:dyDescent="0.25">
      <c r="BR299" s="663"/>
      <c r="BS299" s="663"/>
      <c r="BU299" s="4"/>
      <c r="BV299" s="4"/>
    </row>
    <row r="300" spans="70:74" ht="27" customHeight="1" x14ac:dyDescent="0.25">
      <c r="BR300" s="663"/>
      <c r="BS300" s="663"/>
      <c r="BU300" s="4"/>
      <c r="BV300" s="4"/>
    </row>
    <row r="301" spans="70:74" ht="27" customHeight="1" x14ac:dyDescent="0.25">
      <c r="BR301" s="663"/>
      <c r="BS301" s="663"/>
      <c r="BU301" s="4"/>
      <c r="BV301" s="4"/>
    </row>
    <row r="302" spans="70:74" ht="27" customHeight="1" x14ac:dyDescent="0.25">
      <c r="BR302" s="663"/>
      <c r="BS302" s="663"/>
      <c r="BU302" s="4"/>
      <c r="BV302" s="4"/>
    </row>
    <row r="303" spans="70:74" ht="27" customHeight="1" x14ac:dyDescent="0.25">
      <c r="BR303" s="663"/>
      <c r="BS303" s="663"/>
      <c r="BU303" s="4"/>
      <c r="BV303" s="4"/>
    </row>
    <row r="304" spans="70:74" ht="27" customHeight="1" x14ac:dyDescent="0.25">
      <c r="BR304" s="663"/>
      <c r="BS304" s="663"/>
      <c r="BU304" s="4"/>
      <c r="BV304" s="4"/>
    </row>
    <row r="305" spans="70:74" ht="27" customHeight="1" x14ac:dyDescent="0.25">
      <c r="BR305" s="663"/>
      <c r="BS305" s="663"/>
      <c r="BU305" s="4"/>
      <c r="BV305" s="4"/>
    </row>
    <row r="306" spans="70:74" ht="27" customHeight="1" x14ac:dyDescent="0.25">
      <c r="BR306" s="663"/>
      <c r="BS306" s="663"/>
      <c r="BU306" s="4"/>
      <c r="BV306" s="4"/>
    </row>
    <row r="307" spans="70:74" ht="27" customHeight="1" x14ac:dyDescent="0.25">
      <c r="BR307" s="663"/>
      <c r="BS307" s="663"/>
      <c r="BU307" s="4"/>
      <c r="BV307" s="4"/>
    </row>
    <row r="308" spans="70:74" ht="27" customHeight="1" x14ac:dyDescent="0.25">
      <c r="BR308" s="663"/>
      <c r="BS308" s="663"/>
      <c r="BU308" s="4"/>
      <c r="BV308" s="4"/>
    </row>
    <row r="309" spans="70:74" ht="27" customHeight="1" x14ac:dyDescent="0.25">
      <c r="BR309" s="663"/>
      <c r="BS309" s="663"/>
      <c r="BU309" s="4"/>
      <c r="BV309" s="4"/>
    </row>
    <row r="310" spans="70:74" ht="27" customHeight="1" x14ac:dyDescent="0.25">
      <c r="BR310" s="663"/>
      <c r="BS310" s="663"/>
      <c r="BU310" s="4"/>
      <c r="BV310" s="4"/>
    </row>
    <row r="311" spans="70:74" ht="27" customHeight="1" x14ac:dyDescent="0.25">
      <c r="BR311" s="663"/>
      <c r="BS311" s="663"/>
      <c r="BU311" s="4"/>
      <c r="BV311" s="4"/>
    </row>
    <row r="312" spans="70:74" ht="27" customHeight="1" x14ac:dyDescent="0.25">
      <c r="BR312" s="663"/>
      <c r="BS312" s="663"/>
      <c r="BU312" s="4"/>
      <c r="BV312" s="4"/>
    </row>
    <row r="313" spans="70:74" ht="27" customHeight="1" x14ac:dyDescent="0.25">
      <c r="BR313" s="663"/>
      <c r="BS313" s="663"/>
      <c r="BU313" s="4"/>
      <c r="BV313" s="4"/>
    </row>
    <row r="314" spans="70:74" ht="27" customHeight="1" x14ac:dyDescent="0.25">
      <c r="BR314" s="663"/>
      <c r="BS314" s="663"/>
      <c r="BU314" s="4"/>
      <c r="BV314" s="4"/>
    </row>
    <row r="315" spans="70:74" ht="27" customHeight="1" x14ac:dyDescent="0.25">
      <c r="BR315" s="663"/>
      <c r="BS315" s="663"/>
      <c r="BU315" s="4"/>
      <c r="BV315" s="4"/>
    </row>
    <row r="316" spans="70:74" ht="27" customHeight="1" x14ac:dyDescent="0.25">
      <c r="BR316" s="663"/>
      <c r="BS316" s="663"/>
      <c r="BU316" s="4"/>
      <c r="BV316" s="4"/>
    </row>
    <row r="317" spans="70:74" ht="27" customHeight="1" x14ac:dyDescent="0.25">
      <c r="BR317" s="663"/>
      <c r="BS317" s="663"/>
      <c r="BU317" s="4"/>
      <c r="BV317" s="4"/>
    </row>
    <row r="318" spans="70:74" ht="27" customHeight="1" x14ac:dyDescent="0.25">
      <c r="BR318" s="663"/>
      <c r="BS318" s="663"/>
      <c r="BU318" s="4"/>
      <c r="BV318" s="4"/>
    </row>
    <row r="319" spans="70:74" ht="27" customHeight="1" x14ac:dyDescent="0.25">
      <c r="BR319" s="663"/>
      <c r="BS319" s="663"/>
      <c r="BU319" s="4"/>
      <c r="BV319" s="4"/>
    </row>
    <row r="320" spans="70:74" ht="27" customHeight="1" x14ac:dyDescent="0.25">
      <c r="BR320" s="663"/>
      <c r="BS320" s="663"/>
      <c r="BU320" s="4"/>
      <c r="BV320" s="4"/>
    </row>
    <row r="321" spans="70:74" ht="27" customHeight="1" x14ac:dyDescent="0.25">
      <c r="BR321" s="663"/>
      <c r="BS321" s="663"/>
      <c r="BU321" s="4"/>
      <c r="BV321" s="4"/>
    </row>
    <row r="322" spans="70:74" ht="27" customHeight="1" x14ac:dyDescent="0.25">
      <c r="BR322" s="663"/>
      <c r="BS322" s="663"/>
      <c r="BU322" s="4"/>
      <c r="BV322" s="4"/>
    </row>
    <row r="323" spans="70:74" ht="27" customHeight="1" x14ac:dyDescent="0.25">
      <c r="BR323" s="663"/>
      <c r="BS323" s="663"/>
      <c r="BU323" s="4"/>
      <c r="BV323" s="4"/>
    </row>
    <row r="324" spans="70:74" ht="27" customHeight="1" x14ac:dyDescent="0.25">
      <c r="BR324" s="663"/>
      <c r="BS324" s="663"/>
      <c r="BU324" s="4"/>
      <c r="BV324" s="4"/>
    </row>
    <row r="325" spans="70:74" ht="27" customHeight="1" x14ac:dyDescent="0.25">
      <c r="BR325" s="663"/>
      <c r="BS325" s="663"/>
      <c r="BU325" s="4"/>
      <c r="BV325" s="4"/>
    </row>
    <row r="326" spans="70:74" ht="27" customHeight="1" x14ac:dyDescent="0.25">
      <c r="BR326" s="663"/>
      <c r="BS326" s="663"/>
      <c r="BU326" s="4"/>
      <c r="BV326" s="4"/>
    </row>
    <row r="327" spans="70:74" ht="27" customHeight="1" x14ac:dyDescent="0.25">
      <c r="BR327" s="663"/>
      <c r="BS327" s="663"/>
      <c r="BU327" s="4"/>
      <c r="BV327" s="4"/>
    </row>
    <row r="328" spans="70:74" ht="27" customHeight="1" x14ac:dyDescent="0.25">
      <c r="BR328" s="663"/>
      <c r="BS328" s="663"/>
      <c r="BU328" s="4"/>
      <c r="BV328" s="4"/>
    </row>
    <row r="329" spans="70:74" ht="27" customHeight="1" x14ac:dyDescent="0.25">
      <c r="BR329" s="663"/>
      <c r="BS329" s="663"/>
      <c r="BU329" s="4"/>
      <c r="BV329" s="4"/>
    </row>
    <row r="330" spans="70:74" ht="27" customHeight="1" x14ac:dyDescent="0.25">
      <c r="BR330" s="663"/>
      <c r="BS330" s="663"/>
      <c r="BU330" s="4"/>
      <c r="BV330" s="4"/>
    </row>
    <row r="331" spans="70:74" ht="27" customHeight="1" x14ac:dyDescent="0.25">
      <c r="BR331" s="663"/>
      <c r="BS331" s="663"/>
      <c r="BU331" s="4"/>
      <c r="BV331" s="4"/>
    </row>
    <row r="332" spans="70:74" ht="27" customHeight="1" x14ac:dyDescent="0.25">
      <c r="BR332" s="663"/>
      <c r="BS332" s="663"/>
      <c r="BU332" s="4"/>
      <c r="BV332" s="4"/>
    </row>
    <row r="333" spans="70:74" ht="27" customHeight="1" x14ac:dyDescent="0.25">
      <c r="BR333" s="663"/>
      <c r="BS333" s="663"/>
      <c r="BU333" s="4"/>
      <c r="BV333" s="4"/>
    </row>
    <row r="334" spans="70:74" ht="27" customHeight="1" x14ac:dyDescent="0.25">
      <c r="BR334" s="663"/>
      <c r="BS334" s="663"/>
      <c r="BU334" s="4"/>
      <c r="BV334" s="4"/>
    </row>
    <row r="335" spans="70:74" ht="27" customHeight="1" x14ac:dyDescent="0.25">
      <c r="BR335" s="663"/>
      <c r="BS335" s="663"/>
      <c r="BU335" s="4"/>
      <c r="BV335" s="4"/>
    </row>
    <row r="336" spans="70:74" ht="27" customHeight="1" x14ac:dyDescent="0.25">
      <c r="BR336" s="663"/>
      <c r="BS336" s="663"/>
      <c r="BU336" s="4"/>
      <c r="BV336" s="4"/>
    </row>
    <row r="337" spans="70:74" ht="27" customHeight="1" x14ac:dyDescent="0.25">
      <c r="BR337" s="663"/>
      <c r="BS337" s="663"/>
      <c r="BU337" s="4"/>
      <c r="BV337" s="4"/>
    </row>
    <row r="338" spans="70:74" ht="27" customHeight="1" x14ac:dyDescent="0.25">
      <c r="BR338" s="663"/>
      <c r="BS338" s="663"/>
      <c r="BU338" s="4"/>
      <c r="BV338" s="4"/>
    </row>
    <row r="339" spans="70:74" ht="27" customHeight="1" x14ac:dyDescent="0.25">
      <c r="BR339" s="663"/>
      <c r="BS339" s="663"/>
      <c r="BU339" s="4"/>
      <c r="BV339" s="4"/>
    </row>
    <row r="340" spans="70:74" ht="27" customHeight="1" x14ac:dyDescent="0.25">
      <c r="BR340" s="663"/>
      <c r="BS340" s="663"/>
      <c r="BU340" s="4"/>
      <c r="BV340" s="4"/>
    </row>
    <row r="341" spans="70:74" ht="27" customHeight="1" x14ac:dyDescent="0.25">
      <c r="BR341" s="663"/>
      <c r="BS341" s="663"/>
      <c r="BU341" s="4"/>
      <c r="BV341" s="4"/>
    </row>
    <row r="342" spans="70:74" ht="27" customHeight="1" x14ac:dyDescent="0.25">
      <c r="BR342" s="663"/>
      <c r="BS342" s="663"/>
      <c r="BU342" s="4"/>
      <c r="BV342" s="4"/>
    </row>
    <row r="343" spans="70:74" ht="27" customHeight="1" x14ac:dyDescent="0.25">
      <c r="BR343" s="663"/>
      <c r="BS343" s="663"/>
      <c r="BU343" s="4"/>
      <c r="BV343" s="4"/>
    </row>
    <row r="344" spans="70:74" ht="27" customHeight="1" x14ac:dyDescent="0.25">
      <c r="BR344" s="663"/>
      <c r="BS344" s="663"/>
      <c r="BU344" s="4"/>
      <c r="BV344" s="4"/>
    </row>
    <row r="345" spans="70:74" ht="27" customHeight="1" x14ac:dyDescent="0.25">
      <c r="BR345" s="663"/>
      <c r="BS345" s="663"/>
      <c r="BU345" s="4"/>
      <c r="BV345" s="4"/>
    </row>
    <row r="346" spans="70:74" ht="27" customHeight="1" x14ac:dyDescent="0.25">
      <c r="BR346" s="663"/>
      <c r="BS346" s="663"/>
      <c r="BU346" s="4"/>
      <c r="BV346" s="4"/>
    </row>
    <row r="347" spans="70:74" ht="27" customHeight="1" x14ac:dyDescent="0.25">
      <c r="BR347" s="663"/>
      <c r="BS347" s="663"/>
      <c r="BU347" s="4"/>
      <c r="BV347" s="4"/>
    </row>
    <row r="348" spans="70:74" ht="27" customHeight="1" x14ac:dyDescent="0.25">
      <c r="BR348" s="663"/>
      <c r="BS348" s="663"/>
      <c r="BU348" s="4"/>
      <c r="BV348" s="4"/>
    </row>
    <row r="349" spans="70:74" ht="27" customHeight="1" x14ac:dyDescent="0.25">
      <c r="BR349" s="663"/>
      <c r="BS349" s="663"/>
      <c r="BU349" s="4"/>
      <c r="BV349" s="4"/>
    </row>
    <row r="350" spans="70:74" ht="27" customHeight="1" x14ac:dyDescent="0.25">
      <c r="BR350" s="663"/>
      <c r="BS350" s="663"/>
      <c r="BU350" s="4"/>
      <c r="BV350" s="4"/>
    </row>
    <row r="351" spans="70:74" ht="27" customHeight="1" x14ac:dyDescent="0.25">
      <c r="BR351" s="663"/>
      <c r="BS351" s="663"/>
      <c r="BU351" s="4"/>
      <c r="BV351" s="4"/>
    </row>
    <row r="352" spans="70:74" ht="27" customHeight="1" x14ac:dyDescent="0.25">
      <c r="BR352" s="663"/>
      <c r="BS352" s="663"/>
      <c r="BU352" s="4"/>
      <c r="BV352" s="4"/>
    </row>
    <row r="353" spans="70:74" ht="27" customHeight="1" x14ac:dyDescent="0.25">
      <c r="BR353" s="663"/>
      <c r="BS353" s="663"/>
      <c r="BU353" s="4"/>
      <c r="BV353" s="4"/>
    </row>
    <row r="354" spans="70:74" ht="27" customHeight="1" x14ac:dyDescent="0.25">
      <c r="BR354" s="663"/>
      <c r="BS354" s="663"/>
      <c r="BU354" s="4"/>
      <c r="BV354" s="4"/>
    </row>
    <row r="355" spans="70:74" ht="27" customHeight="1" x14ac:dyDescent="0.25">
      <c r="BR355" s="663"/>
      <c r="BS355" s="663"/>
      <c r="BU355" s="4"/>
      <c r="BV355" s="4"/>
    </row>
    <row r="356" spans="70:74" ht="27" customHeight="1" x14ac:dyDescent="0.25">
      <c r="BR356" s="663"/>
      <c r="BS356" s="663"/>
      <c r="BU356" s="4"/>
      <c r="BV356" s="4"/>
    </row>
    <row r="357" spans="70:74" ht="27" customHeight="1" x14ac:dyDescent="0.25">
      <c r="BR357" s="663"/>
      <c r="BS357" s="663"/>
      <c r="BU357" s="4"/>
      <c r="BV357" s="4"/>
    </row>
    <row r="358" spans="70:74" ht="27" customHeight="1" x14ac:dyDescent="0.25">
      <c r="BR358" s="663"/>
      <c r="BS358" s="663"/>
      <c r="BU358" s="4"/>
      <c r="BV358" s="4"/>
    </row>
    <row r="359" spans="70:74" ht="27" customHeight="1" x14ac:dyDescent="0.25">
      <c r="BR359" s="663"/>
      <c r="BS359" s="663"/>
      <c r="BU359" s="4"/>
      <c r="BV359" s="4"/>
    </row>
    <row r="360" spans="70:74" ht="27" customHeight="1" x14ac:dyDescent="0.25">
      <c r="BR360" s="663"/>
      <c r="BS360" s="663"/>
      <c r="BU360" s="4"/>
      <c r="BV360" s="4"/>
    </row>
    <row r="361" spans="70:74" ht="27" customHeight="1" x14ac:dyDescent="0.25">
      <c r="BR361" s="663"/>
      <c r="BS361" s="663"/>
      <c r="BU361" s="4"/>
      <c r="BV361" s="4"/>
    </row>
    <row r="362" spans="70:74" ht="27" customHeight="1" x14ac:dyDescent="0.25">
      <c r="BR362" s="663"/>
      <c r="BS362" s="663"/>
      <c r="BU362" s="4"/>
      <c r="BV362" s="4"/>
    </row>
    <row r="363" spans="70:74" ht="27" customHeight="1" x14ac:dyDescent="0.25">
      <c r="BR363" s="663"/>
      <c r="BS363" s="663"/>
      <c r="BU363" s="4"/>
      <c r="BV363" s="4"/>
    </row>
    <row r="364" spans="70:74" ht="27" customHeight="1" x14ac:dyDescent="0.25">
      <c r="BR364" s="663"/>
      <c r="BS364" s="663"/>
      <c r="BU364" s="4"/>
      <c r="BV364" s="4"/>
    </row>
    <row r="365" spans="70:74" ht="27" customHeight="1" x14ac:dyDescent="0.25">
      <c r="BR365" s="663"/>
      <c r="BS365" s="663"/>
      <c r="BU365" s="4"/>
      <c r="BV365" s="4"/>
    </row>
    <row r="366" spans="70:74" ht="27" customHeight="1" x14ac:dyDescent="0.25">
      <c r="BR366" s="663"/>
      <c r="BS366" s="663"/>
      <c r="BU366" s="4"/>
      <c r="BV366" s="4"/>
    </row>
    <row r="367" spans="70:74" ht="27" customHeight="1" x14ac:dyDescent="0.25">
      <c r="BR367" s="663"/>
      <c r="BS367" s="663"/>
      <c r="BU367" s="4"/>
      <c r="BV367" s="4"/>
    </row>
    <row r="368" spans="70:74" ht="27" customHeight="1" x14ac:dyDescent="0.25">
      <c r="BR368" s="663"/>
      <c r="BS368" s="663"/>
      <c r="BU368" s="4"/>
      <c r="BV368" s="4"/>
    </row>
    <row r="369" spans="70:74" ht="27" customHeight="1" x14ac:dyDescent="0.25">
      <c r="BR369" s="663"/>
      <c r="BS369" s="663"/>
      <c r="BU369" s="4"/>
      <c r="BV369" s="4"/>
    </row>
    <row r="370" spans="70:74" ht="27" customHeight="1" x14ac:dyDescent="0.25">
      <c r="BR370" s="663"/>
      <c r="BS370" s="663"/>
      <c r="BU370" s="4"/>
      <c r="BV370" s="4"/>
    </row>
    <row r="371" spans="70:74" ht="27" customHeight="1" x14ac:dyDescent="0.25">
      <c r="BR371" s="663"/>
      <c r="BS371" s="663"/>
      <c r="BU371" s="4"/>
      <c r="BV371" s="4"/>
    </row>
    <row r="372" spans="70:74" ht="27" customHeight="1" x14ac:dyDescent="0.25">
      <c r="BR372" s="663"/>
      <c r="BS372" s="663"/>
      <c r="BU372" s="4"/>
      <c r="BV372" s="4"/>
    </row>
    <row r="373" spans="70:74" ht="27" customHeight="1" x14ac:dyDescent="0.25">
      <c r="BR373" s="663"/>
      <c r="BS373" s="663"/>
      <c r="BU373" s="4"/>
      <c r="BV373" s="4"/>
    </row>
    <row r="374" spans="70:74" ht="27" customHeight="1" x14ac:dyDescent="0.25">
      <c r="BR374" s="663"/>
      <c r="BS374" s="663"/>
      <c r="BU374" s="4"/>
      <c r="BV374" s="4"/>
    </row>
    <row r="375" spans="70:74" ht="27" customHeight="1" x14ac:dyDescent="0.25">
      <c r="BR375" s="663"/>
      <c r="BS375" s="663"/>
      <c r="BU375" s="4"/>
      <c r="BV375" s="4"/>
    </row>
    <row r="376" spans="70:74" ht="27" customHeight="1" x14ac:dyDescent="0.25">
      <c r="BR376" s="663"/>
      <c r="BS376" s="663"/>
      <c r="BU376" s="4"/>
      <c r="BV376" s="4"/>
    </row>
    <row r="377" spans="70:74" ht="27" customHeight="1" x14ac:dyDescent="0.25">
      <c r="BR377" s="663"/>
      <c r="BS377" s="663"/>
      <c r="BU377" s="4"/>
      <c r="BV377" s="4"/>
    </row>
    <row r="378" spans="70:74" ht="27" customHeight="1" x14ac:dyDescent="0.25">
      <c r="BR378" s="663"/>
      <c r="BS378" s="663"/>
      <c r="BU378" s="4"/>
      <c r="BV378" s="4"/>
    </row>
    <row r="379" spans="70:74" ht="27" customHeight="1" x14ac:dyDescent="0.25">
      <c r="BR379" s="663"/>
      <c r="BS379" s="663"/>
      <c r="BU379" s="4"/>
      <c r="BV379" s="4"/>
    </row>
    <row r="380" spans="70:74" ht="27" customHeight="1" x14ac:dyDescent="0.25">
      <c r="BR380" s="663"/>
      <c r="BS380" s="663"/>
      <c r="BU380" s="4"/>
      <c r="BV380" s="4"/>
    </row>
    <row r="381" spans="70:74" ht="27" customHeight="1" x14ac:dyDescent="0.25">
      <c r="BR381" s="663"/>
      <c r="BS381" s="663"/>
      <c r="BU381" s="4"/>
      <c r="BV381" s="4"/>
    </row>
    <row r="382" spans="70:74" ht="27" customHeight="1" x14ac:dyDescent="0.25">
      <c r="BR382" s="663"/>
      <c r="BS382" s="663"/>
      <c r="BU382" s="4"/>
      <c r="BV382" s="4"/>
    </row>
    <row r="383" spans="70:74" ht="27" customHeight="1" x14ac:dyDescent="0.25">
      <c r="BR383" s="663"/>
      <c r="BS383" s="663"/>
      <c r="BU383" s="4"/>
      <c r="BV383" s="4"/>
    </row>
    <row r="384" spans="70:74" ht="27" customHeight="1" x14ac:dyDescent="0.25">
      <c r="BR384" s="663"/>
      <c r="BS384" s="663"/>
      <c r="BU384" s="4"/>
      <c r="BV384" s="4"/>
    </row>
    <row r="385" spans="70:74" ht="27" customHeight="1" x14ac:dyDescent="0.25">
      <c r="BR385" s="663"/>
      <c r="BS385" s="663"/>
      <c r="BU385" s="4"/>
      <c r="BV385" s="4"/>
    </row>
    <row r="386" spans="70:74" ht="27" customHeight="1" x14ac:dyDescent="0.25">
      <c r="BR386" s="663"/>
      <c r="BS386" s="663"/>
      <c r="BU386" s="4"/>
      <c r="BV386" s="4"/>
    </row>
    <row r="387" spans="70:74" ht="27" customHeight="1" x14ac:dyDescent="0.25">
      <c r="BR387" s="663"/>
      <c r="BS387" s="663"/>
      <c r="BU387" s="4"/>
      <c r="BV387" s="4"/>
    </row>
    <row r="388" spans="70:74" ht="27" customHeight="1" x14ac:dyDescent="0.25">
      <c r="BR388" s="663"/>
      <c r="BS388" s="663"/>
      <c r="BU388" s="4"/>
      <c r="BV388" s="4"/>
    </row>
    <row r="389" spans="70:74" ht="27" customHeight="1" x14ac:dyDescent="0.25">
      <c r="BR389" s="663"/>
      <c r="BS389" s="663"/>
      <c r="BU389" s="4"/>
      <c r="BV389" s="4"/>
    </row>
    <row r="390" spans="70:74" ht="27" customHeight="1" x14ac:dyDescent="0.25">
      <c r="BR390" s="663"/>
      <c r="BS390" s="663"/>
      <c r="BU390" s="4"/>
      <c r="BV390" s="4"/>
    </row>
    <row r="391" spans="70:74" ht="27" customHeight="1" x14ac:dyDescent="0.25">
      <c r="BR391" s="663"/>
      <c r="BS391" s="663"/>
      <c r="BU391" s="4"/>
      <c r="BV391" s="4"/>
    </row>
    <row r="392" spans="70:74" ht="27" customHeight="1" x14ac:dyDescent="0.25">
      <c r="BR392" s="663"/>
      <c r="BS392" s="663"/>
      <c r="BU392" s="4"/>
      <c r="BV392" s="4"/>
    </row>
    <row r="393" spans="70:74" ht="27" customHeight="1" x14ac:dyDescent="0.25">
      <c r="BR393" s="663"/>
      <c r="BS393" s="663"/>
      <c r="BU393" s="4"/>
      <c r="BV393" s="4"/>
    </row>
    <row r="394" spans="70:74" ht="27" customHeight="1" x14ac:dyDescent="0.25">
      <c r="BR394" s="663"/>
      <c r="BS394" s="663"/>
      <c r="BU394" s="4"/>
      <c r="BV394" s="4"/>
    </row>
    <row r="395" spans="70:74" ht="27" customHeight="1" x14ac:dyDescent="0.25">
      <c r="BR395" s="663"/>
      <c r="BS395" s="663"/>
      <c r="BU395" s="4"/>
      <c r="BV395" s="4"/>
    </row>
    <row r="396" spans="70:74" ht="27" customHeight="1" x14ac:dyDescent="0.25">
      <c r="BR396" s="663"/>
      <c r="BS396" s="663"/>
      <c r="BU396" s="4"/>
      <c r="BV396" s="4"/>
    </row>
    <row r="397" spans="70:74" ht="27" customHeight="1" x14ac:dyDescent="0.25">
      <c r="BR397" s="663"/>
      <c r="BS397" s="663"/>
      <c r="BU397" s="4"/>
      <c r="BV397" s="4"/>
    </row>
    <row r="398" spans="70:74" ht="27" customHeight="1" x14ac:dyDescent="0.25">
      <c r="BR398" s="663"/>
      <c r="BS398" s="663"/>
      <c r="BU398" s="4"/>
      <c r="BV398" s="4"/>
    </row>
    <row r="399" spans="70:74" ht="27" customHeight="1" x14ac:dyDescent="0.25">
      <c r="BR399" s="663"/>
      <c r="BS399" s="663"/>
      <c r="BU399" s="4"/>
      <c r="BV399" s="4"/>
    </row>
    <row r="400" spans="70:74" ht="27" customHeight="1" x14ac:dyDescent="0.25">
      <c r="BR400" s="663"/>
      <c r="BS400" s="663"/>
      <c r="BU400" s="4"/>
      <c r="BV400" s="4"/>
    </row>
    <row r="401" spans="70:74" ht="27" customHeight="1" x14ac:dyDescent="0.25">
      <c r="BR401" s="663"/>
      <c r="BS401" s="663"/>
      <c r="BU401" s="4"/>
      <c r="BV401" s="4"/>
    </row>
    <row r="402" spans="70:74" ht="27" customHeight="1" x14ac:dyDescent="0.25">
      <c r="BR402" s="663"/>
      <c r="BS402" s="663"/>
      <c r="BU402" s="4"/>
      <c r="BV402" s="4"/>
    </row>
    <row r="403" spans="70:74" ht="27" customHeight="1" x14ac:dyDescent="0.25">
      <c r="BR403" s="663"/>
      <c r="BS403" s="663"/>
      <c r="BU403" s="4"/>
      <c r="BV403" s="4"/>
    </row>
    <row r="404" spans="70:74" ht="27" customHeight="1" x14ac:dyDescent="0.25">
      <c r="BR404" s="663"/>
      <c r="BS404" s="663"/>
      <c r="BU404" s="4"/>
      <c r="BV404" s="4"/>
    </row>
    <row r="405" spans="70:74" ht="27" customHeight="1" x14ac:dyDescent="0.25">
      <c r="BR405" s="663"/>
      <c r="BS405" s="663"/>
      <c r="BU405" s="4"/>
      <c r="BV405" s="4"/>
    </row>
    <row r="406" spans="70:74" ht="27" customHeight="1" x14ac:dyDescent="0.25">
      <c r="BR406" s="663"/>
      <c r="BS406" s="663"/>
      <c r="BU406" s="4"/>
      <c r="BV406" s="4"/>
    </row>
    <row r="407" spans="70:74" ht="27" customHeight="1" x14ac:dyDescent="0.25">
      <c r="BR407" s="663"/>
      <c r="BS407" s="663"/>
      <c r="BU407" s="4"/>
      <c r="BV407" s="4"/>
    </row>
    <row r="408" spans="70:74" ht="27" customHeight="1" x14ac:dyDescent="0.25">
      <c r="BR408" s="663"/>
      <c r="BS408" s="663"/>
      <c r="BU408" s="4"/>
      <c r="BV408" s="4"/>
    </row>
    <row r="409" spans="70:74" ht="27" customHeight="1" x14ac:dyDescent="0.25">
      <c r="BR409" s="663"/>
      <c r="BS409" s="663"/>
      <c r="BU409" s="4"/>
      <c r="BV409" s="4"/>
    </row>
    <row r="410" spans="70:74" ht="27" customHeight="1" x14ac:dyDescent="0.25">
      <c r="BR410" s="663"/>
      <c r="BS410" s="663"/>
      <c r="BU410" s="4"/>
      <c r="BV410" s="4"/>
    </row>
    <row r="411" spans="70:74" ht="27" customHeight="1" x14ac:dyDescent="0.25">
      <c r="BR411" s="663"/>
      <c r="BS411" s="663"/>
      <c r="BU411" s="4"/>
      <c r="BV411" s="4"/>
    </row>
    <row r="412" spans="70:74" ht="27" customHeight="1" x14ac:dyDescent="0.25">
      <c r="BR412" s="663"/>
      <c r="BS412" s="663"/>
      <c r="BU412" s="4"/>
      <c r="BV412" s="4"/>
    </row>
    <row r="413" spans="70:74" ht="27" customHeight="1" x14ac:dyDescent="0.25">
      <c r="BR413" s="663"/>
      <c r="BS413" s="663"/>
      <c r="BU413" s="4"/>
      <c r="BV413" s="4"/>
    </row>
    <row r="414" spans="70:74" ht="27" customHeight="1" x14ac:dyDescent="0.25">
      <c r="BR414" s="663"/>
      <c r="BS414" s="663"/>
      <c r="BU414" s="4"/>
      <c r="BV414" s="4"/>
    </row>
    <row r="415" spans="70:74" ht="27" customHeight="1" x14ac:dyDescent="0.25">
      <c r="BR415" s="663"/>
      <c r="BS415" s="663"/>
      <c r="BU415" s="4"/>
      <c r="BV415" s="4"/>
    </row>
    <row r="416" spans="70:74" ht="27" customHeight="1" x14ac:dyDescent="0.25">
      <c r="BR416" s="663"/>
      <c r="BS416" s="663"/>
      <c r="BU416" s="4"/>
      <c r="BV416" s="4"/>
    </row>
    <row r="417" spans="70:74" ht="27" customHeight="1" x14ac:dyDescent="0.25">
      <c r="BR417" s="663"/>
      <c r="BS417" s="663"/>
      <c r="BU417" s="4"/>
      <c r="BV417" s="4"/>
    </row>
    <row r="418" spans="70:74" ht="27" customHeight="1" x14ac:dyDescent="0.25">
      <c r="BR418" s="663"/>
      <c r="BS418" s="663"/>
      <c r="BU418" s="4"/>
      <c r="BV418" s="4"/>
    </row>
    <row r="419" spans="70:74" ht="27" customHeight="1" x14ac:dyDescent="0.25">
      <c r="BR419" s="663"/>
      <c r="BS419" s="663"/>
      <c r="BU419" s="4"/>
      <c r="BV419" s="4"/>
    </row>
    <row r="420" spans="70:74" ht="27" customHeight="1" x14ac:dyDescent="0.25">
      <c r="BR420" s="663"/>
      <c r="BS420" s="663"/>
      <c r="BU420" s="4"/>
      <c r="BV420" s="4"/>
    </row>
    <row r="421" spans="70:74" ht="27" customHeight="1" x14ac:dyDescent="0.25">
      <c r="BR421" s="663"/>
      <c r="BS421" s="663"/>
      <c r="BU421" s="4"/>
      <c r="BV421" s="4"/>
    </row>
    <row r="422" spans="70:74" ht="27" customHeight="1" x14ac:dyDescent="0.25">
      <c r="BR422" s="663"/>
      <c r="BS422" s="663"/>
      <c r="BU422" s="4"/>
      <c r="BV422" s="4"/>
    </row>
    <row r="423" spans="70:74" ht="27" customHeight="1" x14ac:dyDescent="0.25">
      <c r="BR423" s="663"/>
      <c r="BS423" s="663"/>
      <c r="BU423" s="4"/>
      <c r="BV423" s="4"/>
    </row>
    <row r="424" spans="70:74" ht="27" customHeight="1" x14ac:dyDescent="0.25">
      <c r="BR424" s="663"/>
      <c r="BS424" s="663"/>
      <c r="BU424" s="4"/>
      <c r="BV424" s="4"/>
    </row>
    <row r="425" spans="70:74" ht="27" customHeight="1" x14ac:dyDescent="0.25">
      <c r="BR425" s="663"/>
      <c r="BS425" s="663"/>
      <c r="BU425" s="4"/>
      <c r="BV425" s="4"/>
    </row>
    <row r="426" spans="70:74" ht="27" customHeight="1" x14ac:dyDescent="0.25">
      <c r="BR426" s="663"/>
      <c r="BS426" s="663"/>
      <c r="BU426" s="4"/>
      <c r="BV426" s="4"/>
    </row>
    <row r="427" spans="70:74" ht="27" customHeight="1" x14ac:dyDescent="0.25">
      <c r="BR427" s="663"/>
      <c r="BS427" s="663"/>
      <c r="BU427" s="4"/>
      <c r="BV427" s="4"/>
    </row>
    <row r="428" spans="70:74" ht="27" customHeight="1" x14ac:dyDescent="0.25">
      <c r="BR428" s="663"/>
      <c r="BS428" s="663"/>
      <c r="BU428" s="4"/>
      <c r="BV428" s="4"/>
    </row>
    <row r="429" spans="70:74" ht="27" customHeight="1" x14ac:dyDescent="0.25">
      <c r="BR429" s="663"/>
      <c r="BS429" s="663"/>
      <c r="BU429" s="4"/>
      <c r="BV429" s="4"/>
    </row>
    <row r="430" spans="70:74" ht="27" customHeight="1" x14ac:dyDescent="0.25">
      <c r="BR430" s="663"/>
      <c r="BS430" s="663"/>
      <c r="BU430" s="4"/>
      <c r="BV430" s="4"/>
    </row>
    <row r="431" spans="70:74" ht="27" customHeight="1" x14ac:dyDescent="0.25">
      <c r="BR431" s="663"/>
      <c r="BS431" s="663"/>
      <c r="BU431" s="4"/>
      <c r="BV431" s="4"/>
    </row>
    <row r="432" spans="70:74" ht="27" customHeight="1" x14ac:dyDescent="0.25">
      <c r="BR432" s="663"/>
      <c r="BS432" s="663"/>
      <c r="BU432" s="4"/>
      <c r="BV432" s="4"/>
    </row>
    <row r="433" spans="70:74" ht="27" customHeight="1" x14ac:dyDescent="0.25">
      <c r="BR433" s="663"/>
      <c r="BS433" s="663"/>
      <c r="BU433" s="4"/>
      <c r="BV433" s="4"/>
    </row>
    <row r="434" spans="70:74" ht="27" customHeight="1" x14ac:dyDescent="0.25">
      <c r="BR434" s="663"/>
      <c r="BS434" s="663"/>
      <c r="BU434" s="4"/>
      <c r="BV434" s="4"/>
    </row>
    <row r="435" spans="70:74" ht="27" customHeight="1" x14ac:dyDescent="0.25">
      <c r="BR435" s="663"/>
      <c r="BS435" s="663"/>
      <c r="BU435" s="4"/>
      <c r="BV435" s="4"/>
    </row>
    <row r="436" spans="70:74" ht="27" customHeight="1" x14ac:dyDescent="0.25">
      <c r="BR436" s="663"/>
      <c r="BS436" s="663"/>
      <c r="BU436" s="4"/>
      <c r="BV436" s="4"/>
    </row>
    <row r="437" spans="70:74" ht="27" customHeight="1" x14ac:dyDescent="0.25">
      <c r="BR437" s="663"/>
      <c r="BS437" s="663"/>
      <c r="BU437" s="4"/>
      <c r="BV437" s="4"/>
    </row>
    <row r="438" spans="70:74" ht="27" customHeight="1" x14ac:dyDescent="0.25">
      <c r="BR438" s="663"/>
      <c r="BS438" s="663"/>
      <c r="BU438" s="4"/>
      <c r="BV438" s="4"/>
    </row>
    <row r="439" spans="70:74" ht="27" customHeight="1" x14ac:dyDescent="0.25">
      <c r="BR439" s="663"/>
      <c r="BS439" s="663"/>
      <c r="BU439" s="4"/>
      <c r="BV439" s="4"/>
    </row>
    <row r="440" spans="70:74" ht="27" customHeight="1" x14ac:dyDescent="0.25">
      <c r="BR440" s="663"/>
      <c r="BS440" s="663"/>
      <c r="BU440" s="4"/>
      <c r="BV440" s="4"/>
    </row>
    <row r="441" spans="70:74" ht="27" customHeight="1" x14ac:dyDescent="0.25">
      <c r="BR441" s="663"/>
      <c r="BS441" s="663"/>
      <c r="BU441" s="4"/>
      <c r="BV441" s="4"/>
    </row>
    <row r="442" spans="70:74" ht="27" customHeight="1" x14ac:dyDescent="0.25">
      <c r="BR442" s="663"/>
      <c r="BS442" s="663"/>
      <c r="BU442" s="4"/>
      <c r="BV442" s="4"/>
    </row>
    <row r="443" spans="70:74" ht="27" customHeight="1" x14ac:dyDescent="0.25">
      <c r="BR443" s="663"/>
      <c r="BS443" s="663"/>
      <c r="BU443" s="4"/>
      <c r="BV443" s="4"/>
    </row>
    <row r="444" spans="70:74" ht="27" customHeight="1" x14ac:dyDescent="0.25">
      <c r="BR444" s="663"/>
      <c r="BS444" s="663"/>
      <c r="BU444" s="4"/>
      <c r="BV444" s="4"/>
    </row>
    <row r="445" spans="70:74" ht="27" customHeight="1" x14ac:dyDescent="0.25">
      <c r="BR445" s="663"/>
      <c r="BS445" s="663"/>
      <c r="BU445" s="4"/>
      <c r="BV445" s="4"/>
    </row>
    <row r="446" spans="70:74" ht="27" customHeight="1" x14ac:dyDescent="0.25">
      <c r="BR446" s="663"/>
      <c r="BS446" s="663"/>
      <c r="BU446" s="4"/>
      <c r="BV446" s="4"/>
    </row>
    <row r="447" spans="70:74" ht="27" customHeight="1" x14ac:dyDescent="0.25">
      <c r="BR447" s="663"/>
      <c r="BS447" s="663"/>
      <c r="BU447" s="4"/>
      <c r="BV447" s="4"/>
    </row>
    <row r="448" spans="70:74" ht="27" customHeight="1" x14ac:dyDescent="0.25">
      <c r="BR448" s="663"/>
      <c r="BS448" s="663"/>
      <c r="BU448" s="4"/>
      <c r="BV448" s="4"/>
    </row>
    <row r="449" spans="70:74" ht="27" customHeight="1" x14ac:dyDescent="0.25">
      <c r="BR449" s="663"/>
      <c r="BS449" s="663"/>
      <c r="BU449" s="4"/>
      <c r="BV449" s="4"/>
    </row>
    <row r="450" spans="70:74" ht="27" customHeight="1" x14ac:dyDescent="0.25">
      <c r="BR450" s="663"/>
      <c r="BS450" s="663"/>
      <c r="BU450" s="4"/>
      <c r="BV450" s="4"/>
    </row>
    <row r="451" spans="70:74" ht="27" customHeight="1" x14ac:dyDescent="0.25">
      <c r="BR451" s="663"/>
      <c r="BS451" s="663"/>
      <c r="BU451" s="4"/>
      <c r="BV451" s="4"/>
    </row>
    <row r="452" spans="70:74" ht="27" customHeight="1" x14ac:dyDescent="0.25">
      <c r="BR452" s="663"/>
      <c r="BS452" s="663"/>
      <c r="BU452" s="4"/>
      <c r="BV452" s="4"/>
    </row>
    <row r="453" spans="70:74" ht="27" customHeight="1" x14ac:dyDescent="0.25">
      <c r="BR453" s="663"/>
      <c r="BS453" s="663"/>
      <c r="BU453" s="4"/>
      <c r="BV453" s="4"/>
    </row>
    <row r="454" spans="70:74" ht="27" customHeight="1" x14ac:dyDescent="0.25">
      <c r="BR454" s="663"/>
      <c r="BS454" s="663"/>
      <c r="BU454" s="4"/>
      <c r="BV454" s="4"/>
    </row>
    <row r="455" spans="70:74" ht="27" customHeight="1" x14ac:dyDescent="0.25">
      <c r="BR455" s="663"/>
      <c r="BS455" s="663"/>
      <c r="BU455" s="4"/>
      <c r="BV455" s="4"/>
    </row>
    <row r="456" spans="70:74" ht="27" customHeight="1" x14ac:dyDescent="0.25">
      <c r="BR456" s="663"/>
      <c r="BS456" s="663"/>
      <c r="BU456" s="4"/>
      <c r="BV456" s="4"/>
    </row>
    <row r="457" spans="70:74" ht="27" customHeight="1" x14ac:dyDescent="0.25">
      <c r="BR457" s="663"/>
      <c r="BS457" s="663"/>
      <c r="BU457" s="4"/>
      <c r="BV457" s="4"/>
    </row>
    <row r="458" spans="70:74" ht="27" customHeight="1" x14ac:dyDescent="0.25">
      <c r="BR458" s="663"/>
      <c r="BS458" s="663"/>
      <c r="BU458" s="4"/>
      <c r="BV458" s="4"/>
    </row>
    <row r="459" spans="70:74" ht="27" customHeight="1" x14ac:dyDescent="0.25">
      <c r="BR459" s="663"/>
      <c r="BS459" s="663"/>
      <c r="BU459" s="4"/>
      <c r="BV459" s="4"/>
    </row>
    <row r="460" spans="70:74" ht="27" customHeight="1" x14ac:dyDescent="0.25">
      <c r="BR460" s="663"/>
      <c r="BS460" s="663"/>
      <c r="BU460" s="4"/>
      <c r="BV460" s="4"/>
    </row>
    <row r="461" spans="70:74" ht="27" customHeight="1" x14ac:dyDescent="0.25">
      <c r="BR461" s="663"/>
      <c r="BS461" s="663"/>
      <c r="BU461" s="4"/>
      <c r="BV461" s="4"/>
    </row>
    <row r="462" spans="70:74" ht="27" customHeight="1" x14ac:dyDescent="0.25">
      <c r="BR462" s="663"/>
      <c r="BS462" s="663"/>
      <c r="BU462" s="4"/>
      <c r="BV462" s="4"/>
    </row>
    <row r="463" spans="70:74" ht="27" customHeight="1" x14ac:dyDescent="0.25">
      <c r="BR463" s="663"/>
      <c r="BS463" s="663"/>
      <c r="BU463" s="4"/>
      <c r="BV463" s="4"/>
    </row>
    <row r="464" spans="70:74" ht="27" customHeight="1" x14ac:dyDescent="0.25">
      <c r="BR464" s="663"/>
      <c r="BS464" s="663"/>
      <c r="BU464" s="4"/>
      <c r="BV464" s="4"/>
    </row>
    <row r="465" spans="70:74" ht="27" customHeight="1" x14ac:dyDescent="0.25">
      <c r="BR465" s="663"/>
      <c r="BS465" s="663"/>
      <c r="BU465" s="4"/>
      <c r="BV465" s="4"/>
    </row>
    <row r="466" spans="70:74" ht="27" customHeight="1" x14ac:dyDescent="0.25">
      <c r="BR466" s="663"/>
      <c r="BS466" s="663"/>
      <c r="BU466" s="4"/>
      <c r="BV466" s="4"/>
    </row>
    <row r="467" spans="70:74" ht="27" customHeight="1" x14ac:dyDescent="0.25">
      <c r="BR467" s="663"/>
      <c r="BS467" s="663"/>
      <c r="BU467" s="4"/>
      <c r="BV467" s="4"/>
    </row>
    <row r="468" spans="70:74" ht="27" customHeight="1" x14ac:dyDescent="0.25">
      <c r="BR468" s="663"/>
      <c r="BS468" s="663"/>
      <c r="BU468" s="4"/>
      <c r="BV468" s="4"/>
    </row>
    <row r="469" spans="70:74" ht="27" customHeight="1" x14ac:dyDescent="0.25">
      <c r="BR469" s="663"/>
      <c r="BS469" s="663"/>
      <c r="BU469" s="4"/>
      <c r="BV469" s="4"/>
    </row>
    <row r="470" spans="70:74" ht="27" customHeight="1" x14ac:dyDescent="0.25">
      <c r="BR470" s="663"/>
      <c r="BS470" s="663"/>
      <c r="BU470" s="4"/>
      <c r="BV470" s="4"/>
    </row>
    <row r="471" spans="70:74" ht="27" customHeight="1" x14ac:dyDescent="0.25">
      <c r="BR471" s="663"/>
      <c r="BS471" s="663"/>
      <c r="BU471" s="4"/>
      <c r="BV471" s="4"/>
    </row>
    <row r="472" spans="70:74" ht="27" customHeight="1" x14ac:dyDescent="0.25">
      <c r="BR472" s="663"/>
      <c r="BS472" s="663"/>
      <c r="BU472" s="4"/>
      <c r="BV472" s="4"/>
    </row>
    <row r="473" spans="70:74" ht="27" customHeight="1" x14ac:dyDescent="0.25">
      <c r="BR473" s="663"/>
      <c r="BS473" s="663"/>
      <c r="BU473" s="4"/>
      <c r="BV473" s="4"/>
    </row>
    <row r="474" spans="70:74" ht="27" customHeight="1" x14ac:dyDescent="0.25">
      <c r="BR474" s="663"/>
      <c r="BS474" s="663"/>
      <c r="BU474" s="4"/>
      <c r="BV474" s="4"/>
    </row>
    <row r="475" spans="70:74" ht="27" customHeight="1" x14ac:dyDescent="0.25">
      <c r="BR475" s="663"/>
      <c r="BS475" s="663"/>
      <c r="BU475" s="4"/>
      <c r="BV475" s="4"/>
    </row>
    <row r="476" spans="70:74" ht="27" customHeight="1" x14ac:dyDescent="0.25">
      <c r="BR476" s="663"/>
      <c r="BS476" s="663"/>
      <c r="BU476" s="4"/>
      <c r="BV476" s="4"/>
    </row>
    <row r="477" spans="70:74" ht="27" customHeight="1" x14ac:dyDescent="0.25">
      <c r="BR477" s="663"/>
      <c r="BS477" s="663"/>
      <c r="BU477" s="4"/>
      <c r="BV477" s="4"/>
    </row>
    <row r="478" spans="70:74" ht="27" customHeight="1" x14ac:dyDescent="0.25">
      <c r="BR478" s="663"/>
      <c r="BS478" s="663"/>
      <c r="BU478" s="4"/>
      <c r="BV478" s="4"/>
    </row>
    <row r="479" spans="70:74" ht="27" customHeight="1" x14ac:dyDescent="0.25">
      <c r="BR479" s="663"/>
      <c r="BS479" s="663"/>
      <c r="BU479" s="4"/>
      <c r="BV479" s="4"/>
    </row>
    <row r="480" spans="70:74" ht="27" customHeight="1" x14ac:dyDescent="0.25">
      <c r="BR480" s="663"/>
      <c r="BS480" s="663"/>
      <c r="BU480" s="4"/>
      <c r="BV480" s="4"/>
    </row>
    <row r="481" spans="70:74" ht="27" customHeight="1" x14ac:dyDescent="0.25">
      <c r="BR481" s="663"/>
      <c r="BS481" s="663"/>
      <c r="BU481" s="4"/>
      <c r="BV481" s="4"/>
    </row>
    <row r="482" spans="70:74" ht="27" customHeight="1" x14ac:dyDescent="0.25">
      <c r="BR482" s="663"/>
      <c r="BS482" s="663"/>
      <c r="BU482" s="4"/>
      <c r="BV482" s="4"/>
    </row>
    <row r="483" spans="70:74" ht="27" customHeight="1" x14ac:dyDescent="0.25">
      <c r="BR483" s="663"/>
      <c r="BS483" s="663"/>
      <c r="BU483" s="4"/>
      <c r="BV483" s="4"/>
    </row>
    <row r="484" spans="70:74" ht="27" customHeight="1" x14ac:dyDescent="0.25">
      <c r="BR484" s="663"/>
      <c r="BS484" s="663"/>
      <c r="BU484" s="4"/>
      <c r="BV484" s="4"/>
    </row>
    <row r="485" spans="70:74" ht="27" customHeight="1" x14ac:dyDescent="0.25">
      <c r="BR485" s="663"/>
      <c r="BS485" s="663"/>
      <c r="BU485" s="4"/>
      <c r="BV485" s="4"/>
    </row>
    <row r="486" spans="70:74" ht="27" customHeight="1" x14ac:dyDescent="0.25">
      <c r="BR486" s="663"/>
      <c r="BS486" s="663"/>
      <c r="BU486" s="4"/>
      <c r="BV486" s="4"/>
    </row>
    <row r="487" spans="70:74" ht="27" customHeight="1" x14ac:dyDescent="0.25">
      <c r="BR487" s="663"/>
      <c r="BS487" s="663"/>
      <c r="BU487" s="4"/>
      <c r="BV487" s="4"/>
    </row>
    <row r="488" spans="70:74" ht="27" customHeight="1" x14ac:dyDescent="0.25">
      <c r="BR488" s="663"/>
      <c r="BS488" s="663"/>
      <c r="BU488" s="4"/>
      <c r="BV488" s="4"/>
    </row>
    <row r="489" spans="70:74" ht="27" customHeight="1" x14ac:dyDescent="0.25">
      <c r="BR489" s="663"/>
      <c r="BS489" s="663"/>
      <c r="BU489" s="4"/>
      <c r="BV489" s="4"/>
    </row>
    <row r="490" spans="70:74" ht="27" customHeight="1" x14ac:dyDescent="0.25">
      <c r="BR490" s="663"/>
      <c r="BS490" s="663"/>
      <c r="BU490" s="4"/>
      <c r="BV490" s="4"/>
    </row>
    <row r="491" spans="70:74" ht="27" customHeight="1" x14ac:dyDescent="0.25">
      <c r="BR491" s="663"/>
      <c r="BS491" s="663"/>
      <c r="BU491" s="4"/>
      <c r="BV491" s="4"/>
    </row>
    <row r="492" spans="70:74" ht="27" customHeight="1" x14ac:dyDescent="0.25">
      <c r="BR492" s="663"/>
      <c r="BS492" s="663"/>
      <c r="BU492" s="4"/>
      <c r="BV492" s="4"/>
    </row>
    <row r="493" spans="70:74" ht="27" customHeight="1" x14ac:dyDescent="0.25">
      <c r="BR493" s="663"/>
      <c r="BS493" s="663"/>
      <c r="BU493" s="4"/>
      <c r="BV493" s="4"/>
    </row>
    <row r="494" spans="70:74" ht="27" customHeight="1" x14ac:dyDescent="0.25">
      <c r="BR494" s="663"/>
      <c r="BS494" s="663"/>
      <c r="BU494" s="4"/>
      <c r="BV494" s="4"/>
    </row>
    <row r="495" spans="70:74" ht="27" customHeight="1" x14ac:dyDescent="0.25">
      <c r="BR495" s="663"/>
      <c r="BS495" s="663"/>
      <c r="BU495" s="4"/>
      <c r="BV495" s="4"/>
    </row>
    <row r="496" spans="70:74" ht="27" customHeight="1" x14ac:dyDescent="0.25">
      <c r="BR496" s="663"/>
      <c r="BS496" s="663"/>
      <c r="BU496" s="4"/>
      <c r="BV496" s="4"/>
    </row>
    <row r="497" spans="70:74" ht="27" customHeight="1" x14ac:dyDescent="0.25">
      <c r="BR497" s="663"/>
      <c r="BS497" s="663"/>
      <c r="BU497" s="4"/>
      <c r="BV497" s="4"/>
    </row>
    <row r="498" spans="70:74" ht="27" customHeight="1" x14ac:dyDescent="0.25">
      <c r="BR498" s="663"/>
      <c r="BS498" s="663"/>
      <c r="BU498" s="4"/>
      <c r="BV498" s="4"/>
    </row>
    <row r="499" spans="70:74" ht="27" customHeight="1" x14ac:dyDescent="0.25">
      <c r="BR499" s="663"/>
      <c r="BS499" s="663"/>
      <c r="BU499" s="4"/>
      <c r="BV499" s="4"/>
    </row>
    <row r="500" spans="70:74" ht="27" customHeight="1" x14ac:dyDescent="0.25">
      <c r="BR500" s="663"/>
      <c r="BS500" s="663"/>
      <c r="BU500" s="4"/>
      <c r="BV500" s="4"/>
    </row>
    <row r="501" spans="70:74" ht="27" customHeight="1" x14ac:dyDescent="0.25">
      <c r="BR501" s="663"/>
      <c r="BS501" s="663"/>
      <c r="BU501" s="4"/>
      <c r="BV501" s="4"/>
    </row>
    <row r="502" spans="70:74" ht="27" customHeight="1" x14ac:dyDescent="0.25">
      <c r="BR502" s="663"/>
      <c r="BS502" s="663"/>
      <c r="BU502" s="4"/>
      <c r="BV502" s="4"/>
    </row>
    <row r="503" spans="70:74" ht="27" customHeight="1" x14ac:dyDescent="0.25">
      <c r="BR503" s="663"/>
      <c r="BS503" s="663"/>
      <c r="BU503" s="4"/>
      <c r="BV503" s="4"/>
    </row>
    <row r="504" spans="70:74" ht="27" customHeight="1" x14ac:dyDescent="0.25">
      <c r="BR504" s="663"/>
      <c r="BS504" s="663"/>
      <c r="BU504" s="4"/>
      <c r="BV504" s="4"/>
    </row>
    <row r="505" spans="70:74" ht="27" customHeight="1" x14ac:dyDescent="0.25">
      <c r="BR505" s="663"/>
      <c r="BS505" s="663"/>
      <c r="BU505" s="4"/>
      <c r="BV505" s="4"/>
    </row>
    <row r="506" spans="70:74" ht="27" customHeight="1" x14ac:dyDescent="0.25">
      <c r="BR506" s="663"/>
      <c r="BS506" s="663"/>
      <c r="BU506" s="4"/>
      <c r="BV506" s="4"/>
    </row>
    <row r="507" spans="70:74" ht="27" customHeight="1" x14ac:dyDescent="0.25">
      <c r="BR507" s="663"/>
      <c r="BS507" s="663"/>
      <c r="BU507" s="4"/>
      <c r="BV507" s="4"/>
    </row>
    <row r="508" spans="70:74" ht="27" customHeight="1" x14ac:dyDescent="0.25">
      <c r="BR508" s="663"/>
      <c r="BS508" s="663"/>
      <c r="BU508" s="4"/>
      <c r="BV508" s="4"/>
    </row>
    <row r="509" spans="70:74" ht="27" customHeight="1" x14ac:dyDescent="0.25">
      <c r="BR509" s="663"/>
      <c r="BS509" s="663"/>
      <c r="BU509" s="4"/>
      <c r="BV509" s="4"/>
    </row>
    <row r="510" spans="70:74" ht="27" customHeight="1" x14ac:dyDescent="0.25">
      <c r="BR510" s="663"/>
      <c r="BS510" s="663"/>
      <c r="BU510" s="4"/>
      <c r="BV510" s="4"/>
    </row>
    <row r="511" spans="70:74" ht="27" customHeight="1" x14ac:dyDescent="0.25">
      <c r="BR511" s="663"/>
      <c r="BS511" s="663"/>
      <c r="BU511" s="4"/>
      <c r="BV511" s="4"/>
    </row>
    <row r="512" spans="70:74" ht="27" customHeight="1" x14ac:dyDescent="0.25">
      <c r="BR512" s="663"/>
      <c r="BS512" s="663"/>
      <c r="BU512" s="4"/>
      <c r="BV512" s="4"/>
    </row>
    <row r="513" spans="70:74" ht="27" customHeight="1" x14ac:dyDescent="0.25">
      <c r="BR513" s="663"/>
      <c r="BS513" s="663"/>
      <c r="BU513" s="4"/>
      <c r="BV513" s="4"/>
    </row>
    <row r="514" spans="70:74" ht="27" customHeight="1" x14ac:dyDescent="0.25">
      <c r="BR514" s="663"/>
      <c r="BS514" s="663"/>
      <c r="BU514" s="4"/>
      <c r="BV514" s="4"/>
    </row>
    <row r="515" spans="70:74" ht="27" customHeight="1" x14ac:dyDescent="0.25">
      <c r="BR515" s="663"/>
      <c r="BS515" s="663"/>
      <c r="BU515" s="4"/>
      <c r="BV515" s="4"/>
    </row>
    <row r="516" spans="70:74" ht="27" customHeight="1" x14ac:dyDescent="0.25">
      <c r="BR516" s="663"/>
      <c r="BS516" s="663"/>
      <c r="BU516" s="4"/>
      <c r="BV516" s="4"/>
    </row>
    <row r="517" spans="70:74" ht="27" customHeight="1" x14ac:dyDescent="0.25">
      <c r="BR517" s="663"/>
      <c r="BS517" s="663"/>
      <c r="BU517" s="4"/>
      <c r="BV517" s="4"/>
    </row>
    <row r="518" spans="70:74" ht="27" customHeight="1" x14ac:dyDescent="0.25">
      <c r="BR518" s="663"/>
      <c r="BS518" s="663"/>
      <c r="BU518" s="4"/>
      <c r="BV518" s="4"/>
    </row>
    <row r="519" spans="70:74" ht="27" customHeight="1" x14ac:dyDescent="0.25">
      <c r="BR519" s="663"/>
      <c r="BS519" s="663"/>
      <c r="BU519" s="4"/>
      <c r="BV519" s="4"/>
    </row>
    <row r="520" spans="70:74" ht="27" customHeight="1" x14ac:dyDescent="0.25">
      <c r="BR520" s="663"/>
      <c r="BS520" s="663"/>
      <c r="BU520" s="4"/>
      <c r="BV520" s="4"/>
    </row>
    <row r="521" spans="70:74" ht="27" customHeight="1" x14ac:dyDescent="0.25">
      <c r="BR521" s="663"/>
      <c r="BS521" s="663"/>
      <c r="BU521" s="4"/>
      <c r="BV521" s="4"/>
    </row>
    <row r="522" spans="70:74" ht="27" customHeight="1" x14ac:dyDescent="0.25">
      <c r="BR522" s="663"/>
      <c r="BS522" s="663"/>
      <c r="BU522" s="4"/>
      <c r="BV522" s="4"/>
    </row>
    <row r="523" spans="70:74" ht="27" customHeight="1" x14ac:dyDescent="0.25">
      <c r="BR523" s="663"/>
      <c r="BS523" s="663"/>
      <c r="BU523" s="4"/>
      <c r="BV523" s="4"/>
    </row>
    <row r="524" spans="70:74" ht="27" customHeight="1" x14ac:dyDescent="0.25">
      <c r="BR524" s="663"/>
      <c r="BS524" s="663"/>
      <c r="BU524" s="4"/>
      <c r="BV524" s="4"/>
    </row>
    <row r="525" spans="70:74" ht="27" customHeight="1" x14ac:dyDescent="0.25">
      <c r="BR525" s="663"/>
      <c r="BS525" s="663"/>
      <c r="BU525" s="4"/>
      <c r="BV525" s="4"/>
    </row>
    <row r="526" spans="70:74" ht="27" customHeight="1" x14ac:dyDescent="0.25">
      <c r="BR526" s="663"/>
      <c r="BS526" s="663"/>
      <c r="BU526" s="4"/>
      <c r="BV526" s="4"/>
    </row>
    <row r="527" spans="70:74" ht="27" customHeight="1" x14ac:dyDescent="0.25">
      <c r="BR527" s="663"/>
      <c r="BS527" s="663"/>
      <c r="BU527" s="4"/>
      <c r="BV527" s="4"/>
    </row>
    <row r="528" spans="70:74" ht="27" customHeight="1" x14ac:dyDescent="0.25">
      <c r="BR528" s="663"/>
      <c r="BS528" s="663"/>
      <c r="BU528" s="4"/>
      <c r="BV528" s="4"/>
    </row>
    <row r="529" spans="70:74" ht="27" customHeight="1" x14ac:dyDescent="0.25">
      <c r="BR529" s="663"/>
      <c r="BS529" s="663"/>
      <c r="BU529" s="4"/>
      <c r="BV529" s="4"/>
    </row>
    <row r="530" spans="70:74" ht="27" customHeight="1" x14ac:dyDescent="0.25">
      <c r="BR530" s="663"/>
      <c r="BS530" s="663"/>
      <c r="BU530" s="4"/>
      <c r="BV530" s="4"/>
    </row>
    <row r="531" spans="70:74" ht="27" customHeight="1" x14ac:dyDescent="0.25">
      <c r="BR531" s="663"/>
      <c r="BS531" s="663"/>
      <c r="BU531" s="4"/>
      <c r="BV531" s="4"/>
    </row>
    <row r="532" spans="70:74" ht="27" customHeight="1" x14ac:dyDescent="0.25">
      <c r="BR532" s="663"/>
      <c r="BS532" s="663"/>
      <c r="BU532" s="4"/>
      <c r="BV532" s="4"/>
    </row>
    <row r="533" spans="70:74" ht="27" customHeight="1" x14ac:dyDescent="0.25">
      <c r="BR533" s="663"/>
      <c r="BS533" s="663"/>
      <c r="BU533" s="4"/>
      <c r="BV533" s="4"/>
    </row>
    <row r="534" spans="70:74" ht="27" customHeight="1" x14ac:dyDescent="0.25">
      <c r="BR534" s="663"/>
      <c r="BS534" s="663"/>
      <c r="BU534" s="4"/>
      <c r="BV534" s="4"/>
    </row>
    <row r="535" spans="70:74" ht="27" customHeight="1" x14ac:dyDescent="0.25">
      <c r="BR535" s="663"/>
      <c r="BS535" s="663"/>
      <c r="BU535" s="4"/>
      <c r="BV535" s="4"/>
    </row>
    <row r="536" spans="70:74" ht="27" customHeight="1" x14ac:dyDescent="0.25">
      <c r="BR536" s="663"/>
      <c r="BS536" s="663"/>
      <c r="BU536" s="4"/>
      <c r="BV536" s="4"/>
    </row>
    <row r="537" spans="70:74" ht="27" customHeight="1" x14ac:dyDescent="0.25">
      <c r="BR537" s="663"/>
      <c r="BS537" s="663"/>
      <c r="BU537" s="4"/>
      <c r="BV537" s="4"/>
    </row>
    <row r="538" spans="70:74" ht="27" customHeight="1" x14ac:dyDescent="0.25">
      <c r="BR538" s="663"/>
      <c r="BS538" s="663"/>
      <c r="BU538" s="4"/>
      <c r="BV538" s="4"/>
    </row>
    <row r="539" spans="70:74" ht="27" customHeight="1" x14ac:dyDescent="0.25">
      <c r="BR539" s="663"/>
      <c r="BS539" s="663"/>
      <c r="BU539" s="4"/>
      <c r="BV539" s="4"/>
    </row>
    <row r="540" spans="70:74" ht="27" customHeight="1" x14ac:dyDescent="0.25">
      <c r="BR540" s="663"/>
      <c r="BS540" s="663"/>
      <c r="BU540" s="4"/>
      <c r="BV540" s="4"/>
    </row>
    <row r="541" spans="70:74" ht="27" customHeight="1" x14ac:dyDescent="0.25">
      <c r="BR541" s="663"/>
      <c r="BS541" s="663"/>
      <c r="BU541" s="4"/>
      <c r="BV541" s="4"/>
    </row>
    <row r="542" spans="70:74" ht="27" customHeight="1" x14ac:dyDescent="0.25">
      <c r="BR542" s="663"/>
      <c r="BS542" s="663"/>
      <c r="BU542" s="4"/>
      <c r="BV542" s="4"/>
    </row>
    <row r="543" spans="70:74" ht="27" customHeight="1" x14ac:dyDescent="0.25">
      <c r="BR543" s="663"/>
      <c r="BS543" s="663"/>
      <c r="BU543" s="4"/>
      <c r="BV543" s="4"/>
    </row>
    <row r="544" spans="70:74" ht="27" customHeight="1" x14ac:dyDescent="0.25">
      <c r="BR544" s="663"/>
      <c r="BS544" s="663"/>
      <c r="BU544" s="4"/>
      <c r="BV544" s="4"/>
    </row>
    <row r="545" spans="70:74" ht="27" customHeight="1" x14ac:dyDescent="0.25">
      <c r="BR545" s="663"/>
      <c r="BS545" s="663"/>
      <c r="BU545" s="4"/>
      <c r="BV545" s="4"/>
    </row>
    <row r="546" spans="70:74" ht="27" customHeight="1" x14ac:dyDescent="0.25">
      <c r="BR546" s="663"/>
      <c r="BS546" s="663"/>
      <c r="BU546" s="4"/>
      <c r="BV546" s="4"/>
    </row>
    <row r="547" spans="70:74" ht="27" customHeight="1" x14ac:dyDescent="0.25">
      <c r="BR547" s="663"/>
      <c r="BS547" s="663"/>
      <c r="BU547" s="4"/>
      <c r="BV547" s="4"/>
    </row>
    <row r="548" spans="70:74" ht="27" customHeight="1" x14ac:dyDescent="0.25">
      <c r="BR548" s="663"/>
      <c r="BS548" s="663"/>
      <c r="BU548" s="4"/>
      <c r="BV548" s="4"/>
    </row>
    <row r="549" spans="70:74" ht="27" customHeight="1" x14ac:dyDescent="0.25">
      <c r="BR549" s="663"/>
      <c r="BS549" s="663"/>
      <c r="BU549" s="4"/>
      <c r="BV549" s="4"/>
    </row>
    <row r="550" spans="70:74" ht="27" customHeight="1" x14ac:dyDescent="0.25">
      <c r="BR550" s="663"/>
      <c r="BS550" s="663"/>
      <c r="BU550" s="4"/>
      <c r="BV550" s="4"/>
    </row>
    <row r="551" spans="70:74" ht="27" customHeight="1" x14ac:dyDescent="0.25">
      <c r="BR551" s="663"/>
      <c r="BS551" s="663"/>
      <c r="BU551" s="4"/>
      <c r="BV551" s="4"/>
    </row>
    <row r="552" spans="70:74" ht="27" customHeight="1" x14ac:dyDescent="0.25">
      <c r="BR552" s="663"/>
      <c r="BS552" s="663"/>
      <c r="BU552" s="4"/>
      <c r="BV552" s="4"/>
    </row>
    <row r="553" spans="70:74" ht="27" customHeight="1" x14ac:dyDescent="0.25">
      <c r="BR553" s="663"/>
      <c r="BS553" s="663"/>
      <c r="BU553" s="4"/>
      <c r="BV553" s="4"/>
    </row>
    <row r="554" spans="70:74" ht="27" customHeight="1" x14ac:dyDescent="0.25">
      <c r="BR554" s="663"/>
      <c r="BS554" s="663"/>
      <c r="BU554" s="4"/>
      <c r="BV554" s="4"/>
    </row>
    <row r="555" spans="70:74" ht="27" customHeight="1" x14ac:dyDescent="0.25">
      <c r="BR555" s="663"/>
      <c r="BS555" s="663"/>
      <c r="BU555" s="4"/>
      <c r="BV555" s="4"/>
    </row>
    <row r="556" spans="70:74" ht="27" customHeight="1" x14ac:dyDescent="0.25">
      <c r="BR556" s="663"/>
      <c r="BS556" s="663"/>
      <c r="BU556" s="4"/>
      <c r="BV556" s="4"/>
    </row>
    <row r="557" spans="70:74" ht="27" customHeight="1" x14ac:dyDescent="0.25">
      <c r="BR557" s="663"/>
      <c r="BS557" s="663"/>
      <c r="BU557" s="4"/>
      <c r="BV557" s="4"/>
    </row>
    <row r="558" spans="70:74" ht="27" customHeight="1" x14ac:dyDescent="0.25">
      <c r="BR558" s="663"/>
      <c r="BS558" s="663"/>
      <c r="BU558" s="4"/>
      <c r="BV558" s="4"/>
    </row>
    <row r="559" spans="70:74" ht="27" customHeight="1" x14ac:dyDescent="0.25">
      <c r="BR559" s="663"/>
      <c r="BS559" s="663"/>
      <c r="BU559" s="4"/>
      <c r="BV559" s="4"/>
    </row>
    <row r="560" spans="70:74" ht="27" customHeight="1" x14ac:dyDescent="0.25">
      <c r="BR560" s="663"/>
      <c r="BS560" s="663"/>
      <c r="BU560" s="4"/>
      <c r="BV560" s="4"/>
    </row>
    <row r="561" spans="70:74" ht="27" customHeight="1" x14ac:dyDescent="0.25">
      <c r="BR561" s="663"/>
      <c r="BS561" s="663"/>
      <c r="BU561" s="4"/>
      <c r="BV561" s="4"/>
    </row>
    <row r="562" spans="70:74" ht="27" customHeight="1" x14ac:dyDescent="0.25">
      <c r="BR562" s="663"/>
      <c r="BS562" s="663"/>
      <c r="BU562" s="4"/>
      <c r="BV562" s="4"/>
    </row>
    <row r="563" spans="70:74" ht="27" customHeight="1" x14ac:dyDescent="0.25">
      <c r="BR563" s="663"/>
      <c r="BS563" s="663"/>
      <c r="BU563" s="4"/>
      <c r="BV563" s="4"/>
    </row>
    <row r="564" spans="70:74" ht="27" customHeight="1" x14ac:dyDescent="0.25">
      <c r="BR564" s="663"/>
      <c r="BS564" s="663"/>
      <c r="BU564" s="4"/>
      <c r="BV564" s="4"/>
    </row>
    <row r="565" spans="70:74" ht="27" customHeight="1" x14ac:dyDescent="0.25">
      <c r="BR565" s="663"/>
      <c r="BS565" s="663"/>
      <c r="BU565" s="4"/>
      <c r="BV565" s="4"/>
    </row>
    <row r="566" spans="70:74" ht="27" customHeight="1" x14ac:dyDescent="0.25">
      <c r="BR566" s="663"/>
      <c r="BS566" s="663"/>
      <c r="BU566" s="4"/>
      <c r="BV566" s="4"/>
    </row>
    <row r="567" spans="70:74" ht="27" customHeight="1" x14ac:dyDescent="0.25">
      <c r="BR567" s="663"/>
      <c r="BS567" s="663"/>
      <c r="BU567" s="4"/>
      <c r="BV567" s="4"/>
    </row>
    <row r="568" spans="70:74" ht="27" customHeight="1" x14ac:dyDescent="0.25">
      <c r="BR568" s="663"/>
      <c r="BS568" s="663"/>
      <c r="BU568" s="4"/>
      <c r="BV568" s="4"/>
    </row>
    <row r="569" spans="70:74" ht="27" customHeight="1" x14ac:dyDescent="0.25">
      <c r="BR569" s="663"/>
      <c r="BS569" s="663"/>
      <c r="BU569" s="4"/>
      <c r="BV569" s="4"/>
    </row>
    <row r="570" spans="70:74" ht="27" customHeight="1" x14ac:dyDescent="0.25">
      <c r="BR570" s="663"/>
      <c r="BS570" s="663"/>
      <c r="BU570" s="4"/>
      <c r="BV570" s="4"/>
    </row>
    <row r="571" spans="70:74" ht="27" customHeight="1" x14ac:dyDescent="0.25">
      <c r="BR571" s="663"/>
      <c r="BS571" s="663"/>
      <c r="BU571" s="4"/>
      <c r="BV571" s="4"/>
    </row>
    <row r="572" spans="70:74" ht="27" customHeight="1" x14ac:dyDescent="0.25">
      <c r="BR572" s="663"/>
      <c r="BS572" s="663"/>
      <c r="BU572" s="4"/>
      <c r="BV572" s="4"/>
    </row>
    <row r="573" spans="70:74" ht="27" customHeight="1" x14ac:dyDescent="0.25">
      <c r="BR573" s="663"/>
      <c r="BS573" s="663"/>
      <c r="BU573" s="4"/>
      <c r="BV573" s="4"/>
    </row>
    <row r="574" spans="70:74" ht="27" customHeight="1" x14ac:dyDescent="0.25">
      <c r="BR574" s="663"/>
      <c r="BS574" s="663"/>
      <c r="BU574" s="4"/>
      <c r="BV574" s="4"/>
    </row>
    <row r="575" spans="70:74" ht="27" customHeight="1" x14ac:dyDescent="0.25">
      <c r="BR575" s="663"/>
      <c r="BS575" s="663"/>
      <c r="BU575" s="4"/>
      <c r="BV575" s="4"/>
    </row>
    <row r="576" spans="70:74" ht="27" customHeight="1" x14ac:dyDescent="0.25">
      <c r="BR576" s="663"/>
      <c r="BS576" s="663"/>
      <c r="BU576" s="4"/>
      <c r="BV576" s="4"/>
    </row>
    <row r="577" spans="70:74" ht="27" customHeight="1" x14ac:dyDescent="0.25">
      <c r="BR577" s="663"/>
      <c r="BS577" s="663"/>
      <c r="BU577" s="4"/>
      <c r="BV577" s="4"/>
    </row>
    <row r="578" spans="70:74" ht="27" customHeight="1" x14ac:dyDescent="0.25">
      <c r="BR578" s="663"/>
      <c r="BS578" s="663"/>
      <c r="BU578" s="4"/>
      <c r="BV578" s="4"/>
    </row>
    <row r="579" spans="70:74" ht="27" customHeight="1" x14ac:dyDescent="0.25">
      <c r="BR579" s="663"/>
      <c r="BS579" s="663"/>
      <c r="BU579" s="4"/>
      <c r="BV579" s="4"/>
    </row>
    <row r="580" spans="70:74" ht="27" customHeight="1" x14ac:dyDescent="0.25">
      <c r="BR580" s="663"/>
      <c r="BS580" s="663"/>
      <c r="BU580" s="4"/>
      <c r="BV580" s="4"/>
    </row>
    <row r="581" spans="70:74" ht="27" customHeight="1" x14ac:dyDescent="0.25">
      <c r="BR581" s="663"/>
      <c r="BS581" s="663"/>
      <c r="BU581" s="4"/>
      <c r="BV581" s="4"/>
    </row>
    <row r="582" spans="70:74" ht="27" customHeight="1" x14ac:dyDescent="0.25">
      <c r="BR582" s="663"/>
      <c r="BS582" s="663"/>
      <c r="BU582" s="4"/>
      <c r="BV582" s="4"/>
    </row>
    <row r="583" spans="70:74" ht="27" customHeight="1" x14ac:dyDescent="0.25">
      <c r="BR583" s="663"/>
      <c r="BS583" s="663"/>
      <c r="BU583" s="4"/>
      <c r="BV583" s="4"/>
    </row>
    <row r="584" spans="70:74" ht="27" customHeight="1" x14ac:dyDescent="0.25">
      <c r="BR584" s="663"/>
      <c r="BS584" s="663"/>
      <c r="BU584" s="4"/>
      <c r="BV584" s="4"/>
    </row>
    <row r="585" spans="70:74" ht="27" customHeight="1" x14ac:dyDescent="0.25">
      <c r="BR585" s="663"/>
      <c r="BS585" s="663"/>
      <c r="BU585" s="4"/>
      <c r="BV585" s="4"/>
    </row>
    <row r="586" spans="70:74" ht="27" customHeight="1" x14ac:dyDescent="0.25">
      <c r="BR586" s="663"/>
      <c r="BS586" s="663"/>
      <c r="BU586" s="4"/>
      <c r="BV586" s="4"/>
    </row>
    <row r="587" spans="70:74" ht="27" customHeight="1" x14ac:dyDescent="0.25">
      <c r="BR587" s="663"/>
      <c r="BS587" s="663"/>
      <c r="BU587" s="4"/>
      <c r="BV587" s="4"/>
    </row>
    <row r="588" spans="70:74" ht="27" customHeight="1" x14ac:dyDescent="0.25">
      <c r="BR588" s="663"/>
      <c r="BS588" s="663"/>
      <c r="BU588" s="4"/>
      <c r="BV588" s="4"/>
    </row>
    <row r="589" spans="70:74" ht="27" customHeight="1" x14ac:dyDescent="0.25">
      <c r="BR589" s="663"/>
      <c r="BS589" s="663"/>
      <c r="BU589" s="4"/>
      <c r="BV589" s="4"/>
    </row>
    <row r="590" spans="70:74" ht="27" customHeight="1" x14ac:dyDescent="0.25">
      <c r="BR590" s="663"/>
      <c r="BS590" s="663"/>
      <c r="BU590" s="4"/>
      <c r="BV590" s="4"/>
    </row>
    <row r="591" spans="70:74" ht="27" customHeight="1" x14ac:dyDescent="0.25">
      <c r="BR591" s="663"/>
      <c r="BS591" s="663"/>
      <c r="BU591" s="4"/>
      <c r="BV591" s="4"/>
    </row>
    <row r="592" spans="70:74" ht="27" customHeight="1" x14ac:dyDescent="0.25">
      <c r="BR592" s="663"/>
      <c r="BS592" s="663"/>
      <c r="BU592" s="4"/>
      <c r="BV592" s="4"/>
    </row>
    <row r="593" spans="70:74" ht="27" customHeight="1" x14ac:dyDescent="0.25">
      <c r="BR593" s="663"/>
      <c r="BS593" s="663"/>
      <c r="BU593" s="4"/>
      <c r="BV593" s="4"/>
    </row>
    <row r="594" spans="70:74" ht="27" customHeight="1" x14ac:dyDescent="0.25">
      <c r="BR594" s="663"/>
      <c r="BS594" s="663"/>
      <c r="BU594" s="4"/>
      <c r="BV594" s="4"/>
    </row>
    <row r="595" spans="70:74" ht="27" customHeight="1" x14ac:dyDescent="0.25">
      <c r="BR595" s="663"/>
      <c r="BS595" s="663"/>
      <c r="BU595" s="4"/>
      <c r="BV595" s="4"/>
    </row>
    <row r="596" spans="70:74" ht="27" customHeight="1" x14ac:dyDescent="0.25">
      <c r="BR596" s="663"/>
      <c r="BS596" s="663"/>
      <c r="BU596" s="4"/>
      <c r="BV596" s="4"/>
    </row>
    <row r="597" spans="70:74" ht="27" customHeight="1" x14ac:dyDescent="0.25">
      <c r="BR597" s="663"/>
      <c r="BS597" s="663"/>
      <c r="BU597" s="4"/>
      <c r="BV597" s="4"/>
    </row>
    <row r="598" spans="70:74" ht="27" customHeight="1" x14ac:dyDescent="0.25">
      <c r="BR598" s="663"/>
      <c r="BS598" s="663"/>
      <c r="BU598" s="4"/>
      <c r="BV598" s="4"/>
    </row>
    <row r="599" spans="70:74" ht="27" customHeight="1" x14ac:dyDescent="0.25">
      <c r="BR599" s="663"/>
      <c r="BS599" s="663"/>
      <c r="BU599" s="4"/>
      <c r="BV599" s="4"/>
    </row>
    <row r="600" spans="70:74" ht="27" customHeight="1" x14ac:dyDescent="0.25">
      <c r="BR600" s="663"/>
      <c r="BS600" s="663"/>
      <c r="BU600" s="4"/>
      <c r="BV600" s="4"/>
    </row>
    <row r="601" spans="70:74" ht="27" customHeight="1" x14ac:dyDescent="0.25">
      <c r="BR601" s="663"/>
      <c r="BS601" s="663"/>
      <c r="BU601" s="4"/>
      <c r="BV601" s="4"/>
    </row>
    <row r="602" spans="70:74" ht="27" customHeight="1" x14ac:dyDescent="0.25">
      <c r="BR602" s="663"/>
      <c r="BS602" s="663"/>
      <c r="BU602" s="4"/>
      <c r="BV602" s="4"/>
    </row>
    <row r="603" spans="70:74" ht="27" customHeight="1" x14ac:dyDescent="0.25">
      <c r="BR603" s="663"/>
      <c r="BS603" s="663"/>
      <c r="BU603" s="4"/>
      <c r="BV603" s="4"/>
    </row>
    <row r="604" spans="70:74" ht="27" customHeight="1" x14ac:dyDescent="0.25">
      <c r="BR604" s="663"/>
      <c r="BS604" s="663"/>
      <c r="BU604" s="4"/>
      <c r="BV604" s="4"/>
    </row>
    <row r="605" spans="70:74" ht="27" customHeight="1" x14ac:dyDescent="0.25">
      <c r="BR605" s="663"/>
      <c r="BS605" s="663"/>
      <c r="BU605" s="4"/>
      <c r="BV605" s="4"/>
    </row>
    <row r="606" spans="70:74" ht="27" customHeight="1" x14ac:dyDescent="0.25">
      <c r="BR606" s="663"/>
      <c r="BS606" s="663"/>
      <c r="BU606" s="4"/>
      <c r="BV606" s="4"/>
    </row>
    <row r="607" spans="70:74" ht="27" customHeight="1" x14ac:dyDescent="0.25">
      <c r="BR607" s="663"/>
      <c r="BS607" s="663"/>
      <c r="BU607" s="4"/>
      <c r="BV607" s="4"/>
    </row>
    <row r="608" spans="70:74" ht="27" customHeight="1" x14ac:dyDescent="0.25">
      <c r="BR608" s="663"/>
      <c r="BS608" s="663"/>
      <c r="BU608" s="4"/>
      <c r="BV608" s="4"/>
    </row>
    <row r="609" spans="70:74" ht="27" customHeight="1" x14ac:dyDescent="0.25">
      <c r="BR609" s="663"/>
      <c r="BS609" s="663"/>
      <c r="BU609" s="4"/>
      <c r="BV609" s="4"/>
    </row>
    <row r="610" spans="70:74" ht="27" customHeight="1" x14ac:dyDescent="0.25">
      <c r="BR610" s="663"/>
      <c r="BS610" s="663"/>
      <c r="BU610" s="4"/>
      <c r="BV610" s="4"/>
    </row>
    <row r="611" spans="70:74" ht="27" customHeight="1" x14ac:dyDescent="0.25">
      <c r="BR611" s="663"/>
      <c r="BS611" s="663"/>
      <c r="BU611" s="4"/>
      <c r="BV611" s="4"/>
    </row>
    <row r="612" spans="70:74" ht="27" customHeight="1" x14ac:dyDescent="0.25">
      <c r="BR612" s="663"/>
      <c r="BS612" s="663"/>
      <c r="BU612" s="4"/>
      <c r="BV612" s="4"/>
    </row>
    <row r="613" spans="70:74" ht="27" customHeight="1" x14ac:dyDescent="0.25">
      <c r="BR613" s="663"/>
      <c r="BS613" s="663"/>
      <c r="BU613" s="4"/>
      <c r="BV613" s="4"/>
    </row>
    <row r="614" spans="70:74" ht="27" customHeight="1" x14ac:dyDescent="0.25">
      <c r="BR614" s="663"/>
      <c r="BS614" s="663"/>
      <c r="BU614" s="4"/>
      <c r="BV614" s="4"/>
    </row>
    <row r="615" spans="70:74" ht="27" customHeight="1" x14ac:dyDescent="0.25">
      <c r="BR615" s="663"/>
      <c r="BS615" s="663"/>
      <c r="BU615" s="4"/>
      <c r="BV615" s="4"/>
    </row>
    <row r="616" spans="70:74" ht="27" customHeight="1" x14ac:dyDescent="0.25">
      <c r="BR616" s="663"/>
      <c r="BS616" s="663"/>
      <c r="BU616" s="4"/>
      <c r="BV616" s="4"/>
    </row>
    <row r="617" spans="70:74" ht="27" customHeight="1" x14ac:dyDescent="0.25">
      <c r="BR617" s="663"/>
      <c r="BS617" s="663"/>
      <c r="BU617" s="4"/>
      <c r="BV617" s="4"/>
    </row>
    <row r="618" spans="70:74" ht="27" customHeight="1" x14ac:dyDescent="0.25">
      <c r="BR618" s="663"/>
      <c r="BS618" s="663"/>
      <c r="BU618" s="4"/>
      <c r="BV618" s="4"/>
    </row>
    <row r="619" spans="70:74" ht="27" customHeight="1" x14ac:dyDescent="0.25">
      <c r="BR619" s="663"/>
      <c r="BS619" s="663"/>
      <c r="BU619" s="4"/>
      <c r="BV619" s="4"/>
    </row>
    <row r="620" spans="70:74" ht="27" customHeight="1" x14ac:dyDescent="0.25">
      <c r="BR620" s="663"/>
      <c r="BS620" s="663"/>
      <c r="BU620" s="4"/>
      <c r="BV620" s="4"/>
    </row>
    <row r="621" spans="70:74" ht="27" customHeight="1" x14ac:dyDescent="0.25">
      <c r="BR621" s="663"/>
      <c r="BS621" s="663"/>
      <c r="BU621" s="4"/>
      <c r="BV621" s="4"/>
    </row>
    <row r="622" spans="70:74" ht="27" customHeight="1" x14ac:dyDescent="0.25">
      <c r="BR622" s="663"/>
      <c r="BS622" s="663"/>
      <c r="BU622" s="4"/>
      <c r="BV622" s="4"/>
    </row>
    <row r="623" spans="70:74" ht="27" customHeight="1" x14ac:dyDescent="0.25">
      <c r="BR623" s="663"/>
      <c r="BS623" s="663"/>
      <c r="BU623" s="4"/>
      <c r="BV623" s="4"/>
    </row>
    <row r="624" spans="70:74" ht="27" customHeight="1" x14ac:dyDescent="0.25">
      <c r="BR624" s="663"/>
      <c r="BS624" s="663"/>
      <c r="BU624" s="4"/>
      <c r="BV624" s="4"/>
    </row>
    <row r="625" spans="70:74" ht="27" customHeight="1" x14ac:dyDescent="0.25">
      <c r="BR625" s="663"/>
      <c r="BS625" s="663"/>
      <c r="BU625" s="4"/>
      <c r="BV625" s="4"/>
    </row>
    <row r="626" spans="70:74" ht="27" customHeight="1" x14ac:dyDescent="0.25">
      <c r="BR626" s="663"/>
      <c r="BS626" s="663"/>
      <c r="BU626" s="4"/>
      <c r="BV626" s="4"/>
    </row>
    <row r="627" spans="70:74" ht="27" customHeight="1" x14ac:dyDescent="0.25">
      <c r="BR627" s="663"/>
      <c r="BS627" s="663"/>
      <c r="BU627" s="4"/>
      <c r="BV627" s="4"/>
    </row>
    <row r="628" spans="70:74" ht="27" customHeight="1" x14ac:dyDescent="0.25">
      <c r="BR628" s="663"/>
      <c r="BS628" s="663"/>
      <c r="BU628" s="4"/>
      <c r="BV628" s="4"/>
    </row>
    <row r="629" spans="70:74" ht="27" customHeight="1" x14ac:dyDescent="0.25">
      <c r="BR629" s="663"/>
      <c r="BS629" s="663"/>
      <c r="BU629" s="4"/>
      <c r="BV629" s="4"/>
    </row>
    <row r="630" spans="70:74" ht="27" customHeight="1" x14ac:dyDescent="0.25">
      <c r="BR630" s="663"/>
      <c r="BS630" s="663"/>
      <c r="BU630" s="4"/>
      <c r="BV630" s="4"/>
    </row>
    <row r="631" spans="70:74" ht="27" customHeight="1" x14ac:dyDescent="0.25">
      <c r="BR631" s="663"/>
      <c r="BS631" s="663"/>
      <c r="BU631" s="4"/>
      <c r="BV631" s="4"/>
    </row>
    <row r="632" spans="70:74" ht="27" customHeight="1" x14ac:dyDescent="0.25">
      <c r="BR632" s="663"/>
      <c r="BS632" s="663"/>
      <c r="BU632" s="4"/>
      <c r="BV632" s="4"/>
    </row>
    <row r="633" spans="70:74" ht="27" customHeight="1" x14ac:dyDescent="0.25">
      <c r="BR633" s="663"/>
      <c r="BS633" s="663"/>
      <c r="BU633" s="4"/>
      <c r="BV633" s="4"/>
    </row>
    <row r="634" spans="70:74" ht="27" customHeight="1" x14ac:dyDescent="0.25">
      <c r="BR634" s="663"/>
      <c r="BS634" s="663"/>
      <c r="BU634" s="4"/>
      <c r="BV634" s="4"/>
    </row>
    <row r="635" spans="70:74" ht="27" customHeight="1" x14ac:dyDescent="0.25">
      <c r="BR635" s="663"/>
      <c r="BS635" s="663"/>
      <c r="BU635" s="4"/>
      <c r="BV635" s="4"/>
    </row>
    <row r="636" spans="70:74" ht="27" customHeight="1" x14ac:dyDescent="0.25">
      <c r="BR636" s="663"/>
      <c r="BS636" s="663"/>
      <c r="BU636" s="4"/>
      <c r="BV636" s="4"/>
    </row>
    <row r="637" spans="70:74" ht="27" customHeight="1" x14ac:dyDescent="0.25">
      <c r="BR637" s="663"/>
      <c r="BS637" s="663"/>
      <c r="BU637" s="4"/>
      <c r="BV637" s="4"/>
    </row>
    <row r="638" spans="70:74" ht="27" customHeight="1" x14ac:dyDescent="0.25">
      <c r="BR638" s="663"/>
      <c r="BS638" s="663"/>
      <c r="BU638" s="4"/>
      <c r="BV638" s="4"/>
    </row>
    <row r="639" spans="70:74" ht="27" customHeight="1" x14ac:dyDescent="0.25">
      <c r="BR639" s="663"/>
      <c r="BS639" s="663"/>
      <c r="BU639" s="4"/>
      <c r="BV639" s="4"/>
    </row>
    <row r="640" spans="70:74" ht="27" customHeight="1" x14ac:dyDescent="0.25">
      <c r="BR640" s="663"/>
      <c r="BS640" s="663"/>
      <c r="BU640" s="4"/>
      <c r="BV640" s="4"/>
    </row>
    <row r="641" spans="70:74" ht="27" customHeight="1" x14ac:dyDescent="0.25">
      <c r="BR641" s="663"/>
      <c r="BS641" s="663"/>
      <c r="BU641" s="4"/>
      <c r="BV641" s="4"/>
    </row>
    <row r="642" spans="70:74" ht="27" customHeight="1" x14ac:dyDescent="0.25">
      <c r="BR642" s="663"/>
      <c r="BS642" s="663"/>
      <c r="BU642" s="4"/>
      <c r="BV642" s="4"/>
    </row>
    <row r="643" spans="70:74" ht="27" customHeight="1" x14ac:dyDescent="0.25">
      <c r="BR643" s="663"/>
      <c r="BS643" s="663"/>
      <c r="BU643" s="4"/>
      <c r="BV643" s="4"/>
    </row>
    <row r="644" spans="70:74" ht="27" customHeight="1" x14ac:dyDescent="0.25">
      <c r="BR644" s="663"/>
      <c r="BS644" s="663"/>
      <c r="BU644" s="4"/>
      <c r="BV644" s="4"/>
    </row>
    <row r="645" spans="70:74" ht="27" customHeight="1" x14ac:dyDescent="0.25">
      <c r="BR645" s="663"/>
      <c r="BS645" s="663"/>
      <c r="BU645" s="4"/>
      <c r="BV645" s="4"/>
    </row>
    <row r="646" spans="70:74" ht="27" customHeight="1" x14ac:dyDescent="0.25">
      <c r="BR646" s="663"/>
      <c r="BS646" s="663"/>
      <c r="BU646" s="4"/>
      <c r="BV646" s="4"/>
    </row>
    <row r="647" spans="70:74" ht="27" customHeight="1" x14ac:dyDescent="0.25">
      <c r="BR647" s="663"/>
      <c r="BS647" s="663"/>
      <c r="BU647" s="4"/>
      <c r="BV647" s="4"/>
    </row>
    <row r="648" spans="70:74" ht="27" customHeight="1" x14ac:dyDescent="0.25">
      <c r="BR648" s="663"/>
      <c r="BS648" s="663"/>
      <c r="BU648" s="4"/>
      <c r="BV648" s="4"/>
    </row>
    <row r="649" spans="70:74" ht="27" customHeight="1" x14ac:dyDescent="0.25">
      <c r="BR649" s="663"/>
      <c r="BS649" s="663"/>
      <c r="BU649" s="4"/>
      <c r="BV649" s="4"/>
    </row>
    <row r="650" spans="70:74" ht="27" customHeight="1" x14ac:dyDescent="0.25">
      <c r="BR650" s="663"/>
      <c r="BS650" s="663"/>
      <c r="BU650" s="4"/>
      <c r="BV650" s="4"/>
    </row>
    <row r="651" spans="70:74" ht="27" customHeight="1" x14ac:dyDescent="0.25">
      <c r="BR651" s="663"/>
      <c r="BS651" s="663"/>
      <c r="BU651" s="4"/>
      <c r="BV651" s="4"/>
    </row>
    <row r="652" spans="70:74" ht="27" customHeight="1" x14ac:dyDescent="0.25">
      <c r="BR652" s="663"/>
      <c r="BS652" s="663"/>
      <c r="BU652" s="4"/>
      <c r="BV652" s="4"/>
    </row>
    <row r="653" spans="70:74" ht="27" customHeight="1" x14ac:dyDescent="0.25">
      <c r="BR653" s="663"/>
      <c r="BS653" s="663"/>
      <c r="BU653" s="4"/>
      <c r="BV653" s="4"/>
    </row>
    <row r="654" spans="70:74" ht="27" customHeight="1" x14ac:dyDescent="0.25">
      <c r="BR654" s="663"/>
      <c r="BS654" s="663"/>
      <c r="BU654" s="4"/>
      <c r="BV654" s="4"/>
    </row>
    <row r="655" spans="70:74" ht="27" customHeight="1" x14ac:dyDescent="0.25">
      <c r="BR655" s="663"/>
      <c r="BS655" s="663"/>
      <c r="BU655" s="4"/>
      <c r="BV655" s="4"/>
    </row>
    <row r="656" spans="70:74" ht="27" customHeight="1" x14ac:dyDescent="0.25">
      <c r="BR656" s="663"/>
      <c r="BS656" s="663"/>
      <c r="BU656" s="4"/>
      <c r="BV656" s="4"/>
    </row>
    <row r="657" spans="70:74" ht="27" customHeight="1" x14ac:dyDescent="0.25">
      <c r="BR657" s="663"/>
      <c r="BS657" s="663"/>
      <c r="BU657" s="4"/>
      <c r="BV657" s="4"/>
    </row>
    <row r="658" spans="70:74" ht="27" customHeight="1" x14ac:dyDescent="0.25">
      <c r="BR658" s="663"/>
      <c r="BS658" s="663"/>
      <c r="BU658" s="4"/>
      <c r="BV658" s="4"/>
    </row>
    <row r="659" spans="70:74" ht="27" customHeight="1" x14ac:dyDescent="0.25">
      <c r="BR659" s="663"/>
      <c r="BS659" s="663"/>
      <c r="BU659" s="4"/>
      <c r="BV659" s="4"/>
    </row>
    <row r="660" spans="70:74" ht="27" customHeight="1" x14ac:dyDescent="0.25">
      <c r="BR660" s="663"/>
      <c r="BS660" s="663"/>
      <c r="BU660" s="4"/>
      <c r="BV660" s="4"/>
    </row>
    <row r="661" spans="70:74" ht="27" customHeight="1" x14ac:dyDescent="0.25">
      <c r="BR661" s="663"/>
      <c r="BS661" s="663"/>
      <c r="BU661" s="4"/>
      <c r="BV661" s="4"/>
    </row>
    <row r="662" spans="70:74" ht="27" customHeight="1" x14ac:dyDescent="0.25">
      <c r="BR662" s="663"/>
      <c r="BS662" s="663"/>
      <c r="BU662" s="4"/>
      <c r="BV662" s="4"/>
    </row>
    <row r="663" spans="70:74" ht="27" customHeight="1" x14ac:dyDescent="0.25">
      <c r="BR663" s="663"/>
      <c r="BS663" s="663"/>
      <c r="BU663" s="4"/>
      <c r="BV663" s="4"/>
    </row>
    <row r="664" spans="70:74" ht="27" customHeight="1" x14ac:dyDescent="0.25">
      <c r="BR664" s="663"/>
      <c r="BS664" s="663"/>
      <c r="BU664" s="4"/>
      <c r="BV664" s="4"/>
    </row>
    <row r="665" spans="70:74" ht="27" customHeight="1" x14ac:dyDescent="0.25">
      <c r="BR665" s="663"/>
      <c r="BS665" s="663"/>
      <c r="BU665" s="4"/>
      <c r="BV665" s="4"/>
    </row>
    <row r="666" spans="70:74" ht="27" customHeight="1" x14ac:dyDescent="0.25">
      <c r="BR666" s="663"/>
      <c r="BS666" s="663"/>
      <c r="BU666" s="4"/>
      <c r="BV666" s="4"/>
    </row>
    <row r="667" spans="70:74" ht="27" customHeight="1" x14ac:dyDescent="0.25">
      <c r="BR667" s="663"/>
      <c r="BS667" s="663"/>
      <c r="BU667" s="4"/>
      <c r="BV667" s="4"/>
    </row>
    <row r="668" spans="70:74" ht="27" customHeight="1" x14ac:dyDescent="0.25">
      <c r="BR668" s="663"/>
      <c r="BS668" s="663"/>
      <c r="BU668" s="4"/>
      <c r="BV668" s="4"/>
    </row>
    <row r="669" spans="70:74" ht="27" customHeight="1" x14ac:dyDescent="0.25">
      <c r="BR669" s="663"/>
      <c r="BS669" s="663"/>
      <c r="BU669" s="4"/>
      <c r="BV669" s="4"/>
    </row>
    <row r="670" spans="70:74" ht="27" customHeight="1" x14ac:dyDescent="0.25">
      <c r="BR670" s="663"/>
      <c r="BS670" s="663"/>
      <c r="BU670" s="4"/>
      <c r="BV670" s="4"/>
    </row>
    <row r="671" spans="70:74" ht="27" customHeight="1" x14ac:dyDescent="0.25">
      <c r="BR671" s="663"/>
      <c r="BS671" s="663"/>
      <c r="BU671" s="4"/>
      <c r="BV671" s="4"/>
    </row>
    <row r="672" spans="70:74" ht="27" customHeight="1" x14ac:dyDescent="0.25">
      <c r="BR672" s="663"/>
      <c r="BS672" s="663"/>
      <c r="BU672" s="4"/>
      <c r="BV672" s="4"/>
    </row>
    <row r="673" spans="70:74" ht="27" customHeight="1" x14ac:dyDescent="0.25">
      <c r="BR673" s="663"/>
      <c r="BS673" s="663"/>
      <c r="BU673" s="4"/>
      <c r="BV673" s="4"/>
    </row>
    <row r="674" spans="70:74" ht="27" customHeight="1" x14ac:dyDescent="0.25">
      <c r="BR674" s="663"/>
      <c r="BS674" s="663"/>
      <c r="BU674" s="4"/>
      <c r="BV674" s="4"/>
    </row>
    <row r="675" spans="70:74" ht="27" customHeight="1" x14ac:dyDescent="0.25">
      <c r="BR675" s="663"/>
      <c r="BS675" s="663"/>
      <c r="BU675" s="4"/>
      <c r="BV675" s="4"/>
    </row>
    <row r="676" spans="70:74" ht="27" customHeight="1" x14ac:dyDescent="0.25">
      <c r="BR676" s="663"/>
      <c r="BS676" s="663"/>
      <c r="BU676" s="4"/>
      <c r="BV676" s="4"/>
    </row>
    <row r="677" spans="70:74" ht="27" customHeight="1" x14ac:dyDescent="0.25">
      <c r="BR677" s="663"/>
      <c r="BS677" s="663"/>
      <c r="BU677" s="4"/>
      <c r="BV677" s="4"/>
    </row>
    <row r="678" spans="70:74" ht="27" customHeight="1" x14ac:dyDescent="0.25">
      <c r="BR678" s="663"/>
      <c r="BS678" s="663"/>
      <c r="BU678" s="4"/>
      <c r="BV678" s="4"/>
    </row>
    <row r="679" spans="70:74" ht="27" customHeight="1" x14ac:dyDescent="0.25">
      <c r="BR679" s="663"/>
      <c r="BS679" s="663"/>
      <c r="BU679" s="4"/>
      <c r="BV679" s="4"/>
    </row>
    <row r="680" spans="70:74" ht="27" customHeight="1" x14ac:dyDescent="0.25">
      <c r="BR680" s="663"/>
      <c r="BS680" s="663"/>
      <c r="BU680" s="4"/>
      <c r="BV680" s="4"/>
    </row>
    <row r="681" spans="70:74" ht="27" customHeight="1" x14ac:dyDescent="0.25">
      <c r="BR681" s="663"/>
      <c r="BS681" s="663"/>
      <c r="BU681" s="4"/>
      <c r="BV681" s="4"/>
    </row>
    <row r="682" spans="70:74" ht="27" customHeight="1" x14ac:dyDescent="0.25">
      <c r="BR682" s="663"/>
      <c r="BS682" s="663"/>
      <c r="BU682" s="4"/>
      <c r="BV682" s="4"/>
    </row>
    <row r="683" spans="70:74" ht="27" customHeight="1" x14ac:dyDescent="0.25">
      <c r="BR683" s="663"/>
      <c r="BS683" s="663"/>
      <c r="BU683" s="4"/>
      <c r="BV683" s="4"/>
    </row>
    <row r="684" spans="70:74" ht="27" customHeight="1" x14ac:dyDescent="0.25">
      <c r="BR684" s="663"/>
      <c r="BS684" s="663"/>
      <c r="BU684" s="4"/>
      <c r="BV684" s="4"/>
    </row>
    <row r="685" spans="70:74" ht="27" customHeight="1" x14ac:dyDescent="0.25">
      <c r="BR685" s="663"/>
      <c r="BS685" s="663"/>
      <c r="BU685" s="4"/>
      <c r="BV685" s="4"/>
    </row>
    <row r="686" spans="70:74" ht="27" customHeight="1" x14ac:dyDescent="0.25">
      <c r="BR686" s="663"/>
      <c r="BS686" s="663"/>
      <c r="BU686" s="4"/>
      <c r="BV686" s="4"/>
    </row>
    <row r="687" spans="70:74" ht="27" customHeight="1" x14ac:dyDescent="0.25">
      <c r="BR687" s="663"/>
      <c r="BS687" s="663"/>
      <c r="BU687" s="4"/>
      <c r="BV687" s="4"/>
    </row>
    <row r="688" spans="70:74" ht="27" customHeight="1" x14ac:dyDescent="0.25">
      <c r="BR688" s="663"/>
      <c r="BS688" s="663"/>
      <c r="BU688" s="4"/>
      <c r="BV688" s="4"/>
    </row>
    <row r="689" spans="70:74" ht="27" customHeight="1" x14ac:dyDescent="0.25">
      <c r="BR689" s="663"/>
      <c r="BS689" s="663"/>
      <c r="BU689" s="4"/>
      <c r="BV689" s="4"/>
    </row>
    <row r="690" spans="70:74" ht="27" customHeight="1" x14ac:dyDescent="0.25">
      <c r="BR690" s="663"/>
      <c r="BS690" s="663"/>
      <c r="BU690" s="4"/>
      <c r="BV690" s="4"/>
    </row>
    <row r="691" spans="70:74" ht="27" customHeight="1" x14ac:dyDescent="0.25">
      <c r="BR691" s="663"/>
      <c r="BS691" s="663"/>
      <c r="BU691" s="4"/>
      <c r="BV691" s="4"/>
    </row>
    <row r="692" spans="70:74" ht="27" customHeight="1" x14ac:dyDescent="0.25">
      <c r="BR692" s="663"/>
      <c r="BS692" s="663"/>
      <c r="BU692" s="4"/>
      <c r="BV692" s="4"/>
    </row>
    <row r="693" spans="70:74" ht="27" customHeight="1" x14ac:dyDescent="0.25">
      <c r="BR693" s="663"/>
      <c r="BS693" s="663"/>
      <c r="BU693" s="4"/>
      <c r="BV693" s="4"/>
    </row>
    <row r="694" spans="70:74" ht="27" customHeight="1" x14ac:dyDescent="0.25">
      <c r="BR694" s="663"/>
      <c r="BS694" s="663"/>
      <c r="BU694" s="4"/>
      <c r="BV694" s="4"/>
    </row>
    <row r="695" spans="70:74" ht="27" customHeight="1" x14ac:dyDescent="0.25">
      <c r="BR695" s="663"/>
      <c r="BS695" s="663"/>
      <c r="BU695" s="4"/>
      <c r="BV695" s="4"/>
    </row>
    <row r="696" spans="70:74" ht="27" customHeight="1" x14ac:dyDescent="0.25">
      <c r="BR696" s="663"/>
      <c r="BS696" s="663"/>
      <c r="BU696" s="4"/>
      <c r="BV696" s="4"/>
    </row>
    <row r="697" spans="70:74" ht="27" customHeight="1" x14ac:dyDescent="0.25">
      <c r="BR697" s="663"/>
      <c r="BS697" s="663"/>
      <c r="BU697" s="4"/>
      <c r="BV697" s="4"/>
    </row>
    <row r="698" spans="70:74" ht="27" customHeight="1" x14ac:dyDescent="0.25">
      <c r="BR698" s="663"/>
      <c r="BS698" s="663"/>
      <c r="BU698" s="4"/>
      <c r="BV698" s="4"/>
    </row>
    <row r="699" spans="70:74" ht="27" customHeight="1" x14ac:dyDescent="0.25">
      <c r="BR699" s="663"/>
      <c r="BS699" s="663"/>
      <c r="BU699" s="4"/>
      <c r="BV699" s="4"/>
    </row>
    <row r="700" spans="70:74" ht="27" customHeight="1" x14ac:dyDescent="0.25">
      <c r="BR700" s="663"/>
      <c r="BS700" s="663"/>
      <c r="BU700" s="4"/>
      <c r="BV700" s="4"/>
    </row>
    <row r="701" spans="70:74" ht="27" customHeight="1" x14ac:dyDescent="0.25">
      <c r="BR701" s="663"/>
      <c r="BS701" s="663"/>
      <c r="BU701" s="4"/>
      <c r="BV701" s="4"/>
    </row>
    <row r="702" spans="70:74" ht="27" customHeight="1" x14ac:dyDescent="0.25">
      <c r="BR702" s="663"/>
      <c r="BS702" s="663"/>
      <c r="BU702" s="4"/>
      <c r="BV702" s="4"/>
    </row>
    <row r="703" spans="70:74" ht="27" customHeight="1" x14ac:dyDescent="0.25">
      <c r="BR703" s="663"/>
      <c r="BS703" s="663"/>
      <c r="BU703" s="4"/>
      <c r="BV703" s="4"/>
    </row>
    <row r="704" spans="70:74" ht="27" customHeight="1" x14ac:dyDescent="0.25">
      <c r="BR704" s="663"/>
      <c r="BS704" s="663"/>
      <c r="BU704" s="4"/>
      <c r="BV704" s="4"/>
    </row>
    <row r="705" spans="70:74" ht="27" customHeight="1" x14ac:dyDescent="0.25">
      <c r="BR705" s="663"/>
      <c r="BS705" s="663"/>
      <c r="BU705" s="4"/>
      <c r="BV705" s="4"/>
    </row>
    <row r="706" spans="70:74" ht="27" customHeight="1" x14ac:dyDescent="0.25">
      <c r="BR706" s="663"/>
      <c r="BS706" s="663"/>
      <c r="BU706" s="4"/>
      <c r="BV706" s="4"/>
    </row>
    <row r="707" spans="70:74" ht="27" customHeight="1" x14ac:dyDescent="0.25">
      <c r="BR707" s="663"/>
      <c r="BS707" s="663"/>
      <c r="BU707" s="4"/>
      <c r="BV707" s="4"/>
    </row>
    <row r="708" spans="70:74" ht="27" customHeight="1" x14ac:dyDescent="0.25">
      <c r="BR708" s="663"/>
      <c r="BS708" s="663"/>
      <c r="BU708" s="4"/>
      <c r="BV708" s="4"/>
    </row>
    <row r="709" spans="70:74" ht="27" customHeight="1" x14ac:dyDescent="0.25">
      <c r="BR709" s="663"/>
      <c r="BS709" s="663"/>
      <c r="BU709" s="4"/>
      <c r="BV709" s="4"/>
    </row>
    <row r="710" spans="70:74" ht="27" customHeight="1" x14ac:dyDescent="0.25">
      <c r="BR710" s="663"/>
      <c r="BS710" s="663"/>
      <c r="BU710" s="4"/>
      <c r="BV710" s="4"/>
    </row>
    <row r="711" spans="70:74" ht="27" customHeight="1" x14ac:dyDescent="0.25">
      <c r="BR711" s="663"/>
      <c r="BS711" s="663"/>
      <c r="BU711" s="4"/>
      <c r="BV711" s="4"/>
    </row>
    <row r="712" spans="70:74" ht="27" customHeight="1" x14ac:dyDescent="0.25">
      <c r="BR712" s="663"/>
      <c r="BS712" s="663"/>
      <c r="BU712" s="4"/>
      <c r="BV712" s="4"/>
    </row>
    <row r="713" spans="70:74" ht="27" customHeight="1" x14ac:dyDescent="0.25">
      <c r="BR713" s="663"/>
      <c r="BS713" s="663"/>
      <c r="BU713" s="4"/>
      <c r="BV713" s="4"/>
    </row>
    <row r="714" spans="70:74" ht="27" customHeight="1" x14ac:dyDescent="0.25">
      <c r="BR714" s="663"/>
      <c r="BS714" s="663"/>
      <c r="BU714" s="4"/>
      <c r="BV714" s="4"/>
    </row>
    <row r="715" spans="70:74" ht="27" customHeight="1" x14ac:dyDescent="0.25">
      <c r="BR715" s="663"/>
      <c r="BS715" s="663"/>
      <c r="BU715" s="4"/>
      <c r="BV715" s="4"/>
    </row>
    <row r="716" spans="70:74" ht="27" customHeight="1" x14ac:dyDescent="0.25">
      <c r="BR716" s="663"/>
      <c r="BS716" s="663"/>
      <c r="BU716" s="4"/>
      <c r="BV716" s="4"/>
    </row>
    <row r="717" spans="70:74" ht="27" customHeight="1" x14ac:dyDescent="0.25">
      <c r="BR717" s="663"/>
      <c r="BS717" s="663"/>
      <c r="BU717" s="4"/>
      <c r="BV717" s="4"/>
    </row>
    <row r="718" spans="70:74" ht="27" customHeight="1" x14ac:dyDescent="0.25">
      <c r="BR718" s="663"/>
      <c r="BS718" s="663"/>
      <c r="BU718" s="4"/>
      <c r="BV718" s="4"/>
    </row>
    <row r="719" spans="70:74" ht="27" customHeight="1" x14ac:dyDescent="0.25">
      <c r="BR719" s="663"/>
      <c r="BS719" s="663"/>
      <c r="BU719" s="4"/>
      <c r="BV719" s="4"/>
    </row>
    <row r="720" spans="70:74" ht="27" customHeight="1" x14ac:dyDescent="0.25">
      <c r="BR720" s="663"/>
      <c r="BS720" s="663"/>
      <c r="BU720" s="4"/>
      <c r="BV720" s="4"/>
    </row>
    <row r="721" spans="70:74" ht="27" customHeight="1" x14ac:dyDescent="0.25">
      <c r="BR721" s="663"/>
      <c r="BS721" s="663"/>
      <c r="BU721" s="4"/>
      <c r="BV721" s="4"/>
    </row>
    <row r="722" spans="70:74" ht="27" customHeight="1" x14ac:dyDescent="0.25">
      <c r="BR722" s="663"/>
      <c r="BS722" s="663"/>
      <c r="BU722" s="4"/>
      <c r="BV722" s="4"/>
    </row>
    <row r="723" spans="70:74" ht="27" customHeight="1" x14ac:dyDescent="0.25">
      <c r="BR723" s="663"/>
      <c r="BS723" s="663"/>
      <c r="BU723" s="4"/>
      <c r="BV723" s="4"/>
    </row>
    <row r="724" spans="70:74" ht="27" customHeight="1" x14ac:dyDescent="0.25">
      <c r="BR724" s="663"/>
      <c r="BS724" s="663"/>
      <c r="BU724" s="4"/>
      <c r="BV724" s="4"/>
    </row>
    <row r="725" spans="70:74" ht="27" customHeight="1" x14ac:dyDescent="0.25">
      <c r="BR725" s="663"/>
      <c r="BS725" s="663"/>
      <c r="BU725" s="4"/>
      <c r="BV725" s="4"/>
    </row>
    <row r="726" spans="70:74" ht="27" customHeight="1" x14ac:dyDescent="0.25">
      <c r="BR726" s="663"/>
      <c r="BS726" s="663"/>
      <c r="BU726" s="4"/>
      <c r="BV726" s="4"/>
    </row>
    <row r="727" spans="70:74" ht="27" customHeight="1" x14ac:dyDescent="0.25">
      <c r="BR727" s="663"/>
      <c r="BS727" s="663"/>
      <c r="BU727" s="4"/>
      <c r="BV727" s="4"/>
    </row>
    <row r="728" spans="70:74" ht="27" customHeight="1" x14ac:dyDescent="0.25">
      <c r="BR728" s="663"/>
      <c r="BS728" s="663"/>
      <c r="BU728" s="4"/>
      <c r="BV728" s="4"/>
    </row>
    <row r="729" spans="70:74" ht="27" customHeight="1" x14ac:dyDescent="0.25">
      <c r="BR729" s="663"/>
      <c r="BS729" s="663"/>
      <c r="BU729" s="4"/>
      <c r="BV729" s="4"/>
    </row>
    <row r="730" spans="70:74" ht="27" customHeight="1" x14ac:dyDescent="0.25">
      <c r="BR730" s="663"/>
      <c r="BS730" s="663"/>
      <c r="BU730" s="4"/>
      <c r="BV730" s="4"/>
    </row>
    <row r="731" spans="70:74" ht="27" customHeight="1" x14ac:dyDescent="0.25">
      <c r="BR731" s="663"/>
      <c r="BS731" s="663"/>
      <c r="BU731" s="4"/>
      <c r="BV731" s="4"/>
    </row>
    <row r="732" spans="70:74" ht="27" customHeight="1" x14ac:dyDescent="0.25">
      <c r="BR732" s="663"/>
      <c r="BS732" s="663"/>
      <c r="BU732" s="4"/>
      <c r="BV732" s="4"/>
    </row>
    <row r="733" spans="70:74" ht="27" customHeight="1" x14ac:dyDescent="0.25">
      <c r="BR733" s="663"/>
      <c r="BS733" s="663"/>
      <c r="BU733" s="4"/>
      <c r="BV733" s="4"/>
    </row>
    <row r="734" spans="70:74" ht="27" customHeight="1" x14ac:dyDescent="0.25">
      <c r="BR734" s="663"/>
      <c r="BS734" s="663"/>
      <c r="BU734" s="4"/>
      <c r="BV734" s="4"/>
    </row>
    <row r="735" spans="70:74" ht="27" customHeight="1" x14ac:dyDescent="0.25">
      <c r="BR735" s="663"/>
      <c r="BS735" s="663"/>
      <c r="BU735" s="4"/>
      <c r="BV735" s="4"/>
    </row>
    <row r="736" spans="70:74" ht="27" customHeight="1" x14ac:dyDescent="0.25">
      <c r="BR736" s="663"/>
      <c r="BS736" s="663"/>
      <c r="BU736" s="4"/>
      <c r="BV736" s="4"/>
    </row>
    <row r="737" spans="70:74" ht="27" customHeight="1" x14ac:dyDescent="0.25">
      <c r="BR737" s="663"/>
      <c r="BS737" s="663"/>
      <c r="BU737" s="4"/>
      <c r="BV737" s="4"/>
    </row>
    <row r="738" spans="70:74" ht="27" customHeight="1" x14ac:dyDescent="0.25">
      <c r="BR738" s="663"/>
      <c r="BS738" s="663"/>
      <c r="BU738" s="4"/>
      <c r="BV738" s="4"/>
    </row>
    <row r="739" spans="70:74" ht="27" customHeight="1" x14ac:dyDescent="0.25">
      <c r="BR739" s="663"/>
      <c r="BS739" s="663"/>
      <c r="BU739" s="4"/>
      <c r="BV739" s="4"/>
    </row>
    <row r="740" spans="70:74" ht="27" customHeight="1" x14ac:dyDescent="0.25">
      <c r="BR740" s="663"/>
      <c r="BS740" s="663"/>
      <c r="BU740" s="4"/>
      <c r="BV740" s="4"/>
    </row>
    <row r="741" spans="70:74" ht="27" customHeight="1" x14ac:dyDescent="0.25">
      <c r="BR741" s="663"/>
      <c r="BS741" s="663"/>
      <c r="BU741" s="4"/>
      <c r="BV741" s="4"/>
    </row>
    <row r="742" spans="70:74" ht="27" customHeight="1" x14ac:dyDescent="0.25">
      <c r="BR742" s="663"/>
      <c r="BS742" s="663"/>
      <c r="BU742" s="4"/>
      <c r="BV742" s="4"/>
    </row>
    <row r="743" spans="70:74" ht="27" customHeight="1" x14ac:dyDescent="0.25">
      <c r="BR743" s="663"/>
      <c r="BS743" s="663"/>
      <c r="BU743" s="4"/>
      <c r="BV743" s="4"/>
    </row>
    <row r="744" spans="70:74" ht="27" customHeight="1" x14ac:dyDescent="0.25">
      <c r="BR744" s="663"/>
      <c r="BS744" s="663"/>
      <c r="BU744" s="4"/>
      <c r="BV744" s="4"/>
    </row>
    <row r="745" spans="70:74" ht="27" customHeight="1" x14ac:dyDescent="0.25">
      <c r="BR745" s="663"/>
      <c r="BS745" s="663"/>
      <c r="BU745" s="4"/>
      <c r="BV745" s="4"/>
    </row>
    <row r="746" spans="70:74" ht="27" customHeight="1" x14ac:dyDescent="0.25">
      <c r="BR746" s="663"/>
      <c r="BS746" s="663"/>
      <c r="BU746" s="4"/>
      <c r="BV746" s="4"/>
    </row>
    <row r="747" spans="70:74" ht="27" customHeight="1" x14ac:dyDescent="0.25">
      <c r="BR747" s="663"/>
      <c r="BS747" s="663"/>
      <c r="BU747" s="4"/>
      <c r="BV747" s="4"/>
    </row>
    <row r="748" spans="70:74" ht="27" customHeight="1" x14ac:dyDescent="0.25">
      <c r="BR748" s="663"/>
      <c r="BS748" s="663"/>
      <c r="BU748" s="4"/>
      <c r="BV748" s="4"/>
    </row>
    <row r="749" spans="70:74" ht="27" customHeight="1" x14ac:dyDescent="0.25">
      <c r="BR749" s="663"/>
      <c r="BS749" s="663"/>
      <c r="BU749" s="4"/>
      <c r="BV749" s="4"/>
    </row>
    <row r="750" spans="70:74" ht="27" customHeight="1" x14ac:dyDescent="0.25">
      <c r="BR750" s="663"/>
      <c r="BS750" s="663"/>
      <c r="BU750" s="4"/>
      <c r="BV750" s="4"/>
    </row>
    <row r="751" spans="70:74" ht="27" customHeight="1" x14ac:dyDescent="0.25">
      <c r="BR751" s="663"/>
      <c r="BS751" s="663"/>
      <c r="BU751" s="4"/>
      <c r="BV751" s="4"/>
    </row>
    <row r="752" spans="70:74" ht="27" customHeight="1" x14ac:dyDescent="0.25">
      <c r="BR752" s="663"/>
      <c r="BS752" s="663"/>
      <c r="BU752" s="4"/>
      <c r="BV752" s="4"/>
    </row>
    <row r="753" spans="70:74" ht="27" customHeight="1" x14ac:dyDescent="0.25">
      <c r="BR753" s="663"/>
      <c r="BS753" s="663"/>
      <c r="BU753" s="4"/>
      <c r="BV753" s="4"/>
    </row>
    <row r="754" spans="70:74" ht="27" customHeight="1" x14ac:dyDescent="0.25">
      <c r="BR754" s="663"/>
      <c r="BS754" s="663"/>
      <c r="BU754" s="4"/>
      <c r="BV754" s="4"/>
    </row>
    <row r="755" spans="70:74" ht="27" customHeight="1" x14ac:dyDescent="0.25">
      <c r="BR755" s="663"/>
      <c r="BS755" s="663"/>
      <c r="BU755" s="4"/>
      <c r="BV755" s="4"/>
    </row>
    <row r="756" spans="70:74" ht="27" customHeight="1" x14ac:dyDescent="0.25">
      <c r="BR756" s="663"/>
      <c r="BS756" s="663"/>
      <c r="BU756" s="4"/>
      <c r="BV756" s="4"/>
    </row>
    <row r="757" spans="70:74" ht="27" customHeight="1" x14ac:dyDescent="0.25">
      <c r="BR757" s="663"/>
      <c r="BS757" s="663"/>
      <c r="BU757" s="4"/>
      <c r="BV757" s="4"/>
    </row>
    <row r="758" spans="70:74" ht="27" customHeight="1" x14ac:dyDescent="0.25">
      <c r="BR758" s="663"/>
      <c r="BS758" s="663"/>
      <c r="BU758" s="4"/>
      <c r="BV758" s="4"/>
    </row>
    <row r="759" spans="70:74" ht="27" customHeight="1" x14ac:dyDescent="0.25">
      <c r="BR759" s="663"/>
      <c r="BS759" s="663"/>
      <c r="BU759" s="4"/>
      <c r="BV759" s="4"/>
    </row>
    <row r="760" spans="70:74" ht="27" customHeight="1" x14ac:dyDescent="0.25">
      <c r="BR760" s="663"/>
      <c r="BS760" s="663"/>
      <c r="BU760" s="4"/>
      <c r="BV760" s="4"/>
    </row>
    <row r="761" spans="70:74" ht="27" customHeight="1" x14ac:dyDescent="0.25">
      <c r="BR761" s="663"/>
      <c r="BS761" s="663"/>
      <c r="BU761" s="4"/>
      <c r="BV761" s="4"/>
    </row>
    <row r="762" spans="70:74" ht="27" customHeight="1" x14ac:dyDescent="0.25">
      <c r="BR762" s="663"/>
      <c r="BS762" s="663"/>
      <c r="BU762" s="4"/>
      <c r="BV762" s="4"/>
    </row>
    <row r="763" spans="70:74" ht="27" customHeight="1" x14ac:dyDescent="0.25">
      <c r="BR763" s="663"/>
      <c r="BS763" s="663"/>
      <c r="BU763" s="4"/>
      <c r="BV763" s="4"/>
    </row>
    <row r="764" spans="70:74" ht="27" customHeight="1" x14ac:dyDescent="0.25">
      <c r="BR764" s="663"/>
      <c r="BS764" s="663"/>
      <c r="BU764" s="4"/>
      <c r="BV764" s="4"/>
    </row>
    <row r="765" spans="70:74" ht="27" customHeight="1" x14ac:dyDescent="0.25">
      <c r="BR765" s="663"/>
      <c r="BS765" s="663"/>
      <c r="BU765" s="4"/>
      <c r="BV765" s="4"/>
    </row>
    <row r="766" spans="70:74" ht="27" customHeight="1" x14ac:dyDescent="0.25">
      <c r="BR766" s="663"/>
      <c r="BS766" s="663"/>
      <c r="BU766" s="4"/>
      <c r="BV766" s="4"/>
    </row>
    <row r="767" spans="70:74" ht="27" customHeight="1" x14ac:dyDescent="0.25">
      <c r="BR767" s="663"/>
      <c r="BS767" s="663"/>
      <c r="BU767" s="4"/>
      <c r="BV767" s="4"/>
    </row>
    <row r="768" spans="70:74" ht="27" customHeight="1" x14ac:dyDescent="0.25">
      <c r="BR768" s="663"/>
      <c r="BS768" s="663"/>
      <c r="BU768" s="4"/>
      <c r="BV768" s="4"/>
    </row>
    <row r="769" spans="70:74" ht="27" customHeight="1" x14ac:dyDescent="0.25">
      <c r="BR769" s="663"/>
      <c r="BS769" s="663"/>
      <c r="BU769" s="4"/>
      <c r="BV769" s="4"/>
    </row>
    <row r="770" spans="70:74" ht="27" customHeight="1" x14ac:dyDescent="0.25">
      <c r="BR770" s="663"/>
      <c r="BS770" s="663"/>
      <c r="BU770" s="4"/>
      <c r="BV770" s="4"/>
    </row>
    <row r="771" spans="70:74" ht="27" customHeight="1" x14ac:dyDescent="0.25">
      <c r="BR771" s="663"/>
      <c r="BS771" s="663"/>
      <c r="BU771" s="4"/>
      <c r="BV771" s="4"/>
    </row>
    <row r="772" spans="70:74" ht="27" customHeight="1" x14ac:dyDescent="0.25">
      <c r="BR772" s="663"/>
      <c r="BS772" s="663"/>
      <c r="BU772" s="4"/>
      <c r="BV772" s="4"/>
    </row>
    <row r="773" spans="70:74" ht="27" customHeight="1" x14ac:dyDescent="0.25">
      <c r="BR773" s="663"/>
      <c r="BS773" s="663"/>
      <c r="BU773" s="4"/>
      <c r="BV773" s="4"/>
    </row>
    <row r="774" spans="70:74" ht="27" customHeight="1" x14ac:dyDescent="0.25">
      <c r="BR774" s="663"/>
      <c r="BS774" s="663"/>
      <c r="BU774" s="4"/>
      <c r="BV774" s="4"/>
    </row>
    <row r="775" spans="70:74" ht="27" customHeight="1" x14ac:dyDescent="0.25">
      <c r="BR775" s="663"/>
      <c r="BS775" s="663"/>
      <c r="BU775" s="4"/>
      <c r="BV775" s="4"/>
    </row>
    <row r="776" spans="70:74" ht="27" customHeight="1" x14ac:dyDescent="0.25">
      <c r="BR776" s="663"/>
      <c r="BS776" s="663"/>
      <c r="BU776" s="4"/>
      <c r="BV776" s="4"/>
    </row>
    <row r="777" spans="70:74" ht="27" customHeight="1" x14ac:dyDescent="0.25">
      <c r="BR777" s="663"/>
      <c r="BS777" s="663"/>
      <c r="BU777" s="4"/>
      <c r="BV777" s="4"/>
    </row>
    <row r="778" spans="70:74" ht="27" customHeight="1" x14ac:dyDescent="0.25">
      <c r="BR778" s="663"/>
      <c r="BS778" s="663"/>
      <c r="BU778" s="4"/>
      <c r="BV778" s="4"/>
    </row>
    <row r="779" spans="70:74" ht="27" customHeight="1" x14ac:dyDescent="0.25">
      <c r="BR779" s="663"/>
      <c r="BS779" s="663"/>
      <c r="BU779" s="4"/>
      <c r="BV779" s="4"/>
    </row>
    <row r="780" spans="70:74" ht="27" customHeight="1" x14ac:dyDescent="0.25">
      <c r="BR780" s="663"/>
      <c r="BS780" s="663"/>
      <c r="BU780" s="4"/>
      <c r="BV780" s="4"/>
    </row>
    <row r="781" spans="70:74" ht="27" customHeight="1" x14ac:dyDescent="0.25">
      <c r="BR781" s="663"/>
      <c r="BS781" s="663"/>
      <c r="BU781" s="4"/>
      <c r="BV781" s="4"/>
    </row>
    <row r="782" spans="70:74" ht="27" customHeight="1" x14ac:dyDescent="0.25">
      <c r="BR782" s="663"/>
      <c r="BS782" s="663"/>
      <c r="BU782" s="4"/>
      <c r="BV782" s="4"/>
    </row>
    <row r="783" spans="70:74" ht="27" customHeight="1" x14ac:dyDescent="0.25">
      <c r="BR783" s="663"/>
      <c r="BS783" s="663"/>
      <c r="BU783" s="4"/>
      <c r="BV783" s="4"/>
    </row>
    <row r="784" spans="70:74" ht="27" customHeight="1" x14ac:dyDescent="0.25">
      <c r="BR784" s="663"/>
      <c r="BS784" s="663"/>
      <c r="BU784" s="4"/>
      <c r="BV784" s="4"/>
    </row>
    <row r="785" spans="70:74" ht="27" customHeight="1" x14ac:dyDescent="0.25">
      <c r="BR785" s="663"/>
      <c r="BS785" s="663"/>
      <c r="BU785" s="4"/>
      <c r="BV785" s="4"/>
    </row>
    <row r="786" spans="70:74" ht="27" customHeight="1" x14ac:dyDescent="0.25">
      <c r="BR786" s="663"/>
      <c r="BS786" s="663"/>
      <c r="BU786" s="4"/>
      <c r="BV786" s="4"/>
    </row>
    <row r="787" spans="70:74" ht="27" customHeight="1" x14ac:dyDescent="0.25">
      <c r="BR787" s="663"/>
      <c r="BS787" s="663"/>
      <c r="BU787" s="4"/>
      <c r="BV787" s="4"/>
    </row>
    <row r="788" spans="70:74" ht="27" customHeight="1" x14ac:dyDescent="0.25">
      <c r="BR788" s="663"/>
      <c r="BS788" s="663"/>
      <c r="BU788" s="4"/>
      <c r="BV788" s="4"/>
    </row>
    <row r="789" spans="70:74" ht="27" customHeight="1" x14ac:dyDescent="0.25">
      <c r="BR789" s="663"/>
      <c r="BS789" s="663"/>
      <c r="BU789" s="4"/>
      <c r="BV789" s="4"/>
    </row>
    <row r="790" spans="70:74" ht="27" customHeight="1" x14ac:dyDescent="0.25">
      <c r="BR790" s="663"/>
      <c r="BS790" s="663"/>
      <c r="BU790" s="4"/>
      <c r="BV790" s="4"/>
    </row>
    <row r="791" spans="70:74" ht="27" customHeight="1" x14ac:dyDescent="0.25">
      <c r="BR791" s="663"/>
      <c r="BS791" s="663"/>
      <c r="BU791" s="4"/>
      <c r="BV791" s="4"/>
    </row>
    <row r="792" spans="70:74" ht="27" customHeight="1" x14ac:dyDescent="0.25">
      <c r="BR792" s="663"/>
      <c r="BS792" s="663"/>
      <c r="BU792" s="4"/>
      <c r="BV792" s="4"/>
    </row>
    <row r="793" spans="70:74" ht="27" customHeight="1" x14ac:dyDescent="0.25">
      <c r="BR793" s="663"/>
      <c r="BS793" s="663"/>
      <c r="BU793" s="4"/>
      <c r="BV793" s="4"/>
    </row>
    <row r="794" spans="70:74" ht="27" customHeight="1" x14ac:dyDescent="0.25">
      <c r="BR794" s="663"/>
      <c r="BS794" s="663"/>
      <c r="BU794" s="4"/>
      <c r="BV794" s="4"/>
    </row>
    <row r="795" spans="70:74" ht="27" customHeight="1" x14ac:dyDescent="0.25">
      <c r="BR795" s="663"/>
      <c r="BS795" s="663"/>
      <c r="BU795" s="4"/>
      <c r="BV795" s="4"/>
    </row>
    <row r="796" spans="70:74" ht="27" customHeight="1" x14ac:dyDescent="0.25">
      <c r="BR796" s="663"/>
      <c r="BS796" s="663"/>
      <c r="BU796" s="4"/>
      <c r="BV796" s="4"/>
    </row>
    <row r="797" spans="70:74" ht="27" customHeight="1" x14ac:dyDescent="0.25">
      <c r="BR797" s="663"/>
      <c r="BS797" s="663"/>
      <c r="BU797" s="4"/>
      <c r="BV797" s="4"/>
    </row>
    <row r="798" spans="70:74" ht="27" customHeight="1" x14ac:dyDescent="0.25">
      <c r="BR798" s="663"/>
      <c r="BS798" s="663"/>
      <c r="BU798" s="4"/>
      <c r="BV798" s="4"/>
    </row>
    <row r="799" spans="70:74" ht="27" customHeight="1" x14ac:dyDescent="0.25">
      <c r="BR799" s="663"/>
      <c r="BS799" s="663"/>
      <c r="BU799" s="4"/>
      <c r="BV799" s="4"/>
    </row>
    <row r="800" spans="70:74" ht="27" customHeight="1" x14ac:dyDescent="0.25">
      <c r="BR800" s="663"/>
      <c r="BS800" s="663"/>
      <c r="BU800" s="4"/>
      <c r="BV800" s="4"/>
    </row>
    <row r="801" spans="70:74" ht="27" customHeight="1" x14ac:dyDescent="0.25">
      <c r="BR801" s="663"/>
      <c r="BS801" s="663"/>
      <c r="BU801" s="4"/>
      <c r="BV801" s="4"/>
    </row>
    <row r="802" spans="70:74" ht="27" customHeight="1" x14ac:dyDescent="0.25">
      <c r="BR802" s="663"/>
      <c r="BS802" s="663"/>
      <c r="BU802" s="4"/>
      <c r="BV802" s="4"/>
    </row>
    <row r="803" spans="70:74" ht="27" customHeight="1" x14ac:dyDescent="0.25">
      <c r="BR803" s="663"/>
      <c r="BS803" s="663"/>
      <c r="BU803" s="4"/>
      <c r="BV803" s="4"/>
    </row>
    <row r="804" spans="70:74" ht="27" customHeight="1" x14ac:dyDescent="0.25">
      <c r="BR804" s="663"/>
      <c r="BS804" s="663"/>
      <c r="BU804" s="4"/>
      <c r="BV804" s="4"/>
    </row>
    <row r="805" spans="70:74" ht="27" customHeight="1" x14ac:dyDescent="0.25">
      <c r="BR805" s="663"/>
      <c r="BS805" s="663"/>
      <c r="BU805" s="4"/>
      <c r="BV805" s="4"/>
    </row>
    <row r="806" spans="70:74" ht="27" customHeight="1" x14ac:dyDescent="0.25">
      <c r="BR806" s="663"/>
      <c r="BS806" s="663"/>
      <c r="BU806" s="4"/>
      <c r="BV806" s="4"/>
    </row>
    <row r="807" spans="70:74" ht="27" customHeight="1" x14ac:dyDescent="0.25">
      <c r="BR807" s="663"/>
      <c r="BS807" s="663"/>
      <c r="BU807" s="4"/>
      <c r="BV807" s="4"/>
    </row>
    <row r="808" spans="70:74" ht="27" customHeight="1" x14ac:dyDescent="0.25">
      <c r="BR808" s="663"/>
      <c r="BS808" s="663"/>
      <c r="BU808" s="4"/>
      <c r="BV808" s="4"/>
    </row>
    <row r="809" spans="70:74" ht="27" customHeight="1" x14ac:dyDescent="0.25">
      <c r="BR809" s="663"/>
      <c r="BS809" s="663"/>
      <c r="BU809" s="4"/>
      <c r="BV809" s="4"/>
    </row>
    <row r="810" spans="70:74" ht="27" customHeight="1" x14ac:dyDescent="0.25">
      <c r="BR810" s="663"/>
      <c r="BS810" s="663"/>
      <c r="BU810" s="4"/>
      <c r="BV810" s="4"/>
    </row>
    <row r="811" spans="70:74" ht="27" customHeight="1" x14ac:dyDescent="0.25">
      <c r="BR811" s="663"/>
      <c r="BS811" s="663"/>
      <c r="BU811" s="4"/>
      <c r="BV811" s="4"/>
    </row>
    <row r="812" spans="70:74" ht="27" customHeight="1" x14ac:dyDescent="0.25">
      <c r="BR812" s="663"/>
      <c r="BS812" s="663"/>
      <c r="BU812" s="4"/>
      <c r="BV812" s="4"/>
    </row>
    <row r="813" spans="70:74" ht="27" customHeight="1" x14ac:dyDescent="0.25">
      <c r="BR813" s="663"/>
      <c r="BS813" s="663"/>
      <c r="BU813" s="4"/>
      <c r="BV813" s="4"/>
    </row>
    <row r="814" spans="70:74" ht="27" customHeight="1" x14ac:dyDescent="0.25">
      <c r="BR814" s="663"/>
      <c r="BS814" s="663"/>
      <c r="BU814" s="4"/>
      <c r="BV814" s="4"/>
    </row>
    <row r="815" spans="70:74" ht="27" customHeight="1" x14ac:dyDescent="0.25">
      <c r="BR815" s="663"/>
      <c r="BS815" s="663"/>
      <c r="BU815" s="4"/>
      <c r="BV815" s="4"/>
    </row>
    <row r="816" spans="70:74" ht="27" customHeight="1" x14ac:dyDescent="0.25">
      <c r="BR816" s="663"/>
      <c r="BS816" s="663"/>
      <c r="BU816" s="4"/>
      <c r="BV816" s="4"/>
    </row>
    <row r="817" spans="70:74" ht="27" customHeight="1" x14ac:dyDescent="0.25">
      <c r="BR817" s="663"/>
      <c r="BS817" s="663"/>
      <c r="BU817" s="4"/>
      <c r="BV817" s="4"/>
    </row>
    <row r="818" spans="70:74" ht="27" customHeight="1" x14ac:dyDescent="0.25">
      <c r="BR818" s="663"/>
      <c r="BS818" s="663"/>
      <c r="BU818" s="4"/>
      <c r="BV818" s="4"/>
    </row>
    <row r="819" spans="70:74" ht="27" customHeight="1" x14ac:dyDescent="0.25">
      <c r="BR819" s="663"/>
      <c r="BS819" s="663"/>
      <c r="BU819" s="4"/>
      <c r="BV819" s="4"/>
    </row>
    <row r="820" spans="70:74" ht="27" customHeight="1" x14ac:dyDescent="0.25">
      <c r="BR820" s="663"/>
      <c r="BS820" s="663"/>
      <c r="BU820" s="4"/>
      <c r="BV820" s="4"/>
    </row>
    <row r="821" spans="70:74" ht="27" customHeight="1" x14ac:dyDescent="0.25">
      <c r="BR821" s="663"/>
      <c r="BS821" s="663"/>
      <c r="BU821" s="4"/>
      <c r="BV821" s="4"/>
    </row>
    <row r="822" spans="70:74" ht="27" customHeight="1" x14ac:dyDescent="0.25">
      <c r="BR822" s="663"/>
      <c r="BS822" s="663"/>
      <c r="BU822" s="4"/>
      <c r="BV822" s="4"/>
    </row>
    <row r="823" spans="70:74" ht="27" customHeight="1" x14ac:dyDescent="0.25">
      <c r="BR823" s="663"/>
      <c r="BS823" s="663"/>
      <c r="BU823" s="4"/>
      <c r="BV823" s="4"/>
    </row>
    <row r="824" spans="70:74" ht="27" customHeight="1" x14ac:dyDescent="0.25">
      <c r="BR824" s="663"/>
      <c r="BS824" s="663"/>
      <c r="BU824" s="4"/>
      <c r="BV824" s="4"/>
    </row>
    <row r="825" spans="70:74" ht="27" customHeight="1" x14ac:dyDescent="0.25">
      <c r="BR825" s="663"/>
      <c r="BS825" s="663"/>
      <c r="BU825" s="4"/>
      <c r="BV825" s="4"/>
    </row>
    <row r="826" spans="70:74" ht="27" customHeight="1" x14ac:dyDescent="0.25">
      <c r="BR826" s="663"/>
      <c r="BS826" s="663"/>
      <c r="BU826" s="4"/>
      <c r="BV826" s="4"/>
    </row>
    <row r="827" spans="70:74" ht="27" customHeight="1" x14ac:dyDescent="0.25">
      <c r="BR827" s="663"/>
      <c r="BS827" s="663"/>
      <c r="BU827" s="4"/>
      <c r="BV827" s="4"/>
    </row>
    <row r="828" spans="70:74" ht="27" customHeight="1" x14ac:dyDescent="0.25">
      <c r="BR828" s="663"/>
      <c r="BS828" s="663"/>
      <c r="BU828" s="4"/>
      <c r="BV828" s="4"/>
    </row>
    <row r="829" spans="70:74" ht="27" customHeight="1" x14ac:dyDescent="0.25">
      <c r="BR829" s="663"/>
      <c r="BS829" s="663"/>
      <c r="BU829" s="4"/>
      <c r="BV829" s="4"/>
    </row>
    <row r="830" spans="70:74" ht="27" customHeight="1" x14ac:dyDescent="0.25">
      <c r="BR830" s="663"/>
      <c r="BS830" s="663"/>
      <c r="BU830" s="4"/>
      <c r="BV830" s="4"/>
    </row>
    <row r="831" spans="70:74" ht="27" customHeight="1" x14ac:dyDescent="0.25">
      <c r="BR831" s="663"/>
      <c r="BS831" s="663"/>
      <c r="BU831" s="4"/>
      <c r="BV831" s="4"/>
    </row>
    <row r="832" spans="70:74" ht="27" customHeight="1" x14ac:dyDescent="0.25">
      <c r="BR832" s="663"/>
      <c r="BS832" s="663"/>
      <c r="BU832" s="4"/>
      <c r="BV832" s="4"/>
    </row>
    <row r="833" spans="70:74" ht="27" customHeight="1" x14ac:dyDescent="0.25">
      <c r="BR833" s="663"/>
      <c r="BS833" s="663"/>
      <c r="BU833" s="4"/>
      <c r="BV833" s="4"/>
    </row>
    <row r="834" spans="70:74" ht="27" customHeight="1" x14ac:dyDescent="0.25">
      <c r="BR834" s="663"/>
      <c r="BS834" s="663"/>
      <c r="BU834" s="4"/>
      <c r="BV834" s="4"/>
    </row>
    <row r="835" spans="70:74" ht="27" customHeight="1" x14ac:dyDescent="0.25">
      <c r="BR835" s="663"/>
      <c r="BS835" s="663"/>
      <c r="BU835" s="4"/>
      <c r="BV835" s="4"/>
    </row>
    <row r="836" spans="70:74" ht="27" customHeight="1" x14ac:dyDescent="0.25">
      <c r="BR836" s="663"/>
      <c r="BS836" s="663"/>
      <c r="BU836" s="4"/>
      <c r="BV836" s="4"/>
    </row>
    <row r="837" spans="70:74" ht="27" customHeight="1" x14ac:dyDescent="0.25">
      <c r="BR837" s="663"/>
      <c r="BS837" s="663"/>
      <c r="BU837" s="4"/>
      <c r="BV837" s="4"/>
    </row>
    <row r="838" spans="70:74" ht="27" customHeight="1" x14ac:dyDescent="0.25">
      <c r="BR838" s="663"/>
      <c r="BS838" s="663"/>
      <c r="BU838" s="4"/>
      <c r="BV838" s="4"/>
    </row>
    <row r="839" spans="70:74" ht="27" customHeight="1" x14ac:dyDescent="0.25">
      <c r="BR839" s="663"/>
      <c r="BS839" s="663"/>
      <c r="BU839" s="4"/>
      <c r="BV839" s="4"/>
    </row>
    <row r="840" spans="70:74" ht="27" customHeight="1" x14ac:dyDescent="0.25">
      <c r="BR840" s="663"/>
      <c r="BS840" s="663"/>
      <c r="BU840" s="4"/>
      <c r="BV840" s="4"/>
    </row>
    <row r="841" spans="70:74" ht="27" customHeight="1" x14ac:dyDescent="0.25">
      <c r="BR841" s="663"/>
      <c r="BS841" s="663"/>
      <c r="BU841" s="4"/>
      <c r="BV841" s="4"/>
    </row>
    <row r="842" spans="70:74" ht="27" customHeight="1" x14ac:dyDescent="0.25">
      <c r="BR842" s="663"/>
      <c r="BS842" s="663"/>
      <c r="BU842" s="4"/>
      <c r="BV842" s="4"/>
    </row>
    <row r="843" spans="70:74" ht="27" customHeight="1" x14ac:dyDescent="0.25">
      <c r="BR843" s="663"/>
      <c r="BS843" s="663"/>
      <c r="BU843" s="4"/>
      <c r="BV843" s="4"/>
    </row>
    <row r="844" spans="70:74" ht="27" customHeight="1" x14ac:dyDescent="0.25">
      <c r="BR844" s="663"/>
      <c r="BS844" s="663"/>
      <c r="BU844" s="4"/>
      <c r="BV844" s="4"/>
    </row>
    <row r="845" spans="70:74" ht="27" customHeight="1" x14ac:dyDescent="0.25">
      <c r="BR845" s="663"/>
      <c r="BS845" s="663"/>
      <c r="BU845" s="4"/>
      <c r="BV845" s="4"/>
    </row>
    <row r="846" spans="70:74" ht="27" customHeight="1" x14ac:dyDescent="0.25">
      <c r="BR846" s="663"/>
      <c r="BS846" s="663"/>
      <c r="BU846" s="4"/>
      <c r="BV846" s="4"/>
    </row>
    <row r="847" spans="70:74" ht="27" customHeight="1" x14ac:dyDescent="0.25">
      <c r="BR847" s="663"/>
      <c r="BS847" s="663"/>
      <c r="BU847" s="4"/>
      <c r="BV847" s="4"/>
    </row>
    <row r="848" spans="70:74" ht="27" customHeight="1" x14ac:dyDescent="0.25">
      <c r="BR848" s="663"/>
      <c r="BS848" s="663"/>
      <c r="BU848" s="4"/>
      <c r="BV848" s="4"/>
    </row>
    <row r="849" spans="70:74" ht="27" customHeight="1" x14ac:dyDescent="0.25">
      <c r="BR849" s="663"/>
      <c r="BS849" s="663"/>
      <c r="BU849" s="4"/>
      <c r="BV849" s="4"/>
    </row>
    <row r="850" spans="70:74" ht="27" customHeight="1" x14ac:dyDescent="0.25">
      <c r="BR850" s="663"/>
      <c r="BS850" s="663"/>
      <c r="BU850" s="4"/>
      <c r="BV850" s="4"/>
    </row>
    <row r="851" spans="70:74" ht="27" customHeight="1" x14ac:dyDescent="0.25">
      <c r="BR851" s="663"/>
      <c r="BS851" s="663"/>
      <c r="BU851" s="4"/>
      <c r="BV851" s="4"/>
    </row>
    <row r="852" spans="70:74" ht="27" customHeight="1" x14ac:dyDescent="0.25">
      <c r="BR852" s="663"/>
      <c r="BS852" s="663"/>
      <c r="BU852" s="4"/>
      <c r="BV852" s="4"/>
    </row>
    <row r="853" spans="70:74" ht="27" customHeight="1" x14ac:dyDescent="0.25">
      <c r="BR853" s="663"/>
      <c r="BS853" s="663"/>
      <c r="BU853" s="4"/>
      <c r="BV853" s="4"/>
    </row>
    <row r="854" spans="70:74" ht="27" customHeight="1" x14ac:dyDescent="0.25">
      <c r="BR854" s="663"/>
      <c r="BS854" s="663"/>
      <c r="BU854" s="4"/>
      <c r="BV854" s="4"/>
    </row>
    <row r="855" spans="70:74" ht="27" customHeight="1" x14ac:dyDescent="0.25">
      <c r="BR855" s="663"/>
      <c r="BS855" s="663"/>
      <c r="BU855" s="4"/>
      <c r="BV855" s="4"/>
    </row>
    <row r="856" spans="70:74" ht="27" customHeight="1" x14ac:dyDescent="0.25">
      <c r="BR856" s="663"/>
      <c r="BS856" s="663"/>
      <c r="BU856" s="4"/>
      <c r="BV856" s="4"/>
    </row>
    <row r="857" spans="70:74" ht="27" customHeight="1" x14ac:dyDescent="0.25">
      <c r="BR857" s="663"/>
      <c r="BS857" s="663"/>
      <c r="BU857" s="4"/>
      <c r="BV857" s="4"/>
    </row>
    <row r="858" spans="70:74" ht="27" customHeight="1" x14ac:dyDescent="0.25">
      <c r="BR858" s="663"/>
      <c r="BS858" s="663"/>
      <c r="BU858" s="4"/>
      <c r="BV858" s="4"/>
    </row>
    <row r="859" spans="70:74" ht="27" customHeight="1" x14ac:dyDescent="0.25">
      <c r="BR859" s="663"/>
      <c r="BS859" s="663"/>
      <c r="BU859" s="4"/>
      <c r="BV859" s="4"/>
    </row>
    <row r="860" spans="70:74" ht="27" customHeight="1" x14ac:dyDescent="0.25">
      <c r="BR860" s="663"/>
      <c r="BS860" s="663"/>
      <c r="BU860" s="4"/>
      <c r="BV860" s="4"/>
    </row>
    <row r="861" spans="70:74" ht="27" customHeight="1" x14ac:dyDescent="0.25">
      <c r="BR861" s="663"/>
      <c r="BS861" s="663"/>
      <c r="BU861" s="4"/>
      <c r="BV861" s="4"/>
    </row>
    <row r="862" spans="70:74" ht="27" customHeight="1" x14ac:dyDescent="0.25">
      <c r="BR862" s="663"/>
      <c r="BS862" s="663"/>
      <c r="BU862" s="4"/>
      <c r="BV862" s="4"/>
    </row>
    <row r="863" spans="70:74" ht="27" customHeight="1" x14ac:dyDescent="0.25">
      <c r="BR863" s="663"/>
      <c r="BS863" s="663"/>
      <c r="BU863" s="4"/>
      <c r="BV863" s="4"/>
    </row>
    <row r="864" spans="70:74" ht="27" customHeight="1" x14ac:dyDescent="0.25">
      <c r="BR864" s="663"/>
      <c r="BS864" s="663"/>
      <c r="BU864" s="4"/>
      <c r="BV864" s="4"/>
    </row>
    <row r="865" spans="70:74" ht="27" customHeight="1" x14ac:dyDescent="0.25">
      <c r="BR865" s="663"/>
      <c r="BS865" s="663"/>
      <c r="BU865" s="4"/>
      <c r="BV865" s="4"/>
    </row>
    <row r="866" spans="70:74" ht="27" customHeight="1" x14ac:dyDescent="0.25">
      <c r="BR866" s="663"/>
      <c r="BS866" s="663"/>
      <c r="BU866" s="4"/>
      <c r="BV866" s="4"/>
    </row>
    <row r="867" spans="70:74" ht="27" customHeight="1" x14ac:dyDescent="0.25">
      <c r="BR867" s="663"/>
      <c r="BS867" s="663"/>
      <c r="BU867" s="4"/>
      <c r="BV867" s="4"/>
    </row>
    <row r="868" spans="70:74" ht="27" customHeight="1" x14ac:dyDescent="0.25">
      <c r="BR868" s="663"/>
      <c r="BS868" s="663"/>
      <c r="BU868" s="4"/>
      <c r="BV868" s="4"/>
    </row>
    <row r="869" spans="70:74" ht="27" customHeight="1" x14ac:dyDescent="0.25">
      <c r="BR869" s="663"/>
      <c r="BS869" s="663"/>
      <c r="BU869" s="4"/>
      <c r="BV869" s="4"/>
    </row>
    <row r="870" spans="70:74" ht="27" customHeight="1" x14ac:dyDescent="0.25">
      <c r="BR870" s="663"/>
      <c r="BS870" s="663"/>
      <c r="BU870" s="4"/>
      <c r="BV870" s="4"/>
    </row>
    <row r="871" spans="70:74" ht="27" customHeight="1" x14ac:dyDescent="0.25">
      <c r="BR871" s="663"/>
      <c r="BS871" s="663"/>
      <c r="BU871" s="4"/>
      <c r="BV871" s="4"/>
    </row>
    <row r="872" spans="70:74" ht="27" customHeight="1" x14ac:dyDescent="0.25">
      <c r="BR872" s="663"/>
      <c r="BS872" s="663"/>
      <c r="BU872" s="4"/>
      <c r="BV872" s="4"/>
    </row>
    <row r="873" spans="70:74" ht="27" customHeight="1" x14ac:dyDescent="0.25">
      <c r="BR873" s="663"/>
      <c r="BS873" s="663"/>
      <c r="BU873" s="4"/>
      <c r="BV873" s="4"/>
    </row>
    <row r="874" spans="70:74" ht="27" customHeight="1" x14ac:dyDescent="0.25">
      <c r="BR874" s="663"/>
      <c r="BS874" s="663"/>
      <c r="BU874" s="4"/>
      <c r="BV874" s="4"/>
    </row>
    <row r="875" spans="70:74" ht="27" customHeight="1" x14ac:dyDescent="0.25">
      <c r="BR875" s="663"/>
      <c r="BS875" s="663"/>
      <c r="BU875" s="4"/>
      <c r="BV875" s="4"/>
    </row>
    <row r="876" spans="70:74" ht="27" customHeight="1" x14ac:dyDescent="0.25">
      <c r="BR876" s="663"/>
      <c r="BS876" s="663"/>
      <c r="BU876" s="4"/>
      <c r="BV876" s="4"/>
    </row>
    <row r="877" spans="70:74" ht="27" customHeight="1" x14ac:dyDescent="0.25">
      <c r="BR877" s="663"/>
      <c r="BS877" s="663"/>
      <c r="BU877" s="4"/>
      <c r="BV877" s="4"/>
    </row>
    <row r="878" spans="70:74" ht="27" customHeight="1" x14ac:dyDescent="0.25">
      <c r="BR878" s="663"/>
      <c r="BS878" s="663"/>
      <c r="BU878" s="4"/>
      <c r="BV878" s="4"/>
    </row>
    <row r="879" spans="70:74" ht="27" customHeight="1" x14ac:dyDescent="0.25">
      <c r="BR879" s="663"/>
      <c r="BS879" s="663"/>
      <c r="BU879" s="4"/>
      <c r="BV879" s="4"/>
    </row>
    <row r="880" spans="70:74" ht="27" customHeight="1" x14ac:dyDescent="0.25">
      <c r="BR880" s="663"/>
      <c r="BS880" s="663"/>
      <c r="BU880" s="4"/>
      <c r="BV880" s="4"/>
    </row>
    <row r="881" spans="70:74" ht="27" customHeight="1" x14ac:dyDescent="0.25">
      <c r="BR881" s="663"/>
      <c r="BS881" s="663"/>
      <c r="BU881" s="4"/>
      <c r="BV881" s="4"/>
    </row>
    <row r="882" spans="70:74" ht="27" customHeight="1" x14ac:dyDescent="0.25">
      <c r="BR882" s="663"/>
      <c r="BS882" s="663"/>
      <c r="BU882" s="4"/>
      <c r="BV882" s="4"/>
    </row>
    <row r="883" spans="70:74" ht="27" customHeight="1" x14ac:dyDescent="0.25">
      <c r="BR883" s="663"/>
      <c r="BS883" s="663"/>
      <c r="BU883" s="4"/>
      <c r="BV883" s="4"/>
    </row>
    <row r="884" spans="70:74" ht="27" customHeight="1" x14ac:dyDescent="0.25">
      <c r="BR884" s="663"/>
      <c r="BS884" s="663"/>
      <c r="BU884" s="4"/>
      <c r="BV884" s="4"/>
    </row>
    <row r="885" spans="70:74" ht="27" customHeight="1" x14ac:dyDescent="0.25">
      <c r="BR885" s="663"/>
      <c r="BS885" s="663"/>
      <c r="BU885" s="4"/>
      <c r="BV885" s="4"/>
    </row>
    <row r="886" spans="70:74" ht="27" customHeight="1" x14ac:dyDescent="0.25">
      <c r="BR886" s="663"/>
      <c r="BS886" s="663"/>
      <c r="BU886" s="4"/>
      <c r="BV886" s="4"/>
    </row>
    <row r="887" spans="70:74" ht="27" customHeight="1" x14ac:dyDescent="0.25">
      <c r="BR887" s="663"/>
      <c r="BS887" s="663"/>
      <c r="BU887" s="4"/>
      <c r="BV887" s="4"/>
    </row>
    <row r="888" spans="70:74" ht="27" customHeight="1" x14ac:dyDescent="0.25">
      <c r="BR888" s="663"/>
      <c r="BS888" s="663"/>
      <c r="BU888" s="4"/>
      <c r="BV888" s="4"/>
    </row>
    <row r="889" spans="70:74" ht="27" customHeight="1" x14ac:dyDescent="0.25">
      <c r="BR889" s="663"/>
      <c r="BS889" s="663"/>
      <c r="BU889" s="4"/>
      <c r="BV889" s="4"/>
    </row>
    <row r="890" spans="70:74" ht="27" customHeight="1" x14ac:dyDescent="0.25">
      <c r="BR890" s="663"/>
      <c r="BS890" s="663"/>
      <c r="BU890" s="4"/>
      <c r="BV890" s="4"/>
    </row>
    <row r="891" spans="70:74" ht="27" customHeight="1" x14ac:dyDescent="0.25">
      <c r="BR891" s="663"/>
      <c r="BS891" s="663"/>
      <c r="BU891" s="4"/>
      <c r="BV891" s="4"/>
    </row>
    <row r="892" spans="70:74" ht="27" customHeight="1" x14ac:dyDescent="0.25">
      <c r="BR892" s="663"/>
      <c r="BS892" s="663"/>
      <c r="BU892" s="4"/>
      <c r="BV892" s="4"/>
    </row>
    <row r="893" spans="70:74" ht="27" customHeight="1" x14ac:dyDescent="0.25">
      <c r="BR893" s="663"/>
      <c r="BS893" s="663"/>
      <c r="BU893" s="4"/>
      <c r="BV893" s="4"/>
    </row>
    <row r="894" spans="70:74" ht="27" customHeight="1" x14ac:dyDescent="0.25">
      <c r="BR894" s="663"/>
      <c r="BS894" s="663"/>
      <c r="BU894" s="4"/>
      <c r="BV894" s="4"/>
    </row>
    <row r="895" spans="70:74" ht="27" customHeight="1" x14ac:dyDescent="0.25">
      <c r="BR895" s="663"/>
      <c r="BS895" s="663"/>
      <c r="BU895" s="4"/>
      <c r="BV895" s="4"/>
    </row>
    <row r="896" spans="70:74" ht="27" customHeight="1" x14ac:dyDescent="0.25">
      <c r="BR896" s="663"/>
      <c r="BS896" s="663"/>
      <c r="BU896" s="4"/>
      <c r="BV896" s="4"/>
    </row>
    <row r="897" spans="70:74" ht="27" customHeight="1" x14ac:dyDescent="0.25">
      <c r="BR897" s="663"/>
      <c r="BS897" s="663"/>
      <c r="BU897" s="4"/>
      <c r="BV897" s="4"/>
    </row>
    <row r="898" spans="70:74" ht="27" customHeight="1" x14ac:dyDescent="0.25">
      <c r="BR898" s="663"/>
      <c r="BS898" s="663"/>
      <c r="BU898" s="4"/>
      <c r="BV898" s="4"/>
    </row>
    <row r="899" spans="70:74" ht="27" customHeight="1" x14ac:dyDescent="0.25">
      <c r="BR899" s="663"/>
      <c r="BS899" s="663"/>
      <c r="BU899" s="4"/>
      <c r="BV899" s="4"/>
    </row>
    <row r="900" spans="70:74" ht="27" customHeight="1" x14ac:dyDescent="0.25">
      <c r="BR900" s="663"/>
      <c r="BS900" s="663"/>
      <c r="BU900" s="4"/>
      <c r="BV900" s="4"/>
    </row>
    <row r="901" spans="70:74" ht="27" customHeight="1" x14ac:dyDescent="0.25">
      <c r="BR901" s="663"/>
      <c r="BS901" s="663"/>
      <c r="BU901" s="4"/>
      <c r="BV901" s="4"/>
    </row>
    <row r="902" spans="70:74" ht="27" customHeight="1" x14ac:dyDescent="0.25">
      <c r="BR902" s="663"/>
      <c r="BS902" s="663"/>
      <c r="BU902" s="4"/>
      <c r="BV902" s="4"/>
    </row>
    <row r="903" spans="70:74" ht="27" customHeight="1" x14ac:dyDescent="0.25">
      <c r="BR903" s="663"/>
      <c r="BS903" s="663"/>
      <c r="BU903" s="4"/>
      <c r="BV903" s="4"/>
    </row>
    <row r="904" spans="70:74" ht="27" customHeight="1" x14ac:dyDescent="0.25">
      <c r="BR904" s="663"/>
      <c r="BS904" s="663"/>
      <c r="BU904" s="4"/>
      <c r="BV904" s="4"/>
    </row>
    <row r="905" spans="70:74" ht="27" customHeight="1" x14ac:dyDescent="0.25">
      <c r="BR905" s="663"/>
      <c r="BS905" s="663"/>
      <c r="BU905" s="4"/>
      <c r="BV905" s="4"/>
    </row>
    <row r="906" spans="70:74" ht="27" customHeight="1" x14ac:dyDescent="0.25">
      <c r="BR906" s="663"/>
      <c r="BS906" s="663"/>
      <c r="BU906" s="4"/>
      <c r="BV906" s="4"/>
    </row>
    <row r="907" spans="70:74" ht="27" customHeight="1" x14ac:dyDescent="0.25">
      <c r="BR907" s="663"/>
      <c r="BS907" s="663"/>
      <c r="BU907" s="4"/>
      <c r="BV907" s="4"/>
    </row>
    <row r="908" spans="70:74" ht="27" customHeight="1" x14ac:dyDescent="0.25">
      <c r="BR908" s="663"/>
      <c r="BS908" s="663"/>
      <c r="BU908" s="4"/>
      <c r="BV908" s="4"/>
    </row>
    <row r="909" spans="70:74" ht="27" customHeight="1" x14ac:dyDescent="0.25">
      <c r="BR909" s="663"/>
      <c r="BS909" s="663"/>
      <c r="BU909" s="4"/>
      <c r="BV909" s="4"/>
    </row>
    <row r="910" spans="70:74" ht="27" customHeight="1" x14ac:dyDescent="0.25">
      <c r="BR910" s="663"/>
      <c r="BS910" s="663"/>
      <c r="BU910" s="4"/>
      <c r="BV910" s="4"/>
    </row>
    <row r="911" spans="70:74" ht="27" customHeight="1" x14ac:dyDescent="0.25">
      <c r="BR911" s="663"/>
      <c r="BS911" s="663"/>
      <c r="BU911" s="4"/>
      <c r="BV911" s="4"/>
    </row>
    <row r="912" spans="70:74" ht="27" customHeight="1" x14ac:dyDescent="0.25">
      <c r="BR912" s="663"/>
      <c r="BS912" s="663"/>
      <c r="BU912" s="4"/>
      <c r="BV912" s="4"/>
    </row>
    <row r="913" spans="70:74" ht="27" customHeight="1" x14ac:dyDescent="0.25">
      <c r="BR913" s="663"/>
      <c r="BS913" s="663"/>
      <c r="BU913" s="4"/>
      <c r="BV913" s="4"/>
    </row>
    <row r="914" spans="70:74" ht="27" customHeight="1" x14ac:dyDescent="0.25">
      <c r="BR914" s="663"/>
      <c r="BS914" s="663"/>
      <c r="BU914" s="4"/>
      <c r="BV914" s="4"/>
    </row>
    <row r="915" spans="70:74" ht="27" customHeight="1" x14ac:dyDescent="0.25">
      <c r="BR915" s="663"/>
      <c r="BS915" s="663"/>
      <c r="BU915" s="4"/>
      <c r="BV915" s="4"/>
    </row>
    <row r="916" spans="70:74" ht="27" customHeight="1" x14ac:dyDescent="0.25">
      <c r="BR916" s="663"/>
      <c r="BS916" s="663"/>
      <c r="BU916" s="4"/>
      <c r="BV916" s="4"/>
    </row>
    <row r="917" spans="70:74" ht="27" customHeight="1" x14ac:dyDescent="0.25">
      <c r="BR917" s="663"/>
      <c r="BS917" s="663"/>
      <c r="BU917" s="4"/>
      <c r="BV917" s="4"/>
    </row>
    <row r="918" spans="70:74" ht="27" customHeight="1" x14ac:dyDescent="0.25">
      <c r="BR918" s="663"/>
      <c r="BS918" s="663"/>
      <c r="BU918" s="4"/>
      <c r="BV918" s="4"/>
    </row>
    <row r="919" spans="70:74" ht="27" customHeight="1" x14ac:dyDescent="0.25">
      <c r="BR919" s="663"/>
      <c r="BS919" s="663"/>
      <c r="BU919" s="4"/>
      <c r="BV919" s="4"/>
    </row>
    <row r="920" spans="70:74" ht="27" customHeight="1" x14ac:dyDescent="0.25">
      <c r="BR920" s="663"/>
      <c r="BS920" s="663"/>
      <c r="BU920" s="4"/>
      <c r="BV920" s="4"/>
    </row>
    <row r="921" spans="70:74" ht="27" customHeight="1" x14ac:dyDescent="0.25">
      <c r="BR921" s="663"/>
      <c r="BS921" s="663"/>
      <c r="BU921" s="4"/>
      <c r="BV921" s="4"/>
    </row>
    <row r="922" spans="70:74" ht="27" customHeight="1" x14ac:dyDescent="0.25">
      <c r="BR922" s="663"/>
      <c r="BS922" s="663"/>
      <c r="BU922" s="4"/>
      <c r="BV922" s="4"/>
    </row>
    <row r="923" spans="70:74" ht="27" customHeight="1" x14ac:dyDescent="0.25">
      <c r="BR923" s="663"/>
      <c r="BS923" s="663"/>
      <c r="BU923" s="4"/>
      <c r="BV923" s="4"/>
    </row>
    <row r="924" spans="70:74" ht="27" customHeight="1" x14ac:dyDescent="0.25">
      <c r="BR924" s="663"/>
      <c r="BS924" s="663"/>
      <c r="BU924" s="4"/>
      <c r="BV924" s="4"/>
    </row>
    <row r="925" spans="70:74" ht="27" customHeight="1" x14ac:dyDescent="0.25">
      <c r="BR925" s="663"/>
      <c r="BS925" s="663"/>
      <c r="BU925" s="4"/>
      <c r="BV925" s="4"/>
    </row>
    <row r="926" spans="70:74" ht="27" customHeight="1" x14ac:dyDescent="0.25">
      <c r="BR926" s="663"/>
      <c r="BS926" s="663"/>
      <c r="BU926" s="4"/>
      <c r="BV926" s="4"/>
    </row>
    <row r="927" spans="70:74" ht="27" customHeight="1" x14ac:dyDescent="0.25">
      <c r="BR927" s="663"/>
      <c r="BS927" s="663"/>
      <c r="BU927" s="4"/>
      <c r="BV927" s="4"/>
    </row>
    <row r="928" spans="70:74" ht="27" customHeight="1" x14ac:dyDescent="0.25">
      <c r="BR928" s="663"/>
      <c r="BS928" s="663"/>
      <c r="BU928" s="4"/>
      <c r="BV928" s="4"/>
    </row>
    <row r="929" spans="70:74" ht="27" customHeight="1" x14ac:dyDescent="0.25">
      <c r="BR929" s="663"/>
      <c r="BS929" s="663"/>
      <c r="BU929" s="4"/>
      <c r="BV929" s="4"/>
    </row>
    <row r="930" spans="70:74" ht="27" customHeight="1" x14ac:dyDescent="0.25">
      <c r="BR930" s="663"/>
      <c r="BS930" s="663"/>
      <c r="BU930" s="4"/>
      <c r="BV930" s="4"/>
    </row>
    <row r="931" spans="70:74" ht="27" customHeight="1" x14ac:dyDescent="0.25">
      <c r="BR931" s="663"/>
      <c r="BS931" s="663"/>
      <c r="BU931" s="4"/>
      <c r="BV931" s="4"/>
    </row>
    <row r="932" spans="70:74" ht="27" customHeight="1" x14ac:dyDescent="0.25">
      <c r="BR932" s="663"/>
      <c r="BS932" s="663"/>
      <c r="BU932" s="4"/>
      <c r="BV932" s="4"/>
    </row>
    <row r="933" spans="70:74" ht="27" customHeight="1" x14ac:dyDescent="0.25">
      <c r="BR933" s="663"/>
      <c r="BS933" s="663"/>
      <c r="BU933" s="4"/>
      <c r="BV933" s="4"/>
    </row>
    <row r="934" spans="70:74" ht="27" customHeight="1" x14ac:dyDescent="0.25">
      <c r="BR934" s="663"/>
      <c r="BS934" s="663"/>
      <c r="BU934" s="4"/>
      <c r="BV934" s="4"/>
    </row>
    <row r="935" spans="70:74" ht="27" customHeight="1" x14ac:dyDescent="0.25">
      <c r="BR935" s="663"/>
      <c r="BS935" s="663"/>
      <c r="BU935" s="4"/>
      <c r="BV935" s="4"/>
    </row>
    <row r="936" spans="70:74" ht="27" customHeight="1" x14ac:dyDescent="0.25">
      <c r="BR936" s="663"/>
      <c r="BS936" s="663"/>
      <c r="BU936" s="4"/>
      <c r="BV936" s="4"/>
    </row>
    <row r="937" spans="70:74" ht="27" customHeight="1" x14ac:dyDescent="0.25">
      <c r="BR937" s="663"/>
      <c r="BS937" s="663"/>
      <c r="BU937" s="4"/>
      <c r="BV937" s="4"/>
    </row>
    <row r="938" spans="70:74" ht="27" customHeight="1" x14ac:dyDescent="0.25">
      <c r="BR938" s="663"/>
      <c r="BS938" s="663"/>
      <c r="BU938" s="4"/>
      <c r="BV938" s="4"/>
    </row>
    <row r="939" spans="70:74" ht="27" customHeight="1" x14ac:dyDescent="0.25">
      <c r="BR939" s="663"/>
      <c r="BS939" s="663"/>
      <c r="BU939" s="4"/>
      <c r="BV939" s="4"/>
    </row>
    <row r="940" spans="70:74" ht="27" customHeight="1" x14ac:dyDescent="0.25">
      <c r="BR940" s="663"/>
      <c r="BS940" s="663"/>
      <c r="BU940" s="4"/>
      <c r="BV940" s="4"/>
    </row>
    <row r="941" spans="70:74" ht="27" customHeight="1" x14ac:dyDescent="0.25">
      <c r="BR941" s="663"/>
      <c r="BS941" s="663"/>
      <c r="BU941" s="4"/>
      <c r="BV941" s="4"/>
    </row>
    <row r="942" spans="70:74" ht="27" customHeight="1" x14ac:dyDescent="0.25">
      <c r="BR942" s="663"/>
      <c r="BS942" s="663"/>
      <c r="BU942" s="4"/>
      <c r="BV942" s="4"/>
    </row>
    <row r="943" spans="70:74" ht="27" customHeight="1" x14ac:dyDescent="0.25">
      <c r="BR943" s="663"/>
      <c r="BS943" s="663"/>
      <c r="BU943" s="4"/>
      <c r="BV943" s="4"/>
    </row>
    <row r="944" spans="70:74" ht="27" customHeight="1" x14ac:dyDescent="0.25">
      <c r="BR944" s="663"/>
      <c r="BS944" s="663"/>
      <c r="BU944" s="4"/>
      <c r="BV944" s="4"/>
    </row>
    <row r="945" spans="70:74" ht="27" customHeight="1" x14ac:dyDescent="0.25">
      <c r="BR945" s="663"/>
      <c r="BS945" s="663"/>
      <c r="BU945" s="4"/>
      <c r="BV945" s="4"/>
    </row>
    <row r="946" spans="70:74" ht="27" customHeight="1" x14ac:dyDescent="0.25">
      <c r="BR946" s="663"/>
      <c r="BS946" s="663"/>
      <c r="BU946" s="4"/>
      <c r="BV946" s="4"/>
    </row>
    <row r="947" spans="70:74" ht="27" customHeight="1" x14ac:dyDescent="0.25">
      <c r="BR947" s="663"/>
      <c r="BS947" s="663"/>
      <c r="BU947" s="4"/>
      <c r="BV947" s="4"/>
    </row>
    <row r="948" spans="70:74" ht="27" customHeight="1" x14ac:dyDescent="0.25">
      <c r="BR948" s="663"/>
      <c r="BS948" s="663"/>
      <c r="BU948" s="4"/>
      <c r="BV948" s="4"/>
    </row>
    <row r="949" spans="70:74" ht="27" customHeight="1" x14ac:dyDescent="0.25">
      <c r="BR949" s="663"/>
      <c r="BS949" s="663"/>
      <c r="BU949" s="4"/>
      <c r="BV949" s="4"/>
    </row>
    <row r="950" spans="70:74" ht="27" customHeight="1" x14ac:dyDescent="0.25">
      <c r="BR950" s="663"/>
      <c r="BS950" s="663"/>
      <c r="BU950" s="4"/>
      <c r="BV950" s="4"/>
    </row>
    <row r="951" spans="70:74" ht="27" customHeight="1" x14ac:dyDescent="0.25">
      <c r="BR951" s="663"/>
      <c r="BS951" s="663"/>
      <c r="BU951" s="4"/>
      <c r="BV951" s="4"/>
    </row>
    <row r="952" spans="70:74" ht="27" customHeight="1" x14ac:dyDescent="0.25">
      <c r="BR952" s="663"/>
      <c r="BS952" s="663"/>
      <c r="BU952" s="4"/>
      <c r="BV952" s="4"/>
    </row>
    <row r="953" spans="70:74" ht="27" customHeight="1" x14ac:dyDescent="0.25">
      <c r="BR953" s="663"/>
      <c r="BS953" s="663"/>
      <c r="BU953" s="4"/>
      <c r="BV953" s="4"/>
    </row>
    <row r="954" spans="70:74" ht="27" customHeight="1" x14ac:dyDescent="0.25">
      <c r="BR954" s="663"/>
      <c r="BS954" s="663"/>
      <c r="BU954" s="4"/>
      <c r="BV954" s="4"/>
    </row>
    <row r="955" spans="70:74" ht="27" customHeight="1" x14ac:dyDescent="0.25">
      <c r="BR955" s="663"/>
      <c r="BS955" s="663"/>
      <c r="BU955" s="4"/>
      <c r="BV955" s="4"/>
    </row>
    <row r="956" spans="70:74" ht="27" customHeight="1" x14ac:dyDescent="0.25">
      <c r="BR956" s="663"/>
      <c r="BS956" s="663"/>
      <c r="BU956" s="4"/>
      <c r="BV956" s="4"/>
    </row>
    <row r="957" spans="70:74" ht="27" customHeight="1" x14ac:dyDescent="0.25">
      <c r="BR957" s="663"/>
      <c r="BS957" s="663"/>
      <c r="BU957" s="4"/>
      <c r="BV957" s="4"/>
    </row>
    <row r="958" spans="70:74" ht="27" customHeight="1" x14ac:dyDescent="0.25">
      <c r="BR958" s="663"/>
      <c r="BS958" s="663"/>
      <c r="BU958" s="4"/>
      <c r="BV958" s="4"/>
    </row>
    <row r="959" spans="70:74" ht="27" customHeight="1" x14ac:dyDescent="0.25">
      <c r="BR959" s="663"/>
      <c r="BS959" s="663"/>
      <c r="BU959" s="4"/>
      <c r="BV959" s="4"/>
    </row>
    <row r="960" spans="70:74" ht="27" customHeight="1" x14ac:dyDescent="0.25">
      <c r="BR960" s="663"/>
      <c r="BS960" s="663"/>
      <c r="BU960" s="4"/>
      <c r="BV960" s="4"/>
    </row>
    <row r="961" spans="70:74" ht="27" customHeight="1" x14ac:dyDescent="0.25">
      <c r="BR961" s="663"/>
      <c r="BS961" s="663"/>
      <c r="BU961" s="4"/>
      <c r="BV961" s="4"/>
    </row>
    <row r="962" spans="70:74" ht="27" customHeight="1" x14ac:dyDescent="0.25">
      <c r="BR962" s="663"/>
      <c r="BS962" s="663"/>
      <c r="BU962" s="4"/>
      <c r="BV962" s="4"/>
    </row>
    <row r="963" spans="70:74" ht="27" customHeight="1" x14ac:dyDescent="0.25">
      <c r="BR963" s="663"/>
      <c r="BS963" s="663"/>
      <c r="BU963" s="4"/>
      <c r="BV963" s="4"/>
    </row>
    <row r="964" spans="70:74" ht="27" customHeight="1" x14ac:dyDescent="0.25">
      <c r="BR964" s="663"/>
      <c r="BS964" s="663"/>
      <c r="BU964" s="4"/>
      <c r="BV964" s="4"/>
    </row>
    <row r="965" spans="70:74" ht="27" customHeight="1" x14ac:dyDescent="0.25">
      <c r="BR965" s="663"/>
      <c r="BS965" s="663"/>
      <c r="BU965" s="4"/>
      <c r="BV965" s="4"/>
    </row>
    <row r="966" spans="70:74" ht="27" customHeight="1" x14ac:dyDescent="0.25">
      <c r="BR966" s="663"/>
      <c r="BS966" s="663"/>
      <c r="BU966" s="4"/>
      <c r="BV966" s="4"/>
    </row>
    <row r="967" spans="70:74" ht="27" customHeight="1" x14ac:dyDescent="0.25">
      <c r="BR967" s="663"/>
      <c r="BS967" s="663"/>
      <c r="BU967" s="4"/>
      <c r="BV967" s="4"/>
    </row>
    <row r="968" spans="70:74" ht="27" customHeight="1" x14ac:dyDescent="0.25">
      <c r="BR968" s="663"/>
      <c r="BS968" s="663"/>
      <c r="BU968" s="4"/>
      <c r="BV968" s="4"/>
    </row>
    <row r="969" spans="70:74" ht="27" customHeight="1" x14ac:dyDescent="0.25">
      <c r="BR969" s="663"/>
      <c r="BS969" s="663"/>
      <c r="BU969" s="4"/>
      <c r="BV969" s="4"/>
    </row>
    <row r="970" spans="70:74" ht="27" customHeight="1" x14ac:dyDescent="0.25">
      <c r="BR970" s="663"/>
      <c r="BS970" s="663"/>
      <c r="BU970" s="4"/>
      <c r="BV970" s="4"/>
    </row>
    <row r="971" spans="70:74" ht="27" customHeight="1" x14ac:dyDescent="0.25">
      <c r="BR971" s="663"/>
      <c r="BS971" s="663"/>
      <c r="BU971" s="4"/>
      <c r="BV971" s="4"/>
    </row>
    <row r="972" spans="70:74" ht="27" customHeight="1" x14ac:dyDescent="0.25">
      <c r="BR972" s="663"/>
      <c r="BS972" s="663"/>
      <c r="BU972" s="4"/>
      <c r="BV972" s="4"/>
    </row>
    <row r="973" spans="70:74" ht="27" customHeight="1" x14ac:dyDescent="0.25">
      <c r="BR973" s="663"/>
      <c r="BS973" s="663"/>
      <c r="BU973" s="4"/>
      <c r="BV973" s="4"/>
    </row>
    <row r="974" spans="70:74" ht="27" customHeight="1" x14ac:dyDescent="0.25">
      <c r="BR974" s="663"/>
      <c r="BS974" s="663"/>
      <c r="BU974" s="4"/>
      <c r="BV974" s="4"/>
    </row>
    <row r="975" spans="70:74" ht="27" customHeight="1" x14ac:dyDescent="0.25">
      <c r="BR975" s="663"/>
      <c r="BS975" s="663"/>
      <c r="BU975" s="4"/>
      <c r="BV975" s="4"/>
    </row>
    <row r="976" spans="70:74" ht="27" customHeight="1" x14ac:dyDescent="0.25">
      <c r="BR976" s="663"/>
      <c r="BS976" s="663"/>
      <c r="BU976" s="4"/>
      <c r="BV976" s="4"/>
    </row>
    <row r="977" spans="70:74" ht="27" customHeight="1" x14ac:dyDescent="0.25">
      <c r="BR977" s="663"/>
      <c r="BS977" s="663"/>
      <c r="BU977" s="4"/>
      <c r="BV977" s="4"/>
    </row>
    <row r="978" spans="70:74" ht="27" customHeight="1" x14ac:dyDescent="0.25">
      <c r="BR978" s="663"/>
      <c r="BS978" s="663"/>
      <c r="BU978" s="4"/>
      <c r="BV978" s="4"/>
    </row>
    <row r="979" spans="70:74" ht="27" customHeight="1" x14ac:dyDescent="0.25">
      <c r="BR979" s="663"/>
      <c r="BS979" s="663"/>
      <c r="BU979" s="4"/>
      <c r="BV979" s="4"/>
    </row>
    <row r="980" spans="70:74" ht="27" customHeight="1" x14ac:dyDescent="0.25">
      <c r="BR980" s="663"/>
      <c r="BS980" s="663"/>
      <c r="BU980" s="4"/>
      <c r="BV980" s="4"/>
    </row>
    <row r="981" spans="70:74" ht="27" customHeight="1" x14ac:dyDescent="0.25">
      <c r="BR981" s="663"/>
      <c r="BS981" s="663"/>
      <c r="BU981" s="4"/>
      <c r="BV981" s="4"/>
    </row>
    <row r="982" spans="70:74" ht="27" customHeight="1" x14ac:dyDescent="0.25">
      <c r="BR982" s="663"/>
      <c r="BS982" s="663"/>
      <c r="BU982" s="4"/>
      <c r="BV982" s="4"/>
    </row>
    <row r="983" spans="70:74" ht="27" customHeight="1" x14ac:dyDescent="0.25">
      <c r="BR983" s="663"/>
      <c r="BS983" s="663"/>
      <c r="BU983" s="4"/>
      <c r="BV983" s="4"/>
    </row>
    <row r="984" spans="70:74" ht="27" customHeight="1" x14ac:dyDescent="0.25">
      <c r="BR984" s="663"/>
      <c r="BS984" s="663"/>
      <c r="BU984" s="4"/>
      <c r="BV984" s="4"/>
    </row>
    <row r="985" spans="70:74" ht="27" customHeight="1" x14ac:dyDescent="0.25">
      <c r="BR985" s="663"/>
      <c r="BS985" s="663"/>
      <c r="BU985" s="4"/>
      <c r="BV985" s="4"/>
    </row>
    <row r="986" spans="70:74" ht="27" customHeight="1" x14ac:dyDescent="0.25">
      <c r="BR986" s="663"/>
      <c r="BS986" s="663"/>
      <c r="BU986" s="4"/>
      <c r="BV986" s="4"/>
    </row>
    <row r="987" spans="70:74" ht="27" customHeight="1" x14ac:dyDescent="0.25">
      <c r="BR987" s="663"/>
      <c r="BS987" s="663"/>
      <c r="BU987" s="4"/>
      <c r="BV987" s="4"/>
    </row>
    <row r="988" spans="70:74" ht="27" customHeight="1" x14ac:dyDescent="0.25">
      <c r="BR988" s="663"/>
      <c r="BS988" s="663"/>
      <c r="BU988" s="4"/>
      <c r="BV988" s="4"/>
    </row>
    <row r="989" spans="70:74" ht="27" customHeight="1" x14ac:dyDescent="0.25">
      <c r="BR989" s="663"/>
      <c r="BS989" s="663"/>
      <c r="BU989" s="4"/>
      <c r="BV989" s="4"/>
    </row>
    <row r="990" spans="70:74" ht="27" customHeight="1" x14ac:dyDescent="0.25">
      <c r="BR990" s="663"/>
      <c r="BS990" s="663"/>
      <c r="BU990" s="4"/>
      <c r="BV990" s="4"/>
    </row>
    <row r="991" spans="70:74" ht="27" customHeight="1" x14ac:dyDescent="0.25">
      <c r="BR991" s="663"/>
      <c r="BS991" s="663"/>
      <c r="BU991" s="4"/>
      <c r="BV991" s="4"/>
    </row>
    <row r="992" spans="70:74" ht="27" customHeight="1" x14ac:dyDescent="0.25">
      <c r="BR992" s="663"/>
      <c r="BS992" s="663"/>
      <c r="BU992" s="4"/>
      <c r="BV992" s="4"/>
    </row>
    <row r="993" spans="70:74" ht="27" customHeight="1" x14ac:dyDescent="0.25">
      <c r="BR993" s="663"/>
      <c r="BS993" s="663"/>
      <c r="BU993" s="4"/>
      <c r="BV993" s="4"/>
    </row>
    <row r="994" spans="70:74" ht="27" customHeight="1" x14ac:dyDescent="0.25">
      <c r="BR994" s="663"/>
      <c r="BS994" s="663"/>
      <c r="BU994" s="4"/>
      <c r="BV994" s="4"/>
    </row>
    <row r="995" spans="70:74" ht="27" customHeight="1" x14ac:dyDescent="0.25">
      <c r="BR995" s="663"/>
      <c r="BS995" s="663"/>
      <c r="BU995" s="4"/>
      <c r="BV995" s="4"/>
    </row>
    <row r="996" spans="70:74" ht="27" customHeight="1" x14ac:dyDescent="0.25">
      <c r="BR996" s="663"/>
      <c r="BS996" s="663"/>
      <c r="BU996" s="4"/>
      <c r="BV996" s="4"/>
    </row>
    <row r="997" spans="70:74" ht="27" customHeight="1" x14ac:dyDescent="0.25">
      <c r="BR997" s="663"/>
      <c r="BS997" s="663"/>
      <c r="BU997" s="4"/>
      <c r="BV997" s="4"/>
    </row>
    <row r="998" spans="70:74" ht="27" customHeight="1" x14ac:dyDescent="0.25">
      <c r="BR998" s="663"/>
      <c r="BS998" s="663"/>
      <c r="BU998" s="4"/>
      <c r="BV998" s="4"/>
    </row>
    <row r="999" spans="70:74" ht="27" customHeight="1" x14ac:dyDescent="0.25">
      <c r="BR999" s="663"/>
      <c r="BS999" s="663"/>
      <c r="BU999" s="4"/>
      <c r="BV999" s="4"/>
    </row>
    <row r="1000" spans="70:74" ht="27" customHeight="1" x14ac:dyDescent="0.25">
      <c r="BR1000" s="663"/>
      <c r="BS1000" s="663"/>
      <c r="BU1000" s="4"/>
      <c r="BV1000" s="4"/>
    </row>
    <row r="1001" spans="70:74" ht="27" customHeight="1" x14ac:dyDescent="0.25">
      <c r="BR1001" s="663"/>
      <c r="BS1001" s="663"/>
      <c r="BU1001" s="4"/>
      <c r="BV1001" s="4"/>
    </row>
    <row r="1002" spans="70:74" ht="27" customHeight="1" x14ac:dyDescent="0.25">
      <c r="BR1002" s="663"/>
      <c r="BS1002" s="663"/>
      <c r="BU1002" s="4"/>
      <c r="BV1002" s="4"/>
    </row>
    <row r="1003" spans="70:74" ht="27" customHeight="1" x14ac:dyDescent="0.25">
      <c r="BR1003" s="663"/>
      <c r="BS1003" s="663"/>
      <c r="BU1003" s="4"/>
      <c r="BV1003" s="4"/>
    </row>
    <row r="1004" spans="70:74" ht="27" customHeight="1" x14ac:dyDescent="0.25">
      <c r="BR1004" s="663"/>
      <c r="BS1004" s="663"/>
      <c r="BU1004" s="4"/>
      <c r="BV1004" s="4"/>
    </row>
    <row r="1005" spans="70:74" ht="27" customHeight="1" x14ac:dyDescent="0.25">
      <c r="BR1005" s="663"/>
      <c r="BS1005" s="663"/>
      <c r="BU1005" s="4"/>
      <c r="BV1005" s="4"/>
    </row>
    <row r="1006" spans="70:74" ht="27" customHeight="1" x14ac:dyDescent="0.25">
      <c r="BR1006" s="663"/>
      <c r="BS1006" s="663"/>
      <c r="BU1006" s="4"/>
      <c r="BV1006" s="4"/>
    </row>
    <row r="1007" spans="70:74" ht="27" customHeight="1" x14ac:dyDescent="0.25">
      <c r="BR1007" s="663"/>
      <c r="BS1007" s="663"/>
      <c r="BU1007" s="4"/>
      <c r="BV1007" s="4"/>
    </row>
    <row r="1008" spans="70:74" ht="27" customHeight="1" x14ac:dyDescent="0.25">
      <c r="BR1008" s="663"/>
      <c r="BS1008" s="663"/>
      <c r="BU1008" s="4"/>
      <c r="BV1008" s="4"/>
    </row>
    <row r="1009" spans="70:74" ht="27" customHeight="1" x14ac:dyDescent="0.25">
      <c r="BR1009" s="663"/>
      <c r="BS1009" s="663"/>
      <c r="BU1009" s="4"/>
      <c r="BV1009" s="4"/>
    </row>
    <row r="1010" spans="70:74" ht="27" customHeight="1" x14ac:dyDescent="0.25">
      <c r="BR1010" s="663"/>
      <c r="BS1010" s="663"/>
      <c r="BU1010" s="4"/>
      <c r="BV1010" s="4"/>
    </row>
    <row r="1011" spans="70:74" ht="27" customHeight="1" x14ac:dyDescent="0.25">
      <c r="BR1011" s="663"/>
      <c r="BS1011" s="663"/>
      <c r="BU1011" s="4"/>
      <c r="BV1011" s="4"/>
    </row>
    <row r="1012" spans="70:74" ht="27" customHeight="1" x14ac:dyDescent="0.25">
      <c r="BR1012" s="663"/>
      <c r="BS1012" s="663"/>
      <c r="BU1012" s="4"/>
      <c r="BV1012" s="4"/>
    </row>
    <row r="1013" spans="70:74" ht="27" customHeight="1" x14ac:dyDescent="0.25">
      <c r="BR1013" s="663"/>
      <c r="BS1013" s="663"/>
      <c r="BU1013" s="4"/>
      <c r="BV1013" s="4"/>
    </row>
    <row r="1014" spans="70:74" ht="27" customHeight="1" x14ac:dyDescent="0.25">
      <c r="BR1014" s="663"/>
      <c r="BS1014" s="663"/>
      <c r="BU1014" s="4"/>
      <c r="BV1014" s="4"/>
    </row>
    <row r="1015" spans="70:74" ht="27" customHeight="1" x14ac:dyDescent="0.25">
      <c r="BR1015" s="663"/>
      <c r="BS1015" s="663"/>
      <c r="BU1015" s="4"/>
      <c r="BV1015" s="4"/>
    </row>
    <row r="1016" spans="70:74" ht="27" customHeight="1" x14ac:dyDescent="0.25">
      <c r="BR1016" s="663"/>
      <c r="BS1016" s="663"/>
      <c r="BU1016" s="4"/>
      <c r="BV1016" s="4"/>
    </row>
    <row r="1017" spans="70:74" ht="27" customHeight="1" x14ac:dyDescent="0.25">
      <c r="BR1017" s="663"/>
      <c r="BS1017" s="663"/>
      <c r="BU1017" s="4"/>
      <c r="BV1017" s="4"/>
    </row>
    <row r="1018" spans="70:74" ht="27" customHeight="1" x14ac:dyDescent="0.25">
      <c r="BR1018" s="663"/>
      <c r="BS1018" s="663"/>
      <c r="BU1018" s="4"/>
      <c r="BV1018" s="4"/>
    </row>
    <row r="1019" spans="70:74" ht="27" customHeight="1" x14ac:dyDescent="0.25">
      <c r="BR1019" s="663"/>
      <c r="BS1019" s="663"/>
      <c r="BU1019" s="4"/>
      <c r="BV1019" s="4"/>
    </row>
    <row r="1020" spans="70:74" ht="27" customHeight="1" x14ac:dyDescent="0.25">
      <c r="BR1020" s="663"/>
      <c r="BS1020" s="663"/>
      <c r="BU1020" s="4"/>
      <c r="BV1020" s="4"/>
    </row>
    <row r="1021" spans="70:74" ht="27" customHeight="1" x14ac:dyDescent="0.25">
      <c r="BR1021" s="663"/>
      <c r="BS1021" s="663"/>
      <c r="BU1021" s="4"/>
      <c r="BV1021" s="4"/>
    </row>
    <row r="1022" spans="70:74" ht="27" customHeight="1" x14ac:dyDescent="0.25">
      <c r="BR1022" s="663"/>
      <c r="BS1022" s="663"/>
      <c r="BU1022" s="4"/>
      <c r="BV1022" s="4"/>
    </row>
    <row r="1023" spans="70:74" ht="27" customHeight="1" x14ac:dyDescent="0.25">
      <c r="BR1023" s="663"/>
      <c r="BS1023" s="663"/>
      <c r="BU1023" s="4"/>
      <c r="BV1023" s="4"/>
    </row>
    <row r="1024" spans="70:74" ht="27" customHeight="1" x14ac:dyDescent="0.25">
      <c r="BR1024" s="663"/>
      <c r="BS1024" s="663"/>
      <c r="BU1024" s="4"/>
      <c r="BV1024" s="4"/>
    </row>
    <row r="1025" spans="70:74" ht="27" customHeight="1" x14ac:dyDescent="0.25">
      <c r="BR1025" s="663"/>
      <c r="BS1025" s="663"/>
      <c r="BU1025" s="4"/>
      <c r="BV1025" s="4"/>
    </row>
    <row r="1026" spans="70:74" ht="27" customHeight="1" x14ac:dyDescent="0.25">
      <c r="BR1026" s="663"/>
      <c r="BS1026" s="663"/>
      <c r="BU1026" s="4"/>
      <c r="BV1026" s="4"/>
    </row>
    <row r="1027" spans="70:74" ht="27" customHeight="1" x14ac:dyDescent="0.25">
      <c r="BR1027" s="663"/>
      <c r="BS1027" s="663"/>
      <c r="BU1027" s="4"/>
      <c r="BV1027" s="4"/>
    </row>
    <row r="1028" spans="70:74" ht="27" customHeight="1" x14ac:dyDescent="0.25">
      <c r="BR1028" s="663"/>
      <c r="BS1028" s="663"/>
      <c r="BU1028" s="4"/>
      <c r="BV1028" s="4"/>
    </row>
    <row r="1029" spans="70:74" ht="27" customHeight="1" x14ac:dyDescent="0.25">
      <c r="BR1029" s="663"/>
      <c r="BS1029" s="663"/>
      <c r="BU1029" s="4"/>
      <c r="BV1029" s="4"/>
    </row>
    <row r="1030" spans="70:74" ht="27" customHeight="1" x14ac:dyDescent="0.25">
      <c r="BR1030" s="663"/>
      <c r="BS1030" s="663"/>
      <c r="BU1030" s="4"/>
      <c r="BV1030" s="4"/>
    </row>
    <row r="1031" spans="70:74" ht="27" customHeight="1" x14ac:dyDescent="0.25">
      <c r="BR1031" s="663"/>
      <c r="BS1031" s="663"/>
      <c r="BU1031" s="4"/>
      <c r="BV1031" s="4"/>
    </row>
    <row r="1032" spans="70:74" ht="27" customHeight="1" x14ac:dyDescent="0.25">
      <c r="BR1032" s="663"/>
      <c r="BS1032" s="663"/>
      <c r="BU1032" s="4"/>
      <c r="BV1032" s="4"/>
    </row>
    <row r="1033" spans="70:74" ht="27" customHeight="1" x14ac:dyDescent="0.25">
      <c r="BR1033" s="663"/>
      <c r="BS1033" s="663"/>
      <c r="BU1033" s="4"/>
      <c r="BV1033" s="4"/>
    </row>
    <row r="1034" spans="70:74" ht="27" customHeight="1" x14ac:dyDescent="0.25">
      <c r="BR1034" s="663"/>
      <c r="BS1034" s="663"/>
      <c r="BU1034" s="4"/>
      <c r="BV1034" s="4"/>
    </row>
    <row r="1035" spans="70:74" ht="27" customHeight="1" x14ac:dyDescent="0.25">
      <c r="BR1035" s="663"/>
      <c r="BS1035" s="663"/>
      <c r="BU1035" s="4"/>
      <c r="BV1035" s="4"/>
    </row>
    <row r="1036" spans="70:74" ht="27" customHeight="1" x14ac:dyDescent="0.25">
      <c r="BR1036" s="663"/>
      <c r="BS1036" s="663"/>
      <c r="BU1036" s="4"/>
      <c r="BV1036" s="4"/>
    </row>
    <row r="1037" spans="70:74" ht="27" customHeight="1" x14ac:dyDescent="0.25">
      <c r="BR1037" s="663"/>
      <c r="BS1037" s="663"/>
      <c r="BU1037" s="4"/>
      <c r="BV1037" s="4"/>
    </row>
    <row r="1038" spans="70:74" ht="27" customHeight="1" x14ac:dyDescent="0.25">
      <c r="BR1038" s="663"/>
      <c r="BS1038" s="663"/>
      <c r="BU1038" s="4"/>
      <c r="BV1038" s="4"/>
    </row>
    <row r="1039" spans="70:74" ht="27" customHeight="1" x14ac:dyDescent="0.25">
      <c r="BR1039" s="663"/>
      <c r="BS1039" s="663"/>
      <c r="BU1039" s="4"/>
      <c r="BV1039" s="4"/>
    </row>
    <row r="1040" spans="70:74" ht="27" customHeight="1" x14ac:dyDescent="0.25">
      <c r="BR1040" s="663"/>
      <c r="BS1040" s="663"/>
      <c r="BU1040" s="4"/>
      <c r="BV1040" s="4"/>
    </row>
    <row r="1041" spans="70:74" ht="27" customHeight="1" x14ac:dyDescent="0.25">
      <c r="BR1041" s="663"/>
      <c r="BS1041" s="663"/>
      <c r="BU1041" s="4"/>
      <c r="BV1041" s="4"/>
    </row>
    <row r="1042" spans="70:74" ht="27" customHeight="1" x14ac:dyDescent="0.25">
      <c r="BR1042" s="663"/>
      <c r="BS1042" s="663"/>
      <c r="BU1042" s="4"/>
      <c r="BV1042" s="4"/>
    </row>
    <row r="1043" spans="70:74" ht="27" customHeight="1" x14ac:dyDescent="0.25">
      <c r="BR1043" s="663"/>
      <c r="BS1043" s="663"/>
      <c r="BU1043" s="4"/>
      <c r="BV1043" s="4"/>
    </row>
    <row r="1044" spans="70:74" ht="27" customHeight="1" x14ac:dyDescent="0.25">
      <c r="BR1044" s="663"/>
      <c r="BS1044" s="663"/>
      <c r="BU1044" s="4"/>
      <c r="BV1044" s="4"/>
    </row>
    <row r="1045" spans="70:74" ht="27" customHeight="1" x14ac:dyDescent="0.25">
      <c r="BR1045" s="663"/>
      <c r="BS1045" s="663"/>
      <c r="BU1045" s="4"/>
      <c r="BV1045" s="4"/>
    </row>
    <row r="1046" spans="70:74" ht="27" customHeight="1" x14ac:dyDescent="0.25">
      <c r="BR1046" s="663"/>
      <c r="BS1046" s="663"/>
      <c r="BU1046" s="4"/>
      <c r="BV1046" s="4"/>
    </row>
    <row r="1047" spans="70:74" ht="27" customHeight="1" x14ac:dyDescent="0.25">
      <c r="BR1047" s="663"/>
      <c r="BS1047" s="663"/>
      <c r="BU1047" s="4"/>
      <c r="BV1047" s="4"/>
    </row>
    <row r="1048" spans="70:74" ht="27" customHeight="1" x14ac:dyDescent="0.25">
      <c r="BR1048" s="663"/>
      <c r="BS1048" s="663"/>
      <c r="BU1048" s="4"/>
      <c r="BV1048" s="4"/>
    </row>
    <row r="1049" spans="70:74" ht="27" customHeight="1" x14ac:dyDescent="0.25">
      <c r="BR1049" s="663"/>
      <c r="BS1049" s="663"/>
      <c r="BU1049" s="4"/>
      <c r="BV1049" s="4"/>
    </row>
    <row r="1050" spans="70:74" ht="27" customHeight="1" x14ac:dyDescent="0.25">
      <c r="BR1050" s="663"/>
      <c r="BS1050" s="663"/>
      <c r="BU1050" s="4"/>
      <c r="BV1050" s="4"/>
    </row>
    <row r="1051" spans="70:74" ht="27" customHeight="1" x14ac:dyDescent="0.25">
      <c r="BR1051" s="663"/>
      <c r="BS1051" s="663"/>
      <c r="BU1051" s="4"/>
      <c r="BV1051" s="4"/>
    </row>
    <row r="1052" spans="70:74" ht="27" customHeight="1" x14ac:dyDescent="0.25">
      <c r="BR1052" s="663"/>
      <c r="BS1052" s="663"/>
      <c r="BU1052" s="4"/>
      <c r="BV1052" s="4"/>
    </row>
    <row r="1053" spans="70:74" ht="27" customHeight="1" x14ac:dyDescent="0.25">
      <c r="BR1053" s="663"/>
      <c r="BS1053" s="663"/>
      <c r="BU1053" s="4"/>
      <c r="BV1053" s="4"/>
    </row>
    <row r="1054" spans="70:74" ht="27" customHeight="1" x14ac:dyDescent="0.25">
      <c r="BR1054" s="663"/>
      <c r="BS1054" s="663"/>
      <c r="BU1054" s="4"/>
      <c r="BV1054" s="4"/>
    </row>
    <row r="1055" spans="70:74" ht="27" customHeight="1" x14ac:dyDescent="0.25">
      <c r="BR1055" s="663"/>
      <c r="BS1055" s="663"/>
      <c r="BU1055" s="4"/>
      <c r="BV1055" s="4"/>
    </row>
    <row r="1056" spans="70:74" ht="27" customHeight="1" x14ac:dyDescent="0.25">
      <c r="BR1056" s="663"/>
      <c r="BS1056" s="663"/>
      <c r="BU1056" s="4"/>
      <c r="BV1056" s="4"/>
    </row>
    <row r="1057" spans="70:74" ht="27" customHeight="1" x14ac:dyDescent="0.25">
      <c r="BR1057" s="663"/>
      <c r="BS1057" s="663"/>
      <c r="BU1057" s="4"/>
      <c r="BV1057" s="4"/>
    </row>
    <row r="1058" spans="70:74" ht="27" customHeight="1" x14ac:dyDescent="0.25">
      <c r="BR1058" s="663"/>
      <c r="BS1058" s="663"/>
      <c r="BU1058" s="4"/>
      <c r="BV1058" s="4"/>
    </row>
    <row r="1059" spans="70:74" ht="27" customHeight="1" x14ac:dyDescent="0.25">
      <c r="BR1059" s="663"/>
      <c r="BS1059" s="663"/>
      <c r="BU1059" s="4"/>
      <c r="BV1059" s="4"/>
    </row>
    <row r="1060" spans="70:74" ht="27" customHeight="1" x14ac:dyDescent="0.25">
      <c r="BR1060" s="663"/>
      <c r="BS1060" s="663"/>
      <c r="BU1060" s="4"/>
      <c r="BV1060" s="4"/>
    </row>
    <row r="1061" spans="70:74" ht="27" customHeight="1" x14ac:dyDescent="0.25">
      <c r="BR1061" s="663"/>
      <c r="BS1061" s="663"/>
      <c r="BU1061" s="4"/>
      <c r="BV1061" s="4"/>
    </row>
    <row r="1062" spans="70:74" ht="27" customHeight="1" x14ac:dyDescent="0.25">
      <c r="BR1062" s="663"/>
      <c r="BS1062" s="663"/>
      <c r="BU1062" s="4"/>
      <c r="BV1062" s="4"/>
    </row>
    <row r="1063" spans="70:74" ht="27" customHeight="1" x14ac:dyDescent="0.25">
      <c r="BR1063" s="663"/>
      <c r="BS1063" s="663"/>
      <c r="BU1063" s="4"/>
      <c r="BV1063" s="4"/>
    </row>
    <row r="1064" spans="70:74" ht="27" customHeight="1" x14ac:dyDescent="0.25">
      <c r="BR1064" s="663"/>
      <c r="BS1064" s="663"/>
      <c r="BU1064" s="4"/>
      <c r="BV1064" s="4"/>
    </row>
    <row r="1065" spans="70:74" ht="27" customHeight="1" x14ac:dyDescent="0.25">
      <c r="BR1065" s="663"/>
      <c r="BS1065" s="663"/>
      <c r="BU1065" s="4"/>
      <c r="BV1065" s="4"/>
    </row>
    <row r="1066" spans="70:74" ht="27" customHeight="1" x14ac:dyDescent="0.25">
      <c r="BR1066" s="663"/>
      <c r="BS1066" s="663"/>
      <c r="BU1066" s="4"/>
      <c r="BV1066" s="4"/>
    </row>
    <row r="1067" spans="70:74" ht="27" customHeight="1" x14ac:dyDescent="0.25">
      <c r="BR1067" s="663"/>
      <c r="BS1067" s="663"/>
      <c r="BU1067" s="4"/>
      <c r="BV1067" s="4"/>
    </row>
    <row r="1068" spans="70:74" ht="27" customHeight="1" x14ac:dyDescent="0.25">
      <c r="BR1068" s="663"/>
      <c r="BS1068" s="663"/>
      <c r="BU1068" s="4"/>
      <c r="BV1068" s="4"/>
    </row>
    <row r="1069" spans="70:74" ht="27" customHeight="1" x14ac:dyDescent="0.25">
      <c r="BR1069" s="663"/>
      <c r="BS1069" s="663"/>
      <c r="BU1069" s="4"/>
      <c r="BV1069" s="4"/>
    </row>
    <row r="1070" spans="70:74" ht="27" customHeight="1" x14ac:dyDescent="0.25">
      <c r="BR1070" s="663"/>
      <c r="BS1070" s="663"/>
      <c r="BU1070" s="4"/>
      <c r="BV1070" s="4"/>
    </row>
    <row r="1071" spans="70:74" ht="27" customHeight="1" x14ac:dyDescent="0.25">
      <c r="BR1071" s="663"/>
      <c r="BS1071" s="663"/>
      <c r="BU1071" s="4"/>
      <c r="BV1071" s="4"/>
    </row>
    <row r="1072" spans="70:74" ht="27" customHeight="1" x14ac:dyDescent="0.25">
      <c r="BR1072" s="663"/>
      <c r="BS1072" s="663"/>
      <c r="BU1072" s="4"/>
      <c r="BV1072" s="4"/>
    </row>
    <row r="1073" spans="70:74" ht="27" customHeight="1" x14ac:dyDescent="0.25">
      <c r="BR1073" s="663"/>
      <c r="BS1073" s="663"/>
      <c r="BU1073" s="4"/>
      <c r="BV1073" s="4"/>
    </row>
    <row r="1074" spans="70:74" ht="27" customHeight="1" x14ac:dyDescent="0.25">
      <c r="BR1074" s="663"/>
      <c r="BS1074" s="663"/>
      <c r="BU1074" s="4"/>
      <c r="BV1074" s="4"/>
    </row>
    <row r="1075" spans="70:74" ht="27" customHeight="1" x14ac:dyDescent="0.25">
      <c r="BR1075" s="663"/>
      <c r="BS1075" s="663"/>
      <c r="BU1075" s="4"/>
      <c r="BV1075" s="4"/>
    </row>
    <row r="1076" spans="70:74" ht="27" customHeight="1" x14ac:dyDescent="0.25">
      <c r="BR1076" s="663"/>
      <c r="BS1076" s="663"/>
      <c r="BU1076" s="4"/>
      <c r="BV1076" s="4"/>
    </row>
    <row r="1077" spans="70:74" ht="27" customHeight="1" x14ac:dyDescent="0.25">
      <c r="BR1077" s="663"/>
      <c r="BS1077" s="663"/>
      <c r="BU1077" s="4"/>
      <c r="BV1077" s="4"/>
    </row>
    <row r="1078" spans="70:74" ht="27" customHeight="1" x14ac:dyDescent="0.25">
      <c r="BR1078" s="663"/>
      <c r="BS1078" s="663"/>
      <c r="BU1078" s="4"/>
      <c r="BV1078" s="4"/>
    </row>
    <row r="1079" spans="70:74" ht="27" customHeight="1" x14ac:dyDescent="0.25">
      <c r="BR1079" s="663"/>
      <c r="BS1079" s="663"/>
      <c r="BU1079" s="4"/>
      <c r="BV1079" s="4"/>
    </row>
    <row r="1080" spans="70:74" ht="27" customHeight="1" x14ac:dyDescent="0.25">
      <c r="BR1080" s="663"/>
      <c r="BS1080" s="663"/>
      <c r="BU1080" s="4"/>
      <c r="BV1080" s="4"/>
    </row>
    <row r="1081" spans="70:74" ht="27" customHeight="1" x14ac:dyDescent="0.25">
      <c r="BR1081" s="663"/>
      <c r="BS1081" s="663"/>
      <c r="BU1081" s="4"/>
      <c r="BV1081" s="4"/>
    </row>
    <row r="1082" spans="70:74" ht="27" customHeight="1" x14ac:dyDescent="0.25">
      <c r="BR1082" s="663"/>
      <c r="BS1082" s="663"/>
      <c r="BU1082" s="4"/>
      <c r="BV1082" s="4"/>
    </row>
    <row r="1083" spans="70:74" ht="27" customHeight="1" x14ac:dyDescent="0.25">
      <c r="BR1083" s="663"/>
      <c r="BS1083" s="663"/>
      <c r="BU1083" s="4"/>
      <c r="BV1083" s="4"/>
    </row>
    <row r="1084" spans="70:74" ht="27" customHeight="1" x14ac:dyDescent="0.25">
      <c r="BR1084" s="663"/>
      <c r="BS1084" s="663"/>
      <c r="BU1084" s="4"/>
      <c r="BV1084" s="4"/>
    </row>
    <row r="1085" spans="70:74" ht="27" customHeight="1" x14ac:dyDescent="0.25">
      <c r="BR1085" s="663"/>
      <c r="BS1085" s="663"/>
      <c r="BU1085" s="4"/>
      <c r="BV1085" s="4"/>
    </row>
    <row r="1086" spans="70:74" ht="27" customHeight="1" x14ac:dyDescent="0.25">
      <c r="BR1086" s="663"/>
      <c r="BS1086" s="663"/>
      <c r="BU1086" s="4"/>
      <c r="BV1086" s="4"/>
    </row>
    <row r="1087" spans="70:74" ht="27" customHeight="1" x14ac:dyDescent="0.25">
      <c r="BR1087" s="663"/>
      <c r="BS1087" s="663"/>
      <c r="BU1087" s="4"/>
      <c r="BV1087" s="4"/>
    </row>
    <row r="1088" spans="70:74" ht="27" customHeight="1" x14ac:dyDescent="0.25">
      <c r="BR1088" s="663"/>
      <c r="BS1088" s="663"/>
      <c r="BU1088" s="4"/>
      <c r="BV1088" s="4"/>
    </row>
    <row r="1089" spans="70:74" ht="27" customHeight="1" x14ac:dyDescent="0.25">
      <c r="BR1089" s="663"/>
      <c r="BS1089" s="663"/>
      <c r="BU1089" s="4"/>
      <c r="BV1089" s="4"/>
    </row>
    <row r="1090" spans="70:74" ht="27" customHeight="1" x14ac:dyDescent="0.25">
      <c r="BR1090" s="663"/>
      <c r="BS1090" s="663"/>
      <c r="BU1090" s="4"/>
      <c r="BV1090" s="4"/>
    </row>
    <row r="1091" spans="70:74" ht="27" customHeight="1" x14ac:dyDescent="0.25">
      <c r="BR1091" s="663"/>
      <c r="BS1091" s="663"/>
      <c r="BU1091" s="4"/>
      <c r="BV1091" s="4"/>
    </row>
    <row r="1092" spans="70:74" ht="27" customHeight="1" x14ac:dyDescent="0.25">
      <c r="BR1092" s="663"/>
      <c r="BS1092" s="663"/>
      <c r="BU1092" s="4"/>
      <c r="BV1092" s="4"/>
    </row>
    <row r="1093" spans="70:74" ht="27" customHeight="1" x14ac:dyDescent="0.25">
      <c r="BR1093" s="663"/>
      <c r="BS1093" s="663"/>
      <c r="BU1093" s="4"/>
      <c r="BV1093" s="4"/>
    </row>
    <row r="1094" spans="70:74" ht="27" customHeight="1" x14ac:dyDescent="0.25">
      <c r="BR1094" s="663"/>
      <c r="BS1094" s="663"/>
      <c r="BU1094" s="4"/>
      <c r="BV1094" s="4"/>
    </row>
    <row r="1095" spans="70:74" ht="27" customHeight="1" x14ac:dyDescent="0.25">
      <c r="BR1095" s="663"/>
      <c r="BS1095" s="663"/>
      <c r="BU1095" s="4"/>
      <c r="BV1095" s="4"/>
    </row>
    <row r="1096" spans="70:74" ht="27" customHeight="1" x14ac:dyDescent="0.25">
      <c r="BR1096" s="663"/>
      <c r="BS1096" s="663"/>
      <c r="BU1096" s="4"/>
      <c r="BV1096" s="4"/>
    </row>
    <row r="1097" spans="70:74" ht="27" customHeight="1" x14ac:dyDescent="0.25">
      <c r="BR1097" s="663"/>
      <c r="BS1097" s="663"/>
      <c r="BU1097" s="4"/>
      <c r="BV1097" s="4"/>
    </row>
    <row r="1098" spans="70:74" ht="27" customHeight="1" x14ac:dyDescent="0.25">
      <c r="BR1098" s="663"/>
      <c r="BS1098" s="663"/>
      <c r="BU1098" s="4"/>
      <c r="BV1098" s="4"/>
    </row>
    <row r="1099" spans="70:74" ht="27" customHeight="1" x14ac:dyDescent="0.25">
      <c r="BR1099" s="663"/>
      <c r="BS1099" s="663"/>
      <c r="BU1099" s="4"/>
      <c r="BV1099" s="4"/>
    </row>
    <row r="1100" spans="70:74" ht="27" customHeight="1" x14ac:dyDescent="0.25">
      <c r="BR1100" s="663"/>
      <c r="BS1100" s="663"/>
      <c r="BU1100" s="4"/>
      <c r="BV1100" s="4"/>
    </row>
    <row r="1101" spans="70:74" ht="27" customHeight="1" x14ac:dyDescent="0.25">
      <c r="BR1101" s="663"/>
      <c r="BS1101" s="663"/>
      <c r="BU1101" s="4"/>
      <c r="BV1101" s="4"/>
    </row>
    <row r="1102" spans="70:74" ht="27" customHeight="1" x14ac:dyDescent="0.25">
      <c r="BR1102" s="663"/>
      <c r="BS1102" s="663"/>
      <c r="BU1102" s="4"/>
      <c r="BV1102" s="4"/>
    </row>
    <row r="1103" spans="70:74" ht="27" customHeight="1" x14ac:dyDescent="0.25">
      <c r="BR1103" s="663"/>
      <c r="BS1103" s="663"/>
      <c r="BU1103" s="4"/>
      <c r="BV1103" s="4"/>
    </row>
    <row r="1104" spans="70:74" ht="27" customHeight="1" x14ac:dyDescent="0.25">
      <c r="BR1104" s="663"/>
      <c r="BS1104" s="663"/>
      <c r="BU1104" s="4"/>
      <c r="BV1104" s="4"/>
    </row>
    <row r="1105" spans="70:74" ht="27" customHeight="1" x14ac:dyDescent="0.25">
      <c r="BR1105" s="663"/>
      <c r="BS1105" s="663"/>
      <c r="BU1105" s="4"/>
      <c r="BV1105" s="4"/>
    </row>
    <row r="1106" spans="70:74" ht="27" customHeight="1" x14ac:dyDescent="0.25">
      <c r="BR1106" s="663"/>
      <c r="BS1106" s="663"/>
      <c r="BU1106" s="4"/>
      <c r="BV1106" s="4"/>
    </row>
    <row r="1107" spans="70:74" ht="27" customHeight="1" x14ac:dyDescent="0.25">
      <c r="BR1107" s="663"/>
      <c r="BS1107" s="663"/>
      <c r="BU1107" s="4"/>
      <c r="BV1107" s="4"/>
    </row>
    <row r="1108" spans="70:74" ht="27" customHeight="1" x14ac:dyDescent="0.25">
      <c r="BR1108" s="663"/>
      <c r="BS1108" s="663"/>
      <c r="BU1108" s="4"/>
      <c r="BV1108" s="4"/>
    </row>
    <row r="1109" spans="70:74" ht="27" customHeight="1" x14ac:dyDescent="0.25">
      <c r="BR1109" s="663"/>
      <c r="BS1109" s="663"/>
      <c r="BU1109" s="4"/>
      <c r="BV1109" s="4"/>
    </row>
    <row r="1110" spans="70:74" ht="27" customHeight="1" x14ac:dyDescent="0.25">
      <c r="BR1110" s="663"/>
      <c r="BS1110" s="663"/>
      <c r="BU1110" s="4"/>
      <c r="BV1110" s="4"/>
    </row>
    <row r="1111" spans="70:74" ht="27" customHeight="1" x14ac:dyDescent="0.25">
      <c r="BR1111" s="663"/>
      <c r="BS1111" s="663"/>
      <c r="BU1111" s="4"/>
      <c r="BV1111" s="4"/>
    </row>
    <row r="1112" spans="70:74" ht="27" customHeight="1" x14ac:dyDescent="0.25">
      <c r="BR1112" s="663"/>
      <c r="BS1112" s="663"/>
      <c r="BU1112" s="4"/>
      <c r="BV1112" s="4"/>
    </row>
    <row r="1113" spans="70:74" ht="27" customHeight="1" x14ac:dyDescent="0.25">
      <c r="BR1113" s="663"/>
      <c r="BS1113" s="663"/>
      <c r="BU1113" s="4"/>
      <c r="BV1113" s="4"/>
    </row>
    <row r="1114" spans="70:74" ht="27" customHeight="1" x14ac:dyDescent="0.25">
      <c r="BR1114" s="663"/>
      <c r="BS1114" s="663"/>
      <c r="BU1114" s="4"/>
      <c r="BV1114" s="4"/>
    </row>
    <row r="1115" spans="70:74" ht="27" customHeight="1" x14ac:dyDescent="0.25">
      <c r="BR1115" s="663"/>
      <c r="BS1115" s="663"/>
      <c r="BU1115" s="4"/>
      <c r="BV1115" s="4"/>
    </row>
    <row r="1116" spans="70:74" ht="27" customHeight="1" x14ac:dyDescent="0.25">
      <c r="BR1116" s="663"/>
      <c r="BS1116" s="663"/>
      <c r="BU1116" s="4"/>
      <c r="BV1116" s="4"/>
    </row>
    <row r="1117" spans="70:74" ht="27" customHeight="1" x14ac:dyDescent="0.25">
      <c r="BR1117" s="663"/>
      <c r="BS1117" s="663"/>
      <c r="BU1117" s="4"/>
      <c r="BV1117" s="4"/>
    </row>
    <row r="1118" spans="70:74" ht="27" customHeight="1" x14ac:dyDescent="0.25">
      <c r="BR1118" s="663"/>
      <c r="BS1118" s="663"/>
      <c r="BU1118" s="4"/>
      <c r="BV1118" s="4"/>
    </row>
    <row r="1119" spans="70:74" ht="27" customHeight="1" x14ac:dyDescent="0.25">
      <c r="BR1119" s="663"/>
      <c r="BS1119" s="663"/>
      <c r="BU1119" s="4"/>
      <c r="BV1119" s="4"/>
    </row>
    <row r="1120" spans="70:74" ht="27" customHeight="1" x14ac:dyDescent="0.25">
      <c r="BR1120" s="663"/>
      <c r="BS1120" s="663"/>
      <c r="BU1120" s="4"/>
      <c r="BV1120" s="4"/>
    </row>
    <row r="1121" spans="70:74" ht="27" customHeight="1" x14ac:dyDescent="0.25">
      <c r="BR1121" s="663"/>
      <c r="BS1121" s="663"/>
      <c r="BU1121" s="4"/>
      <c r="BV1121" s="4"/>
    </row>
    <row r="1122" spans="70:74" ht="27" customHeight="1" x14ac:dyDescent="0.25">
      <c r="BR1122" s="663"/>
      <c r="BS1122" s="663"/>
      <c r="BU1122" s="4"/>
      <c r="BV1122" s="4"/>
    </row>
    <row r="1123" spans="70:74" ht="27" customHeight="1" x14ac:dyDescent="0.25">
      <c r="BR1123" s="663"/>
      <c r="BS1123" s="663"/>
      <c r="BU1123" s="4"/>
      <c r="BV1123" s="4"/>
    </row>
    <row r="1124" spans="70:74" ht="27" customHeight="1" x14ac:dyDescent="0.25">
      <c r="BR1124" s="663"/>
      <c r="BS1124" s="663"/>
      <c r="BU1124" s="4"/>
      <c r="BV1124" s="4"/>
    </row>
    <row r="1125" spans="70:74" ht="27" customHeight="1" x14ac:dyDescent="0.25">
      <c r="BR1125" s="663"/>
      <c r="BS1125" s="663"/>
      <c r="BU1125" s="4"/>
      <c r="BV1125" s="4"/>
    </row>
    <row r="1126" spans="70:74" ht="27" customHeight="1" x14ac:dyDescent="0.25">
      <c r="BR1126" s="663"/>
      <c r="BS1126" s="663"/>
      <c r="BU1126" s="4"/>
      <c r="BV1126" s="4"/>
    </row>
    <row r="1127" spans="70:74" ht="27" customHeight="1" x14ac:dyDescent="0.25">
      <c r="BR1127" s="663"/>
      <c r="BS1127" s="663"/>
      <c r="BU1127" s="4"/>
      <c r="BV1127" s="4"/>
    </row>
    <row r="1128" spans="70:74" ht="27" customHeight="1" x14ac:dyDescent="0.25">
      <c r="BR1128" s="663"/>
      <c r="BS1128" s="663"/>
      <c r="BU1128" s="4"/>
      <c r="BV1128" s="4"/>
    </row>
    <row r="1129" spans="70:74" ht="27" customHeight="1" x14ac:dyDescent="0.25">
      <c r="BR1129" s="663"/>
      <c r="BS1129" s="663"/>
      <c r="BU1129" s="4"/>
      <c r="BV1129" s="4"/>
    </row>
    <row r="1130" spans="70:74" ht="27" customHeight="1" x14ac:dyDescent="0.25">
      <c r="BR1130" s="663"/>
      <c r="BS1130" s="663"/>
      <c r="BU1130" s="4"/>
      <c r="BV1130" s="4"/>
    </row>
    <row r="1131" spans="70:74" ht="27" customHeight="1" x14ac:dyDescent="0.25">
      <c r="BR1131" s="663"/>
      <c r="BS1131" s="663"/>
      <c r="BU1131" s="4"/>
      <c r="BV1131" s="4"/>
    </row>
    <row r="1132" spans="70:74" ht="27" customHeight="1" x14ac:dyDescent="0.25">
      <c r="BR1132" s="663"/>
      <c r="BS1132" s="663"/>
      <c r="BU1132" s="4"/>
      <c r="BV1132" s="4"/>
    </row>
    <row r="1133" spans="70:74" ht="27" customHeight="1" x14ac:dyDescent="0.25">
      <c r="BR1133" s="663"/>
      <c r="BS1133" s="663"/>
      <c r="BU1133" s="4"/>
      <c r="BV1133" s="4"/>
    </row>
    <row r="1134" spans="70:74" ht="27" customHeight="1" x14ac:dyDescent="0.25">
      <c r="BR1134" s="663"/>
      <c r="BS1134" s="663"/>
      <c r="BU1134" s="4"/>
      <c r="BV1134" s="4"/>
    </row>
    <row r="1135" spans="70:74" ht="27" customHeight="1" x14ac:dyDescent="0.25">
      <c r="BR1135" s="663"/>
      <c r="BS1135" s="663"/>
      <c r="BU1135" s="4"/>
      <c r="BV1135" s="4"/>
    </row>
    <row r="1136" spans="70:74" ht="27" customHeight="1" x14ac:dyDescent="0.25">
      <c r="BR1136" s="663"/>
      <c r="BS1136" s="663"/>
      <c r="BU1136" s="4"/>
      <c r="BV1136" s="4"/>
    </row>
    <row r="1137" spans="70:74" ht="27" customHeight="1" x14ac:dyDescent="0.25">
      <c r="BR1137" s="663"/>
      <c r="BS1137" s="663"/>
      <c r="BU1137" s="4"/>
      <c r="BV1137" s="4"/>
    </row>
    <row r="1138" spans="70:74" ht="27" customHeight="1" x14ac:dyDescent="0.25">
      <c r="BR1138" s="663"/>
      <c r="BS1138" s="663"/>
      <c r="BU1138" s="4"/>
      <c r="BV1138" s="4"/>
    </row>
    <row r="1139" spans="70:74" ht="27" customHeight="1" x14ac:dyDescent="0.25">
      <c r="BR1139" s="663"/>
      <c r="BS1139" s="663"/>
      <c r="BU1139" s="4"/>
      <c r="BV1139" s="4"/>
    </row>
    <row r="1140" spans="70:74" ht="27" customHeight="1" x14ac:dyDescent="0.25">
      <c r="BR1140" s="663"/>
      <c r="BS1140" s="663"/>
      <c r="BU1140" s="4"/>
      <c r="BV1140" s="4"/>
    </row>
    <row r="1141" spans="70:74" ht="27" customHeight="1" x14ac:dyDescent="0.25">
      <c r="BR1141" s="663"/>
      <c r="BS1141" s="663"/>
      <c r="BU1141" s="4"/>
      <c r="BV1141" s="4"/>
    </row>
    <row r="1142" spans="70:74" ht="27" customHeight="1" x14ac:dyDescent="0.25">
      <c r="BR1142" s="663"/>
      <c r="BS1142" s="663"/>
      <c r="BU1142" s="4"/>
      <c r="BV1142" s="4"/>
    </row>
    <row r="1143" spans="70:74" ht="27" customHeight="1" x14ac:dyDescent="0.25">
      <c r="BR1143" s="663"/>
      <c r="BS1143" s="663"/>
      <c r="BU1143" s="4"/>
      <c r="BV1143" s="4"/>
    </row>
    <row r="1144" spans="70:74" ht="27" customHeight="1" x14ac:dyDescent="0.25">
      <c r="BR1144" s="663"/>
      <c r="BS1144" s="663"/>
      <c r="BU1144" s="4"/>
      <c r="BV1144" s="4"/>
    </row>
    <row r="1145" spans="70:74" ht="27" customHeight="1" x14ac:dyDescent="0.25">
      <c r="BR1145" s="663"/>
      <c r="BS1145" s="663"/>
      <c r="BU1145" s="4"/>
      <c r="BV1145" s="4"/>
    </row>
    <row r="1146" spans="70:74" ht="27" customHeight="1" x14ac:dyDescent="0.25">
      <c r="BR1146" s="663"/>
      <c r="BS1146" s="663"/>
      <c r="BU1146" s="4"/>
      <c r="BV1146" s="4"/>
    </row>
    <row r="1147" spans="70:74" ht="27" customHeight="1" x14ac:dyDescent="0.25">
      <c r="BR1147" s="663"/>
      <c r="BS1147" s="663"/>
      <c r="BU1147" s="4"/>
      <c r="BV1147" s="4"/>
    </row>
    <row r="1148" spans="70:74" ht="27" customHeight="1" x14ac:dyDescent="0.25">
      <c r="BR1148" s="663"/>
      <c r="BS1148" s="663"/>
      <c r="BU1148" s="4"/>
      <c r="BV1148" s="4"/>
    </row>
    <row r="1149" spans="70:74" ht="27" customHeight="1" x14ac:dyDescent="0.25">
      <c r="BR1149" s="663"/>
      <c r="BS1149" s="663"/>
      <c r="BU1149" s="4"/>
      <c r="BV1149" s="4"/>
    </row>
    <row r="1150" spans="70:74" ht="27" customHeight="1" x14ac:dyDescent="0.25">
      <c r="BR1150" s="663"/>
      <c r="BS1150" s="663"/>
      <c r="BU1150" s="4"/>
      <c r="BV1150" s="4"/>
    </row>
    <row r="1151" spans="70:74" ht="27" customHeight="1" x14ac:dyDescent="0.25">
      <c r="BR1151" s="663"/>
      <c r="BS1151" s="663"/>
      <c r="BU1151" s="4"/>
      <c r="BV1151" s="4"/>
    </row>
    <row r="1152" spans="70:74" ht="27" customHeight="1" x14ac:dyDescent="0.25">
      <c r="BR1152" s="663"/>
      <c r="BS1152" s="663"/>
      <c r="BU1152" s="4"/>
      <c r="BV1152" s="4"/>
    </row>
    <row r="1153" spans="70:74" ht="27" customHeight="1" x14ac:dyDescent="0.25">
      <c r="BR1153" s="663"/>
      <c r="BS1153" s="663"/>
      <c r="BU1153" s="4"/>
      <c r="BV1153" s="4"/>
    </row>
    <row r="1154" spans="70:74" ht="27" customHeight="1" x14ac:dyDescent="0.25">
      <c r="BR1154" s="663"/>
      <c r="BS1154" s="663"/>
      <c r="BU1154" s="4"/>
      <c r="BV1154" s="4"/>
    </row>
    <row r="1155" spans="70:74" ht="27" customHeight="1" x14ac:dyDescent="0.25">
      <c r="BR1155" s="663"/>
      <c r="BS1155" s="663"/>
      <c r="BU1155" s="4"/>
      <c r="BV1155" s="4"/>
    </row>
    <row r="1156" spans="70:74" ht="27" customHeight="1" x14ac:dyDescent="0.25">
      <c r="BR1156" s="663"/>
      <c r="BS1156" s="663"/>
      <c r="BU1156" s="4"/>
      <c r="BV1156" s="4"/>
    </row>
    <row r="1157" spans="70:74" ht="27" customHeight="1" x14ac:dyDescent="0.25">
      <c r="BR1157" s="663"/>
      <c r="BS1157" s="663"/>
      <c r="BU1157" s="4"/>
      <c r="BV1157" s="4"/>
    </row>
    <row r="1158" spans="70:74" ht="27" customHeight="1" x14ac:dyDescent="0.25">
      <c r="BR1158" s="663"/>
      <c r="BS1158" s="663"/>
      <c r="BU1158" s="4"/>
      <c r="BV1158" s="4"/>
    </row>
    <row r="1159" spans="70:74" ht="27" customHeight="1" x14ac:dyDescent="0.25">
      <c r="BR1159" s="663"/>
      <c r="BS1159" s="663"/>
      <c r="BU1159" s="4"/>
      <c r="BV1159" s="4"/>
    </row>
    <row r="1160" spans="70:74" ht="27" customHeight="1" x14ac:dyDescent="0.25">
      <c r="BR1160" s="663"/>
      <c r="BS1160" s="663"/>
      <c r="BU1160" s="4"/>
      <c r="BV1160" s="4"/>
    </row>
    <row r="1161" spans="70:74" ht="27" customHeight="1" x14ac:dyDescent="0.25">
      <c r="BR1161" s="663"/>
      <c r="BS1161" s="663"/>
      <c r="BU1161" s="4"/>
      <c r="BV1161" s="4"/>
    </row>
    <row r="1162" spans="70:74" ht="27" customHeight="1" x14ac:dyDescent="0.25">
      <c r="BR1162" s="663"/>
      <c r="BS1162" s="663"/>
      <c r="BU1162" s="4"/>
      <c r="BV1162" s="4"/>
    </row>
    <row r="1163" spans="70:74" ht="27" customHeight="1" x14ac:dyDescent="0.25">
      <c r="BR1163" s="663"/>
      <c r="BS1163" s="663"/>
      <c r="BU1163" s="4"/>
      <c r="BV1163" s="4"/>
    </row>
    <row r="1164" spans="70:74" ht="27" customHeight="1" x14ac:dyDescent="0.25">
      <c r="BR1164" s="663"/>
      <c r="BS1164" s="663"/>
      <c r="BU1164" s="4"/>
      <c r="BV1164" s="4"/>
    </row>
    <row r="1165" spans="70:74" ht="27" customHeight="1" x14ac:dyDescent="0.25">
      <c r="BR1165" s="663"/>
      <c r="BS1165" s="663"/>
      <c r="BU1165" s="4"/>
      <c r="BV1165" s="4"/>
    </row>
    <row r="1166" spans="70:74" ht="27" customHeight="1" x14ac:dyDescent="0.25">
      <c r="BR1166" s="663"/>
      <c r="BS1166" s="663"/>
      <c r="BU1166" s="4"/>
      <c r="BV1166" s="4"/>
    </row>
    <row r="1167" spans="70:74" ht="27" customHeight="1" x14ac:dyDescent="0.25">
      <c r="BR1167" s="663"/>
      <c r="BS1167" s="663"/>
      <c r="BU1167" s="4"/>
      <c r="BV1167" s="4"/>
    </row>
    <row r="1168" spans="70:74" ht="27" customHeight="1" x14ac:dyDescent="0.25">
      <c r="BR1168" s="663"/>
      <c r="BS1168" s="663"/>
      <c r="BU1168" s="4"/>
      <c r="BV1168" s="4"/>
    </row>
    <row r="1169" spans="70:74" ht="27" customHeight="1" x14ac:dyDescent="0.25">
      <c r="BR1169" s="663"/>
      <c r="BS1169" s="663"/>
      <c r="BU1169" s="4"/>
      <c r="BV1169" s="4"/>
    </row>
    <row r="1170" spans="70:74" ht="27" customHeight="1" x14ac:dyDescent="0.25">
      <c r="BR1170" s="663"/>
      <c r="BS1170" s="663"/>
      <c r="BU1170" s="4"/>
      <c r="BV1170" s="4"/>
    </row>
    <row r="1171" spans="70:74" ht="27" customHeight="1" x14ac:dyDescent="0.25">
      <c r="BR1171" s="663"/>
      <c r="BS1171" s="663"/>
      <c r="BU1171" s="4"/>
      <c r="BV1171" s="4"/>
    </row>
    <row r="1172" spans="70:74" ht="27" customHeight="1" x14ac:dyDescent="0.25">
      <c r="BR1172" s="663"/>
      <c r="BS1172" s="663"/>
      <c r="BU1172" s="4"/>
      <c r="BV1172" s="4"/>
    </row>
    <row r="1173" spans="70:74" ht="27" customHeight="1" x14ac:dyDescent="0.25">
      <c r="BR1173" s="663"/>
      <c r="BS1173" s="663"/>
      <c r="BU1173" s="4"/>
      <c r="BV1173" s="4"/>
    </row>
    <row r="1174" spans="70:74" ht="27" customHeight="1" x14ac:dyDescent="0.25">
      <c r="BR1174" s="663"/>
      <c r="BS1174" s="663"/>
      <c r="BU1174" s="4"/>
      <c r="BV1174" s="4"/>
    </row>
    <row r="1175" spans="70:74" ht="27" customHeight="1" x14ac:dyDescent="0.25">
      <c r="BR1175" s="663"/>
      <c r="BS1175" s="663"/>
      <c r="BU1175" s="4"/>
      <c r="BV1175" s="4"/>
    </row>
    <row r="1176" spans="70:74" ht="27" customHeight="1" x14ac:dyDescent="0.25">
      <c r="BR1176" s="663"/>
      <c r="BS1176" s="663"/>
      <c r="BU1176" s="4"/>
      <c r="BV1176" s="4"/>
    </row>
    <row r="1177" spans="70:74" ht="27" customHeight="1" x14ac:dyDescent="0.25">
      <c r="BR1177" s="663"/>
      <c r="BS1177" s="663"/>
      <c r="BU1177" s="4"/>
      <c r="BV1177" s="4"/>
    </row>
    <row r="1178" spans="70:74" ht="27" customHeight="1" x14ac:dyDescent="0.25">
      <c r="BR1178" s="663"/>
      <c r="BS1178" s="663"/>
      <c r="BU1178" s="4"/>
      <c r="BV1178" s="4"/>
    </row>
    <row r="1179" spans="70:74" ht="27" customHeight="1" x14ac:dyDescent="0.25">
      <c r="BR1179" s="663"/>
      <c r="BS1179" s="663"/>
      <c r="BU1179" s="4"/>
      <c r="BV1179" s="4"/>
    </row>
    <row r="1180" spans="70:74" ht="27" customHeight="1" x14ac:dyDescent="0.25">
      <c r="BR1180" s="663"/>
      <c r="BS1180" s="663"/>
      <c r="BU1180" s="4"/>
      <c r="BV1180" s="4"/>
    </row>
    <row r="1181" spans="70:74" ht="27" customHeight="1" x14ac:dyDescent="0.25">
      <c r="BR1181" s="663"/>
      <c r="BS1181" s="663"/>
      <c r="BU1181" s="4"/>
      <c r="BV1181" s="4"/>
    </row>
    <row r="1182" spans="70:74" ht="27" customHeight="1" x14ac:dyDescent="0.25">
      <c r="BR1182" s="663"/>
      <c r="BS1182" s="663"/>
      <c r="BU1182" s="4"/>
      <c r="BV1182" s="4"/>
    </row>
    <row r="1183" spans="70:74" ht="27" customHeight="1" x14ac:dyDescent="0.25">
      <c r="BR1183" s="663"/>
      <c r="BS1183" s="663"/>
      <c r="BU1183" s="4"/>
      <c r="BV1183" s="4"/>
    </row>
    <row r="1184" spans="70:74" ht="27" customHeight="1" x14ac:dyDescent="0.25">
      <c r="BR1184" s="663"/>
      <c r="BS1184" s="663"/>
      <c r="BU1184" s="4"/>
      <c r="BV1184" s="4"/>
    </row>
    <row r="1185" spans="70:74" ht="27" customHeight="1" x14ac:dyDescent="0.25">
      <c r="BR1185" s="663"/>
      <c r="BS1185" s="663"/>
      <c r="BU1185" s="4"/>
      <c r="BV1185" s="4"/>
    </row>
    <row r="1186" spans="70:74" ht="27" customHeight="1" x14ac:dyDescent="0.25">
      <c r="BR1186" s="663"/>
      <c r="BS1186" s="663"/>
      <c r="BU1186" s="4"/>
      <c r="BV1186" s="4"/>
    </row>
    <row r="1187" spans="70:74" ht="27" customHeight="1" x14ac:dyDescent="0.25">
      <c r="BR1187" s="663"/>
      <c r="BS1187" s="663"/>
      <c r="BU1187" s="4"/>
      <c r="BV1187" s="4"/>
    </row>
    <row r="1188" spans="70:74" ht="27" customHeight="1" x14ac:dyDescent="0.25">
      <c r="BR1188" s="663"/>
      <c r="BS1188" s="663"/>
      <c r="BU1188" s="4"/>
      <c r="BV1188" s="4"/>
    </row>
    <row r="1189" spans="70:74" ht="27" customHeight="1" x14ac:dyDescent="0.25">
      <c r="BR1189" s="663"/>
      <c r="BS1189" s="663"/>
      <c r="BU1189" s="4"/>
      <c r="BV1189" s="4"/>
    </row>
    <row r="1190" spans="70:74" ht="27" customHeight="1" x14ac:dyDescent="0.25">
      <c r="BR1190" s="663"/>
      <c r="BS1190" s="663"/>
      <c r="BU1190" s="4"/>
      <c r="BV1190" s="4"/>
    </row>
    <row r="1191" spans="70:74" ht="27" customHeight="1" x14ac:dyDescent="0.25">
      <c r="BR1191" s="663"/>
      <c r="BS1191" s="663"/>
      <c r="BU1191" s="4"/>
      <c r="BV1191" s="4"/>
    </row>
    <row r="1192" spans="70:74" ht="27" customHeight="1" x14ac:dyDescent="0.25">
      <c r="BR1192" s="663"/>
      <c r="BS1192" s="663"/>
      <c r="BU1192" s="4"/>
      <c r="BV1192" s="4"/>
    </row>
    <row r="1193" spans="70:74" ht="27" customHeight="1" x14ac:dyDescent="0.25">
      <c r="BR1193" s="663"/>
      <c r="BS1193" s="663"/>
      <c r="BU1193" s="4"/>
      <c r="BV1193" s="4"/>
    </row>
    <row r="1194" spans="70:74" ht="27" customHeight="1" x14ac:dyDescent="0.25">
      <c r="BR1194" s="663"/>
      <c r="BS1194" s="663"/>
      <c r="BU1194" s="4"/>
      <c r="BV1194" s="4"/>
    </row>
    <row r="1195" spans="70:74" ht="27" customHeight="1" x14ac:dyDescent="0.25">
      <c r="BR1195" s="663"/>
      <c r="BS1195" s="663"/>
      <c r="BU1195" s="4"/>
      <c r="BV1195" s="4"/>
    </row>
    <row r="1196" spans="70:74" ht="27" customHeight="1" x14ac:dyDescent="0.25">
      <c r="BR1196" s="663"/>
      <c r="BS1196" s="663"/>
      <c r="BU1196" s="4"/>
      <c r="BV1196" s="4"/>
    </row>
    <row r="1197" spans="70:74" ht="27" customHeight="1" x14ac:dyDescent="0.25">
      <c r="BR1197" s="663"/>
      <c r="BS1197" s="663"/>
      <c r="BU1197" s="4"/>
      <c r="BV1197" s="4"/>
    </row>
    <row r="1198" spans="70:74" ht="27" customHeight="1" x14ac:dyDescent="0.25">
      <c r="BR1198" s="663"/>
      <c r="BS1198" s="663"/>
      <c r="BU1198" s="4"/>
      <c r="BV1198" s="4"/>
    </row>
    <row r="1199" spans="70:74" ht="27" customHeight="1" x14ac:dyDescent="0.25">
      <c r="BR1199" s="663"/>
      <c r="BS1199" s="663"/>
      <c r="BU1199" s="4"/>
      <c r="BV1199" s="4"/>
    </row>
    <row r="1200" spans="70:74" ht="27" customHeight="1" x14ac:dyDescent="0.25">
      <c r="BR1200" s="663"/>
      <c r="BS1200" s="663"/>
      <c r="BU1200" s="4"/>
      <c r="BV1200" s="4"/>
    </row>
    <row r="1201" spans="70:74" ht="27" customHeight="1" x14ac:dyDescent="0.25">
      <c r="BR1201" s="663"/>
      <c r="BS1201" s="663"/>
      <c r="BU1201" s="4"/>
      <c r="BV1201" s="4"/>
    </row>
    <row r="1202" spans="70:74" ht="27" customHeight="1" x14ac:dyDescent="0.25">
      <c r="BR1202" s="663"/>
      <c r="BS1202" s="663"/>
      <c r="BU1202" s="4"/>
      <c r="BV1202" s="4"/>
    </row>
    <row r="1203" spans="70:74" ht="27" customHeight="1" x14ac:dyDescent="0.25">
      <c r="BR1203" s="663"/>
      <c r="BS1203" s="663"/>
      <c r="BU1203" s="4"/>
      <c r="BV1203" s="4"/>
    </row>
    <row r="1204" spans="70:74" ht="27" customHeight="1" x14ac:dyDescent="0.25">
      <c r="BR1204" s="663"/>
      <c r="BS1204" s="663"/>
      <c r="BU1204" s="4"/>
      <c r="BV1204" s="4"/>
    </row>
    <row r="1205" spans="70:74" ht="27" customHeight="1" x14ac:dyDescent="0.25">
      <c r="BR1205" s="663"/>
      <c r="BS1205" s="663"/>
      <c r="BU1205" s="4"/>
      <c r="BV1205" s="4"/>
    </row>
    <row r="1206" spans="70:74" ht="27" customHeight="1" x14ac:dyDescent="0.25">
      <c r="BR1206" s="663"/>
      <c r="BS1206" s="663"/>
      <c r="BU1206" s="4"/>
      <c r="BV1206" s="4"/>
    </row>
    <row r="1207" spans="70:74" ht="27" customHeight="1" x14ac:dyDescent="0.25">
      <c r="BR1207" s="663"/>
      <c r="BS1207" s="663"/>
      <c r="BU1207" s="4"/>
      <c r="BV1207" s="4"/>
    </row>
    <row r="1208" spans="70:74" ht="27" customHeight="1" x14ac:dyDescent="0.25">
      <c r="BR1208" s="663"/>
      <c r="BS1208" s="663"/>
      <c r="BU1208" s="4"/>
      <c r="BV1208" s="4"/>
    </row>
    <row r="1209" spans="70:74" ht="27" customHeight="1" x14ac:dyDescent="0.25">
      <c r="BR1209" s="663"/>
      <c r="BS1209" s="663"/>
      <c r="BU1209" s="4"/>
      <c r="BV1209" s="4"/>
    </row>
    <row r="1210" spans="70:74" ht="27" customHeight="1" x14ac:dyDescent="0.25">
      <c r="BR1210" s="663"/>
      <c r="BS1210" s="663"/>
      <c r="BU1210" s="4"/>
      <c r="BV1210" s="4"/>
    </row>
    <row r="1211" spans="70:74" ht="27" customHeight="1" x14ac:dyDescent="0.25">
      <c r="BR1211" s="663"/>
      <c r="BS1211" s="663"/>
      <c r="BU1211" s="4"/>
      <c r="BV1211" s="4"/>
    </row>
    <row r="1212" spans="70:74" ht="27" customHeight="1" x14ac:dyDescent="0.25">
      <c r="BR1212" s="663"/>
      <c r="BS1212" s="663"/>
      <c r="BU1212" s="4"/>
      <c r="BV1212" s="4"/>
    </row>
    <row r="1213" spans="70:74" ht="27" customHeight="1" x14ac:dyDescent="0.25">
      <c r="BR1213" s="663"/>
      <c r="BS1213" s="663"/>
      <c r="BU1213" s="4"/>
      <c r="BV1213" s="4"/>
    </row>
    <row r="1214" spans="70:74" ht="27" customHeight="1" x14ac:dyDescent="0.25">
      <c r="BR1214" s="663"/>
      <c r="BS1214" s="663"/>
      <c r="BU1214" s="4"/>
      <c r="BV1214" s="4"/>
    </row>
    <row r="1215" spans="70:74" ht="27" customHeight="1" x14ac:dyDescent="0.25">
      <c r="BR1215" s="663"/>
      <c r="BS1215" s="663"/>
      <c r="BU1215" s="4"/>
      <c r="BV1215" s="4"/>
    </row>
    <row r="1216" spans="70:74" ht="27" customHeight="1" x14ac:dyDescent="0.25">
      <c r="BR1216" s="663"/>
      <c r="BS1216" s="663"/>
      <c r="BU1216" s="4"/>
      <c r="BV1216" s="4"/>
    </row>
    <row r="1217" spans="70:74" ht="27" customHeight="1" x14ac:dyDescent="0.25">
      <c r="BR1217" s="663"/>
      <c r="BS1217" s="663"/>
      <c r="BU1217" s="4"/>
      <c r="BV1217" s="4"/>
    </row>
    <row r="1218" spans="70:74" ht="27" customHeight="1" x14ac:dyDescent="0.25">
      <c r="BR1218" s="663"/>
      <c r="BS1218" s="663"/>
      <c r="BU1218" s="4"/>
      <c r="BV1218" s="4"/>
    </row>
    <row r="1219" spans="70:74" ht="27" customHeight="1" x14ac:dyDescent="0.25">
      <c r="BR1219" s="663"/>
      <c r="BS1219" s="663"/>
      <c r="BU1219" s="4"/>
      <c r="BV1219" s="4"/>
    </row>
    <row r="1220" spans="70:74" ht="27" customHeight="1" x14ac:dyDescent="0.25">
      <c r="BR1220" s="663"/>
      <c r="BS1220" s="663"/>
      <c r="BU1220" s="4"/>
      <c r="BV1220" s="4"/>
    </row>
    <row r="1221" spans="70:74" ht="27" customHeight="1" x14ac:dyDescent="0.25">
      <c r="BR1221" s="663"/>
      <c r="BS1221" s="663"/>
      <c r="BU1221" s="4"/>
      <c r="BV1221" s="4"/>
    </row>
    <row r="1222" spans="70:74" ht="27" customHeight="1" x14ac:dyDescent="0.25">
      <c r="BR1222" s="663"/>
      <c r="BS1222" s="663"/>
      <c r="BU1222" s="4"/>
      <c r="BV1222" s="4"/>
    </row>
    <row r="1223" spans="70:74" ht="27" customHeight="1" x14ac:dyDescent="0.25">
      <c r="BR1223" s="663"/>
      <c r="BS1223" s="663"/>
      <c r="BU1223" s="4"/>
      <c r="BV1223" s="4"/>
    </row>
    <row r="1224" spans="70:74" ht="27" customHeight="1" x14ac:dyDescent="0.25">
      <c r="BR1224" s="663"/>
      <c r="BS1224" s="663"/>
      <c r="BU1224" s="4"/>
      <c r="BV1224" s="4"/>
    </row>
    <row r="1225" spans="70:74" ht="27" customHeight="1" x14ac:dyDescent="0.25">
      <c r="BR1225" s="663"/>
      <c r="BS1225" s="663"/>
      <c r="BU1225" s="4"/>
      <c r="BV1225" s="4"/>
    </row>
    <row r="1226" spans="70:74" ht="27" customHeight="1" x14ac:dyDescent="0.25">
      <c r="BR1226" s="663"/>
      <c r="BS1226" s="663"/>
      <c r="BU1226" s="4"/>
      <c r="BV1226" s="4"/>
    </row>
    <row r="1227" spans="70:74" ht="27" customHeight="1" x14ac:dyDescent="0.25">
      <c r="BR1227" s="663"/>
      <c r="BS1227" s="663"/>
      <c r="BU1227" s="4"/>
      <c r="BV1227" s="4"/>
    </row>
    <row r="1228" spans="70:74" ht="27" customHeight="1" x14ac:dyDescent="0.25">
      <c r="BR1228" s="663"/>
      <c r="BS1228" s="663"/>
      <c r="BU1228" s="4"/>
      <c r="BV1228" s="4"/>
    </row>
    <row r="1229" spans="70:74" ht="27" customHeight="1" x14ac:dyDescent="0.25">
      <c r="BR1229" s="663"/>
      <c r="BS1229" s="663"/>
      <c r="BU1229" s="4"/>
      <c r="BV1229" s="4"/>
    </row>
    <row r="1230" spans="70:74" ht="27" customHeight="1" x14ac:dyDescent="0.25">
      <c r="BR1230" s="663"/>
      <c r="BS1230" s="663"/>
      <c r="BU1230" s="4"/>
      <c r="BV1230" s="4"/>
    </row>
    <row r="1231" spans="70:74" ht="27" customHeight="1" x14ac:dyDescent="0.25">
      <c r="BR1231" s="663"/>
      <c r="BS1231" s="663"/>
      <c r="BU1231" s="4"/>
      <c r="BV1231" s="4"/>
    </row>
    <row r="1232" spans="70:74" ht="27" customHeight="1" x14ac:dyDescent="0.25">
      <c r="BR1232" s="663"/>
      <c r="BS1232" s="663"/>
      <c r="BU1232" s="4"/>
      <c r="BV1232" s="4"/>
    </row>
    <row r="1233" spans="70:74" ht="27" customHeight="1" x14ac:dyDescent="0.25">
      <c r="BR1233" s="663"/>
      <c r="BS1233" s="663"/>
      <c r="BU1233" s="4"/>
      <c r="BV1233" s="4"/>
    </row>
    <row r="1234" spans="70:74" ht="27" customHeight="1" x14ac:dyDescent="0.25">
      <c r="BR1234" s="663"/>
      <c r="BS1234" s="663"/>
      <c r="BU1234" s="4"/>
      <c r="BV1234" s="4"/>
    </row>
    <row r="1235" spans="70:74" ht="27" customHeight="1" x14ac:dyDescent="0.25">
      <c r="BR1235" s="663"/>
      <c r="BS1235" s="663"/>
      <c r="BU1235" s="4"/>
      <c r="BV1235" s="4"/>
    </row>
    <row r="1236" spans="70:74" ht="27" customHeight="1" x14ac:dyDescent="0.25">
      <c r="BR1236" s="663"/>
      <c r="BS1236" s="663"/>
      <c r="BU1236" s="4"/>
      <c r="BV1236" s="4"/>
    </row>
    <row r="1237" spans="70:74" ht="27" customHeight="1" x14ac:dyDescent="0.25">
      <c r="BR1237" s="663"/>
      <c r="BS1237" s="663"/>
      <c r="BU1237" s="4"/>
      <c r="BV1237" s="4"/>
    </row>
    <row r="1238" spans="70:74" ht="27" customHeight="1" x14ac:dyDescent="0.25">
      <c r="BR1238" s="663"/>
      <c r="BS1238" s="663"/>
      <c r="BU1238" s="4"/>
      <c r="BV1238" s="4"/>
    </row>
    <row r="1239" spans="70:74" ht="27" customHeight="1" x14ac:dyDescent="0.25">
      <c r="BR1239" s="663"/>
      <c r="BS1239" s="663"/>
      <c r="BU1239" s="4"/>
      <c r="BV1239" s="4"/>
    </row>
    <row r="1240" spans="70:74" ht="27" customHeight="1" x14ac:dyDescent="0.25">
      <c r="BR1240" s="663"/>
      <c r="BS1240" s="663"/>
      <c r="BU1240" s="4"/>
      <c r="BV1240" s="4"/>
    </row>
    <row r="1241" spans="70:74" ht="27" customHeight="1" x14ac:dyDescent="0.25">
      <c r="BR1241" s="663"/>
      <c r="BS1241" s="663"/>
      <c r="BU1241" s="4"/>
      <c r="BV1241" s="4"/>
    </row>
    <row r="1242" spans="70:74" ht="27" customHeight="1" x14ac:dyDescent="0.25">
      <c r="BR1242" s="663"/>
      <c r="BS1242" s="663"/>
      <c r="BU1242" s="4"/>
      <c r="BV1242" s="4"/>
    </row>
    <row r="1243" spans="70:74" ht="27" customHeight="1" x14ac:dyDescent="0.25">
      <c r="BR1243" s="663"/>
      <c r="BS1243" s="663"/>
      <c r="BU1243" s="4"/>
      <c r="BV1243" s="4"/>
    </row>
    <row r="1244" spans="70:74" ht="27" customHeight="1" x14ac:dyDescent="0.25">
      <c r="BR1244" s="663"/>
      <c r="BS1244" s="663"/>
      <c r="BU1244" s="4"/>
      <c r="BV1244" s="4"/>
    </row>
    <row r="1245" spans="70:74" ht="27" customHeight="1" x14ac:dyDescent="0.25">
      <c r="BR1245" s="663"/>
      <c r="BS1245" s="663"/>
      <c r="BU1245" s="4"/>
      <c r="BV1245" s="4"/>
    </row>
    <row r="1246" spans="70:74" ht="27" customHeight="1" x14ac:dyDescent="0.25">
      <c r="BR1246" s="663"/>
      <c r="BS1246" s="663"/>
      <c r="BU1246" s="4"/>
      <c r="BV1246" s="4"/>
    </row>
    <row r="1247" spans="70:74" ht="27" customHeight="1" x14ac:dyDescent="0.25">
      <c r="BR1247" s="663"/>
      <c r="BS1247" s="663"/>
      <c r="BU1247" s="4"/>
      <c r="BV1247" s="4"/>
    </row>
    <row r="1248" spans="70:74" ht="27" customHeight="1" x14ac:dyDescent="0.25">
      <c r="BR1248" s="663"/>
      <c r="BS1248" s="663"/>
      <c r="BU1248" s="4"/>
      <c r="BV1248" s="4"/>
    </row>
    <row r="1249" spans="70:74" ht="27" customHeight="1" x14ac:dyDescent="0.25">
      <c r="BR1249" s="663"/>
      <c r="BS1249" s="663"/>
      <c r="BU1249" s="4"/>
      <c r="BV1249" s="4"/>
    </row>
    <row r="1250" spans="70:74" ht="27" customHeight="1" x14ac:dyDescent="0.25">
      <c r="BR1250" s="663"/>
      <c r="BS1250" s="663"/>
      <c r="BU1250" s="4"/>
      <c r="BV1250" s="4"/>
    </row>
    <row r="1251" spans="70:74" ht="27" customHeight="1" x14ac:dyDescent="0.25">
      <c r="BR1251" s="663"/>
      <c r="BS1251" s="663"/>
      <c r="BU1251" s="4"/>
      <c r="BV1251" s="4"/>
    </row>
    <row r="1252" spans="70:74" ht="27" customHeight="1" x14ac:dyDescent="0.25">
      <c r="BR1252" s="663"/>
      <c r="BS1252" s="663"/>
      <c r="BU1252" s="4"/>
      <c r="BV1252" s="4"/>
    </row>
    <row r="1253" spans="70:74" ht="27" customHeight="1" x14ac:dyDescent="0.25">
      <c r="BR1253" s="663"/>
      <c r="BS1253" s="663"/>
      <c r="BU1253" s="4"/>
      <c r="BV1253" s="4"/>
    </row>
    <row r="1254" spans="70:74" ht="27" customHeight="1" x14ac:dyDescent="0.25">
      <c r="BR1254" s="663"/>
      <c r="BS1254" s="663"/>
      <c r="BU1254" s="4"/>
      <c r="BV1254" s="4"/>
    </row>
    <row r="1255" spans="70:74" ht="27" customHeight="1" x14ac:dyDescent="0.25">
      <c r="BR1255" s="663"/>
      <c r="BS1255" s="663"/>
      <c r="BU1255" s="4"/>
      <c r="BV1255" s="4"/>
    </row>
    <row r="1256" spans="70:74" ht="27" customHeight="1" x14ac:dyDescent="0.25">
      <c r="BR1256" s="663"/>
      <c r="BS1256" s="663"/>
      <c r="BU1256" s="4"/>
      <c r="BV1256" s="4"/>
    </row>
    <row r="1257" spans="70:74" ht="27" customHeight="1" x14ac:dyDescent="0.25">
      <c r="BR1257" s="663"/>
      <c r="BS1257" s="663"/>
      <c r="BU1257" s="4"/>
      <c r="BV1257" s="4"/>
    </row>
    <row r="1258" spans="70:74" ht="27" customHeight="1" x14ac:dyDescent="0.25">
      <c r="BR1258" s="663"/>
      <c r="BS1258" s="663"/>
      <c r="BU1258" s="4"/>
      <c r="BV1258" s="4"/>
    </row>
    <row r="1259" spans="70:74" ht="27" customHeight="1" x14ac:dyDescent="0.25">
      <c r="BR1259" s="663"/>
      <c r="BS1259" s="663"/>
      <c r="BU1259" s="4"/>
      <c r="BV1259" s="4"/>
    </row>
    <row r="1260" spans="70:74" ht="27" customHeight="1" x14ac:dyDescent="0.25">
      <c r="BR1260" s="663"/>
      <c r="BS1260" s="663"/>
      <c r="BU1260" s="4"/>
      <c r="BV1260" s="4"/>
    </row>
    <row r="1261" spans="70:74" ht="27" customHeight="1" x14ac:dyDescent="0.25">
      <c r="BR1261" s="663"/>
      <c r="BS1261" s="663"/>
      <c r="BU1261" s="4"/>
      <c r="BV1261" s="4"/>
    </row>
    <row r="1262" spans="70:74" ht="27" customHeight="1" x14ac:dyDescent="0.25">
      <c r="BR1262" s="663"/>
      <c r="BS1262" s="663"/>
      <c r="BU1262" s="4"/>
      <c r="BV1262" s="4"/>
    </row>
    <row r="1263" spans="70:74" ht="27" customHeight="1" x14ac:dyDescent="0.25">
      <c r="BR1263" s="663"/>
      <c r="BS1263" s="663"/>
      <c r="BU1263" s="4"/>
      <c r="BV1263" s="4"/>
    </row>
    <row r="1264" spans="70:74" ht="27" customHeight="1" x14ac:dyDescent="0.25">
      <c r="BR1264" s="663"/>
      <c r="BS1264" s="663"/>
      <c r="BU1264" s="4"/>
      <c r="BV1264" s="4"/>
    </row>
    <row r="1265" spans="70:74" ht="27" customHeight="1" x14ac:dyDescent="0.25">
      <c r="BR1265" s="663"/>
      <c r="BS1265" s="663"/>
      <c r="BU1265" s="4"/>
      <c r="BV1265" s="4"/>
    </row>
    <row r="1266" spans="70:74" ht="27" customHeight="1" x14ac:dyDescent="0.25">
      <c r="BR1266" s="663"/>
      <c r="BS1266" s="663"/>
      <c r="BU1266" s="4"/>
      <c r="BV1266" s="4"/>
    </row>
    <row r="1267" spans="70:74" ht="27" customHeight="1" x14ac:dyDescent="0.25">
      <c r="BR1267" s="663"/>
      <c r="BS1267" s="663"/>
      <c r="BU1267" s="4"/>
      <c r="BV1267" s="4"/>
    </row>
    <row r="1268" spans="70:74" ht="27" customHeight="1" x14ac:dyDescent="0.25">
      <c r="BR1268" s="663"/>
      <c r="BS1268" s="663"/>
      <c r="BU1268" s="4"/>
      <c r="BV1268" s="4"/>
    </row>
    <row r="1269" spans="70:74" ht="27" customHeight="1" x14ac:dyDescent="0.25">
      <c r="BR1269" s="663"/>
      <c r="BS1269" s="663"/>
      <c r="BU1269" s="4"/>
      <c r="BV1269" s="4"/>
    </row>
    <row r="1270" spans="70:74" ht="27" customHeight="1" x14ac:dyDescent="0.25">
      <c r="BR1270" s="663"/>
      <c r="BS1270" s="663"/>
      <c r="BU1270" s="4"/>
      <c r="BV1270" s="4"/>
    </row>
    <row r="1271" spans="70:74" ht="27" customHeight="1" x14ac:dyDescent="0.25">
      <c r="BR1271" s="663"/>
      <c r="BS1271" s="663"/>
      <c r="BU1271" s="4"/>
      <c r="BV1271" s="4"/>
    </row>
    <row r="1272" spans="70:74" ht="27" customHeight="1" x14ac:dyDescent="0.25">
      <c r="BR1272" s="663"/>
      <c r="BS1272" s="663"/>
      <c r="BU1272" s="4"/>
      <c r="BV1272" s="4"/>
    </row>
    <row r="1273" spans="70:74" ht="27" customHeight="1" x14ac:dyDescent="0.25">
      <c r="BR1273" s="663"/>
      <c r="BS1273" s="663"/>
      <c r="BU1273" s="4"/>
      <c r="BV1273" s="4"/>
    </row>
    <row r="1274" spans="70:74" ht="27" customHeight="1" x14ac:dyDescent="0.25">
      <c r="BR1274" s="663"/>
      <c r="BS1274" s="663"/>
      <c r="BU1274" s="4"/>
      <c r="BV1274" s="4"/>
    </row>
    <row r="1275" spans="70:74" ht="27" customHeight="1" x14ac:dyDescent="0.25">
      <c r="BR1275" s="663"/>
      <c r="BS1275" s="663"/>
      <c r="BU1275" s="4"/>
      <c r="BV1275" s="4"/>
    </row>
    <row r="1276" spans="70:74" ht="27" customHeight="1" x14ac:dyDescent="0.25">
      <c r="BR1276" s="663"/>
      <c r="BS1276" s="663"/>
      <c r="BU1276" s="4"/>
      <c r="BV1276" s="4"/>
    </row>
    <row r="1277" spans="70:74" ht="27" customHeight="1" x14ac:dyDescent="0.25">
      <c r="BR1277" s="663"/>
      <c r="BS1277" s="663"/>
      <c r="BU1277" s="4"/>
      <c r="BV1277" s="4"/>
    </row>
    <row r="1278" spans="70:74" ht="27" customHeight="1" x14ac:dyDescent="0.25">
      <c r="BR1278" s="663"/>
      <c r="BS1278" s="663"/>
      <c r="BU1278" s="4"/>
      <c r="BV1278" s="4"/>
    </row>
    <row r="1279" spans="70:74" ht="27" customHeight="1" x14ac:dyDescent="0.25">
      <c r="BR1279" s="663"/>
      <c r="BS1279" s="663"/>
      <c r="BU1279" s="4"/>
      <c r="BV1279" s="4"/>
    </row>
    <row r="1280" spans="70:74" ht="27" customHeight="1" x14ac:dyDescent="0.25">
      <c r="BR1280" s="663"/>
      <c r="BS1280" s="663"/>
      <c r="BU1280" s="4"/>
      <c r="BV1280" s="4"/>
    </row>
    <row r="1281" spans="70:74" ht="27" customHeight="1" x14ac:dyDescent="0.25">
      <c r="BR1281" s="663"/>
      <c r="BS1281" s="663"/>
      <c r="BU1281" s="4"/>
      <c r="BV1281" s="4"/>
    </row>
    <row r="1282" spans="70:74" ht="27" customHeight="1" x14ac:dyDescent="0.25">
      <c r="BR1282" s="663"/>
      <c r="BS1282" s="663"/>
      <c r="BU1282" s="4"/>
      <c r="BV1282" s="4"/>
    </row>
    <row r="1283" spans="70:74" ht="27" customHeight="1" x14ac:dyDescent="0.25">
      <c r="BR1283" s="663"/>
      <c r="BS1283" s="663"/>
      <c r="BU1283" s="4"/>
      <c r="BV1283" s="4"/>
    </row>
    <row r="1284" spans="70:74" ht="27" customHeight="1" x14ac:dyDescent="0.25">
      <c r="BR1284" s="663"/>
      <c r="BS1284" s="663"/>
      <c r="BU1284" s="4"/>
      <c r="BV1284" s="4"/>
    </row>
    <row r="1285" spans="70:74" ht="27" customHeight="1" x14ac:dyDescent="0.25">
      <c r="BR1285" s="663"/>
      <c r="BS1285" s="663"/>
      <c r="BU1285" s="4"/>
      <c r="BV1285" s="4"/>
    </row>
    <row r="1286" spans="70:74" ht="27" customHeight="1" x14ac:dyDescent="0.25">
      <c r="BR1286" s="663"/>
      <c r="BS1286" s="663"/>
      <c r="BU1286" s="4"/>
      <c r="BV1286" s="4"/>
    </row>
    <row r="1287" spans="70:74" ht="27" customHeight="1" x14ac:dyDescent="0.25">
      <c r="BR1287" s="663"/>
      <c r="BS1287" s="663"/>
      <c r="BU1287" s="4"/>
      <c r="BV1287" s="4"/>
    </row>
    <row r="1288" spans="70:74" ht="27" customHeight="1" x14ac:dyDescent="0.25">
      <c r="BR1288" s="663"/>
      <c r="BS1288" s="663"/>
      <c r="BU1288" s="4"/>
      <c r="BV1288" s="4"/>
    </row>
    <row r="1289" spans="70:74" ht="27" customHeight="1" x14ac:dyDescent="0.25">
      <c r="BR1289" s="663"/>
      <c r="BS1289" s="663"/>
      <c r="BU1289" s="4"/>
      <c r="BV1289" s="4"/>
    </row>
    <row r="1290" spans="70:74" ht="27" customHeight="1" x14ac:dyDescent="0.25">
      <c r="BR1290" s="663"/>
      <c r="BS1290" s="663"/>
      <c r="BU1290" s="4"/>
      <c r="BV1290" s="4"/>
    </row>
    <row r="1291" spans="70:74" ht="27" customHeight="1" x14ac:dyDescent="0.25">
      <c r="BR1291" s="663"/>
      <c r="BS1291" s="663"/>
      <c r="BU1291" s="4"/>
      <c r="BV1291" s="4"/>
    </row>
    <row r="1292" spans="70:74" ht="27" customHeight="1" x14ac:dyDescent="0.25">
      <c r="BR1292" s="663"/>
      <c r="BS1292" s="663"/>
      <c r="BU1292" s="4"/>
      <c r="BV1292" s="4"/>
    </row>
    <row r="1293" spans="70:74" ht="27" customHeight="1" x14ac:dyDescent="0.25">
      <c r="BR1293" s="663"/>
      <c r="BS1293" s="663"/>
      <c r="BU1293" s="4"/>
      <c r="BV1293" s="4"/>
    </row>
    <row r="1294" spans="70:74" ht="27" customHeight="1" x14ac:dyDescent="0.25">
      <c r="BR1294" s="663"/>
      <c r="BS1294" s="663"/>
      <c r="BU1294" s="4"/>
      <c r="BV1294" s="4"/>
    </row>
    <row r="1295" spans="70:74" ht="27" customHeight="1" x14ac:dyDescent="0.25">
      <c r="BR1295" s="663"/>
      <c r="BS1295" s="663"/>
      <c r="BU1295" s="4"/>
      <c r="BV1295" s="4"/>
    </row>
    <row r="1296" spans="70:74" ht="27" customHeight="1" x14ac:dyDescent="0.25">
      <c r="BR1296" s="663"/>
      <c r="BS1296" s="663"/>
      <c r="BU1296" s="4"/>
      <c r="BV1296" s="4"/>
    </row>
    <row r="1297" spans="70:74" ht="27" customHeight="1" x14ac:dyDescent="0.25">
      <c r="BR1297" s="663"/>
      <c r="BS1297" s="663"/>
      <c r="BU1297" s="4"/>
      <c r="BV1297" s="4"/>
    </row>
    <row r="1298" spans="70:74" ht="27" customHeight="1" x14ac:dyDescent="0.25">
      <c r="BR1298" s="663"/>
      <c r="BS1298" s="663"/>
      <c r="BU1298" s="4"/>
      <c r="BV1298" s="4"/>
    </row>
    <row r="1299" spans="70:74" ht="27" customHeight="1" x14ac:dyDescent="0.25">
      <c r="BR1299" s="663"/>
      <c r="BS1299" s="663"/>
      <c r="BU1299" s="4"/>
      <c r="BV1299" s="4"/>
    </row>
    <row r="1300" spans="70:74" ht="27" customHeight="1" x14ac:dyDescent="0.25">
      <c r="BR1300" s="663"/>
      <c r="BS1300" s="663"/>
      <c r="BU1300" s="4"/>
      <c r="BV1300" s="4"/>
    </row>
    <row r="1301" spans="70:74" ht="27" customHeight="1" x14ac:dyDescent="0.25">
      <c r="BR1301" s="663"/>
      <c r="BS1301" s="663"/>
      <c r="BU1301" s="4"/>
      <c r="BV1301" s="4"/>
    </row>
    <row r="1302" spans="70:74" ht="27" customHeight="1" x14ac:dyDescent="0.25">
      <c r="BR1302" s="663"/>
      <c r="BS1302" s="663"/>
      <c r="BU1302" s="4"/>
      <c r="BV1302" s="4"/>
    </row>
    <row r="1303" spans="70:74" ht="27" customHeight="1" x14ac:dyDescent="0.25">
      <c r="BR1303" s="663"/>
      <c r="BS1303" s="663"/>
      <c r="BU1303" s="4"/>
      <c r="BV1303" s="4"/>
    </row>
    <row r="1304" spans="70:74" ht="27" customHeight="1" x14ac:dyDescent="0.25">
      <c r="BR1304" s="663"/>
      <c r="BS1304" s="663"/>
      <c r="BU1304" s="4"/>
      <c r="BV1304" s="4"/>
    </row>
    <row r="1305" spans="70:74" ht="27" customHeight="1" x14ac:dyDescent="0.25">
      <c r="BR1305" s="663"/>
      <c r="BS1305" s="663"/>
      <c r="BU1305" s="4"/>
      <c r="BV1305" s="4"/>
    </row>
    <row r="1306" spans="70:74" ht="27" customHeight="1" x14ac:dyDescent="0.25">
      <c r="BR1306" s="663"/>
      <c r="BS1306" s="663"/>
      <c r="BU1306" s="4"/>
      <c r="BV1306" s="4"/>
    </row>
    <row r="1307" spans="70:74" ht="27" customHeight="1" x14ac:dyDescent="0.25">
      <c r="BR1307" s="663"/>
      <c r="BS1307" s="663"/>
      <c r="BU1307" s="4"/>
      <c r="BV1307" s="4"/>
    </row>
    <row r="1308" spans="70:74" ht="27" customHeight="1" x14ac:dyDescent="0.25">
      <c r="BR1308" s="663"/>
      <c r="BS1308" s="663"/>
      <c r="BU1308" s="4"/>
      <c r="BV1308" s="4"/>
    </row>
    <row r="1309" spans="70:74" ht="27" customHeight="1" x14ac:dyDescent="0.25">
      <c r="BR1309" s="663"/>
      <c r="BS1309" s="663"/>
      <c r="BU1309" s="4"/>
      <c r="BV1309" s="4"/>
    </row>
    <row r="1310" spans="70:74" ht="27" customHeight="1" x14ac:dyDescent="0.25">
      <c r="BR1310" s="663"/>
      <c r="BS1310" s="663"/>
      <c r="BU1310" s="4"/>
      <c r="BV1310" s="4"/>
    </row>
    <row r="1311" spans="70:74" ht="27" customHeight="1" x14ac:dyDescent="0.25">
      <c r="BR1311" s="663"/>
      <c r="BS1311" s="663"/>
      <c r="BU1311" s="4"/>
      <c r="BV1311" s="4"/>
    </row>
    <row r="1312" spans="70:74" ht="27" customHeight="1" x14ac:dyDescent="0.25">
      <c r="BR1312" s="663"/>
      <c r="BS1312" s="663"/>
      <c r="BU1312" s="4"/>
      <c r="BV1312" s="4"/>
    </row>
    <row r="1313" spans="70:74" ht="27" customHeight="1" x14ac:dyDescent="0.25">
      <c r="BR1313" s="663"/>
      <c r="BS1313" s="663"/>
      <c r="BU1313" s="4"/>
      <c r="BV1313" s="4"/>
    </row>
    <row r="1314" spans="70:74" ht="27" customHeight="1" x14ac:dyDescent="0.25">
      <c r="BR1314" s="663"/>
      <c r="BS1314" s="663"/>
      <c r="BU1314" s="4"/>
      <c r="BV1314" s="4"/>
    </row>
    <row r="1315" spans="70:74" ht="27" customHeight="1" x14ac:dyDescent="0.25">
      <c r="BR1315" s="663"/>
      <c r="BS1315" s="663"/>
      <c r="BU1315" s="4"/>
      <c r="BV1315" s="4"/>
    </row>
    <row r="1316" spans="70:74" ht="27" customHeight="1" x14ac:dyDescent="0.25">
      <c r="BR1316" s="663"/>
      <c r="BS1316" s="663"/>
      <c r="BU1316" s="4"/>
      <c r="BV1316" s="4"/>
    </row>
    <row r="1317" spans="70:74" ht="27" customHeight="1" x14ac:dyDescent="0.25">
      <c r="BR1317" s="663"/>
      <c r="BS1317" s="663"/>
      <c r="BU1317" s="4"/>
      <c r="BV1317" s="4"/>
    </row>
    <row r="1318" spans="70:74" ht="27" customHeight="1" x14ac:dyDescent="0.25">
      <c r="BR1318" s="663"/>
      <c r="BS1318" s="663"/>
      <c r="BU1318" s="4"/>
      <c r="BV1318" s="4"/>
    </row>
    <row r="1319" spans="70:74" ht="27" customHeight="1" x14ac:dyDescent="0.25">
      <c r="BR1319" s="663"/>
      <c r="BS1319" s="663"/>
      <c r="BU1319" s="4"/>
      <c r="BV1319" s="4"/>
    </row>
    <row r="1320" spans="70:74" ht="27" customHeight="1" x14ac:dyDescent="0.25">
      <c r="BR1320" s="663"/>
      <c r="BS1320" s="663"/>
      <c r="BU1320" s="4"/>
      <c r="BV1320" s="4"/>
    </row>
    <row r="1321" spans="70:74" ht="27" customHeight="1" x14ac:dyDescent="0.25">
      <c r="BR1321" s="663"/>
      <c r="BS1321" s="663"/>
      <c r="BU1321" s="4"/>
      <c r="BV1321" s="4"/>
    </row>
    <row r="1322" spans="70:74" ht="27" customHeight="1" x14ac:dyDescent="0.25">
      <c r="BR1322" s="663"/>
      <c r="BS1322" s="663"/>
      <c r="BU1322" s="4"/>
      <c r="BV1322" s="4"/>
    </row>
    <row r="1323" spans="70:74" ht="27" customHeight="1" x14ac:dyDescent="0.25">
      <c r="BR1323" s="663"/>
      <c r="BS1323" s="663"/>
      <c r="BU1323" s="4"/>
      <c r="BV1323" s="4"/>
    </row>
    <row r="1324" spans="70:74" ht="27" customHeight="1" x14ac:dyDescent="0.25">
      <c r="BR1324" s="663"/>
      <c r="BS1324" s="663"/>
      <c r="BU1324" s="4"/>
      <c r="BV1324" s="4"/>
    </row>
    <row r="1325" spans="70:74" ht="27" customHeight="1" x14ac:dyDescent="0.25">
      <c r="BR1325" s="663"/>
      <c r="BS1325" s="663"/>
      <c r="BU1325" s="4"/>
      <c r="BV1325" s="4"/>
    </row>
    <row r="1326" spans="70:74" ht="27" customHeight="1" x14ac:dyDescent="0.25">
      <c r="BR1326" s="663"/>
      <c r="BS1326" s="663"/>
      <c r="BU1326" s="4"/>
      <c r="BV1326" s="4"/>
    </row>
    <row r="1327" spans="70:74" ht="27" customHeight="1" x14ac:dyDescent="0.25">
      <c r="BR1327" s="663"/>
      <c r="BS1327" s="663"/>
      <c r="BU1327" s="4"/>
      <c r="BV1327" s="4"/>
    </row>
    <row r="1328" spans="70:74" ht="27" customHeight="1" x14ac:dyDescent="0.25">
      <c r="BR1328" s="663"/>
      <c r="BS1328" s="663"/>
      <c r="BU1328" s="4"/>
      <c r="BV1328" s="4"/>
    </row>
    <row r="1329" spans="70:74" ht="27" customHeight="1" x14ac:dyDescent="0.25">
      <c r="BR1329" s="663"/>
      <c r="BS1329" s="663"/>
      <c r="BU1329" s="4"/>
      <c r="BV1329" s="4"/>
    </row>
    <row r="1330" spans="70:74" ht="27" customHeight="1" x14ac:dyDescent="0.25">
      <c r="BR1330" s="663"/>
      <c r="BS1330" s="663"/>
      <c r="BU1330" s="4"/>
      <c r="BV1330" s="4"/>
    </row>
    <row r="1331" spans="70:74" ht="27" customHeight="1" x14ac:dyDescent="0.25">
      <c r="BR1331" s="663"/>
      <c r="BS1331" s="663"/>
      <c r="BU1331" s="4"/>
      <c r="BV1331" s="4"/>
    </row>
    <row r="1332" spans="70:74" ht="27" customHeight="1" x14ac:dyDescent="0.25">
      <c r="BR1332" s="663"/>
      <c r="BS1332" s="663"/>
      <c r="BU1332" s="4"/>
      <c r="BV1332" s="4"/>
    </row>
    <row r="1333" spans="70:74" ht="27" customHeight="1" x14ac:dyDescent="0.25">
      <c r="BR1333" s="663"/>
      <c r="BS1333" s="663"/>
      <c r="BU1333" s="4"/>
      <c r="BV1333" s="4"/>
    </row>
    <row r="1334" spans="70:74" ht="27" customHeight="1" x14ac:dyDescent="0.25">
      <c r="BR1334" s="663"/>
      <c r="BS1334" s="663"/>
      <c r="BU1334" s="4"/>
      <c r="BV1334" s="4"/>
    </row>
    <row r="1335" spans="70:74" ht="27" customHeight="1" x14ac:dyDescent="0.25">
      <c r="BR1335" s="663"/>
      <c r="BS1335" s="663"/>
      <c r="BU1335" s="4"/>
      <c r="BV1335" s="4"/>
    </row>
    <row r="1336" spans="70:74" ht="27" customHeight="1" x14ac:dyDescent="0.25">
      <c r="BR1336" s="663"/>
      <c r="BS1336" s="663"/>
      <c r="BU1336" s="4"/>
      <c r="BV1336" s="4"/>
    </row>
    <row r="1337" spans="70:74" ht="27" customHeight="1" x14ac:dyDescent="0.25">
      <c r="BR1337" s="663"/>
      <c r="BS1337" s="663"/>
      <c r="BU1337" s="4"/>
      <c r="BV1337" s="4"/>
    </row>
    <row r="1338" spans="70:74" ht="27" customHeight="1" x14ac:dyDescent="0.25">
      <c r="BR1338" s="663"/>
      <c r="BS1338" s="663"/>
      <c r="BU1338" s="4"/>
      <c r="BV1338" s="4"/>
    </row>
    <row r="1339" spans="70:74" ht="27" customHeight="1" x14ac:dyDescent="0.25">
      <c r="BR1339" s="663"/>
      <c r="BS1339" s="663"/>
      <c r="BU1339" s="4"/>
      <c r="BV1339" s="4"/>
    </row>
    <row r="1340" spans="70:74" ht="27" customHeight="1" x14ac:dyDescent="0.25">
      <c r="BR1340" s="663"/>
      <c r="BS1340" s="663"/>
      <c r="BU1340" s="4"/>
      <c r="BV1340" s="4"/>
    </row>
    <row r="1341" spans="70:74" ht="27" customHeight="1" x14ac:dyDescent="0.25">
      <c r="BR1341" s="663"/>
      <c r="BS1341" s="663"/>
      <c r="BU1341" s="4"/>
      <c r="BV1341" s="4"/>
    </row>
    <row r="1342" spans="70:74" ht="27" customHeight="1" x14ac:dyDescent="0.25">
      <c r="BR1342" s="663"/>
      <c r="BS1342" s="663"/>
      <c r="BU1342" s="4"/>
      <c r="BV1342" s="4"/>
    </row>
    <row r="1343" spans="70:74" ht="27" customHeight="1" x14ac:dyDescent="0.25">
      <c r="BR1343" s="663"/>
      <c r="BS1343" s="663"/>
      <c r="BU1343" s="4"/>
      <c r="BV1343" s="4"/>
    </row>
    <row r="1344" spans="70:74" ht="27" customHeight="1" x14ac:dyDescent="0.25">
      <c r="BR1344" s="663"/>
      <c r="BS1344" s="663"/>
      <c r="BU1344" s="4"/>
      <c r="BV1344" s="4"/>
    </row>
    <row r="1345" spans="70:74" ht="27" customHeight="1" x14ac:dyDescent="0.25">
      <c r="BR1345" s="663"/>
      <c r="BS1345" s="663"/>
      <c r="BU1345" s="4"/>
      <c r="BV1345" s="4"/>
    </row>
    <row r="1346" spans="70:74" ht="27" customHeight="1" x14ac:dyDescent="0.25">
      <c r="BR1346" s="663"/>
      <c r="BS1346" s="663"/>
      <c r="BU1346" s="4"/>
      <c r="BV1346" s="4"/>
    </row>
    <row r="1347" spans="70:74" ht="27" customHeight="1" x14ac:dyDescent="0.25">
      <c r="BR1347" s="663"/>
      <c r="BS1347" s="663"/>
      <c r="BU1347" s="4"/>
      <c r="BV1347" s="4"/>
    </row>
    <row r="1348" spans="70:74" ht="27" customHeight="1" x14ac:dyDescent="0.25">
      <c r="BR1348" s="663"/>
      <c r="BS1348" s="663"/>
      <c r="BU1348" s="4"/>
      <c r="BV1348" s="4"/>
    </row>
    <row r="1349" spans="70:74" ht="27" customHeight="1" x14ac:dyDescent="0.25">
      <c r="BR1349" s="663"/>
      <c r="BS1349" s="663"/>
      <c r="BU1349" s="4"/>
      <c r="BV1349" s="4"/>
    </row>
    <row r="1350" spans="70:74" ht="27" customHeight="1" x14ac:dyDescent="0.25">
      <c r="BR1350" s="663"/>
      <c r="BS1350" s="663"/>
      <c r="BU1350" s="4"/>
      <c r="BV1350" s="4"/>
    </row>
    <row r="1351" spans="70:74" ht="27" customHeight="1" x14ac:dyDescent="0.25">
      <c r="BR1351" s="663"/>
      <c r="BS1351" s="663"/>
      <c r="BU1351" s="4"/>
      <c r="BV1351" s="4"/>
    </row>
    <row r="1352" spans="70:74" ht="27" customHeight="1" x14ac:dyDescent="0.25">
      <c r="BR1352" s="663"/>
      <c r="BS1352" s="663"/>
      <c r="BU1352" s="4"/>
      <c r="BV1352" s="4"/>
    </row>
    <row r="1353" spans="70:74" ht="27" customHeight="1" x14ac:dyDescent="0.25">
      <c r="BR1353" s="663"/>
      <c r="BS1353" s="663"/>
      <c r="BU1353" s="4"/>
      <c r="BV1353" s="4"/>
    </row>
    <row r="1354" spans="70:74" ht="27" customHeight="1" x14ac:dyDescent="0.25">
      <c r="BR1354" s="663"/>
      <c r="BS1354" s="663"/>
      <c r="BU1354" s="4"/>
      <c r="BV1354" s="4"/>
    </row>
    <row r="1355" spans="70:74" ht="27" customHeight="1" x14ac:dyDescent="0.25">
      <c r="BR1355" s="663"/>
      <c r="BS1355" s="663"/>
      <c r="BU1355" s="4"/>
      <c r="BV1355" s="4"/>
    </row>
    <row r="1356" spans="70:74" ht="27" customHeight="1" x14ac:dyDescent="0.25">
      <c r="BR1356" s="663"/>
      <c r="BS1356" s="663"/>
      <c r="BU1356" s="4"/>
      <c r="BV1356" s="4"/>
    </row>
    <row r="1357" spans="70:74" ht="27" customHeight="1" x14ac:dyDescent="0.25">
      <c r="BR1357" s="663"/>
      <c r="BS1357" s="663"/>
      <c r="BU1357" s="4"/>
      <c r="BV1357" s="4"/>
    </row>
    <row r="1358" spans="70:74" ht="27" customHeight="1" x14ac:dyDescent="0.25">
      <c r="BR1358" s="663"/>
      <c r="BS1358" s="663"/>
      <c r="BU1358" s="4"/>
      <c r="BV1358" s="4"/>
    </row>
    <row r="1359" spans="70:74" ht="27" customHeight="1" x14ac:dyDescent="0.25">
      <c r="BR1359" s="663"/>
      <c r="BS1359" s="663"/>
      <c r="BU1359" s="4"/>
      <c r="BV1359" s="4"/>
    </row>
    <row r="1360" spans="70:74" ht="27" customHeight="1" x14ac:dyDescent="0.25">
      <c r="BR1360" s="663"/>
      <c r="BS1360" s="663"/>
      <c r="BU1360" s="4"/>
      <c r="BV1360" s="4"/>
    </row>
    <row r="1361" spans="70:74" ht="27" customHeight="1" x14ac:dyDescent="0.25">
      <c r="BR1361" s="663"/>
      <c r="BS1361" s="663"/>
      <c r="BU1361" s="4"/>
      <c r="BV1361" s="4"/>
    </row>
    <row r="1362" spans="70:74" ht="27" customHeight="1" x14ac:dyDescent="0.25">
      <c r="BR1362" s="663"/>
      <c r="BS1362" s="663"/>
      <c r="BU1362" s="4"/>
      <c r="BV1362" s="4"/>
    </row>
    <row r="1363" spans="70:74" ht="27" customHeight="1" x14ac:dyDescent="0.25">
      <c r="BR1363" s="663"/>
      <c r="BS1363" s="663"/>
      <c r="BU1363" s="4"/>
      <c r="BV1363" s="4"/>
    </row>
    <row r="1364" spans="70:74" ht="27" customHeight="1" x14ac:dyDescent="0.25">
      <c r="BR1364" s="663"/>
      <c r="BS1364" s="663"/>
      <c r="BU1364" s="4"/>
      <c r="BV1364" s="4"/>
    </row>
    <row r="1365" spans="70:74" ht="27" customHeight="1" x14ac:dyDescent="0.25">
      <c r="BR1365" s="663"/>
      <c r="BS1365" s="663"/>
      <c r="BU1365" s="4"/>
      <c r="BV1365" s="4"/>
    </row>
    <row r="1366" spans="70:74" ht="27" customHeight="1" x14ac:dyDescent="0.25">
      <c r="BR1366" s="663"/>
      <c r="BS1366" s="663"/>
      <c r="BU1366" s="4"/>
      <c r="BV1366" s="4"/>
    </row>
    <row r="1367" spans="70:74" ht="27" customHeight="1" x14ac:dyDescent="0.25">
      <c r="BR1367" s="663"/>
      <c r="BS1367" s="663"/>
      <c r="BU1367" s="4"/>
      <c r="BV1367" s="4"/>
    </row>
    <row r="1368" spans="70:74" ht="27" customHeight="1" x14ac:dyDescent="0.25">
      <c r="BR1368" s="663"/>
      <c r="BS1368" s="663"/>
      <c r="BU1368" s="4"/>
      <c r="BV1368" s="4"/>
    </row>
    <row r="1369" spans="70:74" ht="27" customHeight="1" x14ac:dyDescent="0.25">
      <c r="BR1369" s="663"/>
      <c r="BS1369" s="663"/>
      <c r="BU1369" s="4"/>
      <c r="BV1369" s="4"/>
    </row>
    <row r="1370" spans="70:74" ht="27" customHeight="1" x14ac:dyDescent="0.25">
      <c r="BR1370" s="663"/>
      <c r="BS1370" s="663"/>
      <c r="BU1370" s="4"/>
      <c r="BV1370" s="4"/>
    </row>
    <row r="1371" spans="70:74" ht="27" customHeight="1" x14ac:dyDescent="0.25">
      <c r="BR1371" s="663"/>
      <c r="BS1371" s="663"/>
      <c r="BU1371" s="4"/>
      <c r="BV1371" s="4"/>
    </row>
    <row r="1372" spans="70:74" ht="27" customHeight="1" x14ac:dyDescent="0.25">
      <c r="BR1372" s="663"/>
      <c r="BS1372" s="663"/>
      <c r="BU1372" s="4"/>
      <c r="BV1372" s="4"/>
    </row>
    <row r="1373" spans="70:74" ht="27" customHeight="1" x14ac:dyDescent="0.25">
      <c r="BR1373" s="663"/>
      <c r="BS1373" s="663"/>
      <c r="BU1373" s="4"/>
      <c r="BV1373" s="4"/>
    </row>
    <row r="1374" spans="70:74" ht="27" customHeight="1" x14ac:dyDescent="0.25">
      <c r="BR1374" s="663"/>
      <c r="BS1374" s="663"/>
      <c r="BU1374" s="4"/>
      <c r="BV1374" s="4"/>
    </row>
    <row r="1375" spans="70:74" ht="27" customHeight="1" x14ac:dyDescent="0.25">
      <c r="BR1375" s="663"/>
      <c r="BS1375" s="663"/>
      <c r="BU1375" s="4"/>
      <c r="BV1375" s="4"/>
    </row>
    <row r="1376" spans="70:74" ht="27" customHeight="1" x14ac:dyDescent="0.25">
      <c r="BR1376" s="663"/>
      <c r="BS1376" s="663"/>
      <c r="BU1376" s="4"/>
      <c r="BV1376" s="4"/>
    </row>
    <row r="1377" spans="70:74" ht="27" customHeight="1" x14ac:dyDescent="0.25">
      <c r="BR1377" s="663"/>
      <c r="BS1377" s="663"/>
      <c r="BU1377" s="4"/>
      <c r="BV1377" s="4"/>
    </row>
    <row r="1378" spans="70:74" ht="27" customHeight="1" x14ac:dyDescent="0.25">
      <c r="BR1378" s="663"/>
      <c r="BS1378" s="663"/>
      <c r="BU1378" s="4"/>
      <c r="BV1378" s="4"/>
    </row>
    <row r="1379" spans="70:74" ht="27" customHeight="1" x14ac:dyDescent="0.25">
      <c r="BR1379" s="663"/>
      <c r="BS1379" s="663"/>
      <c r="BU1379" s="4"/>
      <c r="BV1379" s="4"/>
    </row>
    <row r="1380" spans="70:74" ht="27" customHeight="1" x14ac:dyDescent="0.25">
      <c r="BR1380" s="663"/>
      <c r="BS1380" s="663"/>
      <c r="BU1380" s="4"/>
      <c r="BV1380" s="4"/>
    </row>
    <row r="1381" spans="70:74" ht="27" customHeight="1" x14ac:dyDescent="0.25">
      <c r="BR1381" s="663"/>
      <c r="BS1381" s="663"/>
      <c r="BU1381" s="4"/>
      <c r="BV1381" s="4"/>
    </row>
    <row r="1382" spans="70:74" ht="27" customHeight="1" x14ac:dyDescent="0.25">
      <c r="BR1382" s="663"/>
      <c r="BS1382" s="663"/>
      <c r="BU1382" s="4"/>
      <c r="BV1382" s="4"/>
    </row>
    <row r="1383" spans="70:74" ht="27" customHeight="1" x14ac:dyDescent="0.25">
      <c r="BR1383" s="663"/>
      <c r="BS1383" s="663"/>
      <c r="BU1383" s="4"/>
      <c r="BV1383" s="4"/>
    </row>
    <row r="1384" spans="70:74" ht="27" customHeight="1" x14ac:dyDescent="0.25">
      <c r="BR1384" s="663"/>
      <c r="BS1384" s="663"/>
      <c r="BU1384" s="4"/>
      <c r="BV1384" s="4"/>
    </row>
    <row r="1385" spans="70:74" ht="27" customHeight="1" x14ac:dyDescent="0.25">
      <c r="BR1385" s="663"/>
      <c r="BS1385" s="663"/>
      <c r="BU1385" s="4"/>
      <c r="BV1385" s="4"/>
    </row>
    <row r="1386" spans="70:74" ht="27" customHeight="1" x14ac:dyDescent="0.25">
      <c r="BR1386" s="663"/>
      <c r="BS1386" s="663"/>
      <c r="BU1386" s="4"/>
      <c r="BV1386" s="4"/>
    </row>
    <row r="1387" spans="70:74" ht="27" customHeight="1" x14ac:dyDescent="0.25">
      <c r="BR1387" s="663"/>
      <c r="BS1387" s="663"/>
      <c r="BU1387" s="4"/>
      <c r="BV1387" s="4"/>
    </row>
    <row r="1388" spans="70:74" ht="27" customHeight="1" x14ac:dyDescent="0.25">
      <c r="BR1388" s="663"/>
      <c r="BS1388" s="663"/>
      <c r="BU1388" s="4"/>
      <c r="BV1388" s="4"/>
    </row>
    <row r="1389" spans="70:74" ht="27" customHeight="1" x14ac:dyDescent="0.25">
      <c r="BR1389" s="663"/>
      <c r="BS1389" s="663"/>
      <c r="BU1389" s="4"/>
      <c r="BV1389" s="4"/>
    </row>
    <row r="1390" spans="70:74" ht="27" customHeight="1" x14ac:dyDescent="0.25">
      <c r="BR1390" s="663"/>
      <c r="BS1390" s="663"/>
      <c r="BU1390" s="4"/>
      <c r="BV1390" s="4"/>
    </row>
    <row r="1391" spans="70:74" ht="27" customHeight="1" x14ac:dyDescent="0.25">
      <c r="BR1391" s="663"/>
      <c r="BS1391" s="663"/>
      <c r="BU1391" s="4"/>
      <c r="BV1391" s="4"/>
    </row>
    <row r="1392" spans="70:74" ht="27" customHeight="1" x14ac:dyDescent="0.25">
      <c r="BR1392" s="663"/>
      <c r="BS1392" s="663"/>
      <c r="BU1392" s="4"/>
      <c r="BV1392" s="4"/>
    </row>
    <row r="1393" spans="70:74" ht="27" customHeight="1" x14ac:dyDescent="0.25">
      <c r="BR1393" s="663"/>
      <c r="BS1393" s="663"/>
      <c r="BU1393" s="4"/>
      <c r="BV1393" s="4"/>
    </row>
    <row r="1394" spans="70:74" ht="27" customHeight="1" x14ac:dyDescent="0.25">
      <c r="BR1394" s="663"/>
      <c r="BS1394" s="663"/>
      <c r="BU1394" s="4"/>
      <c r="BV1394" s="4"/>
    </row>
    <row r="1395" spans="70:74" ht="27" customHeight="1" x14ac:dyDescent="0.25">
      <c r="BR1395" s="663"/>
      <c r="BS1395" s="663"/>
      <c r="BU1395" s="4"/>
      <c r="BV1395" s="4"/>
    </row>
    <row r="1396" spans="70:74" ht="27" customHeight="1" x14ac:dyDescent="0.25">
      <c r="BR1396" s="663"/>
      <c r="BS1396" s="663"/>
      <c r="BU1396" s="4"/>
      <c r="BV1396" s="4"/>
    </row>
    <row r="1397" spans="70:74" ht="27" customHeight="1" x14ac:dyDescent="0.25">
      <c r="BR1397" s="663"/>
      <c r="BS1397" s="663"/>
      <c r="BU1397" s="4"/>
      <c r="BV1397" s="4"/>
    </row>
    <row r="1398" spans="70:74" ht="27" customHeight="1" x14ac:dyDescent="0.25">
      <c r="BR1398" s="663"/>
      <c r="BS1398" s="663"/>
      <c r="BU1398" s="4"/>
      <c r="BV1398" s="4"/>
    </row>
    <row r="1399" spans="70:74" ht="27" customHeight="1" x14ac:dyDescent="0.25">
      <c r="BR1399" s="663"/>
      <c r="BS1399" s="663"/>
      <c r="BU1399" s="4"/>
      <c r="BV1399" s="4"/>
    </row>
    <row r="1400" spans="70:74" ht="27" customHeight="1" x14ac:dyDescent="0.25">
      <c r="BR1400" s="663"/>
      <c r="BS1400" s="663"/>
      <c r="BU1400" s="4"/>
      <c r="BV1400" s="4"/>
    </row>
    <row r="1401" spans="70:74" ht="27" customHeight="1" x14ac:dyDescent="0.25">
      <c r="BR1401" s="663"/>
      <c r="BS1401" s="663"/>
      <c r="BU1401" s="4"/>
      <c r="BV1401" s="4"/>
    </row>
    <row r="1402" spans="70:74" ht="27" customHeight="1" x14ac:dyDescent="0.25">
      <c r="BR1402" s="663"/>
      <c r="BS1402" s="663"/>
      <c r="BU1402" s="4"/>
      <c r="BV1402" s="4"/>
    </row>
    <row r="1403" spans="70:74" ht="27" customHeight="1" x14ac:dyDescent="0.25">
      <c r="BR1403" s="663"/>
      <c r="BS1403" s="663"/>
      <c r="BU1403" s="4"/>
      <c r="BV1403" s="4"/>
    </row>
    <row r="1404" spans="70:74" ht="27" customHeight="1" x14ac:dyDescent="0.25">
      <c r="BR1404" s="663"/>
      <c r="BS1404" s="663"/>
      <c r="BU1404" s="4"/>
      <c r="BV1404" s="4"/>
    </row>
    <row r="1405" spans="70:74" ht="27" customHeight="1" x14ac:dyDescent="0.25">
      <c r="BR1405" s="663"/>
      <c r="BS1405" s="663"/>
      <c r="BU1405" s="4"/>
      <c r="BV1405" s="4"/>
    </row>
    <row r="1406" spans="70:74" ht="27" customHeight="1" x14ac:dyDescent="0.25">
      <c r="BR1406" s="663"/>
      <c r="BS1406" s="663"/>
      <c r="BU1406" s="4"/>
      <c r="BV1406" s="4"/>
    </row>
    <row r="1407" spans="70:74" ht="27" customHeight="1" x14ac:dyDescent="0.25">
      <c r="BR1407" s="663"/>
      <c r="BS1407" s="663"/>
      <c r="BU1407" s="4"/>
      <c r="BV1407" s="4"/>
    </row>
    <row r="1408" spans="70:74" ht="27" customHeight="1" x14ac:dyDescent="0.25">
      <c r="BR1408" s="663"/>
      <c r="BS1408" s="663"/>
      <c r="BU1408" s="4"/>
      <c r="BV1408" s="4"/>
    </row>
    <row r="1409" spans="70:74" ht="27" customHeight="1" x14ac:dyDescent="0.25">
      <c r="BR1409" s="663"/>
      <c r="BS1409" s="663"/>
      <c r="BU1409" s="4"/>
      <c r="BV1409" s="4"/>
    </row>
    <row r="1410" spans="70:74" ht="27" customHeight="1" x14ac:dyDescent="0.25">
      <c r="BR1410" s="663"/>
      <c r="BS1410" s="663"/>
      <c r="BU1410" s="4"/>
      <c r="BV1410" s="4"/>
    </row>
    <row r="1411" spans="70:74" ht="27" customHeight="1" x14ac:dyDescent="0.25">
      <c r="BR1411" s="663"/>
      <c r="BS1411" s="663"/>
      <c r="BU1411" s="4"/>
      <c r="BV1411" s="4"/>
    </row>
    <row r="1412" spans="70:74" ht="27" customHeight="1" x14ac:dyDescent="0.25">
      <c r="BR1412" s="663"/>
      <c r="BS1412" s="663"/>
      <c r="BU1412" s="4"/>
      <c r="BV1412" s="4"/>
    </row>
    <row r="1413" spans="70:74" ht="27" customHeight="1" x14ac:dyDescent="0.25">
      <c r="BR1413" s="663"/>
      <c r="BS1413" s="663"/>
      <c r="BU1413" s="4"/>
      <c r="BV1413" s="4"/>
    </row>
    <row r="1414" spans="70:74" ht="27" customHeight="1" x14ac:dyDescent="0.25">
      <c r="BR1414" s="663"/>
      <c r="BS1414" s="663"/>
      <c r="BU1414" s="4"/>
      <c r="BV1414" s="4"/>
    </row>
    <row r="1415" spans="70:74" ht="27" customHeight="1" x14ac:dyDescent="0.25">
      <c r="BR1415" s="663"/>
      <c r="BS1415" s="663"/>
      <c r="BU1415" s="4"/>
      <c r="BV1415" s="4"/>
    </row>
    <row r="1416" spans="70:74" ht="27" customHeight="1" x14ac:dyDescent="0.25">
      <c r="BR1416" s="663"/>
      <c r="BS1416" s="663"/>
      <c r="BU1416" s="4"/>
      <c r="BV1416" s="4"/>
    </row>
    <row r="1417" spans="70:74" ht="27" customHeight="1" x14ac:dyDescent="0.25">
      <c r="BR1417" s="663"/>
      <c r="BS1417" s="663"/>
      <c r="BU1417" s="4"/>
      <c r="BV1417" s="4"/>
    </row>
    <row r="1418" spans="70:74" ht="27" customHeight="1" x14ac:dyDescent="0.25">
      <c r="BR1418" s="663"/>
      <c r="BS1418" s="663"/>
      <c r="BU1418" s="4"/>
      <c r="BV1418" s="4"/>
    </row>
    <row r="1419" spans="70:74" ht="27" customHeight="1" x14ac:dyDescent="0.25">
      <c r="BR1419" s="663"/>
      <c r="BS1419" s="663"/>
      <c r="BU1419" s="4"/>
      <c r="BV1419" s="4"/>
    </row>
    <row r="1420" spans="70:74" ht="27" customHeight="1" x14ac:dyDescent="0.25">
      <c r="BR1420" s="663"/>
      <c r="BS1420" s="663"/>
      <c r="BU1420" s="4"/>
      <c r="BV1420" s="4"/>
    </row>
    <row r="1421" spans="70:74" ht="27" customHeight="1" x14ac:dyDescent="0.25">
      <c r="BR1421" s="663"/>
      <c r="BS1421" s="663"/>
      <c r="BU1421" s="4"/>
      <c r="BV1421" s="4"/>
    </row>
    <row r="1422" spans="70:74" ht="27" customHeight="1" x14ac:dyDescent="0.25">
      <c r="BR1422" s="663"/>
      <c r="BS1422" s="663"/>
      <c r="BU1422" s="4"/>
      <c r="BV1422" s="4"/>
    </row>
    <row r="1423" spans="70:74" ht="27" customHeight="1" x14ac:dyDescent="0.25">
      <c r="BR1423" s="663"/>
      <c r="BS1423" s="663"/>
      <c r="BU1423" s="4"/>
      <c r="BV1423" s="4"/>
    </row>
    <row r="1424" spans="70:74" ht="27" customHeight="1" x14ac:dyDescent="0.25">
      <c r="BR1424" s="663"/>
      <c r="BS1424" s="663"/>
      <c r="BU1424" s="4"/>
      <c r="BV1424" s="4"/>
    </row>
    <row r="1425" spans="70:74" ht="27" customHeight="1" x14ac:dyDescent="0.25">
      <c r="BR1425" s="663"/>
      <c r="BS1425" s="663"/>
      <c r="BU1425" s="4"/>
      <c r="BV1425" s="4"/>
    </row>
    <row r="1426" spans="70:74" ht="27" customHeight="1" x14ac:dyDescent="0.25">
      <c r="BR1426" s="663"/>
      <c r="BS1426" s="663"/>
      <c r="BU1426" s="4"/>
      <c r="BV1426" s="4"/>
    </row>
    <row r="1427" spans="70:74" ht="27" customHeight="1" x14ac:dyDescent="0.25">
      <c r="BR1427" s="663"/>
      <c r="BS1427" s="663"/>
      <c r="BU1427" s="4"/>
      <c r="BV1427" s="4"/>
    </row>
    <row r="1428" spans="70:74" ht="27" customHeight="1" x14ac:dyDescent="0.25">
      <c r="BR1428" s="663"/>
      <c r="BS1428" s="663"/>
      <c r="BU1428" s="4"/>
      <c r="BV1428" s="4"/>
    </row>
    <row r="1429" spans="70:74" ht="27" customHeight="1" x14ac:dyDescent="0.25">
      <c r="BR1429" s="663"/>
      <c r="BS1429" s="663"/>
      <c r="BU1429" s="4"/>
      <c r="BV1429" s="4"/>
    </row>
    <row r="1430" spans="70:74" ht="27" customHeight="1" x14ac:dyDescent="0.25">
      <c r="BR1430" s="663"/>
      <c r="BS1430" s="663"/>
      <c r="BU1430" s="4"/>
      <c r="BV1430" s="4"/>
    </row>
    <row r="1431" spans="70:74" ht="27" customHeight="1" x14ac:dyDescent="0.25">
      <c r="BR1431" s="663"/>
      <c r="BS1431" s="663"/>
      <c r="BU1431" s="4"/>
      <c r="BV1431" s="4"/>
    </row>
    <row r="1432" spans="70:74" ht="27" customHeight="1" x14ac:dyDescent="0.25">
      <c r="BR1432" s="663"/>
      <c r="BS1432" s="663"/>
      <c r="BU1432" s="4"/>
      <c r="BV1432" s="4"/>
    </row>
    <row r="1433" spans="70:74" ht="27" customHeight="1" x14ac:dyDescent="0.25">
      <c r="BR1433" s="663"/>
      <c r="BS1433" s="663"/>
      <c r="BU1433" s="4"/>
      <c r="BV1433" s="4"/>
    </row>
    <row r="1434" spans="70:74" ht="27" customHeight="1" x14ac:dyDescent="0.25">
      <c r="BR1434" s="663"/>
      <c r="BS1434" s="663"/>
      <c r="BU1434" s="4"/>
      <c r="BV1434" s="4"/>
    </row>
    <row r="1435" spans="70:74" ht="27" customHeight="1" x14ac:dyDescent="0.25">
      <c r="BR1435" s="663"/>
      <c r="BS1435" s="663"/>
      <c r="BU1435" s="4"/>
      <c r="BV1435" s="4"/>
    </row>
    <row r="1436" spans="70:74" ht="27" customHeight="1" x14ac:dyDescent="0.25">
      <c r="BR1436" s="663"/>
      <c r="BS1436" s="663"/>
      <c r="BU1436" s="4"/>
      <c r="BV1436" s="4"/>
    </row>
    <row r="1437" spans="70:74" ht="27" customHeight="1" x14ac:dyDescent="0.25">
      <c r="BR1437" s="663"/>
      <c r="BS1437" s="663"/>
      <c r="BU1437" s="4"/>
      <c r="BV1437" s="4"/>
    </row>
    <row r="1438" spans="70:74" ht="27" customHeight="1" x14ac:dyDescent="0.25">
      <c r="BR1438" s="663"/>
      <c r="BS1438" s="663"/>
      <c r="BU1438" s="4"/>
      <c r="BV1438" s="4"/>
    </row>
    <row r="1439" spans="70:74" ht="27" customHeight="1" x14ac:dyDescent="0.25">
      <c r="BR1439" s="663"/>
      <c r="BS1439" s="663"/>
      <c r="BU1439" s="4"/>
      <c r="BV1439" s="4"/>
    </row>
    <row r="1440" spans="70:74" ht="27" customHeight="1" x14ac:dyDescent="0.25">
      <c r="BR1440" s="663"/>
      <c r="BS1440" s="663"/>
      <c r="BU1440" s="4"/>
      <c r="BV1440" s="4"/>
    </row>
    <row r="1441" spans="70:74" ht="27" customHeight="1" x14ac:dyDescent="0.25">
      <c r="BR1441" s="663"/>
      <c r="BS1441" s="663"/>
      <c r="BU1441" s="4"/>
      <c r="BV1441" s="4"/>
    </row>
    <row r="1442" spans="70:74" ht="27" customHeight="1" x14ac:dyDescent="0.25">
      <c r="BR1442" s="663"/>
      <c r="BS1442" s="663"/>
      <c r="BU1442" s="4"/>
      <c r="BV1442" s="4"/>
    </row>
    <row r="1443" spans="70:74" ht="27" customHeight="1" x14ac:dyDescent="0.25">
      <c r="BR1443" s="663"/>
      <c r="BS1443" s="663"/>
      <c r="BU1443" s="4"/>
      <c r="BV1443" s="4"/>
    </row>
    <row r="1444" spans="70:74" ht="27" customHeight="1" x14ac:dyDescent="0.25">
      <c r="BR1444" s="663"/>
      <c r="BS1444" s="663"/>
      <c r="BU1444" s="4"/>
      <c r="BV1444" s="4"/>
    </row>
    <row r="1445" spans="70:74" ht="27" customHeight="1" x14ac:dyDescent="0.25">
      <c r="BR1445" s="663"/>
      <c r="BS1445" s="663"/>
      <c r="BU1445" s="4"/>
      <c r="BV1445" s="4"/>
    </row>
    <row r="1446" spans="70:74" ht="27" customHeight="1" x14ac:dyDescent="0.25">
      <c r="BR1446" s="663"/>
      <c r="BS1446" s="663"/>
      <c r="BU1446" s="4"/>
      <c r="BV1446" s="4"/>
    </row>
    <row r="1447" spans="70:74" ht="27" customHeight="1" x14ac:dyDescent="0.25">
      <c r="BR1447" s="663"/>
      <c r="BS1447" s="663"/>
      <c r="BU1447" s="4"/>
      <c r="BV1447" s="4"/>
    </row>
    <row r="1448" spans="70:74" ht="27" customHeight="1" x14ac:dyDescent="0.25">
      <c r="BR1448" s="663"/>
      <c r="BS1448" s="663"/>
      <c r="BU1448" s="4"/>
      <c r="BV1448" s="4"/>
    </row>
    <row r="1449" spans="70:74" ht="27" customHeight="1" x14ac:dyDescent="0.25">
      <c r="BR1449" s="663"/>
      <c r="BS1449" s="663"/>
      <c r="BU1449" s="4"/>
      <c r="BV1449" s="4"/>
    </row>
    <row r="1450" spans="70:74" ht="27" customHeight="1" x14ac:dyDescent="0.25">
      <c r="BR1450" s="663"/>
      <c r="BS1450" s="663"/>
      <c r="BU1450" s="4"/>
      <c r="BV1450" s="4"/>
    </row>
    <row r="1451" spans="70:74" ht="27" customHeight="1" x14ac:dyDescent="0.25">
      <c r="BR1451" s="663"/>
      <c r="BS1451" s="663"/>
      <c r="BU1451" s="4"/>
      <c r="BV1451" s="4"/>
    </row>
    <row r="1452" spans="70:74" ht="27" customHeight="1" x14ac:dyDescent="0.25">
      <c r="BR1452" s="663"/>
      <c r="BS1452" s="663"/>
      <c r="BU1452" s="4"/>
      <c r="BV1452" s="4"/>
    </row>
    <row r="1453" spans="70:74" ht="27" customHeight="1" x14ac:dyDescent="0.25">
      <c r="BR1453" s="663"/>
      <c r="BS1453" s="663"/>
      <c r="BU1453" s="4"/>
      <c r="BV1453" s="4"/>
    </row>
    <row r="1454" spans="70:74" ht="27" customHeight="1" x14ac:dyDescent="0.25">
      <c r="BR1454" s="663"/>
      <c r="BS1454" s="663"/>
      <c r="BU1454" s="4"/>
      <c r="BV1454" s="4"/>
    </row>
    <row r="1455" spans="70:74" ht="27" customHeight="1" x14ac:dyDescent="0.25">
      <c r="BR1455" s="663"/>
      <c r="BS1455" s="663"/>
      <c r="BU1455" s="4"/>
      <c r="BV1455" s="4"/>
    </row>
    <row r="1456" spans="70:74" ht="27" customHeight="1" x14ac:dyDescent="0.25">
      <c r="BR1456" s="663"/>
      <c r="BS1456" s="663"/>
      <c r="BU1456" s="4"/>
      <c r="BV1456" s="4"/>
    </row>
    <row r="1457" spans="70:74" ht="27" customHeight="1" x14ac:dyDescent="0.25">
      <c r="BR1457" s="663"/>
      <c r="BS1457" s="663"/>
      <c r="BU1457" s="4"/>
      <c r="BV1457" s="4"/>
    </row>
    <row r="1458" spans="70:74" ht="27" customHeight="1" x14ac:dyDescent="0.25">
      <c r="BR1458" s="663"/>
      <c r="BS1458" s="663"/>
      <c r="BU1458" s="4"/>
      <c r="BV1458" s="4"/>
    </row>
    <row r="1459" spans="70:74" ht="27" customHeight="1" x14ac:dyDescent="0.25">
      <c r="BR1459" s="663"/>
      <c r="BS1459" s="663"/>
      <c r="BU1459" s="4"/>
      <c r="BV1459" s="4"/>
    </row>
    <row r="1460" spans="70:74" ht="27" customHeight="1" x14ac:dyDescent="0.25">
      <c r="BR1460" s="663"/>
      <c r="BS1460" s="663"/>
      <c r="BU1460" s="4"/>
      <c r="BV1460" s="4"/>
    </row>
    <row r="1461" spans="70:74" ht="27" customHeight="1" x14ac:dyDescent="0.25">
      <c r="BR1461" s="663"/>
      <c r="BS1461" s="663"/>
      <c r="BU1461" s="4"/>
      <c r="BV1461" s="4"/>
    </row>
    <row r="1462" spans="70:74" ht="27" customHeight="1" x14ac:dyDescent="0.25">
      <c r="BR1462" s="663"/>
      <c r="BS1462" s="663"/>
      <c r="BU1462" s="4"/>
      <c r="BV1462" s="4"/>
    </row>
    <row r="1463" spans="70:74" ht="27" customHeight="1" x14ac:dyDescent="0.25">
      <c r="BR1463" s="663"/>
      <c r="BS1463" s="663"/>
      <c r="BU1463" s="4"/>
      <c r="BV1463" s="4"/>
    </row>
    <row r="1464" spans="70:74" ht="27" customHeight="1" x14ac:dyDescent="0.25">
      <c r="BR1464" s="663"/>
      <c r="BS1464" s="663"/>
      <c r="BU1464" s="4"/>
      <c r="BV1464" s="4"/>
    </row>
    <row r="1465" spans="70:74" ht="27" customHeight="1" x14ac:dyDescent="0.25">
      <c r="BR1465" s="663"/>
      <c r="BS1465" s="663"/>
      <c r="BU1465" s="4"/>
      <c r="BV1465" s="4"/>
    </row>
    <row r="1466" spans="70:74" ht="27" customHeight="1" x14ac:dyDescent="0.25">
      <c r="BR1466" s="663"/>
      <c r="BS1466" s="663"/>
      <c r="BU1466" s="4"/>
      <c r="BV1466" s="4"/>
    </row>
    <row r="1467" spans="70:74" ht="27" customHeight="1" x14ac:dyDescent="0.25">
      <c r="BR1467" s="663"/>
      <c r="BS1467" s="663"/>
      <c r="BU1467" s="4"/>
      <c r="BV1467" s="4"/>
    </row>
    <row r="1468" spans="70:74" ht="27" customHeight="1" x14ac:dyDescent="0.25">
      <c r="BR1468" s="663"/>
      <c r="BS1468" s="663"/>
      <c r="BU1468" s="4"/>
      <c r="BV1468" s="4"/>
    </row>
    <row r="1469" spans="70:74" ht="27" customHeight="1" x14ac:dyDescent="0.25">
      <c r="BR1469" s="663"/>
      <c r="BS1469" s="663"/>
      <c r="BU1469" s="4"/>
      <c r="BV1469" s="4"/>
    </row>
    <row r="1470" spans="70:74" ht="27" customHeight="1" x14ac:dyDescent="0.25">
      <c r="BR1470" s="663"/>
      <c r="BS1470" s="663"/>
      <c r="BU1470" s="4"/>
      <c r="BV1470" s="4"/>
    </row>
    <row r="1471" spans="70:74" ht="27" customHeight="1" x14ac:dyDescent="0.25">
      <c r="BR1471" s="663"/>
      <c r="BS1471" s="663"/>
      <c r="BU1471" s="4"/>
      <c r="BV1471" s="4"/>
    </row>
    <row r="1472" spans="70:74" ht="27" customHeight="1" x14ac:dyDescent="0.25">
      <c r="BR1472" s="663"/>
      <c r="BS1472" s="663"/>
      <c r="BU1472" s="4"/>
      <c r="BV1472" s="4"/>
    </row>
    <row r="1473" spans="70:74" ht="27" customHeight="1" x14ac:dyDescent="0.25">
      <c r="BR1473" s="663"/>
      <c r="BS1473" s="663"/>
      <c r="BU1473" s="4"/>
      <c r="BV1473" s="4"/>
    </row>
    <row r="1474" spans="70:74" ht="27" customHeight="1" x14ac:dyDescent="0.25">
      <c r="BR1474" s="663"/>
      <c r="BS1474" s="663"/>
      <c r="BU1474" s="4"/>
      <c r="BV1474" s="4"/>
    </row>
    <row r="1475" spans="70:74" ht="27" customHeight="1" x14ac:dyDescent="0.25">
      <c r="BR1475" s="663"/>
      <c r="BS1475" s="663"/>
      <c r="BU1475" s="4"/>
      <c r="BV1475" s="4"/>
    </row>
    <row r="1476" spans="70:74" ht="27" customHeight="1" x14ac:dyDescent="0.25">
      <c r="BR1476" s="663"/>
      <c r="BS1476" s="663"/>
      <c r="BU1476" s="4"/>
      <c r="BV1476" s="4"/>
    </row>
    <row r="1477" spans="70:74" ht="27" customHeight="1" x14ac:dyDescent="0.25">
      <c r="BR1477" s="663"/>
      <c r="BS1477" s="663"/>
      <c r="BU1477" s="4"/>
      <c r="BV1477" s="4"/>
    </row>
    <row r="1478" spans="70:74" ht="27" customHeight="1" x14ac:dyDescent="0.25">
      <c r="BR1478" s="663"/>
      <c r="BS1478" s="663"/>
      <c r="BU1478" s="4"/>
      <c r="BV1478" s="4"/>
    </row>
    <row r="1479" spans="70:74" ht="27" customHeight="1" x14ac:dyDescent="0.25">
      <c r="BR1479" s="663"/>
      <c r="BS1479" s="663"/>
      <c r="BU1479" s="4"/>
      <c r="BV1479" s="4"/>
    </row>
    <row r="1480" spans="70:74" ht="27" customHeight="1" x14ac:dyDescent="0.25">
      <c r="BR1480" s="663"/>
      <c r="BS1480" s="663"/>
      <c r="BU1480" s="4"/>
      <c r="BV1480" s="4"/>
    </row>
    <row r="1481" spans="70:74" ht="27" customHeight="1" x14ac:dyDescent="0.25">
      <c r="BR1481" s="663"/>
      <c r="BS1481" s="663"/>
      <c r="BU1481" s="4"/>
      <c r="BV1481" s="4"/>
    </row>
    <row r="1482" spans="70:74" ht="27" customHeight="1" x14ac:dyDescent="0.25">
      <c r="BR1482" s="663"/>
      <c r="BS1482" s="663"/>
      <c r="BU1482" s="4"/>
      <c r="BV1482" s="4"/>
    </row>
    <row r="1483" spans="70:74" ht="27" customHeight="1" x14ac:dyDescent="0.25">
      <c r="BR1483" s="663"/>
      <c r="BS1483" s="663"/>
      <c r="BU1483" s="4"/>
      <c r="BV1483" s="4"/>
    </row>
    <row r="1484" spans="70:74" ht="27" customHeight="1" x14ac:dyDescent="0.25">
      <c r="BR1484" s="663"/>
      <c r="BS1484" s="663"/>
      <c r="BU1484" s="4"/>
      <c r="BV1484" s="4"/>
    </row>
    <row r="1485" spans="70:74" ht="27" customHeight="1" x14ac:dyDescent="0.25">
      <c r="BR1485" s="663"/>
      <c r="BS1485" s="663"/>
      <c r="BU1485" s="4"/>
      <c r="BV1485" s="4"/>
    </row>
    <row r="1486" spans="70:74" ht="27" customHeight="1" x14ac:dyDescent="0.25">
      <c r="BR1486" s="663"/>
      <c r="BS1486" s="663"/>
      <c r="BU1486" s="4"/>
      <c r="BV1486" s="4"/>
    </row>
    <row r="1487" spans="70:74" ht="27" customHeight="1" x14ac:dyDescent="0.25">
      <c r="BR1487" s="663"/>
      <c r="BS1487" s="663"/>
      <c r="BU1487" s="4"/>
      <c r="BV1487" s="4"/>
    </row>
    <row r="1488" spans="70:74" ht="27" customHeight="1" x14ac:dyDescent="0.25">
      <c r="BR1488" s="663"/>
      <c r="BS1488" s="663"/>
      <c r="BU1488" s="4"/>
      <c r="BV1488" s="4"/>
    </row>
    <row r="1489" spans="70:74" ht="27" customHeight="1" x14ac:dyDescent="0.25">
      <c r="BR1489" s="663"/>
      <c r="BS1489" s="663"/>
      <c r="BU1489" s="4"/>
      <c r="BV1489" s="4"/>
    </row>
    <row r="1490" spans="70:74" ht="27" customHeight="1" x14ac:dyDescent="0.25">
      <c r="BR1490" s="663"/>
      <c r="BS1490" s="663"/>
      <c r="BU1490" s="4"/>
      <c r="BV1490" s="4"/>
    </row>
    <row r="1491" spans="70:74" ht="27" customHeight="1" x14ac:dyDescent="0.25">
      <c r="BR1491" s="663"/>
      <c r="BS1491" s="663"/>
      <c r="BU1491" s="4"/>
      <c r="BV1491" s="4"/>
    </row>
    <row r="1492" spans="70:74" ht="27" customHeight="1" x14ac:dyDescent="0.25">
      <c r="BR1492" s="663"/>
      <c r="BS1492" s="663"/>
      <c r="BU1492" s="4"/>
      <c r="BV1492" s="4"/>
    </row>
    <row r="1493" spans="70:74" ht="27" customHeight="1" x14ac:dyDescent="0.25">
      <c r="BR1493" s="663"/>
      <c r="BS1493" s="663"/>
      <c r="BU1493" s="4"/>
      <c r="BV1493" s="4"/>
    </row>
    <row r="1494" spans="70:74" ht="27" customHeight="1" x14ac:dyDescent="0.25">
      <c r="BR1494" s="663"/>
      <c r="BS1494" s="663"/>
      <c r="BU1494" s="4"/>
      <c r="BV1494" s="4"/>
    </row>
    <row r="1495" spans="70:74" ht="27" customHeight="1" x14ac:dyDescent="0.25">
      <c r="BR1495" s="663"/>
      <c r="BS1495" s="663"/>
      <c r="BU1495" s="4"/>
      <c r="BV1495" s="4"/>
    </row>
    <row r="1496" spans="70:74" ht="27" customHeight="1" x14ac:dyDescent="0.25">
      <c r="BR1496" s="663"/>
      <c r="BS1496" s="663"/>
      <c r="BU1496" s="4"/>
      <c r="BV1496" s="4"/>
    </row>
    <row r="1497" spans="70:74" ht="27" customHeight="1" x14ac:dyDescent="0.25">
      <c r="BR1497" s="663"/>
      <c r="BS1497" s="663"/>
      <c r="BU1497" s="4"/>
      <c r="BV1497" s="4"/>
    </row>
    <row r="1498" spans="70:74" ht="27" customHeight="1" x14ac:dyDescent="0.25">
      <c r="BR1498" s="663"/>
      <c r="BS1498" s="663"/>
      <c r="BU1498" s="4"/>
      <c r="BV1498" s="4"/>
    </row>
    <row r="1499" spans="70:74" ht="27" customHeight="1" x14ac:dyDescent="0.25">
      <c r="BR1499" s="663"/>
      <c r="BS1499" s="663"/>
      <c r="BU1499" s="4"/>
      <c r="BV1499" s="4"/>
    </row>
    <row r="1500" spans="70:74" ht="27" customHeight="1" x14ac:dyDescent="0.25">
      <c r="BR1500" s="663"/>
      <c r="BS1500" s="663"/>
      <c r="BU1500" s="4"/>
      <c r="BV1500" s="4"/>
    </row>
    <row r="1501" spans="70:74" ht="27" customHeight="1" x14ac:dyDescent="0.25">
      <c r="BR1501" s="663"/>
      <c r="BS1501" s="663"/>
      <c r="BU1501" s="4"/>
      <c r="BV1501" s="4"/>
    </row>
    <row r="1502" spans="70:74" ht="27" customHeight="1" x14ac:dyDescent="0.25">
      <c r="BR1502" s="663"/>
      <c r="BS1502" s="663"/>
      <c r="BU1502" s="4"/>
      <c r="BV1502" s="4"/>
    </row>
    <row r="1503" spans="70:74" ht="27" customHeight="1" x14ac:dyDescent="0.25">
      <c r="BR1503" s="663"/>
      <c r="BS1503" s="663"/>
      <c r="BU1503" s="4"/>
      <c r="BV1503" s="4"/>
    </row>
    <row r="1504" spans="70:74" ht="27" customHeight="1" x14ac:dyDescent="0.25">
      <c r="BR1504" s="663"/>
      <c r="BS1504" s="663"/>
      <c r="BU1504" s="4"/>
      <c r="BV1504" s="4"/>
    </row>
    <row r="1505" spans="70:74" ht="27" customHeight="1" x14ac:dyDescent="0.25">
      <c r="BR1505" s="663"/>
      <c r="BS1505" s="663"/>
      <c r="BU1505" s="4"/>
      <c r="BV1505" s="4"/>
    </row>
    <row r="1506" spans="70:74" ht="27" customHeight="1" x14ac:dyDescent="0.25">
      <c r="BR1506" s="663"/>
      <c r="BS1506" s="663"/>
      <c r="BU1506" s="4"/>
      <c r="BV1506" s="4"/>
    </row>
    <row r="1507" spans="70:74" ht="27" customHeight="1" x14ac:dyDescent="0.25">
      <c r="BR1507" s="663"/>
      <c r="BS1507" s="663"/>
      <c r="BU1507" s="4"/>
      <c r="BV1507" s="4"/>
    </row>
    <row r="1508" spans="70:74" ht="27" customHeight="1" x14ac:dyDescent="0.25">
      <c r="BR1508" s="663"/>
      <c r="BS1508" s="663"/>
      <c r="BU1508" s="4"/>
      <c r="BV1508" s="4"/>
    </row>
    <row r="1509" spans="70:74" ht="27" customHeight="1" x14ac:dyDescent="0.25">
      <c r="BR1509" s="663"/>
      <c r="BS1509" s="663"/>
      <c r="BU1509" s="4"/>
      <c r="BV1509" s="4"/>
    </row>
    <row r="1510" spans="70:74" ht="27" customHeight="1" x14ac:dyDescent="0.25">
      <c r="BR1510" s="663"/>
      <c r="BS1510" s="663"/>
      <c r="BU1510" s="4"/>
      <c r="BV1510" s="4"/>
    </row>
    <row r="1511" spans="70:74" ht="27" customHeight="1" x14ac:dyDescent="0.25">
      <c r="BR1511" s="663"/>
      <c r="BS1511" s="663"/>
      <c r="BU1511" s="4"/>
      <c r="BV1511" s="4"/>
    </row>
    <row r="1512" spans="70:74" ht="27" customHeight="1" x14ac:dyDescent="0.25">
      <c r="BR1512" s="663"/>
      <c r="BS1512" s="663"/>
      <c r="BU1512" s="4"/>
      <c r="BV1512" s="4"/>
    </row>
    <row r="1513" spans="70:74" ht="27" customHeight="1" x14ac:dyDescent="0.25">
      <c r="BR1513" s="663"/>
      <c r="BS1513" s="663"/>
      <c r="BU1513" s="4"/>
      <c r="BV1513" s="4"/>
    </row>
    <row r="1514" spans="70:74" ht="27" customHeight="1" x14ac:dyDescent="0.25">
      <c r="BR1514" s="663"/>
      <c r="BS1514" s="663"/>
      <c r="BU1514" s="4"/>
      <c r="BV1514" s="4"/>
    </row>
    <row r="1515" spans="70:74" ht="27" customHeight="1" x14ac:dyDescent="0.25">
      <c r="BR1515" s="663"/>
      <c r="BS1515" s="663"/>
      <c r="BU1515" s="4"/>
      <c r="BV1515" s="4"/>
    </row>
    <row r="1516" spans="70:74" ht="27" customHeight="1" x14ac:dyDescent="0.25">
      <c r="BR1516" s="663"/>
      <c r="BS1516" s="663"/>
      <c r="BU1516" s="4"/>
      <c r="BV1516" s="4"/>
    </row>
    <row r="1517" spans="70:74" ht="27" customHeight="1" x14ac:dyDescent="0.25">
      <c r="BR1517" s="663"/>
      <c r="BS1517" s="663"/>
      <c r="BU1517" s="4"/>
      <c r="BV1517" s="4"/>
    </row>
    <row r="1518" spans="70:74" ht="27" customHeight="1" x14ac:dyDescent="0.25">
      <c r="BR1518" s="663"/>
      <c r="BS1518" s="663"/>
      <c r="BU1518" s="4"/>
      <c r="BV1518" s="4"/>
    </row>
    <row r="1519" spans="70:74" ht="27" customHeight="1" x14ac:dyDescent="0.25">
      <c r="BR1519" s="663"/>
      <c r="BS1519" s="663"/>
      <c r="BU1519" s="4"/>
      <c r="BV1519" s="4"/>
    </row>
    <row r="1520" spans="70:74" ht="27" customHeight="1" x14ac:dyDescent="0.25">
      <c r="BR1520" s="663"/>
      <c r="BS1520" s="663"/>
      <c r="BU1520" s="4"/>
      <c r="BV1520" s="4"/>
    </row>
    <row r="1521" spans="70:74" ht="27" customHeight="1" x14ac:dyDescent="0.25">
      <c r="BR1521" s="663"/>
      <c r="BS1521" s="663"/>
      <c r="BU1521" s="4"/>
      <c r="BV1521" s="4"/>
    </row>
    <row r="1522" spans="70:74" ht="27" customHeight="1" x14ac:dyDescent="0.25">
      <c r="BR1522" s="663"/>
      <c r="BS1522" s="663"/>
      <c r="BU1522" s="4"/>
      <c r="BV1522" s="4"/>
    </row>
    <row r="1523" spans="70:74" ht="27" customHeight="1" x14ac:dyDescent="0.25">
      <c r="BR1523" s="663"/>
      <c r="BS1523" s="663"/>
      <c r="BU1523" s="4"/>
      <c r="BV1523" s="4"/>
    </row>
    <row r="1524" spans="70:74" ht="27" customHeight="1" x14ac:dyDescent="0.25">
      <c r="BR1524" s="663"/>
      <c r="BS1524" s="663"/>
      <c r="BU1524" s="4"/>
      <c r="BV1524" s="4"/>
    </row>
    <row r="1525" spans="70:74" ht="27" customHeight="1" x14ac:dyDescent="0.25">
      <c r="BR1525" s="663"/>
      <c r="BS1525" s="663"/>
      <c r="BU1525" s="4"/>
      <c r="BV1525" s="4"/>
    </row>
    <row r="1526" spans="70:74" ht="27" customHeight="1" x14ac:dyDescent="0.25">
      <c r="BR1526" s="663"/>
      <c r="BS1526" s="663"/>
      <c r="BU1526" s="4"/>
      <c r="BV1526" s="4"/>
    </row>
    <row r="1527" spans="70:74" ht="27" customHeight="1" x14ac:dyDescent="0.25">
      <c r="BR1527" s="663"/>
      <c r="BS1527" s="663"/>
      <c r="BU1527" s="4"/>
      <c r="BV1527" s="4"/>
    </row>
    <row r="1528" spans="70:74" ht="27" customHeight="1" x14ac:dyDescent="0.25">
      <c r="BR1528" s="663"/>
      <c r="BS1528" s="663"/>
      <c r="BU1528" s="4"/>
      <c r="BV1528" s="4"/>
    </row>
    <row r="1529" spans="70:74" ht="27" customHeight="1" x14ac:dyDescent="0.25">
      <c r="BR1529" s="663"/>
      <c r="BS1529" s="663"/>
      <c r="BU1529" s="4"/>
      <c r="BV1529" s="4"/>
    </row>
    <row r="1530" spans="70:74" ht="27" customHeight="1" x14ac:dyDescent="0.25">
      <c r="BR1530" s="663"/>
      <c r="BS1530" s="663"/>
      <c r="BU1530" s="4"/>
      <c r="BV1530" s="4"/>
    </row>
    <row r="1531" spans="70:74" ht="27" customHeight="1" x14ac:dyDescent="0.25">
      <c r="BR1531" s="663"/>
      <c r="BS1531" s="663"/>
      <c r="BU1531" s="4"/>
      <c r="BV1531" s="4"/>
    </row>
    <row r="1532" spans="70:74" ht="27" customHeight="1" x14ac:dyDescent="0.25">
      <c r="BR1532" s="663"/>
      <c r="BS1532" s="663"/>
      <c r="BU1532" s="4"/>
      <c r="BV1532" s="4"/>
    </row>
    <row r="1533" spans="70:74" ht="27" customHeight="1" x14ac:dyDescent="0.25">
      <c r="BR1533" s="663"/>
      <c r="BS1533" s="663"/>
      <c r="BU1533" s="4"/>
      <c r="BV1533" s="4"/>
    </row>
    <row r="1534" spans="70:74" ht="27" customHeight="1" x14ac:dyDescent="0.25">
      <c r="BR1534" s="663"/>
      <c r="BS1534" s="663"/>
      <c r="BU1534" s="4"/>
      <c r="BV1534" s="4"/>
    </row>
    <row r="1535" spans="70:74" ht="27" customHeight="1" x14ac:dyDescent="0.25">
      <c r="BR1535" s="663"/>
      <c r="BS1535" s="663"/>
      <c r="BU1535" s="4"/>
      <c r="BV1535" s="4"/>
    </row>
    <row r="1536" spans="70:74" ht="27" customHeight="1" x14ac:dyDescent="0.25">
      <c r="BR1536" s="663"/>
      <c r="BS1536" s="663"/>
      <c r="BU1536" s="4"/>
      <c r="BV1536" s="4"/>
    </row>
    <row r="1537" spans="70:74" ht="27" customHeight="1" x14ac:dyDescent="0.25">
      <c r="BR1537" s="663"/>
      <c r="BS1537" s="663"/>
      <c r="BU1537" s="4"/>
      <c r="BV1537" s="4"/>
    </row>
    <row r="1538" spans="70:74" ht="27" customHeight="1" x14ac:dyDescent="0.25">
      <c r="BR1538" s="663"/>
      <c r="BS1538" s="663"/>
      <c r="BU1538" s="4"/>
      <c r="BV1538" s="4"/>
    </row>
    <row r="1539" spans="70:74" ht="27" customHeight="1" x14ac:dyDescent="0.25">
      <c r="BR1539" s="663"/>
      <c r="BS1539" s="663"/>
      <c r="BU1539" s="4"/>
      <c r="BV1539" s="4"/>
    </row>
    <row r="1540" spans="70:74" ht="27" customHeight="1" x14ac:dyDescent="0.25">
      <c r="BR1540" s="663"/>
      <c r="BS1540" s="663"/>
      <c r="BU1540" s="4"/>
      <c r="BV1540" s="4"/>
    </row>
    <row r="1541" spans="70:74" ht="27" customHeight="1" x14ac:dyDescent="0.25">
      <c r="BR1541" s="663"/>
      <c r="BS1541" s="663"/>
      <c r="BU1541" s="4"/>
      <c r="BV1541" s="4"/>
    </row>
    <row r="1542" spans="70:74" ht="27" customHeight="1" x14ac:dyDescent="0.25">
      <c r="BR1542" s="663"/>
      <c r="BS1542" s="663"/>
      <c r="BU1542" s="4"/>
      <c r="BV1542" s="4"/>
    </row>
    <row r="1543" spans="70:74" ht="27" customHeight="1" x14ac:dyDescent="0.25">
      <c r="BR1543" s="663"/>
      <c r="BS1543" s="663"/>
      <c r="BU1543" s="4"/>
      <c r="BV1543" s="4"/>
    </row>
    <row r="1544" spans="70:74" ht="27" customHeight="1" x14ac:dyDescent="0.25">
      <c r="BR1544" s="663"/>
      <c r="BS1544" s="663"/>
      <c r="BU1544" s="4"/>
      <c r="BV1544" s="4"/>
    </row>
    <row r="1545" spans="70:74" ht="27" customHeight="1" x14ac:dyDescent="0.25">
      <c r="BR1545" s="663"/>
      <c r="BS1545" s="663"/>
      <c r="BU1545" s="4"/>
      <c r="BV1545" s="4"/>
    </row>
    <row r="1546" spans="70:74" ht="27" customHeight="1" x14ac:dyDescent="0.25">
      <c r="BR1546" s="663"/>
      <c r="BS1546" s="663"/>
      <c r="BU1546" s="4"/>
      <c r="BV1546" s="4"/>
    </row>
    <row r="1547" spans="70:74" ht="27" customHeight="1" x14ac:dyDescent="0.25">
      <c r="BR1547" s="663"/>
      <c r="BS1547" s="663"/>
      <c r="BU1547" s="4"/>
      <c r="BV1547" s="4"/>
    </row>
    <row r="1548" spans="70:74" ht="27" customHeight="1" x14ac:dyDescent="0.25">
      <c r="BR1548" s="663"/>
      <c r="BS1548" s="663"/>
      <c r="BU1548" s="4"/>
      <c r="BV1548" s="4"/>
    </row>
    <row r="1549" spans="70:74" ht="27" customHeight="1" x14ac:dyDescent="0.25">
      <c r="BR1549" s="663"/>
      <c r="BS1549" s="663"/>
      <c r="BU1549" s="4"/>
      <c r="BV1549" s="4"/>
    </row>
    <row r="1550" spans="70:74" ht="27" customHeight="1" x14ac:dyDescent="0.25">
      <c r="BR1550" s="663"/>
      <c r="BS1550" s="663"/>
      <c r="BU1550" s="4"/>
      <c r="BV1550" s="4"/>
    </row>
    <row r="1551" spans="70:74" ht="27" customHeight="1" x14ac:dyDescent="0.25">
      <c r="BR1551" s="663"/>
      <c r="BS1551" s="663"/>
      <c r="BU1551" s="4"/>
      <c r="BV1551" s="4"/>
    </row>
    <row r="1552" spans="70:74" ht="27" customHeight="1" x14ac:dyDescent="0.25">
      <c r="BR1552" s="663"/>
      <c r="BS1552" s="663"/>
      <c r="BU1552" s="4"/>
      <c r="BV1552" s="4"/>
    </row>
    <row r="1553" spans="70:74" ht="27" customHeight="1" x14ac:dyDescent="0.25">
      <c r="BR1553" s="663"/>
      <c r="BS1553" s="663"/>
      <c r="BU1553" s="4"/>
      <c r="BV1553" s="4"/>
    </row>
    <row r="1554" spans="70:74" ht="27" customHeight="1" x14ac:dyDescent="0.25">
      <c r="BR1554" s="663"/>
      <c r="BS1554" s="663"/>
      <c r="BU1554" s="4"/>
      <c r="BV1554" s="4"/>
    </row>
    <row r="1555" spans="70:74" ht="27" customHeight="1" x14ac:dyDescent="0.25">
      <c r="BR1555" s="663"/>
      <c r="BS1555" s="663"/>
      <c r="BU1555" s="4"/>
      <c r="BV1555" s="4"/>
    </row>
    <row r="1556" spans="70:74" ht="27" customHeight="1" x14ac:dyDescent="0.25">
      <c r="BR1556" s="663"/>
      <c r="BS1556" s="663"/>
      <c r="BU1556" s="4"/>
      <c r="BV1556" s="4"/>
    </row>
    <row r="1557" spans="70:74" ht="27" customHeight="1" x14ac:dyDescent="0.25">
      <c r="BR1557" s="663"/>
      <c r="BS1557" s="663"/>
      <c r="BU1557" s="4"/>
      <c r="BV1557" s="4"/>
    </row>
    <row r="1558" spans="70:74" ht="27" customHeight="1" x14ac:dyDescent="0.25">
      <c r="BR1558" s="663"/>
      <c r="BS1558" s="663"/>
      <c r="BU1558" s="4"/>
      <c r="BV1558" s="4"/>
    </row>
    <row r="1559" spans="70:74" ht="27" customHeight="1" x14ac:dyDescent="0.25">
      <c r="BR1559" s="663"/>
      <c r="BS1559" s="663"/>
      <c r="BU1559" s="4"/>
      <c r="BV1559" s="4"/>
    </row>
    <row r="1560" spans="70:74" ht="27" customHeight="1" x14ac:dyDescent="0.25">
      <c r="BR1560" s="663"/>
      <c r="BS1560" s="663"/>
      <c r="BU1560" s="4"/>
      <c r="BV1560" s="4"/>
    </row>
    <row r="1561" spans="70:74" ht="27" customHeight="1" x14ac:dyDescent="0.25">
      <c r="BR1561" s="663"/>
      <c r="BS1561" s="663"/>
      <c r="BU1561" s="4"/>
      <c r="BV1561" s="4"/>
    </row>
    <row r="1562" spans="70:74" ht="27" customHeight="1" x14ac:dyDescent="0.25">
      <c r="BR1562" s="663"/>
      <c r="BS1562" s="663"/>
      <c r="BU1562" s="4"/>
      <c r="BV1562" s="4"/>
    </row>
    <row r="1563" spans="70:74" ht="27" customHeight="1" x14ac:dyDescent="0.25">
      <c r="BR1563" s="663"/>
      <c r="BS1563" s="663"/>
      <c r="BU1563" s="4"/>
      <c r="BV1563" s="4"/>
    </row>
    <row r="1564" spans="70:74" ht="27" customHeight="1" x14ac:dyDescent="0.25">
      <c r="BR1564" s="663"/>
      <c r="BS1564" s="663"/>
      <c r="BU1564" s="4"/>
      <c r="BV1564" s="4"/>
    </row>
    <row r="1565" spans="70:74" ht="27" customHeight="1" x14ac:dyDescent="0.25">
      <c r="BR1565" s="663"/>
      <c r="BS1565" s="663"/>
      <c r="BU1565" s="4"/>
      <c r="BV1565" s="4"/>
    </row>
    <row r="1566" spans="70:74" ht="27" customHeight="1" x14ac:dyDescent="0.25">
      <c r="BR1566" s="663"/>
      <c r="BS1566" s="663"/>
      <c r="BU1566" s="4"/>
      <c r="BV1566" s="4"/>
    </row>
    <row r="1567" spans="70:74" ht="27" customHeight="1" x14ac:dyDescent="0.25">
      <c r="BR1567" s="663"/>
      <c r="BS1567" s="663"/>
      <c r="BU1567" s="4"/>
      <c r="BV1567" s="4"/>
    </row>
    <row r="1568" spans="70:74" ht="27" customHeight="1" x14ac:dyDescent="0.25">
      <c r="BR1568" s="663"/>
      <c r="BS1568" s="663"/>
      <c r="BU1568" s="4"/>
      <c r="BV1568" s="4"/>
    </row>
    <row r="1569" spans="70:74" ht="27" customHeight="1" x14ac:dyDescent="0.25">
      <c r="BR1569" s="663"/>
      <c r="BS1569" s="663"/>
      <c r="BU1569" s="4"/>
      <c r="BV1569" s="4"/>
    </row>
    <row r="1570" spans="70:74" ht="27" customHeight="1" x14ac:dyDescent="0.25">
      <c r="BR1570" s="663"/>
      <c r="BS1570" s="663"/>
      <c r="BU1570" s="4"/>
      <c r="BV1570" s="4"/>
    </row>
    <row r="1571" spans="70:74" ht="27" customHeight="1" x14ac:dyDescent="0.25">
      <c r="BR1571" s="663"/>
      <c r="BS1571" s="663"/>
      <c r="BU1571" s="4"/>
      <c r="BV1571" s="4"/>
    </row>
    <row r="1572" spans="70:74" ht="27" customHeight="1" x14ac:dyDescent="0.25">
      <c r="BR1572" s="663"/>
      <c r="BS1572" s="663"/>
      <c r="BU1572" s="4"/>
      <c r="BV1572" s="4"/>
    </row>
    <row r="1573" spans="70:74" ht="27" customHeight="1" x14ac:dyDescent="0.25">
      <c r="BR1573" s="663"/>
      <c r="BS1573" s="663"/>
      <c r="BU1573" s="4"/>
      <c r="BV1573" s="4"/>
    </row>
    <row r="1574" spans="70:74" ht="27" customHeight="1" x14ac:dyDescent="0.25">
      <c r="BR1574" s="663"/>
      <c r="BS1574" s="663"/>
      <c r="BU1574" s="4"/>
      <c r="BV1574" s="4"/>
    </row>
    <row r="1575" spans="70:74" ht="27" customHeight="1" x14ac:dyDescent="0.25">
      <c r="BR1575" s="663"/>
      <c r="BS1575" s="663"/>
      <c r="BU1575" s="4"/>
      <c r="BV1575" s="4"/>
    </row>
    <row r="1576" spans="70:74" ht="27" customHeight="1" x14ac:dyDescent="0.25">
      <c r="BR1576" s="663"/>
      <c r="BS1576" s="663"/>
      <c r="BU1576" s="4"/>
      <c r="BV1576" s="4"/>
    </row>
    <row r="1577" spans="70:74" ht="27" customHeight="1" x14ac:dyDescent="0.25">
      <c r="BR1577" s="663"/>
      <c r="BS1577" s="663"/>
      <c r="BU1577" s="4"/>
      <c r="BV1577" s="4"/>
    </row>
    <row r="1578" spans="70:74" ht="27" customHeight="1" x14ac:dyDescent="0.25">
      <c r="BR1578" s="663"/>
      <c r="BS1578" s="663"/>
      <c r="BU1578" s="4"/>
      <c r="BV1578" s="4"/>
    </row>
    <row r="1579" spans="70:74" ht="27" customHeight="1" x14ac:dyDescent="0.25">
      <c r="BR1579" s="663"/>
      <c r="BS1579" s="663"/>
      <c r="BU1579" s="4"/>
      <c r="BV1579" s="4"/>
    </row>
    <row r="1580" spans="70:74" ht="27" customHeight="1" x14ac:dyDescent="0.25">
      <c r="BR1580" s="663"/>
      <c r="BS1580" s="663"/>
      <c r="BU1580" s="4"/>
      <c r="BV1580" s="4"/>
    </row>
    <row r="1581" spans="70:74" ht="27" customHeight="1" x14ac:dyDescent="0.25">
      <c r="BR1581" s="663"/>
      <c r="BS1581" s="663"/>
      <c r="BU1581" s="4"/>
      <c r="BV1581" s="4"/>
    </row>
    <row r="1582" spans="70:74" ht="27" customHeight="1" x14ac:dyDescent="0.25">
      <c r="BR1582" s="663"/>
      <c r="BS1582" s="663"/>
      <c r="BU1582" s="4"/>
      <c r="BV1582" s="4"/>
    </row>
    <row r="1583" spans="70:74" ht="27" customHeight="1" x14ac:dyDescent="0.25">
      <c r="BR1583" s="663"/>
      <c r="BS1583" s="663"/>
      <c r="BU1583" s="4"/>
      <c r="BV1583" s="4"/>
    </row>
    <row r="1584" spans="70:74" ht="27" customHeight="1" x14ac:dyDescent="0.25">
      <c r="BR1584" s="663"/>
      <c r="BS1584" s="663"/>
      <c r="BU1584" s="4"/>
      <c r="BV1584" s="4"/>
    </row>
    <row r="1585" spans="70:74" ht="27" customHeight="1" x14ac:dyDescent="0.25">
      <c r="BR1585" s="663"/>
      <c r="BS1585" s="663"/>
      <c r="BU1585" s="4"/>
      <c r="BV1585" s="4"/>
    </row>
    <row r="1586" spans="70:74" ht="27" customHeight="1" x14ac:dyDescent="0.25">
      <c r="BR1586" s="663"/>
      <c r="BS1586" s="663"/>
      <c r="BU1586" s="4"/>
      <c r="BV1586" s="4"/>
    </row>
    <row r="1587" spans="70:74" ht="27" customHeight="1" x14ac:dyDescent="0.25">
      <c r="BR1587" s="663"/>
      <c r="BS1587" s="663"/>
      <c r="BU1587" s="4"/>
      <c r="BV1587" s="4"/>
    </row>
    <row r="1588" spans="70:74" ht="27" customHeight="1" x14ac:dyDescent="0.25">
      <c r="BR1588" s="663"/>
      <c r="BS1588" s="663"/>
      <c r="BU1588" s="4"/>
      <c r="BV1588" s="4"/>
    </row>
    <row r="1589" spans="70:74" ht="27" customHeight="1" x14ac:dyDescent="0.25">
      <c r="BR1589" s="663"/>
      <c r="BS1589" s="663"/>
      <c r="BU1589" s="4"/>
      <c r="BV1589" s="4"/>
    </row>
    <row r="1590" spans="70:74" ht="27" customHeight="1" x14ac:dyDescent="0.25">
      <c r="BR1590" s="663"/>
      <c r="BS1590" s="663"/>
      <c r="BU1590" s="4"/>
      <c r="BV1590" s="4"/>
    </row>
    <row r="1591" spans="70:74" ht="27" customHeight="1" x14ac:dyDescent="0.25">
      <c r="BR1591" s="663"/>
      <c r="BS1591" s="663"/>
      <c r="BU1591" s="4"/>
      <c r="BV1591" s="4"/>
    </row>
    <row r="1592" spans="70:74" ht="27" customHeight="1" x14ac:dyDescent="0.25">
      <c r="BR1592" s="663"/>
      <c r="BS1592" s="663"/>
      <c r="BU1592" s="4"/>
      <c r="BV1592" s="4"/>
    </row>
    <row r="1593" spans="70:74" ht="27" customHeight="1" x14ac:dyDescent="0.25">
      <c r="BR1593" s="663"/>
      <c r="BS1593" s="663"/>
      <c r="BU1593" s="4"/>
      <c r="BV1593" s="4"/>
    </row>
    <row r="1594" spans="70:74" ht="27" customHeight="1" x14ac:dyDescent="0.25">
      <c r="BR1594" s="663"/>
      <c r="BS1594" s="663"/>
      <c r="BU1594" s="4"/>
      <c r="BV1594" s="4"/>
    </row>
    <row r="1595" spans="70:74" ht="27" customHeight="1" x14ac:dyDescent="0.25">
      <c r="BR1595" s="663"/>
      <c r="BS1595" s="663"/>
      <c r="BU1595" s="4"/>
      <c r="BV1595" s="4"/>
    </row>
    <row r="1596" spans="70:74" ht="27" customHeight="1" x14ac:dyDescent="0.25">
      <c r="BR1596" s="663"/>
      <c r="BS1596" s="663"/>
      <c r="BU1596" s="4"/>
      <c r="BV1596" s="4"/>
    </row>
    <row r="1597" spans="70:74" ht="27" customHeight="1" x14ac:dyDescent="0.25">
      <c r="BR1597" s="663"/>
      <c r="BS1597" s="663"/>
      <c r="BU1597" s="4"/>
      <c r="BV1597" s="4"/>
    </row>
    <row r="1598" spans="70:74" ht="27" customHeight="1" x14ac:dyDescent="0.25">
      <c r="BR1598" s="663"/>
      <c r="BS1598" s="663"/>
      <c r="BU1598" s="4"/>
      <c r="BV1598" s="4"/>
    </row>
    <row r="1599" spans="70:74" ht="27" customHeight="1" x14ac:dyDescent="0.25">
      <c r="BR1599" s="663"/>
      <c r="BS1599" s="663"/>
      <c r="BU1599" s="4"/>
      <c r="BV1599" s="4"/>
    </row>
    <row r="1600" spans="70:74" ht="27" customHeight="1" x14ac:dyDescent="0.25">
      <c r="BR1600" s="663"/>
      <c r="BS1600" s="663"/>
      <c r="BU1600" s="4"/>
      <c r="BV1600" s="4"/>
    </row>
    <row r="1601" spans="70:74" ht="27" customHeight="1" x14ac:dyDescent="0.25">
      <c r="BR1601" s="663"/>
      <c r="BS1601" s="663"/>
      <c r="BU1601" s="4"/>
      <c r="BV1601" s="4"/>
    </row>
    <row r="1602" spans="70:74" ht="27" customHeight="1" x14ac:dyDescent="0.25">
      <c r="BR1602" s="663"/>
      <c r="BS1602" s="663"/>
      <c r="BU1602" s="4"/>
      <c r="BV1602" s="4"/>
    </row>
    <row r="1603" spans="70:74" ht="27" customHeight="1" x14ac:dyDescent="0.25">
      <c r="BR1603" s="663"/>
      <c r="BS1603" s="663"/>
      <c r="BU1603" s="4"/>
      <c r="BV1603" s="4"/>
    </row>
    <row r="1604" spans="70:74" ht="27" customHeight="1" x14ac:dyDescent="0.25">
      <c r="BR1604" s="663"/>
      <c r="BS1604" s="663"/>
      <c r="BU1604" s="4"/>
      <c r="BV1604" s="4"/>
    </row>
    <row r="1605" spans="70:74" ht="27" customHeight="1" x14ac:dyDescent="0.25">
      <c r="BR1605" s="663"/>
      <c r="BS1605" s="663"/>
      <c r="BU1605" s="4"/>
      <c r="BV1605" s="4"/>
    </row>
    <row r="1606" spans="70:74" ht="27" customHeight="1" x14ac:dyDescent="0.25">
      <c r="BR1606" s="663"/>
      <c r="BS1606" s="663"/>
      <c r="BU1606" s="4"/>
      <c r="BV1606" s="4"/>
    </row>
    <row r="1607" spans="70:74" ht="27" customHeight="1" x14ac:dyDescent="0.25">
      <c r="BR1607" s="663"/>
      <c r="BS1607" s="663"/>
      <c r="BU1607" s="4"/>
      <c r="BV1607" s="4"/>
    </row>
    <row r="1608" spans="70:74" ht="27" customHeight="1" x14ac:dyDescent="0.25">
      <c r="BR1608" s="663"/>
      <c r="BS1608" s="663"/>
      <c r="BU1608" s="4"/>
      <c r="BV1608" s="4"/>
    </row>
    <row r="1609" spans="70:74" ht="27" customHeight="1" x14ac:dyDescent="0.25">
      <c r="BR1609" s="663"/>
      <c r="BS1609" s="663"/>
      <c r="BU1609" s="4"/>
      <c r="BV1609" s="4"/>
    </row>
    <row r="1610" spans="70:74" ht="27" customHeight="1" x14ac:dyDescent="0.25">
      <c r="BR1610" s="663"/>
      <c r="BS1610" s="663"/>
      <c r="BU1610" s="4"/>
      <c r="BV1610" s="4"/>
    </row>
    <row r="1611" spans="70:74" ht="27" customHeight="1" x14ac:dyDescent="0.25">
      <c r="BR1611" s="663"/>
      <c r="BS1611" s="663"/>
      <c r="BU1611" s="4"/>
      <c r="BV1611" s="4"/>
    </row>
    <row r="1612" spans="70:74" ht="27" customHeight="1" x14ac:dyDescent="0.25">
      <c r="BR1612" s="663"/>
      <c r="BS1612" s="663"/>
      <c r="BU1612" s="4"/>
      <c r="BV1612" s="4"/>
    </row>
    <row r="1613" spans="70:74" ht="27" customHeight="1" x14ac:dyDescent="0.25">
      <c r="BR1613" s="663"/>
      <c r="BS1613" s="663"/>
      <c r="BU1613" s="4"/>
      <c r="BV1613" s="4"/>
    </row>
    <row r="1614" spans="70:74" ht="27" customHeight="1" x14ac:dyDescent="0.25">
      <c r="BR1614" s="663"/>
      <c r="BS1614" s="663"/>
      <c r="BU1614" s="4"/>
      <c r="BV1614" s="4"/>
    </row>
    <row r="1615" spans="70:74" ht="27" customHeight="1" x14ac:dyDescent="0.25">
      <c r="BR1615" s="663"/>
      <c r="BS1615" s="663"/>
      <c r="BU1615" s="4"/>
      <c r="BV1615" s="4"/>
    </row>
    <row r="1616" spans="70:74" ht="27" customHeight="1" x14ac:dyDescent="0.25">
      <c r="BR1616" s="663"/>
      <c r="BS1616" s="663"/>
      <c r="BU1616" s="4"/>
      <c r="BV1616" s="4"/>
    </row>
    <row r="1617" spans="70:74" ht="27" customHeight="1" x14ac:dyDescent="0.25">
      <c r="BR1617" s="663"/>
      <c r="BS1617" s="663"/>
      <c r="BU1617" s="4"/>
      <c r="BV1617" s="4"/>
    </row>
    <row r="1618" spans="70:74" ht="27" customHeight="1" x14ac:dyDescent="0.25">
      <c r="BR1618" s="663"/>
      <c r="BS1618" s="663"/>
      <c r="BU1618" s="4"/>
      <c r="BV1618" s="4"/>
    </row>
    <row r="1619" spans="70:74" ht="27" customHeight="1" x14ac:dyDescent="0.25">
      <c r="BR1619" s="663"/>
      <c r="BS1619" s="663"/>
      <c r="BU1619" s="4"/>
      <c r="BV1619" s="4"/>
    </row>
    <row r="1620" spans="70:74" ht="27" customHeight="1" x14ac:dyDescent="0.25">
      <c r="BR1620" s="663"/>
      <c r="BS1620" s="663"/>
      <c r="BU1620" s="4"/>
      <c r="BV1620" s="4"/>
    </row>
    <row r="1621" spans="70:74" ht="27" customHeight="1" x14ac:dyDescent="0.25">
      <c r="BR1621" s="663"/>
      <c r="BS1621" s="663"/>
      <c r="BU1621" s="4"/>
      <c r="BV1621" s="4"/>
    </row>
    <row r="1622" spans="70:74" ht="27" customHeight="1" x14ac:dyDescent="0.25">
      <c r="BR1622" s="663"/>
      <c r="BS1622" s="663"/>
      <c r="BU1622" s="4"/>
      <c r="BV1622" s="4"/>
    </row>
    <row r="1623" spans="70:74" ht="27" customHeight="1" x14ac:dyDescent="0.25">
      <c r="BR1623" s="663"/>
      <c r="BS1623" s="663"/>
      <c r="BU1623" s="4"/>
      <c r="BV1623" s="4"/>
    </row>
    <row r="1624" spans="70:74" ht="27" customHeight="1" x14ac:dyDescent="0.25">
      <c r="BR1624" s="663"/>
      <c r="BS1624" s="663"/>
      <c r="BU1624" s="4"/>
      <c r="BV1624" s="4"/>
    </row>
    <row r="1625" spans="70:74" ht="27" customHeight="1" x14ac:dyDescent="0.25">
      <c r="BR1625" s="663"/>
      <c r="BS1625" s="663"/>
      <c r="BU1625" s="4"/>
      <c r="BV1625" s="4"/>
    </row>
    <row r="1626" spans="70:74" ht="27" customHeight="1" x14ac:dyDescent="0.25">
      <c r="BR1626" s="663"/>
      <c r="BS1626" s="663"/>
      <c r="BU1626" s="4"/>
      <c r="BV1626" s="4"/>
    </row>
    <row r="1627" spans="70:74" ht="27" customHeight="1" x14ac:dyDescent="0.25">
      <c r="BR1627" s="663"/>
      <c r="BS1627" s="663"/>
      <c r="BU1627" s="4"/>
      <c r="BV1627" s="4"/>
    </row>
    <row r="1628" spans="70:74" ht="27" customHeight="1" x14ac:dyDescent="0.25">
      <c r="BR1628" s="663"/>
      <c r="BS1628" s="663"/>
      <c r="BU1628" s="4"/>
      <c r="BV1628" s="4"/>
    </row>
    <row r="1629" spans="70:74" ht="27" customHeight="1" x14ac:dyDescent="0.25">
      <c r="BR1629" s="663"/>
      <c r="BS1629" s="663"/>
      <c r="BU1629" s="4"/>
      <c r="BV1629" s="4"/>
    </row>
    <row r="1630" spans="70:74" ht="27" customHeight="1" x14ac:dyDescent="0.25">
      <c r="BR1630" s="663"/>
      <c r="BS1630" s="663"/>
      <c r="BU1630" s="4"/>
      <c r="BV1630" s="4"/>
    </row>
    <row r="1631" spans="70:74" ht="27" customHeight="1" x14ac:dyDescent="0.25">
      <c r="BR1631" s="663"/>
      <c r="BS1631" s="663"/>
      <c r="BU1631" s="4"/>
      <c r="BV1631" s="4"/>
    </row>
    <row r="1632" spans="70:74" ht="27" customHeight="1" x14ac:dyDescent="0.25">
      <c r="BR1632" s="663"/>
      <c r="BS1632" s="663"/>
      <c r="BU1632" s="4"/>
      <c r="BV1632" s="4"/>
    </row>
    <row r="1633" spans="70:74" ht="27" customHeight="1" x14ac:dyDescent="0.25">
      <c r="BR1633" s="663"/>
      <c r="BS1633" s="663"/>
      <c r="BU1633" s="4"/>
      <c r="BV1633" s="4"/>
    </row>
    <row r="1634" spans="70:74" ht="27" customHeight="1" x14ac:dyDescent="0.25">
      <c r="BR1634" s="663"/>
      <c r="BS1634" s="663"/>
      <c r="BU1634" s="4"/>
      <c r="BV1634" s="4"/>
    </row>
    <row r="1635" spans="70:74" ht="27" customHeight="1" x14ac:dyDescent="0.25">
      <c r="BR1635" s="663"/>
      <c r="BS1635" s="663"/>
      <c r="BU1635" s="4"/>
      <c r="BV1635" s="4"/>
    </row>
  </sheetData>
  <mergeCells count="923">
    <mergeCell ref="BU78:BU80"/>
    <mergeCell ref="BO78:BO80"/>
    <mergeCell ref="BP78:BP80"/>
    <mergeCell ref="BQ78:BQ80"/>
    <mergeCell ref="BR78:BR80"/>
    <mergeCell ref="BS78:BS80"/>
    <mergeCell ref="BT78:BT80"/>
    <mergeCell ref="BI78:BI80"/>
    <mergeCell ref="BJ78:BJ80"/>
    <mergeCell ref="BK78:BK80"/>
    <mergeCell ref="BL78:BL80"/>
    <mergeCell ref="BM78:BM80"/>
    <mergeCell ref="BN78:BN80"/>
    <mergeCell ref="BC78:BC80"/>
    <mergeCell ref="BD78:BD80"/>
    <mergeCell ref="BE78:BE80"/>
    <mergeCell ref="BF78:BF80"/>
    <mergeCell ref="BG78:BG80"/>
    <mergeCell ref="BH78:BH80"/>
    <mergeCell ref="AW78:AW80"/>
    <mergeCell ref="AX78:AX80"/>
    <mergeCell ref="AY78:AY80"/>
    <mergeCell ref="AZ78:AZ80"/>
    <mergeCell ref="BA78:BA80"/>
    <mergeCell ref="BB78:BB80"/>
    <mergeCell ref="AQ78:AQ80"/>
    <mergeCell ref="AR78:AR80"/>
    <mergeCell ref="AS78:AS80"/>
    <mergeCell ref="AT78:AT80"/>
    <mergeCell ref="AU78:AU80"/>
    <mergeCell ref="AV78:AV80"/>
    <mergeCell ref="AK78:AK80"/>
    <mergeCell ref="AL78:AL80"/>
    <mergeCell ref="AM78:AM80"/>
    <mergeCell ref="AN78:AN80"/>
    <mergeCell ref="AO78:AO80"/>
    <mergeCell ref="AP78:AP80"/>
    <mergeCell ref="AE78:AE80"/>
    <mergeCell ref="AF78:AF80"/>
    <mergeCell ref="AG78:AG80"/>
    <mergeCell ref="AH78:AH80"/>
    <mergeCell ref="AI78:AI80"/>
    <mergeCell ref="AJ78:AJ80"/>
    <mergeCell ref="Q78:Q80"/>
    <mergeCell ref="R78:R80"/>
    <mergeCell ref="T78:T80"/>
    <mergeCell ref="U78:U80"/>
    <mergeCell ref="V78:V80"/>
    <mergeCell ref="AD78:AD80"/>
    <mergeCell ref="BP74:BP76"/>
    <mergeCell ref="BQ74:BQ76"/>
    <mergeCell ref="BR74:BR76"/>
    <mergeCell ref="BS74:BS76"/>
    <mergeCell ref="BT74:BT76"/>
    <mergeCell ref="BU74:BU76"/>
    <mergeCell ref="BJ74:BJ76"/>
    <mergeCell ref="BK74:BK76"/>
    <mergeCell ref="BL74:BL76"/>
    <mergeCell ref="BM74:BM76"/>
    <mergeCell ref="BN74:BN76"/>
    <mergeCell ref="BO74:BO76"/>
    <mergeCell ref="BD74:BD76"/>
    <mergeCell ref="BE74:BE76"/>
    <mergeCell ref="BF74:BF76"/>
    <mergeCell ref="BG74:BG76"/>
    <mergeCell ref="BH74:BH76"/>
    <mergeCell ref="BI74:BI76"/>
    <mergeCell ref="AX74:AX76"/>
    <mergeCell ref="AY74:AY76"/>
    <mergeCell ref="AZ74:AZ76"/>
    <mergeCell ref="BA74:BA76"/>
    <mergeCell ref="BB74:BB76"/>
    <mergeCell ref="BC74:BC76"/>
    <mergeCell ref="AR74:AR76"/>
    <mergeCell ref="AS74:AS76"/>
    <mergeCell ref="AT74:AT76"/>
    <mergeCell ref="AU74:AU76"/>
    <mergeCell ref="AV74:AV76"/>
    <mergeCell ref="AW74:AW76"/>
    <mergeCell ref="AL74:AL76"/>
    <mergeCell ref="AM74:AM76"/>
    <mergeCell ref="AN74:AN76"/>
    <mergeCell ref="AO74:AO76"/>
    <mergeCell ref="AP74:AP76"/>
    <mergeCell ref="AQ74:AQ76"/>
    <mergeCell ref="AF74:AF76"/>
    <mergeCell ref="AG74:AG76"/>
    <mergeCell ref="AH74:AH76"/>
    <mergeCell ref="AI74:AI76"/>
    <mergeCell ref="AJ74:AJ76"/>
    <mergeCell ref="AK74:AK76"/>
    <mergeCell ref="BS68:BS70"/>
    <mergeCell ref="BT68:BT70"/>
    <mergeCell ref="BU68:BU70"/>
    <mergeCell ref="BO68:BO70"/>
    <mergeCell ref="BP68:BP70"/>
    <mergeCell ref="BQ68:BQ70"/>
    <mergeCell ref="BR68:BR70"/>
    <mergeCell ref="AX68:AX70"/>
    <mergeCell ref="AY68:AY70"/>
    <mergeCell ref="AZ68:AZ70"/>
    <mergeCell ref="AO68:AO70"/>
    <mergeCell ref="AP68:AP70"/>
    <mergeCell ref="AQ68:AQ70"/>
    <mergeCell ref="AR68:AR70"/>
    <mergeCell ref="AS68:AS70"/>
    <mergeCell ref="AT68:AT70"/>
    <mergeCell ref="AI68:AI70"/>
    <mergeCell ref="AJ68:AJ70"/>
    <mergeCell ref="F73:L73"/>
    <mergeCell ref="Q74:Q76"/>
    <mergeCell ref="R74:R76"/>
    <mergeCell ref="T74:T76"/>
    <mergeCell ref="U74:U76"/>
    <mergeCell ref="AD74:AD76"/>
    <mergeCell ref="AE74:AE76"/>
    <mergeCell ref="BM68:BM70"/>
    <mergeCell ref="BN68:BN70"/>
    <mergeCell ref="BG68:BG70"/>
    <mergeCell ref="BH68:BH70"/>
    <mergeCell ref="BI68:BI70"/>
    <mergeCell ref="BJ68:BJ70"/>
    <mergeCell ref="BK68:BK70"/>
    <mergeCell ref="BL68:BL70"/>
    <mergeCell ref="BA68:BA70"/>
    <mergeCell ref="BB68:BB70"/>
    <mergeCell ref="BC68:BC70"/>
    <mergeCell ref="BD68:BD70"/>
    <mergeCell ref="BE68:BE70"/>
    <mergeCell ref="BF68:BF70"/>
    <mergeCell ref="AU68:AU70"/>
    <mergeCell ref="AV68:AV70"/>
    <mergeCell ref="AW68:AW70"/>
    <mergeCell ref="AK68:AK70"/>
    <mergeCell ref="AL68:AL70"/>
    <mergeCell ref="AM68:AM70"/>
    <mergeCell ref="AN68:AN70"/>
    <mergeCell ref="AC68:AC70"/>
    <mergeCell ref="AD68:AD70"/>
    <mergeCell ref="AE68:AE70"/>
    <mergeCell ref="AF68:AF70"/>
    <mergeCell ref="AG68:AG70"/>
    <mergeCell ref="AH68:AH70"/>
    <mergeCell ref="S68:S70"/>
    <mergeCell ref="T68:T70"/>
    <mergeCell ref="U68:U70"/>
    <mergeCell ref="V68:V70"/>
    <mergeCell ref="W68:W70"/>
    <mergeCell ref="AB68:AB70"/>
    <mergeCell ref="M68:M70"/>
    <mergeCell ref="N68:N70"/>
    <mergeCell ref="O68:O70"/>
    <mergeCell ref="P68:P70"/>
    <mergeCell ref="Q68:Q70"/>
    <mergeCell ref="R68:R70"/>
    <mergeCell ref="BR66:BR67"/>
    <mergeCell ref="BS66:BS67"/>
    <mergeCell ref="BT66:BT67"/>
    <mergeCell ref="BU66:BU67"/>
    <mergeCell ref="G68:G70"/>
    <mergeCell ref="H68:H70"/>
    <mergeCell ref="I68:I70"/>
    <mergeCell ref="J68:J70"/>
    <mergeCell ref="K68:K70"/>
    <mergeCell ref="L68:L70"/>
    <mergeCell ref="BL66:BL67"/>
    <mergeCell ref="BM66:BM67"/>
    <mergeCell ref="BN66:BN67"/>
    <mergeCell ref="BO66:BO67"/>
    <mergeCell ref="BP66:BP67"/>
    <mergeCell ref="BQ66:BQ67"/>
    <mergeCell ref="BF66:BF67"/>
    <mergeCell ref="BG66:BG67"/>
    <mergeCell ref="BH66:BH67"/>
    <mergeCell ref="BI66:BI67"/>
    <mergeCell ref="BJ66:BJ67"/>
    <mergeCell ref="BK66:BK67"/>
    <mergeCell ref="AZ66:AZ67"/>
    <mergeCell ref="BA66:BA67"/>
    <mergeCell ref="BB66:BB67"/>
    <mergeCell ref="BC66:BC67"/>
    <mergeCell ref="BD66:BD67"/>
    <mergeCell ref="BE66:BE67"/>
    <mergeCell ref="AT66:AT67"/>
    <mergeCell ref="AU66:AU67"/>
    <mergeCell ref="AV66:AV67"/>
    <mergeCell ref="AW66:AW67"/>
    <mergeCell ref="AX66:AX67"/>
    <mergeCell ref="AY66:AY67"/>
    <mergeCell ref="AN66:AN67"/>
    <mergeCell ref="AO66:AO67"/>
    <mergeCell ref="AP66:AP67"/>
    <mergeCell ref="AQ66:AQ67"/>
    <mergeCell ref="AR66:AR67"/>
    <mergeCell ref="AS66:AS67"/>
    <mergeCell ref="AH66:AH67"/>
    <mergeCell ref="AI66:AI67"/>
    <mergeCell ref="AJ66:AJ67"/>
    <mergeCell ref="AK66:AK67"/>
    <mergeCell ref="AL66:AL67"/>
    <mergeCell ref="AM66:AM67"/>
    <mergeCell ref="BT57:BT65"/>
    <mergeCell ref="BE57:BE65"/>
    <mergeCell ref="BF57:BF65"/>
    <mergeCell ref="AU57:AU65"/>
    <mergeCell ref="AV57:AV65"/>
    <mergeCell ref="AW57:AW65"/>
    <mergeCell ref="AX57:AX65"/>
    <mergeCell ref="AY57:AY65"/>
    <mergeCell ref="AZ57:AZ65"/>
    <mergeCell ref="BL57:BL65"/>
    <mergeCell ref="BA57:BA65"/>
    <mergeCell ref="BB57:BB65"/>
    <mergeCell ref="BC57:BC65"/>
    <mergeCell ref="BD57:BD65"/>
    <mergeCell ref="G66:G67"/>
    <mergeCell ref="H66:H67"/>
    <mergeCell ref="I66:I67"/>
    <mergeCell ref="J66:J67"/>
    <mergeCell ref="K66:K67"/>
    <mergeCell ref="AO57:AO65"/>
    <mergeCell ref="AP57:AP65"/>
    <mergeCell ref="AQ57:AQ65"/>
    <mergeCell ref="AR57:AR65"/>
    <mergeCell ref="O61:O64"/>
    <mergeCell ref="P61:P64"/>
    <mergeCell ref="Q57:Q65"/>
    <mergeCell ref="AB66:AB67"/>
    <mergeCell ref="AC66:AC67"/>
    <mergeCell ref="AD66:AD67"/>
    <mergeCell ref="AE66:AE67"/>
    <mergeCell ref="AF66:AF67"/>
    <mergeCell ref="AG66:AG67"/>
    <mergeCell ref="R66:R67"/>
    <mergeCell ref="S66:S67"/>
    <mergeCell ref="T66:T67"/>
    <mergeCell ref="U66:U67"/>
    <mergeCell ref="V66:V67"/>
    <mergeCell ref="W66:W67"/>
    <mergeCell ref="L66:L67"/>
    <mergeCell ref="M66:M67"/>
    <mergeCell ref="N66:N67"/>
    <mergeCell ref="O66:O67"/>
    <mergeCell ref="P66:P67"/>
    <mergeCell ref="AD57:AD65"/>
    <mergeCell ref="AE57:AE65"/>
    <mergeCell ref="AF57:AF65"/>
    <mergeCell ref="AG57:AG65"/>
    <mergeCell ref="S61:S64"/>
    <mergeCell ref="W61:W63"/>
    <mergeCell ref="BU57:BU65"/>
    <mergeCell ref="G61:G64"/>
    <mergeCell ref="H61:H64"/>
    <mergeCell ref="I61:I64"/>
    <mergeCell ref="J61:J64"/>
    <mergeCell ref="K61:K64"/>
    <mergeCell ref="L61:L64"/>
    <mergeCell ref="M61:M64"/>
    <mergeCell ref="BM57:BM65"/>
    <mergeCell ref="BN57:BN65"/>
    <mergeCell ref="BO57:BO65"/>
    <mergeCell ref="BP57:BP65"/>
    <mergeCell ref="BQ57:BQ65"/>
    <mergeCell ref="BR57:BR65"/>
    <mergeCell ref="BG57:BG65"/>
    <mergeCell ref="BH57:BH65"/>
    <mergeCell ref="BI57:BI65"/>
    <mergeCell ref="BJ57:BJ65"/>
    <mergeCell ref="BK57:BK65"/>
    <mergeCell ref="AS57:AS65"/>
    <mergeCell ref="AT57:AT65"/>
    <mergeCell ref="AI57:AI65"/>
    <mergeCell ref="AH57:AH65"/>
    <mergeCell ref="BS57:BS65"/>
    <mergeCell ref="BT54:BT55"/>
    <mergeCell ref="BU54:BU55"/>
    <mergeCell ref="F56:L56"/>
    <mergeCell ref="E57:F70"/>
    <mergeCell ref="G57:G59"/>
    <mergeCell ref="H57:H59"/>
    <mergeCell ref="I57:I59"/>
    <mergeCell ref="J57:J59"/>
    <mergeCell ref="K57:K59"/>
    <mergeCell ref="L57:L59"/>
    <mergeCell ref="BN54:BN55"/>
    <mergeCell ref="BO54:BO55"/>
    <mergeCell ref="BP54:BP55"/>
    <mergeCell ref="BQ54:BQ55"/>
    <mergeCell ref="BR54:BR55"/>
    <mergeCell ref="BS54:BS55"/>
    <mergeCell ref="BH54:BH55"/>
    <mergeCell ref="BI54:BI55"/>
    <mergeCell ref="BJ54:BJ55"/>
    <mergeCell ref="AJ57:AJ65"/>
    <mergeCell ref="AK57:AK65"/>
    <mergeCell ref="AL57:AL65"/>
    <mergeCell ref="AM57:AM65"/>
    <mergeCell ref="AN57:AN65"/>
    <mergeCell ref="BK54:BK55"/>
    <mergeCell ref="BL54:BL55"/>
    <mergeCell ref="BM54:BM55"/>
    <mergeCell ref="BB54:BB55"/>
    <mergeCell ref="BC54:BC55"/>
    <mergeCell ref="BD54:BD55"/>
    <mergeCell ref="BE54:BE55"/>
    <mergeCell ref="BF54:BF55"/>
    <mergeCell ref="BG54:BG55"/>
    <mergeCell ref="AV54:AV55"/>
    <mergeCell ref="AW54:AW55"/>
    <mergeCell ref="AX54:AX55"/>
    <mergeCell ref="AY54:AY55"/>
    <mergeCell ref="AZ54:AZ55"/>
    <mergeCell ref="BA54:BA55"/>
    <mergeCell ref="AP54:AP55"/>
    <mergeCell ref="AQ54:AQ55"/>
    <mergeCell ref="AR54:AR55"/>
    <mergeCell ref="AS54:AS55"/>
    <mergeCell ref="AT54:AT55"/>
    <mergeCell ref="AU54:AU55"/>
    <mergeCell ref="AJ54:AJ55"/>
    <mergeCell ref="AK54:AK55"/>
    <mergeCell ref="AL54:AL55"/>
    <mergeCell ref="AM54:AM55"/>
    <mergeCell ref="AN54:AN55"/>
    <mergeCell ref="AO54:AO55"/>
    <mergeCell ref="AD54:AD55"/>
    <mergeCell ref="AE54:AE55"/>
    <mergeCell ref="AF54:AF55"/>
    <mergeCell ref="AG54:AG55"/>
    <mergeCell ref="AH54:AH55"/>
    <mergeCell ref="AI54:AI55"/>
    <mergeCell ref="R54:R55"/>
    <mergeCell ref="T54:T55"/>
    <mergeCell ref="U54:U55"/>
    <mergeCell ref="V54:V55"/>
    <mergeCell ref="AB54:AB55"/>
    <mergeCell ref="AC54:AC55"/>
    <mergeCell ref="A52:B80"/>
    <mergeCell ref="D52:K52"/>
    <mergeCell ref="C53:D80"/>
    <mergeCell ref="F53:L53"/>
    <mergeCell ref="E54:F55"/>
    <mergeCell ref="Q54:Q55"/>
    <mergeCell ref="M57:M59"/>
    <mergeCell ref="N57:N59"/>
    <mergeCell ref="O57:O59"/>
    <mergeCell ref="P57:P59"/>
    <mergeCell ref="R57:R65"/>
    <mergeCell ref="S57:S59"/>
    <mergeCell ref="T57:T65"/>
    <mergeCell ref="U57:U65"/>
    <mergeCell ref="V57:V65"/>
    <mergeCell ref="W57:W59"/>
    <mergeCell ref="Q66:Q67"/>
    <mergeCell ref="N61:N64"/>
    <mergeCell ref="BQ49:BQ50"/>
    <mergeCell ref="BR49:BR50"/>
    <mergeCell ref="BS49:BS50"/>
    <mergeCell ref="BT49:BT50"/>
    <mergeCell ref="BU49:BU50"/>
    <mergeCell ref="B51:H51"/>
    <mergeCell ref="BK49:BK50"/>
    <mergeCell ref="BL49:BL50"/>
    <mergeCell ref="BM49:BM50"/>
    <mergeCell ref="BN49:BN50"/>
    <mergeCell ref="BO49:BO50"/>
    <mergeCell ref="BP49:BP50"/>
    <mergeCell ref="BE49:BE50"/>
    <mergeCell ref="BF49:BF50"/>
    <mergeCell ref="BG49:BG50"/>
    <mergeCell ref="BH49:BH50"/>
    <mergeCell ref="BI49:BI50"/>
    <mergeCell ref="BJ49:BJ50"/>
    <mergeCell ref="AY49:AY50"/>
    <mergeCell ref="AZ49:AZ50"/>
    <mergeCell ref="BA49:BA50"/>
    <mergeCell ref="BB49:BB50"/>
    <mergeCell ref="BC49:BC50"/>
    <mergeCell ref="BD49:BD50"/>
    <mergeCell ref="AS49:AS50"/>
    <mergeCell ref="AT49:AT50"/>
    <mergeCell ref="AU49:AU50"/>
    <mergeCell ref="AV49:AV50"/>
    <mergeCell ref="AW49:AW50"/>
    <mergeCell ref="AX49:AX50"/>
    <mergeCell ref="AM49:AM50"/>
    <mergeCell ref="AN49:AN50"/>
    <mergeCell ref="AO49:AO50"/>
    <mergeCell ref="AP49:AP50"/>
    <mergeCell ref="AQ49:AQ50"/>
    <mergeCell ref="AR49:AR50"/>
    <mergeCell ref="AJ49:AJ50"/>
    <mergeCell ref="AK49:AK50"/>
    <mergeCell ref="AL49:AL50"/>
    <mergeCell ref="T49:T50"/>
    <mergeCell ref="U49:U50"/>
    <mergeCell ref="V49:V50"/>
    <mergeCell ref="AD49:AD50"/>
    <mergeCell ref="AE49:AE50"/>
    <mergeCell ref="AF49:AF50"/>
    <mergeCell ref="D47:J47"/>
    <mergeCell ref="C48:D50"/>
    <mergeCell ref="F48:L48"/>
    <mergeCell ref="E49:F50"/>
    <mergeCell ref="Q49:Q50"/>
    <mergeCell ref="R49:R50"/>
    <mergeCell ref="AG49:AG50"/>
    <mergeCell ref="AH49:AH50"/>
    <mergeCell ref="AI49:AI50"/>
    <mergeCell ref="BT43:BT46"/>
    <mergeCell ref="BU43:BU46"/>
    <mergeCell ref="G44:G45"/>
    <mergeCell ref="H44:H45"/>
    <mergeCell ref="I44:I45"/>
    <mergeCell ref="J44:J45"/>
    <mergeCell ref="K44:K45"/>
    <mergeCell ref="L44:L45"/>
    <mergeCell ref="M44:M45"/>
    <mergeCell ref="N44:N45"/>
    <mergeCell ref="BN43:BN46"/>
    <mergeCell ref="BO43:BO46"/>
    <mergeCell ref="BP43:BP46"/>
    <mergeCell ref="BQ43:BQ46"/>
    <mergeCell ref="BR43:BR46"/>
    <mergeCell ref="BS43:BS46"/>
    <mergeCell ref="BH43:BH46"/>
    <mergeCell ref="BI43:BI46"/>
    <mergeCell ref="BJ43:BJ46"/>
    <mergeCell ref="BK43:BK46"/>
    <mergeCell ref="BL43:BL46"/>
    <mergeCell ref="BM43:BM46"/>
    <mergeCell ref="BB43:BB46"/>
    <mergeCell ref="BC43:BC46"/>
    <mergeCell ref="BD43:BD46"/>
    <mergeCell ref="BE43:BE46"/>
    <mergeCell ref="BF43:BF46"/>
    <mergeCell ref="BG43:BG46"/>
    <mergeCell ref="AV43:AV46"/>
    <mergeCell ref="AW43:AW46"/>
    <mergeCell ref="AX43:AX46"/>
    <mergeCell ref="AY43:AY46"/>
    <mergeCell ref="AZ43:AZ46"/>
    <mergeCell ref="BA43:BA46"/>
    <mergeCell ref="AP43:AP46"/>
    <mergeCell ref="AQ43:AQ46"/>
    <mergeCell ref="AR43:AR46"/>
    <mergeCell ref="AS43:AS46"/>
    <mergeCell ref="AT43:AT46"/>
    <mergeCell ref="AU43:AU46"/>
    <mergeCell ref="AJ43:AJ46"/>
    <mergeCell ref="AK43:AK46"/>
    <mergeCell ref="AL43:AL46"/>
    <mergeCell ref="AM43:AM46"/>
    <mergeCell ref="AN43:AN46"/>
    <mergeCell ref="AO43:AO46"/>
    <mergeCell ref="AD43:AD46"/>
    <mergeCell ref="AE43:AE46"/>
    <mergeCell ref="AF43:AF46"/>
    <mergeCell ref="AG43:AG46"/>
    <mergeCell ref="AH43:AH46"/>
    <mergeCell ref="AI43:AI46"/>
    <mergeCell ref="F42:L42"/>
    <mergeCell ref="E43:F46"/>
    <mergeCell ref="Q43:Q46"/>
    <mergeCell ref="R43:R46"/>
    <mergeCell ref="T43:T46"/>
    <mergeCell ref="U43:U46"/>
    <mergeCell ref="O44:O45"/>
    <mergeCell ref="P44:P45"/>
    <mergeCell ref="S44:S45"/>
    <mergeCell ref="V44:V45"/>
    <mergeCell ref="W44:W45"/>
    <mergeCell ref="AB44:AB45"/>
    <mergeCell ref="AC44:AC45"/>
    <mergeCell ref="BP40:BP41"/>
    <mergeCell ref="BQ40:BQ41"/>
    <mergeCell ref="BR40:BR41"/>
    <mergeCell ref="BS40:BS41"/>
    <mergeCell ref="BT40:BT41"/>
    <mergeCell ref="BU40:BU41"/>
    <mergeCell ref="BJ40:BJ41"/>
    <mergeCell ref="BK40:BK41"/>
    <mergeCell ref="BL40:BL41"/>
    <mergeCell ref="BM40:BM41"/>
    <mergeCell ref="BN40:BN41"/>
    <mergeCell ref="BO40:BO41"/>
    <mergeCell ref="F39:L39"/>
    <mergeCell ref="E40:F41"/>
    <mergeCell ref="Q40:Q41"/>
    <mergeCell ref="R40:R41"/>
    <mergeCell ref="T40:T41"/>
    <mergeCell ref="U40:U41"/>
    <mergeCell ref="BT33:BT34"/>
    <mergeCell ref="BU33:BU34"/>
    <mergeCell ref="F35:M35"/>
    <mergeCell ref="E36:F36"/>
    <mergeCell ref="F37:L37"/>
    <mergeCell ref="E38:F38"/>
    <mergeCell ref="BN33:BN34"/>
    <mergeCell ref="BO33:BO34"/>
    <mergeCell ref="BP33:BP34"/>
    <mergeCell ref="BQ33:BQ34"/>
    <mergeCell ref="BR33:BR34"/>
    <mergeCell ref="BS33:BS34"/>
    <mergeCell ref="BH33:BH34"/>
    <mergeCell ref="BI33:BI34"/>
    <mergeCell ref="BJ33:BJ34"/>
    <mergeCell ref="BK33:BK34"/>
    <mergeCell ref="BL33:BL34"/>
    <mergeCell ref="BM33:BM34"/>
    <mergeCell ref="BB33:BB34"/>
    <mergeCell ref="BC33:BC34"/>
    <mergeCell ref="BD33:BD34"/>
    <mergeCell ref="BE33:BE34"/>
    <mergeCell ref="BF33:BF34"/>
    <mergeCell ref="BG33:BG34"/>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BR30:BR31"/>
    <mergeCell ref="BS30:BS31"/>
    <mergeCell ref="BT30:BT31"/>
    <mergeCell ref="BC30:BC31"/>
    <mergeCell ref="AQ30:AQ31"/>
    <mergeCell ref="AR30:AR31"/>
    <mergeCell ref="AS30:AS31"/>
    <mergeCell ref="AT30:AT31"/>
    <mergeCell ref="AU30:AU31"/>
    <mergeCell ref="AW30:AW31"/>
    <mergeCell ref="AK30:AK31"/>
    <mergeCell ref="AL30:AL31"/>
    <mergeCell ref="AM30:AM31"/>
    <mergeCell ref="AN30:AN31"/>
    <mergeCell ref="AO30:AO31"/>
    <mergeCell ref="AP30:AP31"/>
    <mergeCell ref="AD30:AD31"/>
    <mergeCell ref="AE30:AE31"/>
    <mergeCell ref="BU30:BU31"/>
    <mergeCell ref="F32:M32"/>
    <mergeCell ref="E33:F34"/>
    <mergeCell ref="Q33:Q34"/>
    <mergeCell ref="R33:R34"/>
    <mergeCell ref="T33:T34"/>
    <mergeCell ref="U33:U34"/>
    <mergeCell ref="BJ30:BJ31"/>
    <mergeCell ref="BK30:BK31"/>
    <mergeCell ref="BL30:BL31"/>
    <mergeCell ref="BM30:BM31"/>
    <mergeCell ref="BP30:BP31"/>
    <mergeCell ref="BQ30:BQ31"/>
    <mergeCell ref="BD30:BD31"/>
    <mergeCell ref="BE30:BE31"/>
    <mergeCell ref="BF30:BF31"/>
    <mergeCell ref="BG30:BG31"/>
    <mergeCell ref="BH30:BH31"/>
    <mergeCell ref="BI30:BI31"/>
    <mergeCell ref="AX30:AX31"/>
    <mergeCell ref="AY30:AY31"/>
    <mergeCell ref="AZ30:AZ31"/>
    <mergeCell ref="BA30:BA31"/>
    <mergeCell ref="BB30:BB31"/>
    <mergeCell ref="AF30:AF31"/>
    <mergeCell ref="AH30:AH31"/>
    <mergeCell ref="AI30:AI31"/>
    <mergeCell ref="AJ30:AJ31"/>
    <mergeCell ref="R30:R31"/>
    <mergeCell ref="S30:S31"/>
    <mergeCell ref="T30:T31"/>
    <mergeCell ref="U30:U31"/>
    <mergeCell ref="V30:V31"/>
    <mergeCell ref="W30:W31"/>
    <mergeCell ref="L30:L31"/>
    <mergeCell ref="M30:M31"/>
    <mergeCell ref="N30:N31"/>
    <mergeCell ref="O30:O31"/>
    <mergeCell ref="P30:P31"/>
    <mergeCell ref="Q30:Q31"/>
    <mergeCell ref="E30:F31"/>
    <mergeCell ref="G30:G31"/>
    <mergeCell ref="H30:H31"/>
    <mergeCell ref="I30:I31"/>
    <mergeCell ref="J30:J31"/>
    <mergeCell ref="K30:K31"/>
    <mergeCell ref="BP26:BP27"/>
    <mergeCell ref="BQ26:BQ27"/>
    <mergeCell ref="BR26:BR27"/>
    <mergeCell ref="BS26:BS27"/>
    <mergeCell ref="BT26:BT27"/>
    <mergeCell ref="BU26:BU27"/>
    <mergeCell ref="BJ26:BJ27"/>
    <mergeCell ref="BK26:BK27"/>
    <mergeCell ref="BL26:BL27"/>
    <mergeCell ref="BM26:BM27"/>
    <mergeCell ref="BN26:BN27"/>
    <mergeCell ref="BO26:BO27"/>
    <mergeCell ref="BD26:BD27"/>
    <mergeCell ref="BE26:BE27"/>
    <mergeCell ref="BF26:BF27"/>
    <mergeCell ref="BG26:BG27"/>
    <mergeCell ref="BH26:BH27"/>
    <mergeCell ref="BI26:BI27"/>
    <mergeCell ref="AX26:AX27"/>
    <mergeCell ref="AY26:AY27"/>
    <mergeCell ref="AZ26:AZ27"/>
    <mergeCell ref="BA26:BA27"/>
    <mergeCell ref="BB26:BB27"/>
    <mergeCell ref="BC26:BC27"/>
    <mergeCell ref="AR26:AR27"/>
    <mergeCell ref="AS26:AS27"/>
    <mergeCell ref="AT26:AT27"/>
    <mergeCell ref="AU26:AU27"/>
    <mergeCell ref="AV26:AV27"/>
    <mergeCell ref="AW26:AW27"/>
    <mergeCell ref="AL26:AL27"/>
    <mergeCell ref="AM26:AM27"/>
    <mergeCell ref="AN26:AN27"/>
    <mergeCell ref="AO26:AO27"/>
    <mergeCell ref="AP26:AP27"/>
    <mergeCell ref="AQ26:AQ27"/>
    <mergeCell ref="AF26:AF27"/>
    <mergeCell ref="AG26:AG27"/>
    <mergeCell ref="AH26:AH27"/>
    <mergeCell ref="AI26:AI27"/>
    <mergeCell ref="AJ26:AJ27"/>
    <mergeCell ref="AK26:AK27"/>
    <mergeCell ref="BR23:BR25"/>
    <mergeCell ref="BS23:BS25"/>
    <mergeCell ref="BT23:BT25"/>
    <mergeCell ref="BE23:BE25"/>
    <mergeCell ref="AT23:AT25"/>
    <mergeCell ref="AU23:AU25"/>
    <mergeCell ref="AV23:AV25"/>
    <mergeCell ref="AW23:AW25"/>
    <mergeCell ref="AX23:AX25"/>
    <mergeCell ref="AY23:AY25"/>
    <mergeCell ref="AN23:AN25"/>
    <mergeCell ref="AO23:AO25"/>
    <mergeCell ref="AP23:AP25"/>
    <mergeCell ref="AQ23:AQ25"/>
    <mergeCell ref="AR23:AR25"/>
    <mergeCell ref="AS23:AS25"/>
    <mergeCell ref="AH23:AH25"/>
    <mergeCell ref="AI23:AI25"/>
    <mergeCell ref="BU23:BU25"/>
    <mergeCell ref="Q26:Q27"/>
    <mergeCell ref="R26:R27"/>
    <mergeCell ref="T26:T27"/>
    <mergeCell ref="U26:U27"/>
    <mergeCell ref="AD26:AD27"/>
    <mergeCell ref="AE26:AE27"/>
    <mergeCell ref="BL23:BL25"/>
    <mergeCell ref="BM23:BM25"/>
    <mergeCell ref="BN23:BN25"/>
    <mergeCell ref="BO23:BO25"/>
    <mergeCell ref="BP23:BP25"/>
    <mergeCell ref="BQ23:BQ25"/>
    <mergeCell ref="BF23:BF25"/>
    <mergeCell ref="BG23:BG25"/>
    <mergeCell ref="BH23:BH25"/>
    <mergeCell ref="BI23:BI25"/>
    <mergeCell ref="BJ23:BJ25"/>
    <mergeCell ref="BK23:BK25"/>
    <mergeCell ref="AZ23:AZ25"/>
    <mergeCell ref="BA23:BA25"/>
    <mergeCell ref="BB23:BB25"/>
    <mergeCell ref="BC23:BC25"/>
    <mergeCell ref="BD23:BD25"/>
    <mergeCell ref="AJ23:AJ25"/>
    <mergeCell ref="AK23:AK25"/>
    <mergeCell ref="AL23:AL25"/>
    <mergeCell ref="AM23:AM25"/>
    <mergeCell ref="V23:V25"/>
    <mergeCell ref="W23:W24"/>
    <mergeCell ref="AD23:AD25"/>
    <mergeCell ref="AE23:AE25"/>
    <mergeCell ref="AF23:AF25"/>
    <mergeCell ref="AG23:AG25"/>
    <mergeCell ref="P23:P24"/>
    <mergeCell ref="Q23:Q25"/>
    <mergeCell ref="R23:R25"/>
    <mergeCell ref="S23:S25"/>
    <mergeCell ref="T23:T25"/>
    <mergeCell ref="U23:U25"/>
    <mergeCell ref="BU18:BU22"/>
    <mergeCell ref="G23:G25"/>
    <mergeCell ref="H23:H25"/>
    <mergeCell ref="I23:I25"/>
    <mergeCell ref="J23:J25"/>
    <mergeCell ref="K23:K24"/>
    <mergeCell ref="L23:L24"/>
    <mergeCell ref="M23:M24"/>
    <mergeCell ref="N23:N24"/>
    <mergeCell ref="O23:O24"/>
    <mergeCell ref="BO18:BO22"/>
    <mergeCell ref="BP18:BP22"/>
    <mergeCell ref="BQ18:BQ22"/>
    <mergeCell ref="BR18:BR22"/>
    <mergeCell ref="BS18:BS22"/>
    <mergeCell ref="BT18:BT22"/>
    <mergeCell ref="BI18:BI22"/>
    <mergeCell ref="BJ18:BJ22"/>
    <mergeCell ref="BK18:BK22"/>
    <mergeCell ref="BL18:BL22"/>
    <mergeCell ref="BM18:BM22"/>
    <mergeCell ref="BN18:BN22"/>
    <mergeCell ref="BC18:BC22"/>
    <mergeCell ref="BD18:BD22"/>
    <mergeCell ref="BE18:BE22"/>
    <mergeCell ref="BF18:BF22"/>
    <mergeCell ref="BG18:BG22"/>
    <mergeCell ref="BH18:BH22"/>
    <mergeCell ref="AW18:AW22"/>
    <mergeCell ref="AX18:AX22"/>
    <mergeCell ref="AY18:AY22"/>
    <mergeCell ref="AZ18:AZ22"/>
    <mergeCell ref="BA18:BA22"/>
    <mergeCell ref="BB18:BB22"/>
    <mergeCell ref="AQ18:AQ22"/>
    <mergeCell ref="AR18:AR22"/>
    <mergeCell ref="AS18:AS22"/>
    <mergeCell ref="AT18:AT22"/>
    <mergeCell ref="AU18:AU22"/>
    <mergeCell ref="AV18:AV22"/>
    <mergeCell ref="AK18:AK22"/>
    <mergeCell ref="AL18:AL22"/>
    <mergeCell ref="AM18:AM22"/>
    <mergeCell ref="AN18:AN22"/>
    <mergeCell ref="AO18:AO22"/>
    <mergeCell ref="AP18:AP22"/>
    <mergeCell ref="AE18:AE22"/>
    <mergeCell ref="AF18:AF22"/>
    <mergeCell ref="AG18:AG22"/>
    <mergeCell ref="AH18:AH22"/>
    <mergeCell ref="AI18:AI22"/>
    <mergeCell ref="AJ18:AJ22"/>
    <mergeCell ref="S18:S20"/>
    <mergeCell ref="T18:T22"/>
    <mergeCell ref="U18:U22"/>
    <mergeCell ref="V18:V20"/>
    <mergeCell ref="W18:W20"/>
    <mergeCell ref="AD18:AD22"/>
    <mergeCell ref="M18:M20"/>
    <mergeCell ref="N18:N20"/>
    <mergeCell ref="O18:O20"/>
    <mergeCell ref="P18:P20"/>
    <mergeCell ref="Q18:Q22"/>
    <mergeCell ref="R18:R22"/>
    <mergeCell ref="G16:G17"/>
    <mergeCell ref="H16:H17"/>
    <mergeCell ref="I16:I17"/>
    <mergeCell ref="J16:J17"/>
    <mergeCell ref="K16:K17"/>
    <mergeCell ref="L16:L17"/>
    <mergeCell ref="G18:G20"/>
    <mergeCell ref="H18:H20"/>
    <mergeCell ref="I18:I20"/>
    <mergeCell ref="J18:J20"/>
    <mergeCell ref="K18:K20"/>
    <mergeCell ref="L18:L20"/>
    <mergeCell ref="BP13:BP17"/>
    <mergeCell ref="BQ13:BQ17"/>
    <mergeCell ref="BR13:BR17"/>
    <mergeCell ref="BS13:BS17"/>
    <mergeCell ref="BT13:BT17"/>
    <mergeCell ref="BU13:BU17"/>
    <mergeCell ref="BJ13:BJ17"/>
    <mergeCell ref="BK13:BK17"/>
    <mergeCell ref="BL13:BL17"/>
    <mergeCell ref="BM13:BM17"/>
    <mergeCell ref="BN13:BN17"/>
    <mergeCell ref="BO13:BO17"/>
    <mergeCell ref="BD13:BD17"/>
    <mergeCell ref="BE13:BE17"/>
    <mergeCell ref="BF13:BF17"/>
    <mergeCell ref="BG13:BG17"/>
    <mergeCell ref="BH13:BH17"/>
    <mergeCell ref="BI13:BI17"/>
    <mergeCell ref="AX13:AX17"/>
    <mergeCell ref="AY13:AY17"/>
    <mergeCell ref="AZ13:AZ17"/>
    <mergeCell ref="BA13:BA17"/>
    <mergeCell ref="BB13:BB17"/>
    <mergeCell ref="BC13:BC17"/>
    <mergeCell ref="AR13:AR17"/>
    <mergeCell ref="AS13:AS17"/>
    <mergeCell ref="AT13:AT17"/>
    <mergeCell ref="AU13:AU17"/>
    <mergeCell ref="AV13:AV17"/>
    <mergeCell ref="AW13:AW17"/>
    <mergeCell ref="AL13:AL17"/>
    <mergeCell ref="AM13:AM17"/>
    <mergeCell ref="AN13:AN17"/>
    <mergeCell ref="AO13:AO17"/>
    <mergeCell ref="AP13:AP17"/>
    <mergeCell ref="AQ13:AQ17"/>
    <mergeCell ref="AF13:AF17"/>
    <mergeCell ref="AG13:AG17"/>
    <mergeCell ref="AH13:AH17"/>
    <mergeCell ref="AI13:AI17"/>
    <mergeCell ref="AJ13:AJ17"/>
    <mergeCell ref="AK13:AK17"/>
    <mergeCell ref="V13:V14"/>
    <mergeCell ref="W13:W14"/>
    <mergeCell ref="AB13:AB14"/>
    <mergeCell ref="AC13:AC14"/>
    <mergeCell ref="AD13:AD17"/>
    <mergeCell ref="AE13:AE17"/>
    <mergeCell ref="W16:W17"/>
    <mergeCell ref="V16:V17"/>
    <mergeCell ref="P13:P14"/>
    <mergeCell ref="Q13:Q17"/>
    <mergeCell ref="R13:R17"/>
    <mergeCell ref="S13:S14"/>
    <mergeCell ref="T13:T17"/>
    <mergeCell ref="U13:U17"/>
    <mergeCell ref="J13:J14"/>
    <mergeCell ref="K13:K14"/>
    <mergeCell ref="L13:L14"/>
    <mergeCell ref="M13:M14"/>
    <mergeCell ref="N13:N14"/>
    <mergeCell ref="O13:O14"/>
    <mergeCell ref="P16:P17"/>
    <mergeCell ref="S16:S17"/>
    <mergeCell ref="M16:M17"/>
    <mergeCell ref="N16:N17"/>
    <mergeCell ref="O16:O17"/>
    <mergeCell ref="BP8:BP9"/>
    <mergeCell ref="B10:E10"/>
    <mergeCell ref="A11:B50"/>
    <mergeCell ref="D11:H11"/>
    <mergeCell ref="C12:D46"/>
    <mergeCell ref="F12:L12"/>
    <mergeCell ref="E13:F28"/>
    <mergeCell ref="G13:G14"/>
    <mergeCell ref="H13:H14"/>
    <mergeCell ref="I13:I14"/>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B7:BG7"/>
    <mergeCell ref="BH7:BI8"/>
    <mergeCell ref="AB8:AB9"/>
    <mergeCell ref="AC8:AC9"/>
    <mergeCell ref="AD8:AE8"/>
    <mergeCell ref="AF8:AG8"/>
    <mergeCell ref="M8:M9"/>
    <mergeCell ref="N8:N9"/>
    <mergeCell ref="O8:P8"/>
    <mergeCell ref="Q8:Q9"/>
    <mergeCell ref="R8:R9"/>
    <mergeCell ref="S8:S9"/>
    <mergeCell ref="AR8:AS8"/>
    <mergeCell ref="A1:BS4"/>
    <mergeCell ref="A5:O6"/>
    <mergeCell ref="Q5:BU5"/>
    <mergeCell ref="AD6:BF6"/>
    <mergeCell ref="A7:B7"/>
    <mergeCell ref="C7:D7"/>
    <mergeCell ref="E7:F7"/>
    <mergeCell ref="G7:J7"/>
    <mergeCell ref="K7:N7"/>
    <mergeCell ref="O7:Z7"/>
    <mergeCell ref="BJ7:BP7"/>
    <mergeCell ref="BQ7:BR8"/>
    <mergeCell ref="BS7:BT8"/>
    <mergeCell ref="BU7:BU9"/>
    <mergeCell ref="A8:A9"/>
    <mergeCell ref="B8:B9"/>
    <mergeCell ref="C8:C9"/>
    <mergeCell ref="D8:D9"/>
    <mergeCell ref="E8:E9"/>
    <mergeCell ref="F8:F9"/>
    <mergeCell ref="AA7:AC7"/>
    <mergeCell ref="AD7:AG7"/>
    <mergeCell ref="AH7:AO7"/>
    <mergeCell ref="AP7:BA7"/>
  </mergeCells>
  <conditionalFormatting sqref="K15">
    <cfRule type="duplicateValues" dxfId="54" priority="42"/>
  </conditionalFormatting>
  <conditionalFormatting sqref="K16">
    <cfRule type="duplicateValues" dxfId="53" priority="41"/>
  </conditionalFormatting>
  <conditionalFormatting sqref="K18">
    <cfRule type="duplicateValues" dxfId="52" priority="40"/>
  </conditionalFormatting>
  <conditionalFormatting sqref="K21">
    <cfRule type="duplicateValues" dxfId="51" priority="39"/>
  </conditionalFormatting>
  <conditionalFormatting sqref="K22">
    <cfRule type="duplicateValues" dxfId="50" priority="36"/>
  </conditionalFormatting>
  <conditionalFormatting sqref="K22">
    <cfRule type="duplicateValues" dxfId="49" priority="37"/>
  </conditionalFormatting>
  <conditionalFormatting sqref="K22">
    <cfRule type="duplicateValues" dxfId="48" priority="38"/>
  </conditionalFormatting>
  <conditionalFormatting sqref="K27">
    <cfRule type="duplicateValues" dxfId="47" priority="34"/>
  </conditionalFormatting>
  <conditionalFormatting sqref="K27">
    <cfRule type="duplicateValues" dxfId="46" priority="35"/>
  </conditionalFormatting>
  <conditionalFormatting sqref="K28">
    <cfRule type="duplicateValues" dxfId="45" priority="32"/>
  </conditionalFormatting>
  <conditionalFormatting sqref="K28">
    <cfRule type="duplicateValues" dxfId="44" priority="33"/>
  </conditionalFormatting>
  <conditionalFormatting sqref="K30">
    <cfRule type="duplicateValues" dxfId="43" priority="30"/>
  </conditionalFormatting>
  <conditionalFormatting sqref="K30">
    <cfRule type="duplicateValues" dxfId="42" priority="31"/>
  </conditionalFormatting>
  <conditionalFormatting sqref="K40">
    <cfRule type="duplicateValues" dxfId="41" priority="28"/>
  </conditionalFormatting>
  <conditionalFormatting sqref="K40">
    <cfRule type="duplicateValues" dxfId="40" priority="29"/>
  </conditionalFormatting>
  <conditionalFormatting sqref="K41">
    <cfRule type="duplicateValues" dxfId="39" priority="26"/>
  </conditionalFormatting>
  <conditionalFormatting sqref="K41">
    <cfRule type="duplicateValues" dxfId="38" priority="27"/>
  </conditionalFormatting>
  <conditionalFormatting sqref="K43">
    <cfRule type="duplicateValues" dxfId="37" priority="24"/>
  </conditionalFormatting>
  <conditionalFormatting sqref="K43">
    <cfRule type="duplicateValues" dxfId="36" priority="25"/>
  </conditionalFormatting>
  <conditionalFormatting sqref="K44">
    <cfRule type="duplicateValues" dxfId="35" priority="22"/>
  </conditionalFormatting>
  <conditionalFormatting sqref="K44">
    <cfRule type="duplicateValues" dxfId="34" priority="23"/>
  </conditionalFormatting>
  <conditionalFormatting sqref="M15">
    <cfRule type="duplicateValues" dxfId="33" priority="21"/>
  </conditionalFormatting>
  <conditionalFormatting sqref="M16">
    <cfRule type="duplicateValues" dxfId="32" priority="20"/>
  </conditionalFormatting>
  <conditionalFormatting sqref="M18">
    <cfRule type="duplicateValues" dxfId="31" priority="19"/>
  </conditionalFormatting>
  <conditionalFormatting sqref="M21">
    <cfRule type="duplicateValues" dxfId="30" priority="18"/>
  </conditionalFormatting>
  <conditionalFormatting sqref="M22">
    <cfRule type="duplicateValues" dxfId="29" priority="15"/>
  </conditionalFormatting>
  <conditionalFormatting sqref="M22">
    <cfRule type="duplicateValues" dxfId="28" priority="16"/>
  </conditionalFormatting>
  <conditionalFormatting sqref="M22">
    <cfRule type="duplicateValues" dxfId="27" priority="17"/>
  </conditionalFormatting>
  <conditionalFormatting sqref="M27">
    <cfRule type="duplicateValues" dxfId="26" priority="13"/>
  </conditionalFormatting>
  <conditionalFormatting sqref="M27">
    <cfRule type="duplicateValues" dxfId="25" priority="14"/>
  </conditionalFormatting>
  <conditionalFormatting sqref="M28">
    <cfRule type="duplicateValues" dxfId="24" priority="11"/>
  </conditionalFormatting>
  <conditionalFormatting sqref="M28">
    <cfRule type="duplicateValues" dxfId="23" priority="12"/>
  </conditionalFormatting>
  <conditionalFormatting sqref="M30">
    <cfRule type="duplicateValues" dxfId="22" priority="9"/>
  </conditionalFormatting>
  <conditionalFormatting sqref="M30">
    <cfRule type="duplicateValues" dxfId="21" priority="10"/>
  </conditionalFormatting>
  <conditionalFormatting sqref="M40">
    <cfRule type="duplicateValues" dxfId="20" priority="7"/>
  </conditionalFormatting>
  <conditionalFormatting sqref="M40">
    <cfRule type="duplicateValues" dxfId="19" priority="8"/>
  </conditionalFormatting>
  <conditionalFormatting sqref="M41">
    <cfRule type="duplicateValues" dxfId="18" priority="5"/>
  </conditionalFormatting>
  <conditionalFormatting sqref="M41">
    <cfRule type="duplicateValues" dxfId="17" priority="6"/>
  </conditionalFormatting>
  <conditionalFormatting sqref="M43">
    <cfRule type="duplicateValues" dxfId="16" priority="3"/>
  </conditionalFormatting>
  <conditionalFormatting sqref="M43">
    <cfRule type="duplicateValues" dxfId="15" priority="4"/>
  </conditionalFormatting>
  <conditionalFormatting sqref="M44">
    <cfRule type="duplicateValues" dxfId="14" priority="1"/>
  </conditionalFormatting>
  <conditionalFormatting sqref="M44">
    <cfRule type="duplicateValues" dxfId="13" priority="2"/>
  </conditionalFormatting>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tabColor rgb="FF002060"/>
  </sheetPr>
  <dimension ref="A1:CN26"/>
  <sheetViews>
    <sheetView showGridLines="0" topLeftCell="V1" zoomScale="70" zoomScaleNormal="70" workbookViewId="0">
      <selection activeCell="Z13" sqref="Z13"/>
    </sheetView>
  </sheetViews>
  <sheetFormatPr baseColWidth="10" defaultColWidth="11.42578125" defaultRowHeight="27" customHeight="1" x14ac:dyDescent="0.25"/>
  <cols>
    <col min="1" max="1" width="17.5703125" style="12" customWidth="1"/>
    <col min="2" max="4" width="11.42578125" style="1" customWidth="1"/>
    <col min="5" max="5" width="11.28515625" style="1" customWidth="1"/>
    <col min="6" max="6" width="12" style="1" customWidth="1"/>
    <col min="7" max="7" width="16" style="1" customWidth="1"/>
    <col min="8" max="8" width="29.7109375" style="7" customWidth="1"/>
    <col min="9" max="9" width="18.5703125" style="4" customWidth="1"/>
    <col min="10" max="10" width="26" style="7" customWidth="1"/>
    <col min="11" max="11" width="13" style="4" customWidth="1"/>
    <col min="12" max="12" width="35" style="7" customWidth="1"/>
    <col min="13" max="13" width="16.7109375" style="4" customWidth="1"/>
    <col min="14" max="14" width="31.85546875" style="7" customWidth="1"/>
    <col min="15" max="15" width="10.42578125" style="4" customWidth="1"/>
    <col min="16" max="16" width="10.5703125" style="4" customWidth="1"/>
    <col min="17" max="17" width="22.5703125" style="4" customWidth="1"/>
    <col min="18" max="18" width="40.7109375" style="7" customWidth="1"/>
    <col min="19" max="19" width="13.42578125" style="9" customWidth="1"/>
    <col min="20" max="20" width="25.5703125" style="6" customWidth="1"/>
    <col min="21" max="21" width="49.5703125" style="7" customWidth="1"/>
    <col min="22" max="22" width="39.5703125" style="7" customWidth="1"/>
    <col min="23" max="23" width="29.7109375" style="7" customWidth="1"/>
    <col min="24" max="24" width="25.7109375" style="6" customWidth="1"/>
    <col min="25" max="26" width="23.85546875" style="6" customWidth="1"/>
    <col min="27" max="27" width="53.42578125" style="6" customWidth="1"/>
    <col min="28" max="28" width="11.7109375" style="5" customWidth="1"/>
    <col min="29" max="29" width="13.5703125" style="4" customWidth="1"/>
    <col min="30" max="31" width="13" style="1" customWidth="1"/>
    <col min="32" max="33" width="12.140625" style="1" customWidth="1"/>
    <col min="34" max="35" width="9.28515625" style="1" customWidth="1"/>
    <col min="36" max="37" width="11.28515625" style="1" customWidth="1"/>
    <col min="38" max="39" width="19.140625" style="1" customWidth="1"/>
    <col min="40" max="41" width="9.5703125" style="1" customWidth="1"/>
    <col min="42" max="43" width="8.85546875" style="1" customWidth="1"/>
    <col min="44" max="45" width="9.5703125" style="1" customWidth="1"/>
    <col min="46" max="46" width="7.28515625" style="1" customWidth="1"/>
    <col min="47" max="52" width="8.28515625" style="1" customWidth="1"/>
    <col min="53" max="53" width="9.5703125" style="1" customWidth="1"/>
    <col min="54" max="55" width="8.5703125" style="1" customWidth="1"/>
    <col min="56" max="57" width="8.42578125" style="1" customWidth="1"/>
    <col min="58" max="59" width="11.140625" style="1" customWidth="1"/>
    <col min="60" max="60" width="15.140625" style="1" customWidth="1"/>
    <col min="61" max="61" width="16.140625" style="1" customWidth="1"/>
    <col min="62" max="62" width="19.85546875" style="1" customWidth="1"/>
    <col min="63" max="63" width="24.7109375" style="1" customWidth="1"/>
    <col min="64" max="64" width="23" style="1" customWidth="1"/>
    <col min="65" max="65" width="13.7109375" style="1" customWidth="1"/>
    <col min="66" max="66" width="14.42578125" style="1" customWidth="1"/>
    <col min="67" max="67" width="25.140625" style="1" customWidth="1"/>
    <col min="68" max="69" width="14.42578125" style="2" customWidth="1"/>
    <col min="70" max="71" width="13.7109375" style="2" customWidth="1"/>
    <col min="72" max="72" width="26.28515625" style="1" customWidth="1"/>
    <col min="73" max="16384" width="11.42578125" style="1"/>
  </cols>
  <sheetData>
    <row r="1" spans="1:92" ht="15.75" customHeight="1" x14ac:dyDescent="0.25">
      <c r="A1" s="3579" t="s">
        <v>211</v>
      </c>
      <c r="B1" s="2601"/>
      <c r="C1" s="2601"/>
      <c r="D1" s="2601"/>
      <c r="E1" s="2601"/>
      <c r="F1" s="2601"/>
      <c r="G1" s="2601"/>
      <c r="H1" s="2601"/>
      <c r="I1" s="2601"/>
      <c r="J1" s="2601"/>
      <c r="K1" s="2601"/>
      <c r="L1" s="2601"/>
      <c r="M1" s="2601"/>
      <c r="N1" s="2601"/>
      <c r="O1" s="2601"/>
      <c r="P1" s="2601"/>
      <c r="Q1" s="2601"/>
      <c r="R1" s="2601"/>
      <c r="S1" s="2601"/>
      <c r="T1" s="2601"/>
      <c r="U1" s="2601"/>
      <c r="V1" s="2601"/>
      <c r="W1" s="2601"/>
      <c r="X1" s="2601"/>
      <c r="Y1" s="2601"/>
      <c r="Z1" s="2601"/>
      <c r="AA1" s="2601"/>
      <c r="AB1" s="2601"/>
      <c r="AC1" s="2601"/>
      <c r="AD1" s="2601"/>
      <c r="AE1" s="2601"/>
      <c r="AF1" s="2601"/>
      <c r="AG1" s="2601"/>
      <c r="AH1" s="2601"/>
      <c r="AI1" s="2601"/>
      <c r="AJ1" s="2601"/>
      <c r="AK1" s="2601"/>
      <c r="AL1" s="2601"/>
      <c r="AM1" s="2601"/>
      <c r="AN1" s="2601"/>
      <c r="AO1" s="2601"/>
      <c r="AP1" s="2601"/>
      <c r="AQ1" s="2601"/>
      <c r="AR1" s="2601"/>
      <c r="AS1" s="2601"/>
      <c r="AT1" s="2601"/>
      <c r="AU1" s="2601"/>
      <c r="AV1" s="2601"/>
      <c r="AW1" s="2601"/>
      <c r="AX1" s="2601"/>
      <c r="AY1" s="2601"/>
      <c r="AZ1" s="2601"/>
      <c r="BA1" s="2601"/>
      <c r="BB1" s="2601"/>
      <c r="BC1" s="2601"/>
      <c r="BD1" s="2601"/>
      <c r="BE1" s="2601"/>
      <c r="BF1" s="2601"/>
      <c r="BG1" s="2601"/>
      <c r="BH1" s="2601"/>
      <c r="BI1" s="2601"/>
      <c r="BJ1" s="2601"/>
      <c r="BK1" s="2601"/>
      <c r="BL1" s="2601"/>
      <c r="BM1" s="2601"/>
      <c r="BN1" s="2601"/>
      <c r="BO1" s="2601"/>
      <c r="BP1" s="2601"/>
      <c r="BQ1" s="2601"/>
      <c r="BR1" s="3087"/>
      <c r="BS1" s="144" t="s">
        <v>138</v>
      </c>
      <c r="BT1" s="235" t="s">
        <v>137</v>
      </c>
      <c r="BU1" s="4"/>
      <c r="BV1" s="4"/>
      <c r="BW1" s="4"/>
      <c r="BX1" s="4"/>
      <c r="BY1" s="4"/>
      <c r="BZ1" s="4"/>
      <c r="CA1" s="4"/>
      <c r="CB1" s="4"/>
      <c r="CC1" s="4"/>
      <c r="CD1" s="4"/>
      <c r="CE1" s="4"/>
      <c r="CF1" s="4"/>
      <c r="CG1" s="4"/>
      <c r="CH1" s="4"/>
      <c r="CI1" s="4"/>
      <c r="CJ1" s="4"/>
      <c r="CK1" s="4"/>
      <c r="CL1" s="4"/>
      <c r="CM1" s="4"/>
      <c r="CN1" s="4"/>
    </row>
    <row r="2" spans="1:92" ht="15.75" x14ac:dyDescent="0.25">
      <c r="A2" s="3579"/>
      <c r="B2" s="2601"/>
      <c r="C2" s="2601"/>
      <c r="D2" s="2601"/>
      <c r="E2" s="2601"/>
      <c r="F2" s="2601"/>
      <c r="G2" s="2601"/>
      <c r="H2" s="2601"/>
      <c r="I2" s="2601"/>
      <c r="J2" s="2601"/>
      <c r="K2" s="2601"/>
      <c r="L2" s="2601"/>
      <c r="M2" s="2601"/>
      <c r="N2" s="2601"/>
      <c r="O2" s="2601"/>
      <c r="P2" s="2601"/>
      <c r="Q2" s="2601"/>
      <c r="R2" s="2601"/>
      <c r="S2" s="2601"/>
      <c r="T2" s="2601"/>
      <c r="U2" s="2601"/>
      <c r="V2" s="2601"/>
      <c r="W2" s="2601"/>
      <c r="X2" s="2601"/>
      <c r="Y2" s="2601"/>
      <c r="Z2" s="2601"/>
      <c r="AA2" s="2601"/>
      <c r="AB2" s="2601"/>
      <c r="AC2" s="2601"/>
      <c r="AD2" s="2601"/>
      <c r="AE2" s="2601"/>
      <c r="AF2" s="2601"/>
      <c r="AG2" s="2601"/>
      <c r="AH2" s="2601"/>
      <c r="AI2" s="2601"/>
      <c r="AJ2" s="2601"/>
      <c r="AK2" s="2601"/>
      <c r="AL2" s="2601"/>
      <c r="AM2" s="2601"/>
      <c r="AN2" s="2601"/>
      <c r="AO2" s="2601"/>
      <c r="AP2" s="2601"/>
      <c r="AQ2" s="2601"/>
      <c r="AR2" s="2601"/>
      <c r="AS2" s="2601"/>
      <c r="AT2" s="2601"/>
      <c r="AU2" s="2601"/>
      <c r="AV2" s="2601"/>
      <c r="AW2" s="2601"/>
      <c r="AX2" s="2601"/>
      <c r="AY2" s="2601"/>
      <c r="AZ2" s="2601"/>
      <c r="BA2" s="2601"/>
      <c r="BB2" s="2601"/>
      <c r="BC2" s="2601"/>
      <c r="BD2" s="2601"/>
      <c r="BE2" s="2601"/>
      <c r="BF2" s="2601"/>
      <c r="BG2" s="2601"/>
      <c r="BH2" s="2601"/>
      <c r="BI2" s="2601"/>
      <c r="BJ2" s="2601"/>
      <c r="BK2" s="2601"/>
      <c r="BL2" s="2601"/>
      <c r="BM2" s="2601"/>
      <c r="BN2" s="2601"/>
      <c r="BO2" s="2601"/>
      <c r="BP2" s="2601"/>
      <c r="BQ2" s="2601"/>
      <c r="BR2" s="3087"/>
      <c r="BS2" s="144" t="s">
        <v>136</v>
      </c>
      <c r="BT2" s="236" t="s">
        <v>135</v>
      </c>
      <c r="BU2" s="4"/>
      <c r="BV2" s="4"/>
      <c r="BW2" s="4"/>
      <c r="BX2" s="4"/>
      <c r="BY2" s="4"/>
      <c r="BZ2" s="4"/>
      <c r="CA2" s="4"/>
      <c r="CB2" s="4"/>
      <c r="CC2" s="4"/>
      <c r="CD2" s="4"/>
      <c r="CE2" s="4"/>
      <c r="CF2" s="4"/>
      <c r="CG2" s="4"/>
      <c r="CH2" s="4"/>
      <c r="CI2" s="4"/>
      <c r="CJ2" s="4"/>
      <c r="CK2" s="4"/>
      <c r="CL2" s="4"/>
      <c r="CM2" s="4"/>
      <c r="CN2" s="4"/>
    </row>
    <row r="3" spans="1:92" ht="15.75" x14ac:dyDescent="0.25">
      <c r="A3" s="3579"/>
      <c r="B3" s="2601"/>
      <c r="C3" s="2601"/>
      <c r="D3" s="2601"/>
      <c r="E3" s="2601"/>
      <c r="F3" s="2601"/>
      <c r="G3" s="2601"/>
      <c r="H3" s="2601"/>
      <c r="I3" s="2601"/>
      <c r="J3" s="2601"/>
      <c r="K3" s="2601"/>
      <c r="L3" s="2601"/>
      <c r="M3" s="2601"/>
      <c r="N3" s="2601"/>
      <c r="O3" s="2601"/>
      <c r="P3" s="2601"/>
      <c r="Q3" s="2601"/>
      <c r="R3" s="2601"/>
      <c r="S3" s="2601"/>
      <c r="T3" s="2601"/>
      <c r="U3" s="2601"/>
      <c r="V3" s="2601"/>
      <c r="W3" s="2601"/>
      <c r="X3" s="2601"/>
      <c r="Y3" s="2601"/>
      <c r="Z3" s="2601"/>
      <c r="AA3" s="2601"/>
      <c r="AB3" s="2601"/>
      <c r="AC3" s="2601"/>
      <c r="AD3" s="2601"/>
      <c r="AE3" s="2601"/>
      <c r="AF3" s="2601"/>
      <c r="AG3" s="2601"/>
      <c r="AH3" s="2601"/>
      <c r="AI3" s="2601"/>
      <c r="AJ3" s="2601"/>
      <c r="AK3" s="2601"/>
      <c r="AL3" s="2601"/>
      <c r="AM3" s="2601"/>
      <c r="AN3" s="2601"/>
      <c r="AO3" s="2601"/>
      <c r="AP3" s="2601"/>
      <c r="AQ3" s="2601"/>
      <c r="AR3" s="2601"/>
      <c r="AS3" s="2601"/>
      <c r="AT3" s="2601"/>
      <c r="AU3" s="2601"/>
      <c r="AV3" s="2601"/>
      <c r="AW3" s="2601"/>
      <c r="AX3" s="2601"/>
      <c r="AY3" s="2601"/>
      <c r="AZ3" s="2601"/>
      <c r="BA3" s="2601"/>
      <c r="BB3" s="2601"/>
      <c r="BC3" s="2601"/>
      <c r="BD3" s="2601"/>
      <c r="BE3" s="2601"/>
      <c r="BF3" s="2601"/>
      <c r="BG3" s="2601"/>
      <c r="BH3" s="2601"/>
      <c r="BI3" s="2601"/>
      <c r="BJ3" s="2601"/>
      <c r="BK3" s="2601"/>
      <c r="BL3" s="2601"/>
      <c r="BM3" s="2601"/>
      <c r="BN3" s="2601"/>
      <c r="BO3" s="2601"/>
      <c r="BP3" s="2601"/>
      <c r="BQ3" s="2601"/>
      <c r="BR3" s="3087"/>
      <c r="BS3" s="144" t="s">
        <v>134</v>
      </c>
      <c r="BT3" s="237" t="s">
        <v>212</v>
      </c>
      <c r="BU3" s="4"/>
      <c r="BV3" s="4"/>
      <c r="BW3" s="4"/>
      <c r="BX3" s="4"/>
      <c r="BY3" s="4"/>
      <c r="BZ3" s="4"/>
      <c r="CA3" s="4"/>
      <c r="CB3" s="4"/>
      <c r="CC3" s="4"/>
      <c r="CD3" s="4"/>
      <c r="CE3" s="4"/>
      <c r="CF3" s="4"/>
      <c r="CG3" s="4"/>
      <c r="CH3" s="4"/>
      <c r="CI3" s="4"/>
      <c r="CJ3" s="4"/>
      <c r="CK3" s="4"/>
      <c r="CL3" s="4"/>
      <c r="CM3" s="4"/>
      <c r="CN3" s="4"/>
    </row>
    <row r="4" spans="1:92" ht="15.75" x14ac:dyDescent="0.25">
      <c r="A4" s="4061"/>
      <c r="B4" s="4062"/>
      <c r="C4" s="4062"/>
      <c r="D4" s="4062"/>
      <c r="E4" s="4062"/>
      <c r="F4" s="4062"/>
      <c r="G4" s="4062"/>
      <c r="H4" s="4062"/>
      <c r="I4" s="4062"/>
      <c r="J4" s="4062"/>
      <c r="K4" s="4062"/>
      <c r="L4" s="4062"/>
      <c r="M4" s="4062"/>
      <c r="N4" s="4062"/>
      <c r="O4" s="4062"/>
      <c r="P4" s="4062"/>
      <c r="Q4" s="4062"/>
      <c r="R4" s="4062"/>
      <c r="S4" s="4062"/>
      <c r="T4" s="4062"/>
      <c r="U4" s="4062"/>
      <c r="V4" s="4062"/>
      <c r="W4" s="4062"/>
      <c r="X4" s="4062"/>
      <c r="Y4" s="4062"/>
      <c r="Z4" s="4062"/>
      <c r="AA4" s="4062"/>
      <c r="AB4" s="4062"/>
      <c r="AC4" s="4062"/>
      <c r="AD4" s="4062"/>
      <c r="AE4" s="4062"/>
      <c r="AF4" s="4062"/>
      <c r="AG4" s="4062"/>
      <c r="AH4" s="4062"/>
      <c r="AI4" s="4062"/>
      <c r="AJ4" s="4062"/>
      <c r="AK4" s="4062"/>
      <c r="AL4" s="4062"/>
      <c r="AM4" s="4062"/>
      <c r="AN4" s="4062"/>
      <c r="AO4" s="4062"/>
      <c r="AP4" s="4062"/>
      <c r="AQ4" s="4062"/>
      <c r="AR4" s="4062"/>
      <c r="AS4" s="4062"/>
      <c r="AT4" s="4062"/>
      <c r="AU4" s="4062"/>
      <c r="AV4" s="4062"/>
      <c r="AW4" s="4062"/>
      <c r="AX4" s="4062"/>
      <c r="AY4" s="4062"/>
      <c r="AZ4" s="4062"/>
      <c r="BA4" s="4062"/>
      <c r="BB4" s="4062"/>
      <c r="BC4" s="4062"/>
      <c r="BD4" s="4062"/>
      <c r="BE4" s="4062"/>
      <c r="BF4" s="4062"/>
      <c r="BG4" s="4062"/>
      <c r="BH4" s="4062"/>
      <c r="BI4" s="4062"/>
      <c r="BJ4" s="4062"/>
      <c r="BK4" s="4062"/>
      <c r="BL4" s="4062"/>
      <c r="BM4" s="4062"/>
      <c r="BN4" s="4062"/>
      <c r="BO4" s="4062"/>
      <c r="BP4" s="4062"/>
      <c r="BQ4" s="4062"/>
      <c r="BR4" s="3088"/>
      <c r="BS4" s="144" t="s">
        <v>133</v>
      </c>
      <c r="BT4" s="238" t="s">
        <v>132</v>
      </c>
      <c r="BU4" s="4"/>
      <c r="BV4" s="4"/>
      <c r="BW4" s="4"/>
      <c r="BX4" s="4"/>
      <c r="BY4" s="4"/>
      <c r="BZ4" s="4"/>
      <c r="CA4" s="4"/>
      <c r="CB4" s="4"/>
      <c r="CC4" s="4"/>
      <c r="CD4" s="4"/>
      <c r="CE4" s="4"/>
      <c r="CF4" s="4"/>
      <c r="CG4" s="4"/>
      <c r="CH4" s="4"/>
      <c r="CI4" s="4"/>
      <c r="CJ4" s="4"/>
      <c r="CK4" s="4"/>
      <c r="CL4" s="4"/>
      <c r="CM4" s="4"/>
      <c r="CN4" s="4"/>
    </row>
    <row r="5" spans="1:92" ht="15.75" x14ac:dyDescent="0.25">
      <c r="A5" s="2606" t="s">
        <v>141</v>
      </c>
      <c r="B5" s="2606"/>
      <c r="C5" s="2606"/>
      <c r="D5" s="2606"/>
      <c r="E5" s="2606"/>
      <c r="F5" s="2606"/>
      <c r="G5" s="2606"/>
      <c r="H5" s="2606"/>
      <c r="I5" s="2606"/>
      <c r="J5" s="2606"/>
      <c r="K5" s="2606"/>
      <c r="L5" s="2606"/>
      <c r="M5" s="2606"/>
      <c r="N5" s="2606"/>
      <c r="O5" s="2606"/>
      <c r="P5" s="146"/>
      <c r="Q5" s="239"/>
      <c r="R5" s="240"/>
      <c r="S5" s="239"/>
      <c r="T5" s="239"/>
      <c r="U5" s="240"/>
      <c r="V5" s="240"/>
      <c r="W5" s="240"/>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41"/>
      <c r="BU5" s="4"/>
      <c r="BV5" s="4"/>
      <c r="BW5" s="4"/>
      <c r="BX5" s="4"/>
      <c r="BY5" s="4"/>
      <c r="BZ5" s="4"/>
      <c r="CA5" s="4"/>
      <c r="CB5" s="4"/>
      <c r="CC5" s="4"/>
      <c r="CD5" s="4"/>
      <c r="CE5" s="4"/>
      <c r="CF5" s="4"/>
      <c r="CG5" s="4"/>
      <c r="CH5" s="4"/>
      <c r="CI5" s="4"/>
      <c r="CJ5" s="4"/>
      <c r="CK5" s="4"/>
      <c r="CL5" s="4"/>
      <c r="CM5" s="4"/>
      <c r="CN5" s="4"/>
    </row>
    <row r="6" spans="1:92" ht="16.5" thickBot="1" x14ac:dyDescent="0.3">
      <c r="A6" s="2602"/>
      <c r="B6" s="2602"/>
      <c r="C6" s="2602"/>
      <c r="D6" s="2602"/>
      <c r="E6" s="2602"/>
      <c r="F6" s="2602"/>
      <c r="G6" s="2602"/>
      <c r="H6" s="2602"/>
      <c r="I6" s="2602"/>
      <c r="J6" s="2602"/>
      <c r="K6" s="2602"/>
      <c r="L6" s="2602"/>
      <c r="M6" s="2602"/>
      <c r="N6" s="2602"/>
      <c r="O6" s="2602"/>
      <c r="P6" s="142"/>
      <c r="Q6" s="142"/>
      <c r="R6" s="143"/>
      <c r="S6" s="142"/>
      <c r="T6" s="142"/>
      <c r="U6" s="15"/>
      <c r="V6" s="143"/>
      <c r="W6" s="143"/>
      <c r="X6" s="142"/>
      <c r="Y6" s="142"/>
      <c r="Z6" s="142"/>
      <c r="AA6" s="142"/>
      <c r="AB6" s="142"/>
      <c r="AC6" s="142"/>
      <c r="AD6" s="242" t="s">
        <v>130</v>
      </c>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243"/>
      <c r="BG6" s="142"/>
      <c r="BH6" s="142"/>
      <c r="BI6" s="142"/>
      <c r="BJ6" s="142"/>
      <c r="BK6" s="142"/>
      <c r="BL6" s="142"/>
      <c r="BM6" s="142"/>
      <c r="BN6" s="142"/>
      <c r="BO6" s="142"/>
      <c r="BP6" s="142"/>
      <c r="BQ6" s="142"/>
      <c r="BR6" s="142"/>
      <c r="BS6" s="142"/>
      <c r="BT6" s="141"/>
      <c r="BU6" s="4"/>
      <c r="BV6" s="4"/>
      <c r="BW6" s="4"/>
      <c r="BX6" s="4"/>
      <c r="BY6" s="4"/>
      <c r="BZ6" s="4"/>
      <c r="CA6" s="4"/>
      <c r="CB6" s="4"/>
      <c r="CC6" s="4"/>
      <c r="CD6" s="4"/>
      <c r="CE6" s="4"/>
      <c r="CF6" s="4"/>
      <c r="CG6" s="4"/>
      <c r="CH6" s="4"/>
      <c r="CI6" s="4"/>
      <c r="CJ6" s="4"/>
      <c r="CK6" s="4"/>
      <c r="CL6" s="4"/>
      <c r="CM6" s="4"/>
      <c r="CN6" s="4"/>
    </row>
    <row r="7" spans="1:92" ht="31.5" customHeight="1" x14ac:dyDescent="0.25">
      <c r="A7" s="2639" t="s">
        <v>129</v>
      </c>
      <c r="B7" s="2638"/>
      <c r="C7" s="4063" t="s">
        <v>213</v>
      </c>
      <c r="D7" s="4064"/>
      <c r="E7" s="4063" t="s">
        <v>127</v>
      </c>
      <c r="F7" s="4064"/>
      <c r="G7" s="2610" t="s">
        <v>126</v>
      </c>
      <c r="H7" s="2610"/>
      <c r="I7" s="2610"/>
      <c r="J7" s="2610"/>
      <c r="K7" s="2610" t="s">
        <v>125</v>
      </c>
      <c r="L7" s="2610"/>
      <c r="M7" s="2610"/>
      <c r="N7" s="2610"/>
      <c r="O7" s="4053" t="s">
        <v>124</v>
      </c>
      <c r="P7" s="4054"/>
      <c r="Q7" s="4054"/>
      <c r="R7" s="4054"/>
      <c r="S7" s="4054"/>
      <c r="T7" s="4054"/>
      <c r="U7" s="4054"/>
      <c r="V7" s="4054"/>
      <c r="W7" s="4054"/>
      <c r="X7" s="4054"/>
      <c r="Y7" s="4054"/>
      <c r="Z7" s="4055"/>
      <c r="AA7" s="2610" t="s">
        <v>123</v>
      </c>
      <c r="AB7" s="2610"/>
      <c r="AC7" s="2610"/>
      <c r="AD7" s="2611" t="s">
        <v>122</v>
      </c>
      <c r="AE7" s="2612"/>
      <c r="AF7" s="2612"/>
      <c r="AG7" s="2613"/>
      <c r="AH7" s="2614" t="s">
        <v>121</v>
      </c>
      <c r="AI7" s="2615"/>
      <c r="AJ7" s="2615"/>
      <c r="AK7" s="2615"/>
      <c r="AL7" s="2615"/>
      <c r="AM7" s="2615"/>
      <c r="AN7" s="2615"/>
      <c r="AO7" s="2616"/>
      <c r="AP7" s="2617" t="s">
        <v>120</v>
      </c>
      <c r="AQ7" s="2617"/>
      <c r="AR7" s="2617"/>
      <c r="AS7" s="2617"/>
      <c r="AT7" s="2617"/>
      <c r="AU7" s="2617"/>
      <c r="AV7" s="2617"/>
      <c r="AW7" s="2617"/>
      <c r="AX7" s="2617"/>
      <c r="AY7" s="2617"/>
      <c r="AZ7" s="2617"/>
      <c r="BA7" s="2617"/>
      <c r="BB7" s="2618" t="s">
        <v>119</v>
      </c>
      <c r="BC7" s="2618"/>
      <c r="BD7" s="2618"/>
      <c r="BE7" s="2618"/>
      <c r="BF7" s="2618"/>
      <c r="BG7" s="2618"/>
      <c r="BH7" s="2619" t="s">
        <v>118</v>
      </c>
      <c r="BI7" s="2619"/>
      <c r="BJ7" s="2622" t="s">
        <v>117</v>
      </c>
      <c r="BK7" s="2623"/>
      <c r="BL7" s="2623"/>
      <c r="BM7" s="2623"/>
      <c r="BN7" s="2623"/>
      <c r="BO7" s="2624"/>
      <c r="BP7" s="2893" t="s">
        <v>116</v>
      </c>
      <c r="BQ7" s="2653"/>
      <c r="BR7" s="2893" t="s">
        <v>115</v>
      </c>
      <c r="BS7" s="2653"/>
      <c r="BT7" s="2629" t="s">
        <v>114</v>
      </c>
      <c r="BU7" s="4"/>
      <c r="BV7" s="4"/>
      <c r="BW7" s="4"/>
      <c r="BX7" s="4"/>
      <c r="BY7" s="4"/>
      <c r="BZ7" s="4"/>
      <c r="CA7" s="4"/>
      <c r="CB7" s="4"/>
      <c r="CC7" s="4"/>
      <c r="CD7" s="4"/>
      <c r="CE7" s="4"/>
      <c r="CF7" s="4"/>
      <c r="CG7" s="4"/>
      <c r="CH7" s="4"/>
      <c r="CI7" s="4"/>
      <c r="CJ7" s="4"/>
      <c r="CK7" s="4"/>
      <c r="CL7" s="4"/>
      <c r="CM7" s="4"/>
      <c r="CN7" s="4"/>
    </row>
    <row r="8" spans="1:92" ht="117" customHeight="1" x14ac:dyDescent="0.25">
      <c r="A8" s="2653" t="s">
        <v>71</v>
      </c>
      <c r="B8" s="2595" t="s">
        <v>70</v>
      </c>
      <c r="C8" s="2595" t="s">
        <v>71</v>
      </c>
      <c r="D8" s="2595" t="s">
        <v>70</v>
      </c>
      <c r="E8" s="2595" t="s">
        <v>71</v>
      </c>
      <c r="F8" s="2595" t="s">
        <v>70</v>
      </c>
      <c r="G8" s="2595" t="s">
        <v>110</v>
      </c>
      <c r="H8" s="2595" t="s">
        <v>113</v>
      </c>
      <c r="I8" s="2595" t="s">
        <v>112</v>
      </c>
      <c r="J8" s="2595" t="s">
        <v>142</v>
      </c>
      <c r="K8" s="2595" t="s">
        <v>110</v>
      </c>
      <c r="L8" s="2595" t="s">
        <v>109</v>
      </c>
      <c r="M8" s="2595" t="s">
        <v>108</v>
      </c>
      <c r="N8" s="4065" t="s">
        <v>107</v>
      </c>
      <c r="O8" s="2599" t="s">
        <v>106</v>
      </c>
      <c r="P8" s="2600"/>
      <c r="Q8" s="2595" t="s">
        <v>105</v>
      </c>
      <c r="R8" s="2595" t="s">
        <v>104</v>
      </c>
      <c r="S8" s="2595" t="s">
        <v>103</v>
      </c>
      <c r="T8" s="2595" t="s">
        <v>102</v>
      </c>
      <c r="U8" s="2595" t="s">
        <v>101</v>
      </c>
      <c r="V8" s="2595" t="s">
        <v>100</v>
      </c>
      <c r="W8" s="2595" t="s">
        <v>99</v>
      </c>
      <c r="X8" s="4053" t="s">
        <v>98</v>
      </c>
      <c r="Y8" s="4054"/>
      <c r="Z8" s="4055"/>
      <c r="AA8" s="2595" t="s">
        <v>97</v>
      </c>
      <c r="AB8" s="2595" t="s">
        <v>96</v>
      </c>
      <c r="AC8" s="2595" t="s">
        <v>70</v>
      </c>
      <c r="AD8" s="2620" t="s">
        <v>95</v>
      </c>
      <c r="AE8" s="2621"/>
      <c r="AF8" s="2597" t="s">
        <v>94</v>
      </c>
      <c r="AG8" s="2598"/>
      <c r="AH8" s="2597" t="s">
        <v>93</v>
      </c>
      <c r="AI8" s="2598"/>
      <c r="AJ8" s="2597" t="s">
        <v>92</v>
      </c>
      <c r="AK8" s="2598"/>
      <c r="AL8" s="2597" t="s">
        <v>91</v>
      </c>
      <c r="AM8" s="2598"/>
      <c r="AN8" s="2597" t="s">
        <v>90</v>
      </c>
      <c r="AO8" s="2598"/>
      <c r="AP8" s="2592" t="s">
        <v>89</v>
      </c>
      <c r="AQ8" s="2592"/>
      <c r="AR8" s="2592" t="s">
        <v>88</v>
      </c>
      <c r="AS8" s="2592"/>
      <c r="AT8" s="2592" t="s">
        <v>87</v>
      </c>
      <c r="AU8" s="2592"/>
      <c r="AV8" s="2592" t="s">
        <v>86</v>
      </c>
      <c r="AW8" s="2592"/>
      <c r="AX8" s="2592" t="s">
        <v>85</v>
      </c>
      <c r="AY8" s="2592"/>
      <c r="AZ8" s="2592" t="s">
        <v>84</v>
      </c>
      <c r="BA8" s="2592"/>
      <c r="BB8" s="2592" t="s">
        <v>83</v>
      </c>
      <c r="BC8" s="2592"/>
      <c r="BD8" s="2592" t="s">
        <v>82</v>
      </c>
      <c r="BE8" s="2592"/>
      <c r="BF8" s="2592" t="s">
        <v>81</v>
      </c>
      <c r="BG8" s="2592"/>
      <c r="BH8" s="2619"/>
      <c r="BI8" s="2619"/>
      <c r="BJ8" s="3861" t="s">
        <v>80</v>
      </c>
      <c r="BK8" s="4057" t="s">
        <v>79</v>
      </c>
      <c r="BL8" s="3861" t="s">
        <v>78</v>
      </c>
      <c r="BM8" s="4059" t="s">
        <v>77</v>
      </c>
      <c r="BN8" s="3861" t="s">
        <v>76</v>
      </c>
      <c r="BO8" s="3861" t="s">
        <v>75</v>
      </c>
      <c r="BP8" s="2894"/>
      <c r="BQ8" s="2654"/>
      <c r="BR8" s="2894"/>
      <c r="BS8" s="2654"/>
      <c r="BT8" s="2630"/>
      <c r="BU8" s="4"/>
      <c r="BV8" s="4"/>
      <c r="BW8" s="4"/>
      <c r="BX8" s="4"/>
      <c r="BY8" s="4"/>
      <c r="BZ8" s="4"/>
      <c r="CA8" s="4"/>
      <c r="CB8" s="4"/>
      <c r="CC8" s="4"/>
      <c r="CD8" s="4"/>
      <c r="CE8" s="4"/>
      <c r="CF8" s="4"/>
      <c r="CG8" s="4"/>
      <c r="CH8" s="4"/>
      <c r="CI8" s="4"/>
      <c r="CJ8" s="4"/>
      <c r="CK8" s="4"/>
      <c r="CL8" s="4"/>
      <c r="CM8" s="4"/>
      <c r="CN8" s="4"/>
    </row>
    <row r="9" spans="1:92" ht="33" customHeight="1" x14ac:dyDescent="0.25">
      <c r="A9" s="4056"/>
      <c r="B9" s="2596"/>
      <c r="C9" s="2596"/>
      <c r="D9" s="2596"/>
      <c r="E9" s="2596"/>
      <c r="F9" s="2596"/>
      <c r="G9" s="2596"/>
      <c r="H9" s="4052"/>
      <c r="I9" s="4052"/>
      <c r="J9" s="4052"/>
      <c r="K9" s="4052"/>
      <c r="L9" s="4052"/>
      <c r="M9" s="4052"/>
      <c r="N9" s="4066"/>
      <c r="O9" s="131" t="s">
        <v>69</v>
      </c>
      <c r="P9" s="131" t="s">
        <v>68</v>
      </c>
      <c r="Q9" s="4052"/>
      <c r="R9" s="4052"/>
      <c r="S9" s="4052"/>
      <c r="T9" s="4052"/>
      <c r="U9" s="4052"/>
      <c r="V9" s="4052"/>
      <c r="W9" s="4052"/>
      <c r="X9" s="163" t="s">
        <v>74</v>
      </c>
      <c r="Y9" s="163" t="s">
        <v>73</v>
      </c>
      <c r="Z9" s="163" t="s">
        <v>72</v>
      </c>
      <c r="AA9" s="4052"/>
      <c r="AB9" s="4052"/>
      <c r="AC9" s="4052"/>
      <c r="AD9" s="131" t="s">
        <v>69</v>
      </c>
      <c r="AE9" s="131" t="s">
        <v>68</v>
      </c>
      <c r="AF9" s="131" t="s">
        <v>69</v>
      </c>
      <c r="AG9" s="131" t="s">
        <v>68</v>
      </c>
      <c r="AH9" s="131" t="s">
        <v>69</v>
      </c>
      <c r="AI9" s="131" t="s">
        <v>68</v>
      </c>
      <c r="AJ9" s="131" t="s">
        <v>69</v>
      </c>
      <c r="AK9" s="131" t="s">
        <v>68</v>
      </c>
      <c r="AL9" s="131" t="s">
        <v>69</v>
      </c>
      <c r="AM9" s="131" t="s">
        <v>68</v>
      </c>
      <c r="AN9" s="131" t="s">
        <v>69</v>
      </c>
      <c r="AO9" s="131" t="s">
        <v>68</v>
      </c>
      <c r="AP9" s="131" t="s">
        <v>69</v>
      </c>
      <c r="AQ9" s="131" t="s">
        <v>68</v>
      </c>
      <c r="AR9" s="131" t="s">
        <v>69</v>
      </c>
      <c r="AS9" s="131" t="s">
        <v>68</v>
      </c>
      <c r="AT9" s="131" t="s">
        <v>69</v>
      </c>
      <c r="AU9" s="131" t="s">
        <v>68</v>
      </c>
      <c r="AV9" s="131" t="s">
        <v>69</v>
      </c>
      <c r="AW9" s="131" t="s">
        <v>68</v>
      </c>
      <c r="AX9" s="131" t="s">
        <v>69</v>
      </c>
      <c r="AY9" s="131" t="s">
        <v>68</v>
      </c>
      <c r="AZ9" s="131" t="s">
        <v>69</v>
      </c>
      <c r="BA9" s="131" t="s">
        <v>68</v>
      </c>
      <c r="BB9" s="131" t="s">
        <v>69</v>
      </c>
      <c r="BC9" s="131" t="s">
        <v>68</v>
      </c>
      <c r="BD9" s="131" t="s">
        <v>69</v>
      </c>
      <c r="BE9" s="131" t="s">
        <v>68</v>
      </c>
      <c r="BF9" s="131" t="s">
        <v>69</v>
      </c>
      <c r="BG9" s="131" t="s">
        <v>68</v>
      </c>
      <c r="BH9" s="131" t="s">
        <v>69</v>
      </c>
      <c r="BI9" s="131" t="s">
        <v>68</v>
      </c>
      <c r="BJ9" s="3862"/>
      <c r="BK9" s="4058"/>
      <c r="BL9" s="3862"/>
      <c r="BM9" s="4060"/>
      <c r="BN9" s="3862"/>
      <c r="BO9" s="3862"/>
      <c r="BP9" s="128" t="s">
        <v>69</v>
      </c>
      <c r="BQ9" s="128" t="s">
        <v>68</v>
      </c>
      <c r="BR9" s="128" t="s">
        <v>69</v>
      </c>
      <c r="BS9" s="128" t="s">
        <v>68</v>
      </c>
      <c r="BT9" s="2631"/>
      <c r="BU9" s="4"/>
      <c r="BV9" s="4"/>
      <c r="BW9" s="4"/>
      <c r="BX9" s="4"/>
      <c r="BY9" s="4"/>
      <c r="BZ9" s="4"/>
      <c r="CA9" s="4"/>
      <c r="CB9" s="4"/>
      <c r="CC9" s="4"/>
      <c r="CD9" s="4"/>
      <c r="CE9" s="4"/>
      <c r="CF9" s="4"/>
      <c r="CG9" s="4"/>
      <c r="CH9" s="4"/>
      <c r="CI9" s="4"/>
      <c r="CJ9" s="4"/>
      <c r="CK9" s="4"/>
      <c r="CL9" s="4"/>
      <c r="CM9" s="4"/>
      <c r="CN9" s="4"/>
    </row>
    <row r="10" spans="1:92" ht="15.75" x14ac:dyDescent="0.25">
      <c r="A10" s="244">
        <v>4</v>
      </c>
      <c r="B10" s="245" t="s">
        <v>214</v>
      </c>
      <c r="C10" s="246"/>
      <c r="D10" s="246"/>
      <c r="E10" s="246"/>
      <c r="F10" s="246"/>
      <c r="G10" s="246"/>
      <c r="H10" s="247"/>
      <c r="I10" s="248"/>
      <c r="J10" s="247"/>
      <c r="K10" s="248"/>
      <c r="L10" s="247"/>
      <c r="M10" s="248"/>
      <c r="N10" s="247"/>
      <c r="O10" s="248"/>
      <c r="P10" s="248"/>
      <c r="Q10" s="248"/>
      <c r="R10" s="247"/>
      <c r="S10" s="249"/>
      <c r="T10" s="250"/>
      <c r="U10" s="251"/>
      <c r="V10" s="247"/>
      <c r="W10" s="247"/>
      <c r="X10" s="250"/>
      <c r="Y10" s="250"/>
      <c r="Z10" s="250"/>
      <c r="AA10" s="248"/>
      <c r="AB10" s="252"/>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120"/>
      <c r="BC10" s="120"/>
      <c r="BD10" s="120"/>
      <c r="BE10" s="120"/>
      <c r="BF10" s="120"/>
      <c r="BG10" s="120"/>
      <c r="BH10" s="120"/>
      <c r="BI10" s="120"/>
      <c r="BJ10" s="120"/>
      <c r="BK10" s="120"/>
      <c r="BL10" s="120"/>
      <c r="BM10" s="120"/>
      <c r="BN10" s="120"/>
      <c r="BO10" s="120"/>
      <c r="BP10" s="119"/>
      <c r="BQ10" s="119"/>
      <c r="BR10" s="119"/>
      <c r="BS10" s="119"/>
      <c r="BT10" s="253"/>
      <c r="BU10" s="4"/>
      <c r="BV10" s="4"/>
      <c r="BW10" s="4"/>
      <c r="BX10" s="4"/>
      <c r="BY10" s="4"/>
      <c r="BZ10" s="4"/>
      <c r="CA10" s="4"/>
      <c r="CB10" s="4"/>
      <c r="CC10" s="4"/>
      <c r="CD10" s="4"/>
      <c r="CE10" s="4"/>
      <c r="CF10" s="4"/>
      <c r="CG10" s="4"/>
      <c r="CH10" s="4"/>
      <c r="CI10" s="4"/>
      <c r="CJ10" s="4"/>
      <c r="CK10" s="4"/>
      <c r="CL10" s="4"/>
      <c r="CM10" s="4"/>
      <c r="CN10" s="4"/>
    </row>
    <row r="11" spans="1:92" s="24" customFormat="1" ht="15.75" x14ac:dyDescent="0.25">
      <c r="A11" s="254"/>
      <c r="B11" s="255"/>
      <c r="C11" s="115">
        <v>45</v>
      </c>
      <c r="D11" s="3619" t="s">
        <v>66</v>
      </c>
      <c r="E11" s="3620"/>
      <c r="F11" s="3620"/>
      <c r="G11" s="3620"/>
      <c r="H11" s="3620"/>
      <c r="I11" s="108"/>
      <c r="J11" s="111"/>
      <c r="K11" s="108"/>
      <c r="L11" s="111"/>
      <c r="M11" s="108"/>
      <c r="N11" s="111"/>
      <c r="O11" s="108"/>
      <c r="P11" s="108"/>
      <c r="Q11" s="108"/>
      <c r="R11" s="111"/>
      <c r="S11" s="113"/>
      <c r="T11" s="110"/>
      <c r="U11" s="256"/>
      <c r="V11" s="111"/>
      <c r="W11" s="111"/>
      <c r="X11" s="110"/>
      <c r="Y11" s="110"/>
      <c r="Z11" s="110"/>
      <c r="AA11" s="108"/>
      <c r="AB11" s="109"/>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7"/>
      <c r="BQ11" s="107"/>
      <c r="BR11" s="107"/>
      <c r="BS11" s="107"/>
      <c r="BT11" s="257"/>
    </row>
    <row r="12" spans="1:92" s="4" customFormat="1" ht="15.75" x14ac:dyDescent="0.25">
      <c r="A12" s="258"/>
      <c r="B12" s="259"/>
      <c r="C12" s="260"/>
      <c r="D12" s="261"/>
      <c r="E12" s="262">
        <v>4599</v>
      </c>
      <c r="F12" s="4047" t="s">
        <v>215</v>
      </c>
      <c r="G12" s="3537"/>
      <c r="H12" s="3537"/>
      <c r="I12" s="3537"/>
      <c r="J12" s="3537"/>
      <c r="K12" s="263"/>
      <c r="L12" s="264"/>
      <c r="M12" s="263"/>
      <c r="N12" s="264"/>
      <c r="O12" s="263"/>
      <c r="P12" s="263"/>
      <c r="Q12" s="263"/>
      <c r="R12" s="264"/>
      <c r="S12" s="263"/>
      <c r="T12" s="263"/>
      <c r="U12" s="265"/>
      <c r="V12" s="264"/>
      <c r="W12" s="264"/>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90"/>
      <c r="BC12" s="90"/>
      <c r="BD12" s="90"/>
      <c r="BE12" s="90"/>
      <c r="BF12" s="90"/>
      <c r="BG12" s="90"/>
      <c r="BH12" s="90"/>
      <c r="BI12" s="90"/>
      <c r="BJ12" s="90"/>
      <c r="BK12" s="90"/>
      <c r="BL12" s="90"/>
      <c r="BM12" s="90"/>
      <c r="BN12" s="90"/>
      <c r="BO12" s="90"/>
      <c r="BP12" s="89"/>
      <c r="BQ12" s="89"/>
      <c r="BR12" s="89"/>
      <c r="BS12" s="89"/>
      <c r="BT12" s="88"/>
    </row>
    <row r="13" spans="1:92" s="4" customFormat="1" ht="78.75" customHeight="1" x14ac:dyDescent="0.25">
      <c r="A13" s="258"/>
      <c r="B13" s="259"/>
      <c r="C13" s="267"/>
      <c r="D13" s="268"/>
      <c r="E13" s="199"/>
      <c r="F13" s="207"/>
      <c r="G13" s="2512" t="s">
        <v>20</v>
      </c>
      <c r="H13" s="2518" t="s">
        <v>216</v>
      </c>
      <c r="I13" s="2512">
        <v>4599023</v>
      </c>
      <c r="J13" s="2518" t="s">
        <v>217</v>
      </c>
      <c r="K13" s="2763" t="s">
        <v>20</v>
      </c>
      <c r="L13" s="2518" t="s">
        <v>218</v>
      </c>
      <c r="M13" s="2763">
        <v>45990231</v>
      </c>
      <c r="N13" s="2518" t="s">
        <v>219</v>
      </c>
      <c r="O13" s="4019">
        <v>1</v>
      </c>
      <c r="P13" s="4021">
        <v>1</v>
      </c>
      <c r="Q13" s="3856" t="s">
        <v>220</v>
      </c>
      <c r="R13" s="3205" t="s">
        <v>221</v>
      </c>
      <c r="S13" s="4048">
        <f>SUM(X13:X14)/T13</f>
        <v>1</v>
      </c>
      <c r="T13" s="4049">
        <f>SUM(X13:X14)</f>
        <v>249636991.63999999</v>
      </c>
      <c r="U13" s="4050" t="s">
        <v>222</v>
      </c>
      <c r="V13" s="4050" t="s">
        <v>223</v>
      </c>
      <c r="W13" s="4051" t="s">
        <v>224</v>
      </c>
      <c r="X13" s="269">
        <v>239636991.63999999</v>
      </c>
      <c r="Y13" s="270">
        <v>239636991.63999999</v>
      </c>
      <c r="Z13" s="270">
        <v>239636991.63999999</v>
      </c>
      <c r="AA13" s="271" t="s">
        <v>225</v>
      </c>
      <c r="AB13" s="4040">
        <v>20</v>
      </c>
      <c r="AC13" s="4042" t="s">
        <v>1</v>
      </c>
      <c r="AD13" s="4037">
        <v>295972</v>
      </c>
      <c r="AE13" s="4037">
        <v>295972</v>
      </c>
      <c r="AF13" s="4037">
        <v>285580</v>
      </c>
      <c r="AG13" s="4037">
        <v>285580</v>
      </c>
      <c r="AH13" s="4037">
        <v>135545</v>
      </c>
      <c r="AI13" s="4037">
        <v>135545</v>
      </c>
      <c r="AJ13" s="4037">
        <v>44254</v>
      </c>
      <c r="AK13" s="4037">
        <v>44254</v>
      </c>
      <c r="AL13" s="4037">
        <v>309146</v>
      </c>
      <c r="AM13" s="4037">
        <v>309146</v>
      </c>
      <c r="AN13" s="4037">
        <v>92607</v>
      </c>
      <c r="AO13" s="4037">
        <v>92607</v>
      </c>
      <c r="AP13" s="4037">
        <v>2145</v>
      </c>
      <c r="AQ13" s="4037">
        <v>2145</v>
      </c>
      <c r="AR13" s="4037">
        <v>12718</v>
      </c>
      <c r="AS13" s="4037">
        <v>12718</v>
      </c>
      <c r="AT13" s="4037">
        <v>26</v>
      </c>
      <c r="AU13" s="4037">
        <v>26</v>
      </c>
      <c r="AV13" s="4037">
        <v>37</v>
      </c>
      <c r="AW13" s="4037">
        <v>37</v>
      </c>
      <c r="AX13" s="4037"/>
      <c r="AY13" s="4037"/>
      <c r="AZ13" s="4037"/>
      <c r="BA13" s="4037"/>
      <c r="BB13" s="4037">
        <v>44350</v>
      </c>
      <c r="BC13" s="4037">
        <v>44350</v>
      </c>
      <c r="BD13" s="4037">
        <v>21944</v>
      </c>
      <c r="BE13" s="4037">
        <v>21944</v>
      </c>
      <c r="BF13" s="4037">
        <v>75687</v>
      </c>
      <c r="BG13" s="4037">
        <v>75687</v>
      </c>
      <c r="BH13" s="4037">
        <v>581552</v>
      </c>
      <c r="BI13" s="4037">
        <v>581552</v>
      </c>
      <c r="BJ13" s="4010">
        <v>16</v>
      </c>
      <c r="BK13" s="4032">
        <f>+Y13+Y14</f>
        <v>249630991.63999999</v>
      </c>
      <c r="BL13" s="4032">
        <f>+Z13+Z14</f>
        <v>249630991.63999999</v>
      </c>
      <c r="BM13" s="2785">
        <f>+BL13/BK13</f>
        <v>1</v>
      </c>
      <c r="BN13" s="4035">
        <v>20</v>
      </c>
      <c r="BO13" s="4036" t="s">
        <v>226</v>
      </c>
      <c r="BP13" s="2942">
        <v>44198</v>
      </c>
      <c r="BQ13" s="2754">
        <v>44230</v>
      </c>
      <c r="BR13" s="2942">
        <v>44561</v>
      </c>
      <c r="BS13" s="3036">
        <v>44557</v>
      </c>
      <c r="BT13" s="4009" t="s">
        <v>227</v>
      </c>
    </row>
    <row r="14" spans="1:92" s="4" customFormat="1" ht="215.25" customHeight="1" x14ac:dyDescent="0.25">
      <c r="A14" s="258"/>
      <c r="B14" s="259"/>
      <c r="C14" s="267"/>
      <c r="D14" s="268"/>
      <c r="E14" s="199"/>
      <c r="F14" s="207"/>
      <c r="G14" s="2512"/>
      <c r="H14" s="2518"/>
      <c r="I14" s="2512"/>
      <c r="J14" s="2518"/>
      <c r="K14" s="2763"/>
      <c r="L14" s="2518"/>
      <c r="M14" s="2763"/>
      <c r="N14" s="2518"/>
      <c r="O14" s="4019"/>
      <c r="P14" s="4046"/>
      <c r="Q14" s="3856"/>
      <c r="R14" s="3205"/>
      <c r="S14" s="4048"/>
      <c r="T14" s="4049"/>
      <c r="U14" s="4050"/>
      <c r="V14" s="4050"/>
      <c r="W14" s="4051"/>
      <c r="X14" s="272">
        <v>10000000</v>
      </c>
      <c r="Y14" s="272">
        <v>9994000</v>
      </c>
      <c r="Z14" s="272">
        <v>9994000</v>
      </c>
      <c r="AA14" s="273" t="s">
        <v>228</v>
      </c>
      <c r="AB14" s="4041"/>
      <c r="AC14" s="4043"/>
      <c r="AD14" s="4038"/>
      <c r="AE14" s="4038"/>
      <c r="AF14" s="4038"/>
      <c r="AG14" s="4038"/>
      <c r="AH14" s="4038"/>
      <c r="AI14" s="4038"/>
      <c r="AJ14" s="4038"/>
      <c r="AK14" s="4038"/>
      <c r="AL14" s="4038"/>
      <c r="AM14" s="4038"/>
      <c r="AN14" s="4038"/>
      <c r="AO14" s="4038"/>
      <c r="AP14" s="4038"/>
      <c r="AQ14" s="4038"/>
      <c r="AR14" s="4038"/>
      <c r="AS14" s="4038"/>
      <c r="AT14" s="4038"/>
      <c r="AU14" s="4038"/>
      <c r="AV14" s="4038"/>
      <c r="AW14" s="4038"/>
      <c r="AX14" s="4038"/>
      <c r="AY14" s="4038"/>
      <c r="AZ14" s="4038"/>
      <c r="BA14" s="4038"/>
      <c r="BB14" s="4038"/>
      <c r="BC14" s="4038"/>
      <c r="BD14" s="4038"/>
      <c r="BE14" s="4038"/>
      <c r="BF14" s="4038"/>
      <c r="BG14" s="4038"/>
      <c r="BH14" s="4038"/>
      <c r="BI14" s="4038"/>
      <c r="BJ14" s="4011"/>
      <c r="BK14" s="4034"/>
      <c r="BL14" s="4034"/>
      <c r="BM14" s="2785"/>
      <c r="BN14" s="4035"/>
      <c r="BO14" s="4036"/>
      <c r="BP14" s="2942"/>
      <c r="BQ14" s="3894"/>
      <c r="BR14" s="2942"/>
      <c r="BS14" s="3038"/>
      <c r="BT14" s="4009"/>
    </row>
    <row r="15" spans="1:92" s="4" customFormat="1" ht="30" x14ac:dyDescent="0.25">
      <c r="A15" s="258"/>
      <c r="B15" s="259"/>
      <c r="C15" s="267"/>
      <c r="D15" s="268"/>
      <c r="E15" s="274"/>
      <c r="F15" s="86"/>
      <c r="G15" s="3398" t="s">
        <v>20</v>
      </c>
      <c r="H15" s="2680" t="s">
        <v>229</v>
      </c>
      <c r="I15" s="3398">
        <v>4599029</v>
      </c>
      <c r="J15" s="2544" t="s">
        <v>230</v>
      </c>
      <c r="K15" s="2582" t="s">
        <v>20</v>
      </c>
      <c r="L15" s="3092" t="s">
        <v>231</v>
      </c>
      <c r="M15" s="2582">
        <v>459902900</v>
      </c>
      <c r="N15" s="3092" t="s">
        <v>18</v>
      </c>
      <c r="O15" s="2582">
        <v>1</v>
      </c>
      <c r="P15" s="4039">
        <v>1</v>
      </c>
      <c r="Q15" s="2544" t="s">
        <v>232</v>
      </c>
      <c r="R15" s="2734" t="s">
        <v>233</v>
      </c>
      <c r="S15" s="2732">
        <f>SUM(X15:X18)/T15</f>
        <v>1</v>
      </c>
      <c r="T15" s="3271">
        <f>+X15+X16+X17+X18</f>
        <v>783075508.38</v>
      </c>
      <c r="U15" s="4044" t="s">
        <v>234</v>
      </c>
      <c r="V15" s="4045" t="s">
        <v>235</v>
      </c>
      <c r="W15" s="4029" t="s">
        <v>236</v>
      </c>
      <c r="X15" s="275">
        <v>151075508.38</v>
      </c>
      <c r="Y15" s="270">
        <v>149771833</v>
      </c>
      <c r="Z15" s="270">
        <v>149771833</v>
      </c>
      <c r="AA15" s="39" t="s">
        <v>237</v>
      </c>
      <c r="AB15" s="276">
        <v>20</v>
      </c>
      <c r="AC15" s="277" t="s">
        <v>1</v>
      </c>
      <c r="AD15" s="2940">
        <v>295972</v>
      </c>
      <c r="AE15" s="2940">
        <v>295972</v>
      </c>
      <c r="AF15" s="2940">
        <v>285580</v>
      </c>
      <c r="AG15" s="2940">
        <v>285580</v>
      </c>
      <c r="AH15" s="2940">
        <v>135545</v>
      </c>
      <c r="AI15" s="2940">
        <v>135545</v>
      </c>
      <c r="AJ15" s="2940">
        <v>44254</v>
      </c>
      <c r="AK15" s="2940">
        <v>44254</v>
      </c>
      <c r="AL15" s="2940">
        <v>309146</v>
      </c>
      <c r="AM15" s="2940">
        <v>309146</v>
      </c>
      <c r="AN15" s="2940">
        <v>92607</v>
      </c>
      <c r="AO15" s="2940">
        <v>92607</v>
      </c>
      <c r="AP15" s="2940">
        <v>2145</v>
      </c>
      <c r="AQ15" s="2940">
        <v>2145</v>
      </c>
      <c r="AR15" s="2940">
        <v>12718</v>
      </c>
      <c r="AS15" s="2940">
        <v>12718</v>
      </c>
      <c r="AT15" s="2940">
        <v>26</v>
      </c>
      <c r="AU15" s="2940">
        <v>26</v>
      </c>
      <c r="AV15" s="2940">
        <v>37</v>
      </c>
      <c r="AW15" s="2940">
        <v>37</v>
      </c>
      <c r="AX15" s="2940"/>
      <c r="AY15" s="2940"/>
      <c r="AZ15" s="2940"/>
      <c r="BA15" s="2940"/>
      <c r="BB15" s="2940">
        <v>44350</v>
      </c>
      <c r="BC15" s="2940">
        <v>44350</v>
      </c>
      <c r="BD15" s="2940">
        <v>21944</v>
      </c>
      <c r="BE15" s="2940">
        <v>21944</v>
      </c>
      <c r="BF15" s="2940">
        <v>75687</v>
      </c>
      <c r="BG15" s="2940">
        <v>75687</v>
      </c>
      <c r="BH15" s="2940">
        <v>581552</v>
      </c>
      <c r="BI15" s="2940">
        <v>581552</v>
      </c>
      <c r="BJ15" s="4010">
        <v>31</v>
      </c>
      <c r="BK15" s="4032">
        <f>+Y15+Y16+Y17+Y18</f>
        <v>781340164.30999994</v>
      </c>
      <c r="BL15" s="4032">
        <f>+Z15+Z16+Z17+Z18</f>
        <v>781340164.30999994</v>
      </c>
      <c r="BM15" s="2785">
        <f>+BL15/BK15</f>
        <v>1</v>
      </c>
      <c r="BN15" s="4035" t="s">
        <v>238</v>
      </c>
      <c r="BO15" s="2948" t="s">
        <v>239</v>
      </c>
      <c r="BP15" s="2942">
        <v>44198</v>
      </c>
      <c r="BQ15" s="3018">
        <v>44228</v>
      </c>
      <c r="BR15" s="2942">
        <v>44561</v>
      </c>
      <c r="BS15" s="3036">
        <v>44553</v>
      </c>
      <c r="BT15" s="3108" t="s">
        <v>227</v>
      </c>
    </row>
    <row r="16" spans="1:92" s="4" customFormat="1" ht="45" x14ac:dyDescent="0.25">
      <c r="A16" s="258"/>
      <c r="B16" s="259"/>
      <c r="C16" s="267"/>
      <c r="D16" s="268"/>
      <c r="E16" s="274"/>
      <c r="F16" s="86"/>
      <c r="G16" s="3398"/>
      <c r="H16" s="2680"/>
      <c r="I16" s="3398"/>
      <c r="J16" s="2544"/>
      <c r="K16" s="2582"/>
      <c r="L16" s="3092"/>
      <c r="M16" s="2582"/>
      <c r="N16" s="3092"/>
      <c r="O16" s="2582"/>
      <c r="P16" s="4039"/>
      <c r="Q16" s="2544"/>
      <c r="R16" s="2734"/>
      <c r="S16" s="2732"/>
      <c r="T16" s="3271"/>
      <c r="U16" s="4044"/>
      <c r="V16" s="4045"/>
      <c r="W16" s="4030"/>
      <c r="X16" s="275">
        <v>182000000</v>
      </c>
      <c r="Y16" s="270">
        <v>181965333.31</v>
      </c>
      <c r="Z16" s="270">
        <v>181965333.31</v>
      </c>
      <c r="AA16" s="39" t="s">
        <v>240</v>
      </c>
      <c r="AB16" s="276">
        <v>88</v>
      </c>
      <c r="AC16" s="278" t="s">
        <v>241</v>
      </c>
      <c r="AD16" s="2940"/>
      <c r="AE16" s="2940"/>
      <c r="AF16" s="2940"/>
      <c r="AG16" s="2940"/>
      <c r="AH16" s="2940"/>
      <c r="AI16" s="2940"/>
      <c r="AJ16" s="2940"/>
      <c r="AK16" s="2940"/>
      <c r="AL16" s="2940"/>
      <c r="AM16" s="2940"/>
      <c r="AN16" s="2940"/>
      <c r="AO16" s="2940"/>
      <c r="AP16" s="2940"/>
      <c r="AQ16" s="2940"/>
      <c r="AR16" s="2940"/>
      <c r="AS16" s="2940"/>
      <c r="AT16" s="2940"/>
      <c r="AU16" s="2940"/>
      <c r="AV16" s="2940"/>
      <c r="AW16" s="2940"/>
      <c r="AX16" s="2940"/>
      <c r="AY16" s="2940"/>
      <c r="AZ16" s="2940"/>
      <c r="BA16" s="2940"/>
      <c r="BB16" s="2940"/>
      <c r="BC16" s="2940"/>
      <c r="BD16" s="2940"/>
      <c r="BE16" s="2940"/>
      <c r="BF16" s="2940"/>
      <c r="BG16" s="2940"/>
      <c r="BH16" s="2940"/>
      <c r="BI16" s="2940"/>
      <c r="BJ16" s="4031"/>
      <c r="BK16" s="4033"/>
      <c r="BL16" s="4033"/>
      <c r="BM16" s="2785"/>
      <c r="BN16" s="4035"/>
      <c r="BO16" s="2949"/>
      <c r="BP16" s="2942"/>
      <c r="BQ16" s="3019"/>
      <c r="BR16" s="2942"/>
      <c r="BS16" s="3037"/>
      <c r="BT16" s="3108"/>
    </row>
    <row r="17" spans="1:72" s="4" customFormat="1" ht="30" x14ac:dyDescent="0.25">
      <c r="A17" s="279"/>
      <c r="B17" s="280"/>
      <c r="C17" s="267"/>
      <c r="D17" s="268"/>
      <c r="E17" s="281"/>
      <c r="F17" s="45"/>
      <c r="G17" s="3398"/>
      <c r="H17" s="2680"/>
      <c r="I17" s="3398"/>
      <c r="J17" s="2544"/>
      <c r="K17" s="2582"/>
      <c r="L17" s="3092"/>
      <c r="M17" s="2582"/>
      <c r="N17" s="3092"/>
      <c r="O17" s="2582"/>
      <c r="P17" s="4039"/>
      <c r="Q17" s="2544"/>
      <c r="R17" s="2734"/>
      <c r="S17" s="2732"/>
      <c r="T17" s="3271"/>
      <c r="U17" s="4044"/>
      <c r="V17" s="4045"/>
      <c r="W17" s="4029" t="s">
        <v>242</v>
      </c>
      <c r="X17" s="275">
        <v>150000000</v>
      </c>
      <c r="Y17" s="275">
        <v>150000000</v>
      </c>
      <c r="Z17" s="275">
        <v>150000000</v>
      </c>
      <c r="AA17" s="39" t="s">
        <v>243</v>
      </c>
      <c r="AB17" s="276">
        <v>20</v>
      </c>
      <c r="AC17" s="277" t="s">
        <v>1</v>
      </c>
      <c r="AD17" s="2940"/>
      <c r="AE17" s="2940"/>
      <c r="AF17" s="2940"/>
      <c r="AG17" s="2940"/>
      <c r="AH17" s="2940"/>
      <c r="AI17" s="2940"/>
      <c r="AJ17" s="2940"/>
      <c r="AK17" s="2940"/>
      <c r="AL17" s="2940"/>
      <c r="AM17" s="2940"/>
      <c r="AN17" s="2940"/>
      <c r="AO17" s="2940"/>
      <c r="AP17" s="2940"/>
      <c r="AQ17" s="2940"/>
      <c r="AR17" s="2940"/>
      <c r="AS17" s="2940"/>
      <c r="AT17" s="2940"/>
      <c r="AU17" s="2940"/>
      <c r="AV17" s="2940"/>
      <c r="AW17" s="2940"/>
      <c r="AX17" s="2940"/>
      <c r="AY17" s="2940"/>
      <c r="AZ17" s="2940"/>
      <c r="BA17" s="2940"/>
      <c r="BB17" s="2940"/>
      <c r="BC17" s="2940"/>
      <c r="BD17" s="2940"/>
      <c r="BE17" s="2940"/>
      <c r="BF17" s="2940"/>
      <c r="BG17" s="2940"/>
      <c r="BH17" s="2940"/>
      <c r="BI17" s="2940"/>
      <c r="BJ17" s="4031"/>
      <c r="BK17" s="4033"/>
      <c r="BL17" s="4033"/>
      <c r="BM17" s="2785"/>
      <c r="BN17" s="4035"/>
      <c r="BO17" s="2949"/>
      <c r="BP17" s="2942"/>
      <c r="BQ17" s="3019"/>
      <c r="BR17" s="2942"/>
      <c r="BS17" s="3037"/>
      <c r="BT17" s="3108"/>
    </row>
    <row r="18" spans="1:72" s="4" customFormat="1" ht="45" x14ac:dyDescent="0.25">
      <c r="A18" s="279"/>
      <c r="B18" s="280"/>
      <c r="C18" s="267"/>
      <c r="D18" s="268"/>
      <c r="E18" s="281"/>
      <c r="F18" s="45"/>
      <c r="G18" s="3398"/>
      <c r="H18" s="2680"/>
      <c r="I18" s="3398"/>
      <c r="J18" s="2544"/>
      <c r="K18" s="2582"/>
      <c r="L18" s="3092"/>
      <c r="M18" s="2582"/>
      <c r="N18" s="3092"/>
      <c r="O18" s="2582"/>
      <c r="P18" s="4039"/>
      <c r="Q18" s="2544"/>
      <c r="R18" s="2734"/>
      <c r="S18" s="2732"/>
      <c r="T18" s="3271"/>
      <c r="U18" s="4044"/>
      <c r="V18" s="4045"/>
      <c r="W18" s="4030"/>
      <c r="X18" s="275">
        <v>300000000</v>
      </c>
      <c r="Y18" s="275">
        <v>299602998</v>
      </c>
      <c r="Z18" s="275">
        <v>299602998</v>
      </c>
      <c r="AA18" s="39" t="s">
        <v>244</v>
      </c>
      <c r="AB18" s="276">
        <v>88</v>
      </c>
      <c r="AC18" s="278" t="s">
        <v>241</v>
      </c>
      <c r="AD18" s="2940"/>
      <c r="AE18" s="2940"/>
      <c r="AF18" s="2940"/>
      <c r="AG18" s="2940"/>
      <c r="AH18" s="2940"/>
      <c r="AI18" s="2940"/>
      <c r="AJ18" s="2940"/>
      <c r="AK18" s="2940"/>
      <c r="AL18" s="2940"/>
      <c r="AM18" s="2940"/>
      <c r="AN18" s="2940"/>
      <c r="AO18" s="2940"/>
      <c r="AP18" s="2940"/>
      <c r="AQ18" s="2940"/>
      <c r="AR18" s="2940"/>
      <c r="AS18" s="2940"/>
      <c r="AT18" s="2940"/>
      <c r="AU18" s="2940"/>
      <c r="AV18" s="2940"/>
      <c r="AW18" s="2940"/>
      <c r="AX18" s="2940"/>
      <c r="AY18" s="2940"/>
      <c r="AZ18" s="2940"/>
      <c r="BA18" s="2940"/>
      <c r="BB18" s="2940"/>
      <c r="BC18" s="2940"/>
      <c r="BD18" s="2940"/>
      <c r="BE18" s="2940"/>
      <c r="BF18" s="2940"/>
      <c r="BG18" s="2940"/>
      <c r="BH18" s="2940"/>
      <c r="BI18" s="2940"/>
      <c r="BJ18" s="4011"/>
      <c r="BK18" s="4034"/>
      <c r="BL18" s="4034"/>
      <c r="BM18" s="2785"/>
      <c r="BN18" s="4035"/>
      <c r="BO18" s="2950"/>
      <c r="BP18" s="2942"/>
      <c r="BQ18" s="3020"/>
      <c r="BR18" s="2942"/>
      <c r="BS18" s="3038"/>
      <c r="BT18" s="3108"/>
    </row>
    <row r="19" spans="1:72" ht="15.75" x14ac:dyDescent="0.25">
      <c r="A19" s="258"/>
      <c r="B19" s="259"/>
      <c r="C19" s="267"/>
      <c r="D19" s="268"/>
      <c r="E19" s="282">
        <v>4502</v>
      </c>
      <c r="F19" s="4025" t="s">
        <v>245</v>
      </c>
      <c r="G19" s="4026"/>
      <c r="H19" s="4026"/>
      <c r="I19" s="4026"/>
      <c r="J19" s="4026"/>
      <c r="K19" s="4026"/>
      <c r="L19" s="4026"/>
      <c r="M19" s="283"/>
      <c r="N19" s="284"/>
      <c r="O19" s="283"/>
      <c r="P19" s="283"/>
      <c r="Q19" s="283"/>
      <c r="R19" s="285"/>
      <c r="S19" s="286"/>
      <c r="T19" s="286"/>
      <c r="U19" s="287"/>
      <c r="V19" s="288"/>
      <c r="W19" s="288"/>
      <c r="X19" s="289"/>
      <c r="Y19" s="289"/>
      <c r="Z19" s="289"/>
      <c r="AA19" s="290"/>
      <c r="AB19" s="289"/>
      <c r="AC19" s="291"/>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92"/>
      <c r="BL19" s="292"/>
      <c r="BM19" s="293"/>
      <c r="BN19" s="289"/>
      <c r="BO19" s="288"/>
      <c r="BP19" s="289"/>
      <c r="BQ19" s="289"/>
      <c r="BR19" s="289"/>
      <c r="BS19" s="289"/>
      <c r="BT19" s="289"/>
    </row>
    <row r="20" spans="1:72" ht="100.5" customHeight="1" x14ac:dyDescent="0.25">
      <c r="A20" s="258"/>
      <c r="B20" s="259"/>
      <c r="C20" s="267"/>
      <c r="D20" s="268"/>
      <c r="E20" s="103"/>
      <c r="F20" s="87"/>
      <c r="G20" s="4027" t="s">
        <v>20</v>
      </c>
      <c r="H20" s="2518" t="s">
        <v>246</v>
      </c>
      <c r="I20" s="4027">
        <v>4502001</v>
      </c>
      <c r="J20" s="2518" t="s">
        <v>247</v>
      </c>
      <c r="K20" s="2512" t="s">
        <v>20</v>
      </c>
      <c r="L20" s="2518" t="s">
        <v>248</v>
      </c>
      <c r="M20" s="2512">
        <v>450200100</v>
      </c>
      <c r="N20" s="2518" t="s">
        <v>249</v>
      </c>
      <c r="O20" s="4019">
        <v>30</v>
      </c>
      <c r="P20" s="4021">
        <v>30</v>
      </c>
      <c r="Q20" s="2520" t="s">
        <v>250</v>
      </c>
      <c r="R20" s="4023" t="s">
        <v>251</v>
      </c>
      <c r="S20" s="4017">
        <f>SUM(X20:X21)/T20</f>
        <v>1</v>
      </c>
      <c r="T20" s="4018">
        <f>SUM(X20:X21)</f>
        <v>144287499.97999999</v>
      </c>
      <c r="U20" s="3403" t="s">
        <v>252</v>
      </c>
      <c r="V20" s="3403" t="s">
        <v>253</v>
      </c>
      <c r="W20" s="294" t="s">
        <v>254</v>
      </c>
      <c r="X20" s="295">
        <v>144287499.97999999</v>
      </c>
      <c r="Y20" s="296">
        <v>144287499.97999999</v>
      </c>
      <c r="Z20" s="296">
        <v>144287499.97999999</v>
      </c>
      <c r="AA20" s="297" t="s">
        <v>255</v>
      </c>
      <c r="AB20" s="298">
        <v>20</v>
      </c>
      <c r="AC20" s="299" t="s">
        <v>1</v>
      </c>
      <c r="AD20" s="4014">
        <v>295972</v>
      </c>
      <c r="AE20" s="4014">
        <v>295972</v>
      </c>
      <c r="AF20" s="4014">
        <v>285580</v>
      </c>
      <c r="AG20" s="4014">
        <v>285580</v>
      </c>
      <c r="AH20" s="4014">
        <v>135545</v>
      </c>
      <c r="AI20" s="4014">
        <v>135545</v>
      </c>
      <c r="AJ20" s="4015">
        <v>44254</v>
      </c>
      <c r="AK20" s="4015">
        <v>44254</v>
      </c>
      <c r="AL20" s="4014">
        <v>309146</v>
      </c>
      <c r="AM20" s="4014">
        <v>309146</v>
      </c>
      <c r="AN20" s="4014">
        <v>92607</v>
      </c>
      <c r="AO20" s="4014">
        <v>92607</v>
      </c>
      <c r="AP20" s="4014">
        <v>2145</v>
      </c>
      <c r="AQ20" s="4014">
        <v>2145</v>
      </c>
      <c r="AR20" s="4014">
        <v>12718</v>
      </c>
      <c r="AS20" s="4014">
        <v>12718</v>
      </c>
      <c r="AT20" s="4014">
        <v>26</v>
      </c>
      <c r="AU20" s="4014">
        <v>26</v>
      </c>
      <c r="AV20" s="4014">
        <v>37</v>
      </c>
      <c r="AW20" s="4014">
        <v>37</v>
      </c>
      <c r="AX20" s="4014"/>
      <c r="AY20" s="4014"/>
      <c r="AZ20" s="4014"/>
      <c r="BA20" s="4014"/>
      <c r="BB20" s="4014">
        <v>44350</v>
      </c>
      <c r="BC20" s="4014">
        <v>44350</v>
      </c>
      <c r="BD20" s="2935">
        <v>21944</v>
      </c>
      <c r="BE20" s="2935">
        <v>21944</v>
      </c>
      <c r="BF20" s="2935">
        <v>75687</v>
      </c>
      <c r="BG20" s="2935">
        <v>75687</v>
      </c>
      <c r="BH20" s="2935">
        <v>581552</v>
      </c>
      <c r="BI20" s="2935">
        <v>581552</v>
      </c>
      <c r="BJ20" s="4010">
        <v>15</v>
      </c>
      <c r="BK20" s="4012">
        <f>+Y20+Y21</f>
        <v>144287499.97999999</v>
      </c>
      <c r="BL20" s="4012">
        <f>+Z20+Z21</f>
        <v>144287499.97999999</v>
      </c>
      <c r="BM20" s="2761">
        <f>+BL20/BK20</f>
        <v>1</v>
      </c>
      <c r="BN20" s="2952">
        <v>20</v>
      </c>
      <c r="BO20" s="2948" t="s">
        <v>256</v>
      </c>
      <c r="BP20" s="4007">
        <v>44198</v>
      </c>
      <c r="BQ20" s="3018">
        <v>44242</v>
      </c>
      <c r="BR20" s="3020">
        <v>44561</v>
      </c>
      <c r="BS20" s="3036">
        <v>44552</v>
      </c>
      <c r="BT20" s="4008" t="s">
        <v>227</v>
      </c>
    </row>
    <row r="21" spans="1:72" ht="156" customHeight="1" x14ac:dyDescent="0.25">
      <c r="A21" s="258"/>
      <c r="B21" s="259"/>
      <c r="C21" s="267"/>
      <c r="D21" s="268"/>
      <c r="E21" s="49"/>
      <c r="F21" s="300"/>
      <c r="G21" s="4028"/>
      <c r="H21" s="2519"/>
      <c r="I21" s="4028"/>
      <c r="J21" s="2519"/>
      <c r="K21" s="2539"/>
      <c r="L21" s="2519"/>
      <c r="M21" s="2539"/>
      <c r="N21" s="2519"/>
      <c r="O21" s="4020"/>
      <c r="P21" s="4022"/>
      <c r="Q21" s="2521"/>
      <c r="R21" s="4024"/>
      <c r="S21" s="4017"/>
      <c r="T21" s="4018"/>
      <c r="U21" s="3403"/>
      <c r="V21" s="3403"/>
      <c r="W21" s="301" t="s">
        <v>257</v>
      </c>
      <c r="X21" s="302">
        <v>0</v>
      </c>
      <c r="Y21" s="275">
        <v>0</v>
      </c>
      <c r="Z21" s="275">
        <v>0</v>
      </c>
      <c r="AA21" s="303" t="s">
        <v>255</v>
      </c>
      <c r="AB21" s="304">
        <v>20</v>
      </c>
      <c r="AC21" s="305" t="s">
        <v>1</v>
      </c>
      <c r="AD21" s="4014"/>
      <c r="AE21" s="4014"/>
      <c r="AF21" s="4014"/>
      <c r="AG21" s="4014"/>
      <c r="AH21" s="4014"/>
      <c r="AI21" s="4014"/>
      <c r="AJ21" s="4016"/>
      <c r="AK21" s="4016"/>
      <c r="AL21" s="4014"/>
      <c r="AM21" s="4014"/>
      <c r="AN21" s="4014"/>
      <c r="AO21" s="4014"/>
      <c r="AP21" s="4014"/>
      <c r="AQ21" s="4014"/>
      <c r="AR21" s="4014"/>
      <c r="AS21" s="4014"/>
      <c r="AT21" s="4014"/>
      <c r="AU21" s="4014"/>
      <c r="AV21" s="4014"/>
      <c r="AW21" s="4014"/>
      <c r="AX21" s="4014"/>
      <c r="AY21" s="4014"/>
      <c r="AZ21" s="4014"/>
      <c r="BA21" s="4014"/>
      <c r="BB21" s="4014"/>
      <c r="BC21" s="4014"/>
      <c r="BD21" s="2940"/>
      <c r="BE21" s="2940"/>
      <c r="BF21" s="2940"/>
      <c r="BG21" s="2940"/>
      <c r="BH21" s="2940"/>
      <c r="BI21" s="2940"/>
      <c r="BJ21" s="4011"/>
      <c r="BK21" s="4013"/>
      <c r="BL21" s="4013"/>
      <c r="BM21" s="2762"/>
      <c r="BN21" s="2953"/>
      <c r="BO21" s="2950"/>
      <c r="BP21" s="4007"/>
      <c r="BQ21" s="3020"/>
      <c r="BR21" s="2942"/>
      <c r="BS21" s="3038"/>
      <c r="BT21" s="4009"/>
    </row>
    <row r="22" spans="1:72" ht="33.75" customHeight="1" x14ac:dyDescent="0.25">
      <c r="A22" s="306"/>
      <c r="B22" s="222"/>
      <c r="C22" s="222"/>
      <c r="D22" s="222"/>
      <c r="E22" s="222"/>
      <c r="F22" s="222"/>
      <c r="G22" s="222"/>
      <c r="H22" s="223"/>
      <c r="I22" s="222"/>
      <c r="J22" s="223"/>
      <c r="K22" s="222"/>
      <c r="L22" s="223"/>
      <c r="M22" s="222"/>
      <c r="N22" s="223"/>
      <c r="O22" s="222"/>
      <c r="P22" s="222"/>
      <c r="Q22" s="222"/>
      <c r="R22" s="223"/>
      <c r="S22" s="222"/>
      <c r="T22" s="307">
        <f>SUM(T13:T21)</f>
        <v>1177000000</v>
      </c>
      <c r="U22" s="223"/>
      <c r="V22" s="223"/>
      <c r="W22" s="223" t="s">
        <v>0</v>
      </c>
      <c r="X22" s="308">
        <f>SUM(X13:X21)</f>
        <v>1177000000</v>
      </c>
      <c r="Y22" s="308">
        <f t="shared" ref="Y22:Z22" si="0">SUM(Y13:Y21)</f>
        <v>1175258655.9300001</v>
      </c>
      <c r="Z22" s="308">
        <f t="shared" si="0"/>
        <v>1175258655.9300001</v>
      </c>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8">
        <f>SUM(BK13:BK21)</f>
        <v>1175258655.9299998</v>
      </c>
      <c r="BL22" s="28">
        <f>SUM(BL13:BL21)</f>
        <v>1175258655.9299998</v>
      </c>
      <c r="BM22" s="222"/>
      <c r="BN22" s="222"/>
      <c r="BO22" s="222"/>
      <c r="BP22" s="222"/>
      <c r="BQ22" s="222"/>
      <c r="BR22" s="222"/>
      <c r="BS22" s="222"/>
      <c r="BT22" s="309"/>
    </row>
    <row r="23" spans="1:72" ht="29.25" customHeight="1" x14ac:dyDescent="0.25">
      <c r="X23" s="16"/>
      <c r="Y23" s="16"/>
      <c r="Z23" s="16"/>
    </row>
    <row r="24" spans="1:72" ht="15.75" x14ac:dyDescent="0.25">
      <c r="X24" s="229">
        <v>1177000000</v>
      </c>
      <c r="Y24" s="229">
        <v>1175258655.9300001</v>
      </c>
      <c r="Z24" s="229">
        <v>1175258655.9300001</v>
      </c>
      <c r="BK24" s="229">
        <v>1175258655.9300001</v>
      </c>
      <c r="BL24" s="229">
        <v>1175258655.9300001</v>
      </c>
    </row>
    <row r="25" spans="1:72" ht="15" x14ac:dyDescent="0.25">
      <c r="X25" s="16"/>
      <c r="Y25" s="16"/>
      <c r="Z25" s="16"/>
    </row>
    <row r="26" spans="1:72" ht="15" x14ac:dyDescent="0.25">
      <c r="X26" s="16"/>
      <c r="Y26" s="16"/>
      <c r="Z26" s="16"/>
    </row>
  </sheetData>
  <mergeCells count="250">
    <mergeCell ref="A1:BR4"/>
    <mergeCell ref="A5:O6"/>
    <mergeCell ref="A7:B7"/>
    <mergeCell ref="C7:D7"/>
    <mergeCell ref="E7:F7"/>
    <mergeCell ref="G7:J7"/>
    <mergeCell ref="K7:N7"/>
    <mergeCell ref="O7:Z7"/>
    <mergeCell ref="AA7:AC7"/>
    <mergeCell ref="AD7:AG7"/>
    <mergeCell ref="BR7:BS8"/>
    <mergeCell ref="U8:U9"/>
    <mergeCell ref="I8:I9"/>
    <mergeCell ref="J8:J9"/>
    <mergeCell ref="K8:K9"/>
    <mergeCell ref="L8:L9"/>
    <mergeCell ref="M8:M9"/>
    <mergeCell ref="N8:N9"/>
    <mergeCell ref="BT7:BT9"/>
    <mergeCell ref="A8:A9"/>
    <mergeCell ref="B8:B9"/>
    <mergeCell ref="C8:C9"/>
    <mergeCell ref="D8:D9"/>
    <mergeCell ref="E8:E9"/>
    <mergeCell ref="F8:F9"/>
    <mergeCell ref="G8:G9"/>
    <mergeCell ref="H8:H9"/>
    <mergeCell ref="AH7:AO7"/>
    <mergeCell ref="AP7:BA7"/>
    <mergeCell ref="BB7:BG7"/>
    <mergeCell ref="BH7:BI8"/>
    <mergeCell ref="BJ7:BO7"/>
    <mergeCell ref="BP7:BQ8"/>
    <mergeCell ref="AP8:AQ8"/>
    <mergeCell ref="AR8:AS8"/>
    <mergeCell ref="AT8:AU8"/>
    <mergeCell ref="AV8:AW8"/>
    <mergeCell ref="BN8:BN9"/>
    <mergeCell ref="BO8:BO9"/>
    <mergeCell ref="BK8:BK9"/>
    <mergeCell ref="BL8:BL9"/>
    <mergeCell ref="BM8:BM9"/>
    <mergeCell ref="D11:H11"/>
    <mergeCell ref="AX8:AY8"/>
    <mergeCell ref="AZ8:BA8"/>
    <mergeCell ref="BB8:BC8"/>
    <mergeCell ref="BD8:BE8"/>
    <mergeCell ref="BF8:BG8"/>
    <mergeCell ref="BJ8:BJ9"/>
    <mergeCell ref="AD8:AE8"/>
    <mergeCell ref="AF8:AG8"/>
    <mergeCell ref="AH8:AI8"/>
    <mergeCell ref="AJ8:AK8"/>
    <mergeCell ref="AL8:AM8"/>
    <mergeCell ref="AN8:AO8"/>
    <mergeCell ref="V8:V9"/>
    <mergeCell ref="W8:W9"/>
    <mergeCell ref="X8:Z8"/>
    <mergeCell ref="AA8:AA9"/>
    <mergeCell ref="AB8:AB9"/>
    <mergeCell ref="AC8:AC9"/>
    <mergeCell ref="O8:P8"/>
    <mergeCell ref="Q8:Q9"/>
    <mergeCell ref="R8:R9"/>
    <mergeCell ref="S8:S9"/>
    <mergeCell ref="T8:T9"/>
    <mergeCell ref="Q13:Q14"/>
    <mergeCell ref="AJ13:AJ14"/>
    <mergeCell ref="AK13:AK14"/>
    <mergeCell ref="AL13:AL14"/>
    <mergeCell ref="F12:J12"/>
    <mergeCell ref="G13:G14"/>
    <mergeCell ref="H13:H14"/>
    <mergeCell ref="I13:I14"/>
    <mergeCell ref="J13:J14"/>
    <mergeCell ref="K13:K14"/>
    <mergeCell ref="R13:R14"/>
    <mergeCell ref="S13:S14"/>
    <mergeCell ref="T13:T14"/>
    <mergeCell ref="U13:U14"/>
    <mergeCell ref="V13:V14"/>
    <mergeCell ref="W13:W14"/>
    <mergeCell ref="AM13:AM14"/>
    <mergeCell ref="AB13:AB14"/>
    <mergeCell ref="AC13:AC14"/>
    <mergeCell ref="AD13:AD14"/>
    <mergeCell ref="AE13:AE14"/>
    <mergeCell ref="AF13:AF14"/>
    <mergeCell ref="AG13:AG14"/>
    <mergeCell ref="G15:G18"/>
    <mergeCell ref="H15:H18"/>
    <mergeCell ref="I15:I18"/>
    <mergeCell ref="J15:J18"/>
    <mergeCell ref="K15:K18"/>
    <mergeCell ref="L15:L18"/>
    <mergeCell ref="M15:M18"/>
    <mergeCell ref="U15:U18"/>
    <mergeCell ref="V15:V18"/>
    <mergeCell ref="W15:W16"/>
    <mergeCell ref="AD15:AD18"/>
    <mergeCell ref="AE15:AE18"/>
    <mergeCell ref="L13:L14"/>
    <mergeCell ref="M13:M14"/>
    <mergeCell ref="N13:N14"/>
    <mergeCell ref="O13:O14"/>
    <mergeCell ref="P13:P14"/>
    <mergeCell ref="AT13:AT14"/>
    <mergeCell ref="AU13:AU14"/>
    <mergeCell ref="AV13:AV14"/>
    <mergeCell ref="N15:N18"/>
    <mergeCell ref="O15:O18"/>
    <mergeCell ref="P15:P18"/>
    <mergeCell ref="Q15:Q18"/>
    <mergeCell ref="R15:R18"/>
    <mergeCell ref="S15:S18"/>
    <mergeCell ref="AN13:AN14"/>
    <mergeCell ref="AO13:AO14"/>
    <mergeCell ref="AP13:AP14"/>
    <mergeCell ref="AQ13:AQ14"/>
    <mergeCell ref="AR13:AR14"/>
    <mergeCell ref="AS13:AS14"/>
    <mergeCell ref="AH13:AH14"/>
    <mergeCell ref="AI13:AI14"/>
    <mergeCell ref="AF15:AF18"/>
    <mergeCell ref="AG15:AG18"/>
    <mergeCell ref="AH15:AH18"/>
    <mergeCell ref="AI15:AI18"/>
    <mergeCell ref="AJ15:AJ18"/>
    <mergeCell ref="AK15:AK18"/>
    <mergeCell ref="T15:T18"/>
    <mergeCell ref="BR13:BR14"/>
    <mergeCell ref="BS13:BS14"/>
    <mergeCell ref="BT13:BT14"/>
    <mergeCell ref="BN13:BN14"/>
    <mergeCell ref="BO13:BO14"/>
    <mergeCell ref="BP13:BP14"/>
    <mergeCell ref="BQ13:BQ14"/>
    <mergeCell ref="AW13:AW14"/>
    <mergeCell ref="AX13:AX14"/>
    <mergeCell ref="AY13:AY14"/>
    <mergeCell ref="BL13:BL14"/>
    <mergeCell ref="BM13:BM14"/>
    <mergeCell ref="BF13:BF14"/>
    <mergeCell ref="BG13:BG14"/>
    <mergeCell ref="BH13:BH14"/>
    <mergeCell ref="BI13:BI14"/>
    <mergeCell ref="BJ13:BJ14"/>
    <mergeCell ref="BK13:BK14"/>
    <mergeCell ref="AZ13:AZ14"/>
    <mergeCell ref="BA13:BA14"/>
    <mergeCell ref="BB13:BB14"/>
    <mergeCell ref="BC13:BC14"/>
    <mergeCell ref="BD13:BD14"/>
    <mergeCell ref="BE13:BE14"/>
    <mergeCell ref="AR15:AR18"/>
    <mergeCell ref="AS15:AS18"/>
    <mergeCell ref="AT15:AT18"/>
    <mergeCell ref="AU15:AU18"/>
    <mergeCell ref="AV15:AV18"/>
    <mergeCell ref="AW15:AW18"/>
    <mergeCell ref="AL15:AL18"/>
    <mergeCell ref="AM15:AM18"/>
    <mergeCell ref="AN15:AN18"/>
    <mergeCell ref="AO15:AO18"/>
    <mergeCell ref="AP15:AP18"/>
    <mergeCell ref="AQ15:AQ18"/>
    <mergeCell ref="BP15:BP18"/>
    <mergeCell ref="BQ15:BQ18"/>
    <mergeCell ref="BR15:BR18"/>
    <mergeCell ref="BS15:BS18"/>
    <mergeCell ref="BT15:BT18"/>
    <mergeCell ref="W17:W18"/>
    <mergeCell ref="BJ15:BJ18"/>
    <mergeCell ref="BK15:BK18"/>
    <mergeCell ref="BL15:BL18"/>
    <mergeCell ref="BM15:BM18"/>
    <mergeCell ref="BN15:BN18"/>
    <mergeCell ref="BO15:BO18"/>
    <mergeCell ref="BD15:BD18"/>
    <mergeCell ref="BE15:BE18"/>
    <mergeCell ref="BF15:BF18"/>
    <mergeCell ref="BG15:BG18"/>
    <mergeCell ref="BH15:BH18"/>
    <mergeCell ref="BI15:BI18"/>
    <mergeCell ref="AX15:AX18"/>
    <mergeCell ref="AY15:AY18"/>
    <mergeCell ref="AZ15:AZ18"/>
    <mergeCell ref="BA15:BA18"/>
    <mergeCell ref="BB15:BB18"/>
    <mergeCell ref="BC15:BC18"/>
    <mergeCell ref="M20:M21"/>
    <mergeCell ref="N20:N21"/>
    <mergeCell ref="O20:O21"/>
    <mergeCell ref="P20:P21"/>
    <mergeCell ref="Q20:Q21"/>
    <mergeCell ref="R20:R21"/>
    <mergeCell ref="F19:L19"/>
    <mergeCell ref="G20:G21"/>
    <mergeCell ref="H20:H21"/>
    <mergeCell ref="I20:I21"/>
    <mergeCell ref="J20:J21"/>
    <mergeCell ref="K20:K21"/>
    <mergeCell ref="L20:L21"/>
    <mergeCell ref="AF20:AF21"/>
    <mergeCell ref="AG20:AG21"/>
    <mergeCell ref="AH20:AH21"/>
    <mergeCell ref="AI20:AI21"/>
    <mergeCell ref="AJ20:AJ21"/>
    <mergeCell ref="AK20:AK21"/>
    <mergeCell ref="S20:S21"/>
    <mergeCell ref="T20:T21"/>
    <mergeCell ref="U20:U21"/>
    <mergeCell ref="V20:V21"/>
    <mergeCell ref="AD20:AD21"/>
    <mergeCell ref="AE20:AE21"/>
    <mergeCell ref="AR20:AR21"/>
    <mergeCell ref="AS20:AS21"/>
    <mergeCell ref="AT20:AT21"/>
    <mergeCell ref="AU20:AU21"/>
    <mergeCell ref="AV20:AV21"/>
    <mergeCell ref="AW20:AW21"/>
    <mergeCell ref="AL20:AL21"/>
    <mergeCell ref="AM20:AM21"/>
    <mergeCell ref="AN20:AN21"/>
    <mergeCell ref="AO20:AO21"/>
    <mergeCell ref="AP20:AP21"/>
    <mergeCell ref="AQ20:AQ21"/>
    <mergeCell ref="BD20:BD21"/>
    <mergeCell ref="BE20:BE21"/>
    <mergeCell ref="BF20:BF21"/>
    <mergeCell ref="BG20:BG21"/>
    <mergeCell ref="BH20:BH21"/>
    <mergeCell ref="BI20:BI21"/>
    <mergeCell ref="AX20:AX21"/>
    <mergeCell ref="AY20:AY21"/>
    <mergeCell ref="AZ20:AZ21"/>
    <mergeCell ref="BA20:BA21"/>
    <mergeCell ref="BB20:BB21"/>
    <mergeCell ref="BC20:BC21"/>
    <mergeCell ref="BP20:BP21"/>
    <mergeCell ref="BQ20:BQ21"/>
    <mergeCell ref="BR20:BR21"/>
    <mergeCell ref="BS20:BS21"/>
    <mergeCell ref="BT20:BT21"/>
    <mergeCell ref="BJ20:BJ21"/>
    <mergeCell ref="BK20:BK21"/>
    <mergeCell ref="BL20:BL21"/>
    <mergeCell ref="BM20:BM21"/>
    <mergeCell ref="BN20:BN21"/>
    <mergeCell ref="BO20:BO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F-PL-07 ADMINISTRATIVA</vt:lpstr>
      <vt:lpstr>F-PLA-07 PLANEACION</vt:lpstr>
      <vt:lpstr>F-PLA-07 HACIENDA</vt:lpstr>
      <vt:lpstr>F-PLA-07 AGUAS INFRAESTRUCTURA</vt:lpstr>
      <vt:lpstr>F-PLA-07 INTERIOR</vt:lpstr>
      <vt:lpstr>F-PLA-07 CULTURA</vt:lpstr>
      <vt:lpstr>F-PLA-07 TURISMO</vt:lpstr>
      <vt:lpstr>F-PLA-07 AGRICULTURA</vt:lpstr>
      <vt:lpstr>F-PLA-07 PRIVADA</vt:lpstr>
      <vt:lpstr>F-PLA-07 EDUCACION</vt:lpstr>
      <vt:lpstr>F-PLA-07 FAMILIA</vt:lpstr>
      <vt:lpstr>F-PLA 07 SALUD</vt:lpstr>
      <vt:lpstr>F-PLA-07 TIC</vt:lpstr>
      <vt:lpstr>F-PLA-07 INDEPORTES</vt:lpstr>
      <vt:lpstr>F-PL-07 PROYECTA</vt:lpstr>
      <vt:lpstr>F-PLA-07 IDTQ</vt:lpstr>
      <vt:lpstr>'F-PLA-07 TURISMO'!Área_de_impresión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DIRPLANEACION04</cp:lastModifiedBy>
  <dcterms:created xsi:type="dcterms:W3CDTF">2022-02-08T15:49:36Z</dcterms:created>
  <dcterms:modified xsi:type="dcterms:W3CDTF">2022-02-24T15:00:45Z</dcterms:modified>
</cp:coreProperties>
</file>