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ADMINISTRATIVA" sheetId="1" r:id="rId1"/>
    <sheet name="PLANEACION" sheetId="2" r:id="rId2"/>
    <sheet name="HACIENDA" sheetId="3" r:id="rId3"/>
    <sheet name="AGUAS INFRA" sheetId="4" r:id="rId4"/>
    <sheet name="INTERIOR" sheetId="5" r:id="rId5"/>
    <sheet name="CULTURA" sheetId="6" r:id="rId6"/>
    <sheet name="TURISMO" sheetId="7" r:id="rId7"/>
    <sheet name="AGRICULTURA" sheetId="8" r:id="rId8"/>
    <sheet name="PRIVADA" sheetId="9" r:id="rId9"/>
    <sheet name="EDUCACION" sheetId="10" r:id="rId10"/>
    <sheet name="FAMILIA" sheetId="11" r:id="rId11"/>
    <sheet name="REPR JUDICIAL" sheetId="12" r:id="rId12"/>
    <sheet name="SALUD" sheetId="13" r:id="rId13"/>
    <sheet name="INDEPORTES" sheetId="14" r:id="rId14"/>
    <sheet name="PROMOTORA" sheetId="15" r:id="rId15"/>
    <sheet name="IDTQ" sheetId="16" r:id="rId16"/>
  </sheets>
  <externalReferences>
    <externalReference r:id="rId19"/>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'PLANEACION'!$A$1:$AQ$10</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12">#REF!</definedName>
    <definedName name="ññ" localSheetId="6">#REF!</definedName>
    <definedName name="ññ">#REF!</definedName>
    <definedName name="_xlnm.Print_Titles" localSheetId="1">'PLANEACION'!$1:$7</definedName>
  </definedNames>
  <calcPr fullCalcOnLoad="1"/>
</workbook>
</file>

<file path=xl/comments13.xml><?xml version="1.0" encoding="utf-8"?>
<comments xmlns="http://schemas.openxmlformats.org/spreadsheetml/2006/main">
  <authors>
    <author>AUXSALUD69</author>
  </authors>
  <commentList>
    <comment ref="AR104" authorId="0">
      <text>
        <r>
          <rPr>
            <b/>
            <sz val="9"/>
            <rFont val="Tahoma"/>
            <family val="2"/>
          </rPr>
          <t>AUXSALUD69:</t>
        </r>
        <r>
          <rPr>
            <sz val="9"/>
            <rFont val="Tahoma"/>
            <family val="2"/>
          </rPr>
          <t xml:space="preserve">
AJUSTE VALOR ACTIVIDADES OCTUBRE </t>
        </r>
      </text>
    </comment>
  </commentList>
</comments>
</file>

<file path=xl/sharedStrings.xml><?xml version="1.0" encoding="utf-8"?>
<sst xmlns="http://schemas.openxmlformats.org/spreadsheetml/2006/main" count="3896" uniqueCount="2536">
  <si>
    <t>PROGRAMACION PLAN DE ACCIÓN
SECRETARIA ADMINISTRATIVA
IV TRIMESTRE 2018</t>
  </si>
  <si>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</si>
  <si>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</si>
  <si>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</si>
  <si>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</si>
  <si>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</si>
  <si>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</si>
  <si>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</si>
  <si>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</si>
  <si>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</si>
  <si>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</si>
  <si>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</si>
  <si>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</si>
  <si>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</si>
  <si>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</si>
  <si>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</si>
  <si>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</si>
  <si>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</si>
  <si>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</si>
  <si>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</si>
  <si>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</si>
  <si>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</si>
  <si>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</si>
  <si>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</si>
  <si>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</si>
  <si>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</si>
  <si>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</si>
  <si>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</si>
  <si>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</si>
  <si>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</si>
  <si>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</si>
  <si>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</si>
  <si>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</si>
  <si>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</si>
  <si>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</si>
  <si>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</si>
  <si>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</si>
  <si>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</si>
  <si>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</si>
  <si>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</si>
  <si>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</si>
  <si>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</si>
  <si>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</si>
  <si>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</si>
  <si>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</si>
  <si>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</si>
  <si>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</si>
  <si>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</si>
  <si>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</si>
  <si>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</si>
  <si>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P</t>
  </si>
  <si>
    <t>PRESUPUESTADO</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</si>
  <si>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</si>
  <si>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</si>
  <si>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</si>
  <si>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</si>
  <si>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</si>
  <si>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
0304 - 5 - 3 1 5 28 89 17 1 - 88</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</si>
  <si>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</si>
  <si>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</si>
  <si>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</si>
  <si>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</si>
  <si>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Sostenibilidad de la estrategia de gobierno en linea</t>
  </si>
  <si>
    <t>20
88</t>
  </si>
  <si>
    <t xml:space="preserve">Recurso Ordinario
</t>
  </si>
  <si>
    <t xml:space="preserve">Secretaría Administrativa
</t>
  </si>
  <si>
    <t>Compra o adquisición de Sofware</t>
  </si>
  <si>
    <t>Superavit  Recurso Ordinario</t>
  </si>
  <si>
    <t>Formular e  implementar un (1) programa de seguridad y salud en el trabajo, capacitación y bienestar social en  el departamento</t>
  </si>
  <si>
    <t>Programa de seguridad y salud formulado e implementado</t>
  </si>
  <si>
    <t>0304 - 5 - 3 1 5 28 89 17 2 - 20
0304 - 5 - 3 1 5 28 89 17 2 - 88</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</si>
  <si>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</si>
  <si>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</si>
  <si>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</si>
  <si>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</si>
  <si>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</si>
  <si>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Recurso Ordinario
Superavit  Recurso Ordinario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</si>
  <si>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</si>
  <si>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</si>
  <si>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</si>
  <si>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Recurso Ordinario</t>
  </si>
  <si>
    <t>Formular e implementar 1 plan institucional de capacitación para los funcionarios de la entidad en  la vigencia 2018</t>
  </si>
  <si>
    <t>Desarrollo y ejecución de capacitaciones de conformidad con el plan institucional de capacitaciones aprobado</t>
  </si>
  <si>
    <t>Fortalecer el programa de  infraestructura tecnológica de la  Administración Departamental (hadware, aplicativos, redes, y capacitación)</t>
  </si>
  <si>
    <t>Programa de infraestructura tecnologica de la administracion fortalecido</t>
  </si>
  <si>
    <t xml:space="preserve">0304 - 5 - 3 1 5 28 89 17 3 - 20
0304 - 5 - 3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</si>
  <si>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</si>
  <si>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</si>
  <si>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</si>
  <si>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</si>
  <si>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Recurso Ordinario
Superavit Recurso Ordinario</t>
  </si>
  <si>
    <t>Secretaría Administrativa
Dirección  TIC´S</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</si>
  <si>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</si>
  <si>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</si>
  <si>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</si>
  <si>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</si>
  <si>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
0304 - 5 - 3 1 5 28 89 17 4 - 88</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</si>
  <si>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</si>
  <si>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</si>
  <si>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</si>
  <si>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</si>
  <si>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 xml:space="preserve">20
88
</t>
  </si>
  <si>
    <t xml:space="preserve">Recurso Ordinario
Superavit Recurso Ordinario
</t>
  </si>
  <si>
    <t>compra o aquisicion de software</t>
  </si>
  <si>
    <t>Apoyo técnico y/o profesional</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</si>
  <si>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</si>
  <si>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</si>
  <si>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</si>
  <si>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</si>
  <si>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</si>
  <si>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</si>
  <si>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</si>
  <si>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 xml:space="preserve">Recurso Ordinario 
</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</si>
  <si>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</si>
  <si>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</si>
  <si>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</si>
  <si>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</si>
  <si>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</si>
  <si>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</si>
  <si>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Secretaría Administrativa
Dirección Recursos Físicos
Dirección Almacén</t>
  </si>
  <si>
    <t>Realizar avalúos a los bienes inmuebles a cargo de la entidad</t>
  </si>
  <si>
    <t xml:space="preserve">Recurso Ordinario
Superavit  Recurso Ordinario 
</t>
  </si>
  <si>
    <t xml:space="preserve">Realizar un (1) estudio de modernización administrativa en el departamento </t>
  </si>
  <si>
    <t>Estudio de modernización administrativa realizado</t>
  </si>
  <si>
    <t>Realizar estudio que permita conformar una planta de cargos de acuerdo a las necesidades del servicio de la entidad</t>
  </si>
  <si>
    <t xml:space="preserve">
Recurso Ordinario 
Superavit  Recurso Ordinario</t>
  </si>
  <si>
    <t>Implementar un (1) programa de modernización de la gestión documental en el departamento</t>
  </si>
  <si>
    <t>Programa de modernización implementado</t>
  </si>
  <si>
    <t xml:space="preserve"> 0304 - 5 - 3 1 5 28 89 17 5 - 88</t>
  </si>
  <si>
    <t>Cumplir las directrices definidas por la Ley General de Archivo</t>
  </si>
  <si>
    <t>Ejecutar las actividades establecidas en el Plan Institucional de Archivos PINAR</t>
  </si>
  <si>
    <t>CATALINA GÓMEZ RESTREPO</t>
  </si>
  <si>
    <t>Secretaria Administrativa</t>
  </si>
  <si>
    <t>PROGRAMACIÓN PLAN DE ACCIÓN
SECRETARIA DE HACIENDA Y FINANZAS PUBLICAS
IV TRIMESTRE DE 2018</t>
  </si>
  <si>
    <t xml:space="preserve">F-PLA-06   </t>
  </si>
  <si>
    <t>O6</t>
  </si>
  <si>
    <t xml:space="preserve">                                                               </t>
  </si>
  <si>
    <t>Adolescencia
 (15 - 19 años)</t>
  </si>
  <si>
    <t>Edad Económicamente Activa
(20-59 años)</t>
  </si>
  <si>
    <t>Adultos Mayores (Mayores a 60 años)</t>
  </si>
  <si>
    <t>GESTIÓN TERRIITORIAL</t>
  </si>
  <si>
    <t>Implementar 4 procesos de fiscalización de las Rentas Departamentales</t>
  </si>
  <si>
    <t>Procesos de fiscalización implementados</t>
  </si>
  <si>
    <t>0307 - 5 - 3 1 5 28 88 17 16 - 20</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</si>
  <si>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</si>
  <si>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</si>
  <si>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</si>
  <si>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</si>
  <si>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fiscalización tributaria del Impuesto vehiculos automotores I.S.V.A.</t>
  </si>
  <si>
    <t>20
88
56</t>
  </si>
  <si>
    <t xml:space="preserve">
Recurso Ordinario
Superavit Recurso Ordinario
Cofinanciación Convenios Interadministrativos
</t>
  </si>
  <si>
    <t xml:space="preserve"> Secretaría de Hacienda</t>
  </si>
  <si>
    <t xml:space="preserve">Fiscalización impuesto de registro </t>
  </si>
  <si>
    <t xml:space="preserve">0307 - 5 - 3 1 5 28 88 17 16 - 88
</t>
  </si>
  <si>
    <t>Procesos de Fiscalización sobre las diferentes rentas Departamentales</t>
  </si>
  <si>
    <t>Implementar una estrategia de cobro coactivo sobre la cartera morosa de las Rentas Departamentales.</t>
  </si>
  <si>
    <t>Estrategia de cobro coactivo implementada</t>
  </si>
  <si>
    <t xml:space="preserve">0307 - 5 - 3 1 5 28 88 17 16 - 20 
0307 - 5 - 3 1 5 28 88 17 16 - 88
</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</si>
  <si>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</si>
  <si>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</si>
  <si>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</si>
  <si>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</si>
  <si>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0307 - 5 - 3 1 5 28 88 17 16 - 56
0307 - 5 - 3 1 5 28 88 17 16 - 88</t>
  </si>
  <si>
    <t xml:space="preserve">Ejecutar el Programa Anticontrabando en el Departamento del Quindìo con ocasion de la suscripcion del Convenio entre el Departamento del Quindìo y la Federaciòn Nacional de Departamentos
</t>
  </si>
  <si>
    <t xml:space="preserve">Programa Anticontrabando de licores, Cerveza y Cigarrillos.
</t>
  </si>
  <si>
    <t>Elaborar el diagnóstico del sistema de Información tributario y financiero</t>
  </si>
  <si>
    <t>Diagnostico del sistema de información tributario y financiero elaborado</t>
  </si>
  <si>
    <t>0307 - 5 - 3 1 5 28 88 17 17 - 20</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</si>
  <si>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</si>
  <si>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</si>
  <si>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</si>
  <si>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</si>
  <si>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</si>
  <si>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</si>
  <si>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</si>
  <si>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</si>
  <si>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0307 - 5 - 3 1 5 28 88 17 17 - 20
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</si>
  <si>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</si>
  <si>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Implementacion de Normas Internacionales Información Financiera (NIIF).</t>
  </si>
  <si>
    <t xml:space="preserve">Fortalecimiento institucional para el cumplimiento de las politicas y practicas contables en el area de tesoreria, presupuesto y contabilidad </t>
  </si>
  <si>
    <t>                         </t>
  </si>
  <si>
    <t xml:space="preserve">LUZ ELENA MEJIA  CARDONA </t>
  </si>
  <si>
    <t xml:space="preserve">Secretaria de Hacienda </t>
  </si>
  <si>
    <t>PROGRAMACIÓN  PLAN DE ACCIÓN
OFICINA PRIVADA
IV TRIMESTRE 2018</t>
  </si>
  <si>
    <t>01 de 1</t>
  </si>
  <si>
    <t>No.</t>
  </si>
  <si>
    <t>Quindío Transparente y Legal</t>
  </si>
  <si>
    <t>QUINDIO EJEMPLAR Y LEGAL</t>
  </si>
  <si>
    <t xml:space="preserve">Realizar 40 eventos  de sensibilización en transparencia , participación, buen gobierno y valores éticos y morales  </t>
  </si>
  <si>
    <t>No de Eventos  de sensibilización   realizados</t>
  </si>
  <si>
    <t>0313 - 5 - 3 1 5 26 83 17 82 - 20
0313 - 5 - 3 1 5 26 83 17 82 - 88</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</si>
  <si>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</si>
  <si>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</si>
  <si>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</si>
  <si>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</si>
  <si>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Puesta en marcha del sistema departamental del servicio al ciudadano </t>
  </si>
  <si>
    <t>Recurso Ordinario
Superávit Ordinario</t>
  </si>
  <si>
    <t>José Joaquin Rincon Pastrana
Director Oficina Privada</t>
  </si>
  <si>
    <t xml:space="preserve">Diseño e implementacion de la estrategia de transparencia </t>
  </si>
  <si>
    <t>Mejorar la cultura del civismo y participación de los ciudadanos  en los  procesos institucionales del gobierno.</t>
  </si>
  <si>
    <t>Implemetación de una escuela de liderazgo</t>
  </si>
  <si>
    <t>Fortalecimiento del presupuesto participativo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</si>
  <si>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</si>
  <si>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</si>
  <si>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</si>
  <si>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</si>
  <si>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</si>
  <si>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</si>
  <si>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</si>
  <si>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 xml:space="preserve">Operatividad de la sala de transparencia </t>
  </si>
  <si>
    <t>Gestión Territorial</t>
  </si>
  <si>
    <t xml:space="preserve">MODERNIZACIÓN TECNOLOGICA Y ADMINISTRATIVA </t>
  </si>
  <si>
    <t xml:space="preserve">Desarrollar e implementar una (1) estrategía de comunicaciones  </t>
  </si>
  <si>
    <t>Estrategía de comunicaciones desarrollada e implementada</t>
  </si>
  <si>
    <t xml:space="preserve">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</si>
  <si>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</si>
  <si>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</si>
  <si>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</si>
  <si>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</si>
  <si>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</si>
  <si>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20
88</t>
  </si>
  <si>
    <t>Recurso Ordinario 
Superavit Ordinario</t>
  </si>
  <si>
    <t>Desarrollo de la estrategia de comunicación interna (boletin informativo)</t>
  </si>
  <si>
    <t>Planificación institucional en la divulgación de los programas y proyectos</t>
  </si>
  <si>
    <t xml:space="preserve">Operatividad de la estrategica de comunicaciones </t>
  </si>
  <si>
    <t>TOTALES</t>
  </si>
  <si>
    <t>JOSE JOAQUIN RINCON PASTRANA</t>
  </si>
  <si>
    <t>SECRETARIO DE DESPACHO</t>
  </si>
  <si>
    <t>PROGRAMACION PLAN DE ACCIÓN
SECRETARIA DE TURISMO, INDUSTRIA Y COMERCIO
IV TRIMESTRE 2018</t>
  </si>
  <si>
    <t>META FISICA</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</si>
  <si>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</si>
  <si>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</si>
  <si>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</si>
  <si>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</si>
  <si>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</si>
  <si>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</si>
  <si>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</si>
  <si>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</si>
  <si>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</si>
  <si>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</si>
  <si>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Salud y Bienestar.</t>
  </si>
  <si>
    <t>20
88</t>
  </si>
  <si>
    <t>Ordinarios
Superavít Ordinario</t>
  </si>
  <si>
    <t>Secretario de Turismo Industria y Comercio</t>
  </si>
  <si>
    <t>Fortalecimiento de las rutas Kaldia, Tumbaga y Artemis.</t>
  </si>
  <si>
    <t>Conformar e implementar (3) tres clúster priorizados en el Plan de Competitividad</t>
  </si>
  <si>
    <t>Clúster conformados e implementados</t>
  </si>
  <si>
    <t>0311 - 5 - 3 1 2 2 8 13 51 - 88</t>
  </si>
  <si>
    <t>Implementación y seguimiento del Plan de Acción del Cluster de Usarte Tics.</t>
  </si>
  <si>
    <t>Implementación y seguimiento del Plan de Acción del Cluster de Salud y Bienestar.</t>
  </si>
  <si>
    <t>Implementación y seguimiento del Plan de Acción del Cluster de Construcción.</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</si>
  <si>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</si>
  <si>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</si>
  <si>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</si>
  <si>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</si>
  <si>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</si>
  <si>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</si>
  <si>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Realizar el diseño y formulación del centro para el desarrollo y el  fortalecimiento de la investigación, tecnología,  Ciencia e Innovación.</t>
  </si>
  <si>
    <t>Fortalecer un centro de investigación, tecnologia, ciencia e innovación a traves del apoyo en la investigación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</si>
  <si>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</si>
  <si>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</si>
  <si>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</si>
  <si>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</si>
  <si>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Formalización de alianza con el Ministerio de Agricultura en su programa  Agronet y seguimiento al Plan de Acción de su implementación. </t>
  </si>
  <si>
    <t>0311 - 5 - 3 1 2 2 8 13 52 - 88</t>
  </si>
  <si>
    <t xml:space="preserve">Diseñar y fortalecer un proyecto de I+D+I </t>
  </si>
  <si>
    <t>Proyecto de I+D+I diseñado y fortalecido</t>
  </si>
  <si>
    <t>Formalización de una  alianza o convenio con una entidad idónea para la implementación del proyecto de I+D+I y seguimiento a su Plan de Acción.</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</si>
  <si>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</si>
  <si>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</si>
  <si>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</si>
  <si>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</si>
  <si>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</si>
  <si>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</si>
  <si>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</si>
  <si>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</si>
  <si>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Ordinario
Superavít Ordinario</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</si>
  <si>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</si>
  <si>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</si>
  <si>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</si>
  <si>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</si>
  <si>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</si>
  <si>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</si>
  <si>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Apoyar   doce (12) Unidades de emprendimiento de grupos poblacionales con enfoque diferencial.</t>
  </si>
  <si>
    <t>0311 - 5 - 3 1 2 2 9 13 53 - 88</t>
  </si>
  <si>
    <t>Apoyar tres unidades de emprendimiento de población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</si>
  <si>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</si>
  <si>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</si>
  <si>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</si>
  <si>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</si>
  <si>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</si>
  <si>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</si>
  <si>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</si>
  <si>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</si>
  <si>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</si>
  <si>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</si>
  <si>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treinta y seis empresas en procesos interno y externos  para la apertura a mercados regionales, nacionales e internacionales.</t>
  </si>
  <si>
    <t>20
88</t>
  </si>
  <si>
    <t>Ordinarios
Superavít Ordinario</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</si>
  <si>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</si>
  <si>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</si>
  <si>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</si>
  <si>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</si>
  <si>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</si>
  <si>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</si>
  <si>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</si>
  <si>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</si>
  <si>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Operación, Seguimiento y evaluación de la plataforma de servicios logísticos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</si>
  <si>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</si>
  <si>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</si>
  <si>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</si>
  <si>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</si>
  <si>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</si>
  <si>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</si>
  <si>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</si>
  <si>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</si>
  <si>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</si>
  <si>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</si>
  <si>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</si>
  <si>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</si>
  <si>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</si>
  <si>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</si>
  <si>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</si>
  <si>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</si>
  <si>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</si>
  <si>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</si>
  <si>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</si>
  <si>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</si>
  <si>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</si>
  <si>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</si>
  <si>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</si>
  <si>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</si>
  <si>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</si>
  <si>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0311 - 5 - 3 1 2 3 12 13 60 - 88</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</si>
  <si>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</si>
  <si>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</si>
  <si>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</si>
  <si>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</si>
  <si>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</si>
  <si>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</si>
  <si>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</si>
  <si>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</si>
  <si>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</si>
  <si>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</si>
  <si>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</si>
  <si>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</si>
  <si>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 xml:space="preserve">20
52
88
94
</t>
  </si>
  <si>
    <t xml:space="preserve">
Recurso Ordinario
Impuesto al Registro
</t>
  </si>
  <si>
    <t>Ejecución del Plan de Mercadeo para la  Promoción del departamento como destino turística nivel internacional.</t>
  </si>
  <si>
    <t xml:space="preserve">NATALIA ANDREA RODRIGUEZ LONDOÑO </t>
  </si>
  <si>
    <t>SECRETARIA DE TURISMO,INDUSTRIA Y COMERCIO</t>
  </si>
  <si>
    <t>PROGRAMACIÓN PLAN DE ACCIÓN
SECRETARIA DEL INTERIOR
A 31 DE DICIEMBRE DE 2018</t>
  </si>
  <si>
    <t>Edad Económicamente Activa      (20-59 años)</t>
  </si>
  <si>
    <t xml:space="preserve">P </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</si>
  <si>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</si>
  <si>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</si>
  <si>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</si>
  <si>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</si>
  <si>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</si>
  <si>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</si>
  <si>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</si>
  <si>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</si>
  <si>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</si>
  <si>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</si>
  <si>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42
92
20</t>
  </si>
  <si>
    <t xml:space="preserve">
Fondos de seguridad 5%
Superávit fondo de seguridad
Recurso ordinario</t>
  </si>
  <si>
    <t>Secretaria del Interior</t>
  </si>
  <si>
    <t>Fortalecer 10 programas de prevención y superación del Sistema de responsabilidad penal para adolescentes</t>
  </si>
  <si>
    <t>Número de programas de prevención y superación fortalecidos</t>
  </si>
  <si>
    <t>Apoyo para iniciativas,actividades y/o proyectos productivos dirigido a la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</si>
  <si>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</si>
  <si>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</si>
  <si>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Procesos de consultoria como requisito para interventorias, diseños, estudios de factibilidad, ambientales entre otros</t>
  </si>
  <si>
    <t>Contrucción de obras para los organismos de seguridad</t>
  </si>
  <si>
    <t>Intervención de obras menores en bienes  de los organismos de seguridad</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</si>
  <si>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</si>
  <si>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</si>
  <si>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</si>
  <si>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Financiación y/o Coofinanciación de proyectos de móvilidad</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</si>
  <si>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</si>
  <si>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</si>
  <si>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</si>
  <si>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</si>
  <si>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</si>
  <si>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</si>
  <si>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Fuentes Humanas</t>
  </si>
  <si>
    <t>0309 - 5 - 3 1 4 23 75 18 28 - 92</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</si>
  <si>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</si>
  <si>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</si>
  <si>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</si>
  <si>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Servicios de apoyo para llevar a cabo los procesos de adquisición de bienes y servicios relacionados con  la seguridad del departamento</t>
  </si>
  <si>
    <t>Servicios de apoyo en procesos tecnológicos de seguridad en el departamento</t>
  </si>
  <si>
    <t>Servicios de apoyo en estudios financieros y ecónomicos de los diferentes procesos para los organismos de seguridad</t>
  </si>
  <si>
    <t xml:space="preserve">Prestación de servicios y/o suministro de logistica material de intendencia o demas 0programas y/o estrategias relacionados con los organismos de seguridad </t>
  </si>
  <si>
    <t>Apoyar 3 observatorios locales del delito</t>
  </si>
  <si>
    <t>Número de observatorios del delito apoyados</t>
  </si>
  <si>
    <t>Operatividad y/o funcionamiento del observatorio oficial del departamento</t>
  </si>
  <si>
    <t>Dotación tecnológica y/o logística para os programas, proyectos o estrateg{ias de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</si>
  <si>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</si>
  <si>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</si>
  <si>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</si>
  <si>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</si>
  <si>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</si>
  <si>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</si>
  <si>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</si>
  <si>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</si>
  <si>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20
42
92</t>
  </si>
  <si>
    <t xml:space="preserve">
Recurso 
ordinario
Fondos de seguridad 5%
Siperavit fondo de seguridad</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</si>
  <si>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</si>
  <si>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</si>
  <si>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</si>
  <si>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29 - 20</t>
  </si>
  <si>
    <t>Implementación de programas lúdicos,culturales y/o deportivos  para población vulnerable en áreas focalizadas</t>
  </si>
  <si>
    <t>0309 - 5 - 3 1 4 23 76 18 29 - 42</t>
  </si>
  <si>
    <t xml:space="preserve">Generación y/o apoyo a programas de intervención social o de seguridad </t>
  </si>
  <si>
    <t>Logística, refrigerios,transporte y/o combustible</t>
  </si>
  <si>
    <t>0309 - 5 - 3 1 4 23 76 18 29 - 92</t>
  </si>
  <si>
    <t xml:space="preserve">Adquisición de elementos artisticos, como estrategía de prevención e intervención en seguridad. </t>
  </si>
  <si>
    <t>Actualizar el código departamental de Policía</t>
  </si>
  <si>
    <t>Código departamental de policía actualizado</t>
  </si>
  <si>
    <t>Apoyo y/o seguimiento a los códigos de policia de los municipios y a la corresponsabilidad del departamento</t>
  </si>
  <si>
    <t>Adquisición de bienes y/o servicos como apoyo al cumplimiento de las normas del código Nacional de policia</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</si>
  <si>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</si>
  <si>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</si>
  <si>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</si>
  <si>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</si>
  <si>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</si>
  <si>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</si>
  <si>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</si>
  <si>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</si>
  <si>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</si>
  <si>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</si>
  <si>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</si>
  <si>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</si>
  <si>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</si>
  <si>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 xml:space="preserve">20
88
</t>
  </si>
  <si>
    <t>Recurso ordinario
Superavit recurso ordinario</t>
  </si>
  <si>
    <t>Socialización de rutas de protección a las organizaciones de victimas de los 12 municipios del Departamento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</si>
  <si>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</si>
  <si>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</si>
  <si>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Capacitación a las mesas de participación de victimas en los 12 municipios en el tema de protocolo de participación</t>
  </si>
  <si>
    <t>Realizar jornadas de prevencion a vulneraciones de DDHH y DIH a las mesas de participación efectiva de victimas en los 12 municipios del Departamento</t>
  </si>
  <si>
    <t>Apoyo a proyectos productivos población víctima</t>
  </si>
  <si>
    <t>Lógistica y  refrigerios</t>
  </si>
  <si>
    <t>Apoyar  la atención humanitaria inmediata a la población víctima del conflicto en los 12 municipios</t>
  </si>
  <si>
    <t>Número de municipios apoyados en la atención humanitaria inmediata</t>
  </si>
  <si>
    <t>Adecuación predio reubicación definitiva, cumplimiento fallo de tutela Embera Chamí Quimbaya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</si>
  <si>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</si>
  <si>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</si>
  <si>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</si>
  <si>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</si>
  <si>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Garantías para Sesiones comité ejecutivo y ética mesa de victimas </t>
  </si>
  <si>
    <t>Garantías Sesiones plenario mesa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</si>
  <si>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</si>
  <si>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</si>
  <si>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</si>
  <si>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Logística y/o refrigerios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</si>
  <si>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</si>
  <si>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</si>
  <si>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</si>
  <si>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</si>
  <si>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</si>
  <si>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</si>
  <si>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</si>
  <si>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Apoyo a procesos de caracterización de los municipios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</si>
  <si>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</si>
  <si>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</si>
  <si>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</si>
  <si>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</si>
  <si>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</si>
  <si>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</si>
  <si>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</si>
  <si>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</si>
  <si>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e implementación del plan integral de prevención de vulneración de DDHH</t>
  </si>
  <si>
    <t xml:space="preserve">
20
88</t>
  </si>
  <si>
    <t xml:space="preserve">
Recurso ordinario
Superavit recurso ordinario
</t>
  </si>
  <si>
    <t xml:space="preserve">Secretaria del Interior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</si>
  <si>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</si>
  <si>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</si>
  <si>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</si>
  <si>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</si>
  <si>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</si>
  <si>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Papelería</t>
  </si>
  <si>
    <t xml:space="preserve">Actualizar e Implementar el plan lucha contra la trata de personas
</t>
  </si>
  <si>
    <t>Programa de atención integral a victimas de trata de personas actualizado e  implementado</t>
  </si>
  <si>
    <t xml:space="preserve">Jornadas de prevencion  del delito de trata de personas en los doce municipios del Departamento </t>
  </si>
  <si>
    <t>Realizar jornadas de prevencion y sensibilizacion del delito de trata de personas en terminal aerea y terrestre</t>
  </si>
  <si>
    <t>Ayuda Humanitaria para Víctimas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</si>
  <si>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</si>
  <si>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</si>
  <si>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</si>
  <si>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0309 - 5 - 3 1 4 24 80 14 34 - 20
0309 - 5 - 3 1 4 24 80 14 34 - 88
</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</si>
  <si>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</si>
  <si>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</si>
  <si>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</si>
  <si>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</si>
  <si>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</si>
  <si>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 xml:space="preserve">
Recurso ordinario
Superavit recurso ordinario
</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</si>
  <si>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</si>
  <si>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</si>
  <si>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</si>
  <si>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</si>
  <si>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Socialización de implementación de los acuerdos en el Departamento</t>
  </si>
  <si>
    <t>Foro DDHH</t>
  </si>
  <si>
    <t>Semana por La Paz</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</si>
  <si>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</si>
  <si>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</si>
  <si>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</si>
  <si>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</si>
  <si>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</si>
  <si>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</si>
  <si>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</si>
  <si>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</si>
  <si>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</si>
  <si>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</si>
  <si>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</si>
  <si>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</si>
  <si>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
20
88</t>
  </si>
  <si>
    <t xml:space="preserve">
Recurso ordinario
Superavit recurso ordinario</t>
  </si>
  <si>
    <t>Identificaciòn de Areas vulnerables del Departamento del Quindío</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</si>
  <si>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</si>
  <si>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</si>
  <si>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</si>
  <si>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formulación de los planes escolares de gestion del riesgo</t>
  </si>
  <si>
    <t>Logistica para operación</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</si>
  <si>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</si>
  <si>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</si>
  <si>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</si>
  <si>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</si>
  <si>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</si>
  <si>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didáctico</t>
  </si>
  <si>
    <t>Organización de foros, talleres, eventos, y/o actividades</t>
  </si>
  <si>
    <t xml:space="preserve">Realizar 10 intervenciones en  áreas vulnerables del departamento </t>
  </si>
  <si>
    <t>Número de intervenciones en áreas vulnerables realizadas</t>
  </si>
  <si>
    <t>Leventamiento de información  geologíca en áreas vulnerables</t>
  </si>
  <si>
    <t>Intervenciones, obras de ingeniería y/o análisis vulnerabilidad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</si>
  <si>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</si>
  <si>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</si>
  <si>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</si>
  <si>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</si>
  <si>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</si>
  <si>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</si>
  <si>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</si>
  <si>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Fortalecimiento  a las instituciones del comité de manejo</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</si>
  <si>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</si>
  <si>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</si>
  <si>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</si>
  <si>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
0309 - 5 - 3 1 4 25 82 12 38 - 88</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</si>
  <si>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</si>
  <si>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</si>
  <si>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</si>
  <si>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</si>
  <si>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</si>
  <si>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20
88
</t>
  </si>
  <si>
    <t>Recurso ordinario
Superavit recurso ordinario</t>
  </si>
  <si>
    <t>Articulación y coordinación para el manejo de  desastres en la sala de crisis del departamento</t>
  </si>
  <si>
    <t>Fortalecer  la dotación de la bodega estratégica de la Unidad Departamental de la Gestión del Riesgo de Desastres UDEGER</t>
  </si>
  <si>
    <t>Unidad Departamental de la Gestión del Riesgo de Desastre UDEGER dotada</t>
  </si>
  <si>
    <t>Suministro de ayudas  Humanitarias</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</si>
  <si>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</si>
  <si>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</si>
  <si>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</si>
  <si>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</si>
  <si>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</si>
  <si>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</si>
  <si>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</si>
  <si>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</si>
  <si>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</si>
  <si>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</si>
  <si>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
20
88</t>
  </si>
  <si>
    <t xml:space="preserve">
Recurso ordinario
Superavit recurso ordinario</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</si>
  <si>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</si>
  <si>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</si>
  <si>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</si>
  <si>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</si>
  <si>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</si>
  <si>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</si>
  <si>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Aquisiciòn de equipos tecnòlogicos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</si>
  <si>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</si>
  <si>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</si>
  <si>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</si>
  <si>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</si>
  <si>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Servicios de Apoyo para eventos de formación,capacitación y/o formulación de politicas publicas</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</si>
  <si>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</si>
  <si>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</si>
  <si>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</si>
  <si>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</si>
  <si>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logistico, transporte,suminsitro de combustible y/o alimentación para la celebración de los comicios electorales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</si>
  <si>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</si>
  <si>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</si>
  <si>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</si>
  <si>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</si>
  <si>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</si>
  <si>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</si>
  <si>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</si>
  <si>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</si>
  <si>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
0309 - 5 - 3 1 5 27 86 16 40 - 88</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</si>
  <si>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</si>
  <si>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</si>
  <si>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</si>
  <si>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</si>
  <si>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</si>
  <si>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Recurso Ordinario
Superavit recurso ordinario</t>
  </si>
  <si>
    <t>Celebración dia comunal</t>
  </si>
  <si>
    <t>Cofinaciación de los juegos comunales y/o congreso nacional comunal</t>
  </si>
  <si>
    <t>Adquisiciòn de bienes y equipos tecnològicos</t>
  </si>
  <si>
    <t>Apoyo a eventos de capacitación comunal</t>
  </si>
  <si>
    <t>Apoyo para fortalecimiento de programas de los organismos comunales</t>
  </si>
  <si>
    <t>QUINDIO TRANSPARENTE Y LEGAL</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</si>
  <si>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</si>
  <si>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</si>
  <si>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</si>
  <si>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</si>
  <si>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</si>
  <si>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</si>
  <si>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</si>
  <si>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</si>
  <si>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</si>
  <si>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</si>
  <si>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</si>
  <si>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</si>
  <si>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</si>
  <si>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</si>
  <si>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</si>
  <si>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SUPERVISOR RESPONSABLE</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</si>
  <si>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</si>
  <si>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</si>
  <si>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</si>
  <si>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</si>
  <si>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</si>
  <si>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</si>
  <si>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</si>
  <si>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</si>
  <si>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</si>
  <si>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</si>
  <si>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Implementar un programa de atencion integral a menores de 5 años y madres gestantes en entornos familiares
</t>
  </si>
  <si>
    <t xml:space="preserve">20
</t>
  </si>
  <si>
    <t xml:space="preserve">Recurso Ordinario
</t>
  </si>
  <si>
    <t>Natalia Alvarez Ruales
Jefe de Familia</t>
  </si>
  <si>
    <t>Maria Del Carmen Aguirre Botero
Secretaria de Familia</t>
  </si>
  <si>
    <t>Realizar talleres de sensibilización en entorno Institucional a la primera infancia</t>
  </si>
  <si>
    <t>Apoyo en la realizacion de actividades y seguimiento del modelo intersectorial de atencion integral a los municipios del departamento</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</si>
  <si>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</si>
  <si>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</si>
  <si>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</si>
  <si>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</si>
  <si>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</si>
  <si>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</si>
  <si>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</si>
  <si>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</si>
  <si>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</si>
  <si>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</si>
  <si>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</si>
  <si>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</si>
  <si>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</si>
  <si>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</si>
  <si>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</si>
  <si>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</si>
  <si>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 xml:space="preserve">Elaboracion del  plan de accion con los actores responsables del cumplimiento de la politica publica de familia
</t>
  </si>
  <si>
    <t xml:space="preserve">Apoyar con el seguimiento  al plan de accion de la politica publica de familia
</t>
  </si>
  <si>
    <t>Proceso de  formulacion de la politica publica de familia</t>
  </si>
  <si>
    <t>Apoyo  al  seguimiento de  la  ejecucion presupuestal  de los recursos destinados  a la a la  politica pública de familia</t>
  </si>
  <si>
    <t xml:space="preserve">Apoyo y acompañamiento juridico en el marco de la formulacion e implementacion de la politica publica de familia
</t>
  </si>
  <si>
    <t>Realizar acciones tendientes a la implementacion de la politica publica de familia</t>
  </si>
  <si>
    <t>Desarrollar estrategias, programas y7o proyectos que promuevan la garantia de derechos de las familias del departamento y fomenten la prevenci´´on de riesgo, a través de mejorar las conductas al interior de las mismas.</t>
  </si>
  <si>
    <t>Realizar  actividades tendientes al cumplimiento de las acciones de responsabilidad de la jefatura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</si>
  <si>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</si>
  <si>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</si>
  <si>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</si>
  <si>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</si>
  <si>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</si>
  <si>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</si>
  <si>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</si>
  <si>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</si>
  <si>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</si>
  <si>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</si>
  <si>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</si>
  <si>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 xml:space="preserve">Apoyar con el seguimiento al Plan de Acción de la Politica Publica  de primera infancia, infancia y adolescencia del departamento
</t>
  </si>
  <si>
    <t xml:space="preserve">Apoyo al Comite de  Primera Infancia, Infancia y Adolescencia y al Consejo de Politica Social
</t>
  </si>
  <si>
    <t>Apoyo a programas que conlleven a la  implementación de la Politica publica de primera infancia, infancia y adolescencia en el Departamento del Quindio</t>
  </si>
  <si>
    <t>Apoyo  al  seguimiento de  la  ejecución presupuestal  de los recursos destinados  a la a la  política pública de primera infancia, infancia y adolescencia en el Departamento del Quindío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</si>
  <si>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</si>
  <si>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</si>
  <si>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0316 - 5 - 3 1 3 17 59 14 109 - 20</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</si>
  <si>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</si>
  <si>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</si>
  <si>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</si>
  <si>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</si>
  <si>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</si>
  <si>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</si>
  <si>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</si>
  <si>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</si>
  <si>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</si>
  <si>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2"/>
        <rFont val="Arial"/>
        <family val="2"/>
      </rPr>
      <t xml:space="preserve">tar una  </t>
    </r>
    <r>
      <rPr>
        <sz val="12"/>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</si>
  <si>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</si>
  <si>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</si>
  <si>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</si>
  <si>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</si>
  <si>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 xml:space="preserve">Apoyar la Implementacion  y  el seguimiento en los doce municipios de la ruta departamental de prevención del abuso y maltrato infantil en los ambientes familiares, escolares, sociales e institucionales 
</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</si>
  <si>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</si>
  <si>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</si>
  <si>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</si>
  <si>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</si>
  <si>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</si>
  <si>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</si>
  <si>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</si>
  <si>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</si>
  <si>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Apoyo y seguimiento a los indicadores de cumplimiento del plan de accion de la politica publica de juventud </t>
  </si>
  <si>
    <t xml:space="preserve">20
</t>
  </si>
  <si>
    <t>170</t>
  </si>
  <si>
    <t>Manuel Alejandro Patiño B.
Jefe de Juventud</t>
  </si>
  <si>
    <t xml:space="preserve">Aunar exfuerzos con entidades de apoyo a la micro y mediana empresa. </t>
  </si>
  <si>
    <t xml:space="preserve">Capacitaciones, socialización y conformación de espacios de participación juvenil </t>
  </si>
  <si>
    <t>Desarrollo de acciones dispuestas a la implementacion de la politica de juventud, en los componentes de responsabilidad de la oficina de juventud</t>
  </si>
  <si>
    <t xml:space="preserve">Fortalecer los proyectos productivos de organizaciones juveniles legalmente  constituidas </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</si>
  <si>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</si>
  <si>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</si>
  <si>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</si>
  <si>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</si>
  <si>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</si>
  <si>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Fomentar proyectos productivos de jovenes barristas y/o en riesgo social.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</si>
  <si>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</si>
  <si>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</si>
  <si>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</si>
  <si>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</si>
  <si>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</si>
  <si>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</si>
  <si>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ADQUISICION DE BIENES Y SERVICIOS: Logistica operativa,  refrigerios, sonido, ferreteria, etc</t>
  </si>
  <si>
    <t>Volantes, pendones, afiches, manillas, etc.</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</si>
  <si>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</si>
  <si>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</si>
  <si>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</si>
  <si>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</si>
  <si>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</si>
  <si>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</si>
  <si>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</si>
  <si>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</si>
  <si>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LOGISTICA OPERATIVA: Rrefrigerios, sonido, logistica en genreal, elementos y/o materia prima </t>
  </si>
  <si>
    <t>+</t>
  </si>
  <si>
    <t>Luz Marina Martinez Ossa
Directora de Adulto Mayor y Discapacidad</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</si>
  <si>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</si>
  <si>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</si>
  <si>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Promover el derecho a participar en los escenarios políticos y generar los espacios necesios para la formación política de las personas con discapacidad</t>
  </si>
  <si>
    <t>Procesos de  fortalecimiento en la cultura organizacional  del sector público y privado</t>
  </si>
  <si>
    <t xml:space="preserve">Apoyar la elaboración de diagnósticos comunitarios sobre la situación de personas con discapacidad en comunidades focalizadas. 
</t>
  </si>
  <si>
    <t xml:space="preserve">Apoyar la Implementación de programas para la creación de empresas asociativas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</si>
  <si>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</si>
  <si>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</si>
  <si>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</si>
  <si>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 xml:space="preserve">Apoyar con un plan de mercadeo a las unidades productivas de las personas con discapacidad
</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</si>
  <si>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</si>
  <si>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</si>
  <si>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inclusion laboral y productiva de cuidadores, cuidadoras, y familias</t>
  </si>
  <si>
    <t>Capacitar en el cuidado y manejo de la discapacidad a cuidadoras, cuidadores y familias</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</si>
  <si>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</si>
  <si>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</si>
  <si>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</si>
  <si>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</si>
  <si>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</si>
  <si>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</si>
  <si>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</si>
  <si>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</si>
  <si>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</si>
  <si>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</si>
  <si>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</si>
  <si>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</si>
  <si>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</si>
  <si>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al plan de acción que conlleve a la implementación de la estrategia para atención de la población en alta vulnerabilidad</t>
  </si>
  <si>
    <t>Gloria Cristina Zuleta Rincón
Directora de Desarrollo Humano y Familia</t>
  </si>
  <si>
    <t xml:space="preserve">Apoyar con el diagnóstico situacional de Habitantes en Calle y  personas en alta  vulnerabilidad y alto riesgo social
</t>
  </si>
  <si>
    <t>Apoyar a las poblaciones en estado de vulnerabilidad de los Barrios priorizados en procesos de emprendimiento, creación  y formalización de empresas asociativas.</t>
  </si>
  <si>
    <t>Apoyar a las poblaciones vulnerables de los Barrios priorizados del departamento, con talleres de capacitación y  seguimiento en  proyectos productivos</t>
  </si>
  <si>
    <t>Atención a habitantes de calle en los municipios del departamento, en la ejecución de acciones encaminadas a garantizar los derechos de la población en estado  de  vulnerabilidad  extrema  en el departamento del Quindío".</t>
  </si>
  <si>
    <t>Brindar apoyo en los procesos que conlleven a la ejecución de la meta 191: Diseñar  e   implementar una  estrategia para la atención de la  población  en  situación  de  vulnerabilidad  extrema  en el Departamento del Quindío (habitantes de  calle, trabajo  sexual, reincidencia delictiva, drogadicción, bandas delincuenciales, entre otros).</t>
  </si>
  <si>
    <t xml:space="preserve">Apoyo  al  seguimiento de  la  ejecución presupuestal  de los recursos destinados  a la Implementacion de la estrategioa de atención de la poblacion en situacion de vulnerabilidad del departamento </t>
  </si>
  <si>
    <t>Brindar apoyo a la Secretaría de Familia en la   difusión de Derechos y garantías fundamentales de la  población vulnerable del Departamento del Quindío</t>
  </si>
  <si>
    <t xml:space="preserve">Brindar apoyo a la Secretaría de Familia en las diferentes jornadas realizadas  con  población vulnerable.
</t>
  </si>
  <si>
    <t xml:space="preserve">Apoyar a la secretaría de familia, en las diferentes actividades que se realicen,   tendientes a  la implementación de una estrategia para la   atención a  la  población en  vulnerabilidad extrema en el  departamento del Quindío” </t>
  </si>
  <si>
    <t xml:space="preserve">Apoyar a la Secretaría de Familia en la realización de convocatorias, acompañamiento logístico y asistencia operativa tendientes a la atención de la población vulnerable del departamento.
</t>
  </si>
  <si>
    <t>0316 - 5 - 3 1 3 18 62 14 117 - 20</t>
  </si>
  <si>
    <t>Apoyar  con los procesos que conlleven a  la implementacion de la estrategia para la atención de la población en situación de vulnerabilidad extrema del departamento. (habitantes de calle, trabajo sexual,  reincidencia delictiva, drogadicción, bandas delincuenciales, entre otras</t>
  </si>
  <si>
    <t>0316 - 5 - 3 1 3 18 62 14 117 - 88</t>
  </si>
  <si>
    <t>Apoyar con la realización de informes relacionados con el cumplimiento d ela meta: 191: Diseñar  e   implementar una  estrategia para la atención de la  población  en  situación  de  vulnerabilidad  extrema  en el Departamento del Quindío (habitantes de  calle, trabajo  sexual, reincidencia delictiva, drogadicción, bandas delincuenciales, entre otros).</t>
  </si>
  <si>
    <t>Apoyar en la realizacion de un ciclo de talleres que comprenden temáticas que permiten promover el desarrollo de competencias sociales y laborales  en la poblacion vulenrable del depto</t>
  </si>
  <si>
    <t xml:space="preserve">Establecer convenios con Instituciones de orden departamental y/o privada para promover programas de formación laboral complementaria.
</t>
  </si>
  <si>
    <t xml:space="preserve">Apoyar con la realización de un  documento denominado  proyecto o programa  piloto  para  atender  la  población  vulnerable  de cuatro municipios del depto
                                                                           </t>
  </si>
  <si>
    <t xml:space="preserve">Identificación de las necesidades y perfil  educativo de las poblaciones que se encuentran en riesgo, para ser vinculadas a la fuerza laboral, de conformidad con los diagnósticos locales realizados por organismos gubernamentales y no  gubernamentales
</t>
  </si>
  <si>
    <t>Apoyar la coordinación entre las diferentes Secretarías del orden departamental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</si>
  <si>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</si>
  <si>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Aunar esfuerzos técnicos y financieros para la realización de estrategias orientadas a  permitir la  garantía de  derechos de las comunidades en situación de riesgo social focalizadas en los municipios  del departamento”.</t>
  </si>
  <si>
    <t>Facilitar   el acceso  a la  oferta institucional para  garantizar  a la  población en situación de riesgo la atención oportuna de conformidad con las rutas de atención  establecidas en la ley para  la atención de los diferentes tipos violencias  o afectaciones  a  los  derechos.</t>
  </si>
  <si>
    <t>Desarrollar estrategias, programas y7o proyectos que promuevan la garantia de derechos de laa familias de poblcion vulnerable del departamento y fomenten la prevencion de los riesgos psicosociales a traves de intervenciones educativas</t>
  </si>
  <si>
    <t>Realizar actividades tendientes a la implementación de estrategias, programas o proyectos que conlleven al bienestar de las familias, los niños y niñas, jóvenes y mujeres del departamento del Quindio en situación de vulnerabilidad.</t>
  </si>
  <si>
    <t>Logistica operativa, refrigerios, sonido</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</si>
  <si>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</si>
  <si>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</si>
  <si>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</si>
  <si>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</si>
  <si>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</si>
  <si>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</si>
  <si>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</si>
  <si>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</si>
  <si>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</si>
  <si>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Elsa Adriana Sanchez Salas
Directora de Poblaciones
Guillermo Andres Murillo Ladino
Jefe de Poblaciones</t>
  </si>
  <si>
    <t xml:space="preserve">1.1.2.Asistencias tecnicas  personales y grupales para la creación de rutas de atención al ciudadano migrante </t>
  </si>
  <si>
    <t>Capacitación secretarias sectoriales en cuanto la atención al ciudadano migrante</t>
  </si>
  <si>
    <t>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</si>
  <si>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</si>
  <si>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</si>
  <si>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</si>
  <si>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</si>
  <si>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</si>
  <si>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</si>
  <si>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</si>
  <si>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Apoyar con unidades productivas al plan de vida del Resguardo Indigena</t>
  </si>
  <si>
    <t xml:space="preserve">Apoyo, acompañamiento y fortalecimiento en cuanto procesos de seguridad alimentaria, saneamiento basico, educación, salud, justicia, gobernabilidad y territorio </t>
  </si>
  <si>
    <t xml:space="preserve"> 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</si>
  <si>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</si>
  <si>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</si>
  <si>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</si>
  <si>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</si>
  <si>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</si>
  <si>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</si>
  <si>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</si>
  <si>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</si>
  <si>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</si>
  <si>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</si>
  <si>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</si>
  <si>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</si>
  <si>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</si>
  <si>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</si>
  <si>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</si>
  <si>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</si>
  <si>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</si>
  <si>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</si>
  <si>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</si>
  <si>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</si>
  <si>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</si>
  <si>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</si>
  <si>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</si>
  <si>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</si>
  <si>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
0316 - 5 - 3 1 3 18 65 14 125 - 88</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</si>
  <si>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</si>
  <si>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</si>
  <si>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</si>
  <si>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</si>
  <si>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Articulacion insteristitucional de la politica publica de diversidad sexual</t>
  </si>
  <si>
    <t xml:space="preserve">Recurso Ordinario
Superavit ordinario
</t>
  </si>
  <si>
    <t>Apoyo al seguimiento del plan de accion de la politica publica de diversidad sexual, con los sectores y actores del depto</t>
  </si>
  <si>
    <t>Logistica Operativa</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</si>
  <si>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</si>
  <si>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</si>
  <si>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</si>
  <si>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</si>
  <si>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</si>
  <si>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</si>
  <si>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</si>
  <si>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Campañas de socialización de las normas y las leyes que cobijan a la Mujer</t>
  </si>
  <si>
    <t>Nocolás Echeverry Marin
Jefe de Equidad y Mujer</t>
  </si>
  <si>
    <t>Logística operativa para los eventos en la implementación de la política publica de equidad</t>
  </si>
  <si>
    <t>seguimiento al Plan de Acción de la Política Publica de Equidad de Género para Mujer</t>
  </si>
  <si>
    <t xml:space="preserve">Apoyar la realización de Ruedas de negocios para mujeres emprendedoras y empresarias del departamento del Quindio.
</t>
  </si>
  <si>
    <t>0316 - 5 - 3 1 3 19 67 14 128 - 20</t>
  </si>
  <si>
    <t>Fortalecimiento a unidades productivas y/o proyectos de emprendemiento de mujeres</t>
  </si>
  <si>
    <t>0316 - 5 - 3 1 3 19 67 14 128 - 88</t>
  </si>
  <si>
    <t>Apoyo en el diseño de  estrategias de articulación e incorporación entre las organizaciones de mujeres del departamento y los consejos municipales y departamental de mujeres.</t>
  </si>
  <si>
    <t xml:space="preserve">Seguimiento al cumplimiento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</si>
  <si>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</si>
  <si>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</si>
  <si>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</si>
  <si>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</si>
  <si>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201663000-0129</t>
  </si>
  <si>
    <t xml:space="preserve">Apoyo y bienestar integral a las personas mayores del Departamento del Quindio </t>
  </si>
  <si>
    <t>Altos índices de atención a los adultos mayores en el departamento del Quindío.</t>
  </si>
  <si>
    <t xml:space="preserve">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</si>
  <si>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</si>
  <si>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elseguimiento y evaluacion de los planes de accion de los municipios y depto de la Politica Publica de envejecimiento y vejez
</t>
  </si>
  <si>
    <t>Desarrollar estretegias de vigilancia y control que permita garantizar el cumplimiento y reconocimiento de los derechos de las personas mayores</t>
  </si>
  <si>
    <t xml:space="preserve">Apoyar asistencias técnicas grupales a los grupos de adultos mayores del depto, en deporte, cultura, recreación y motivación </t>
  </si>
  <si>
    <t>0316 - 5 - 3 1 3 19 67 14 129 - 06</t>
  </si>
  <si>
    <t xml:space="preserve">Desarrollar actividades como asistente jurídico para el cumplimiento de la normatividad que protejan los derechos de la población adulto mayor del departamento del Quindío </t>
  </si>
  <si>
    <t>Realizar motivación e infundir  sentido de pertenencia y compromiso de parte del Consejo Departamental del  adulto mayor</t>
  </si>
  <si>
    <t xml:space="preserve">
Superavit Recurso Ordinario</t>
  </si>
  <si>
    <t>0316 - 5 - 3 1 3 19 67 14 129 - 20</t>
  </si>
  <si>
    <t xml:space="preserve">Desarrollar estrategias de vigilancia y control que permitan garantizar el cumplimiento y reconocimiento de los derechos de las personas mayores 
</t>
  </si>
  <si>
    <t xml:space="preserve">
 Estampilla Pro Adulto Mayor</t>
  </si>
  <si>
    <t>Logística Operativa: Sonido, logistica, refrigerios</t>
  </si>
  <si>
    <t>Superavit Estampilla Pro Adulto Mayor</t>
  </si>
  <si>
    <t>0316 - 5 - 3 1 3 19 67 14 129 - 84</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</si>
  <si>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</si>
  <si>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</si>
  <si>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</si>
  <si>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0316 - 5 - 3 1 3 19 67 14 129 - 88</t>
  </si>
  <si>
    <t xml:space="preserve">
Apoyar con actividades para la  creacion del cabildo de adulto mayoren en 6 municipios del Quindio
</t>
  </si>
  <si>
    <t xml:space="preserve">Apoyar 12 Centros de Bienestar del Departamento </t>
  </si>
  <si>
    <t>Centro de bienestar apoyados</t>
  </si>
  <si>
    <t>Centros de Binestar del Adulto Mayor (CBA)</t>
  </si>
  <si>
    <t xml:space="preserve">Apoyar 14 Centros Vida del Departamento </t>
  </si>
  <si>
    <t>Centros vida apoyados</t>
  </si>
  <si>
    <t>Centros Vida (DV)</t>
  </si>
  <si>
    <t>MARIA DEL CARMEN AGUIRRE BOTERO</t>
  </si>
  <si>
    <t>SECRETARIA DE FAMILIA</t>
  </si>
  <si>
    <t>Proyectó y elaboró: DORIS CASTAÑO AGUDELO, contratista</t>
  </si>
  <si>
    <t>Edad Económicamente 
Activa (20-59 años)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</si>
  <si>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</si>
  <si>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</si>
  <si>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</si>
  <si>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</si>
  <si>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</si>
  <si>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2 132 - 96
1803 - 5 - 3 1 3 11 35 2 132 - 98</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</si>
  <si>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</si>
  <si>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</si>
  <si>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</si>
  <si>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</si>
  <si>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</si>
  <si>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</si>
  <si>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</si>
  <si>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</si>
  <si>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</si>
  <si>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</si>
  <si>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</si>
  <si>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</si>
  <si>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</si>
  <si>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</si>
  <si>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</si>
  <si>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Seguimiento al estado de la estrategia IAMI en 11 IPS públicas del departamento. </t>
  </si>
  <si>
    <t>Brindar asistencia técnica para la implementación de la estrategia IAMI.</t>
  </si>
  <si>
    <t>Realizar levantamiento del indicador de lactancia materna exclusiva año 2018.</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</si>
  <si>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</si>
  <si>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</si>
  <si>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 xml:space="preserve">Fortalecer la  atencion nutricional en poblaciones indigenas del departamento 
.
</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</si>
  <si>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</si>
  <si>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</si>
  <si>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diagnóstico de la situación nutricional de 6 comunidades (etnias del departamento).</t>
  </si>
  <si>
    <t>Realizar seguimiento a la implementación de la ruta de atención integral a la desnutrición en menores de 5 años en poblaciones vulnerables etnias del departamento.</t>
  </si>
  <si>
    <t>Realizar asistencia técnica en lineamientos vigentes para la atención nutricional (Res 5406/2015;2465/2016).</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</si>
  <si>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</si>
  <si>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</si>
  <si>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</si>
  <si>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</si>
  <si>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2 133 - 96</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</si>
  <si>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</si>
  <si>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</si>
  <si>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</si>
  <si>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intersectoriales  para  la  gestión integral  de la salud ambiental, a traves de consejo territorial de salud ambiental COTSA y sus mesas tecnicas </t>
  </si>
  <si>
    <t>Generar espacios intersectoriales para desarrollar con cada municipio el plan de adaptacion al cambio climatico</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</si>
  <si>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</si>
  <si>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</si>
  <si>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</si>
  <si>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Mantener  en 11 municipios de competencia departamental la vigilancia de la calidad del agua, mediante la vigilancia de la aplicación de buenas practicas sanitarias y  la toma analisis y reporte de muestras de agua.</t>
  </si>
  <si>
    <t>Realizar levantamiento de los riesgos (actividades que generan riesgo) en las fuentes abastecedoras (Anexo  técnico No. 1  Resolución 4716 de 2010) en tres municipios</t>
  </si>
  <si>
    <t>Sexualidad, derechos sexuales y reproductivos</t>
  </si>
  <si>
    <t>Lograr que ocho (8) municipios del departamento operen el sistema de vigilancia en salud pública de la violencia intrafamiliar.</t>
  </si>
  <si>
    <t>1803 - 5 - 3 1 3 12 37 2 134 - 61
1803 - 5 - 3 1 3 12 37 2 134 - 96</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</si>
  <si>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</si>
  <si>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</si>
  <si>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</si>
  <si>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Realizar capacitación departamental dirigida al personal del sector salud, protección y justicia en la estrategia de abordaje integral de las violencias de género y violencias sexuales y normatividad vigente. </t>
  </si>
  <si>
    <t>Analizar trimestralmente el comportamiento del evento de violencias sexuales en población vulnerable e identificar hallazgos frente a la calidad de la atención de acuerdo a los seguimientos individuales de casos.</t>
  </si>
  <si>
    <t>Realizar asistencia técnica y evaluación a la gestión del riesgo en salud de las EAPB y ESE en el abordaje integral de las violencias de género y violencias sexuales.</t>
  </si>
  <si>
    <t>Desarrollar acciones articuladas intersectorialmente en los doce (12) municipios del departamento, con enfoque de derechos en colectivos LGTBI, jóvenes, mujeres gestantes adolescentes</t>
  </si>
  <si>
    <t xml:space="preserve">Realizar asistencia técnica y evaluación a las ESE de primer nivel en la Estrategia Nacional de Servicios de Salud Amigables para Adolescentes y Jóvenes, rutas de atención diferenciada, redes sociales, comunitarias y veedurías juveniles. </t>
  </si>
  <si>
    <t>Capacitar al personal de las 12 Secretarias de salud municipales en la Estrategia Nacional de Servicios de Salud Amigables para Adolescentes y Jóvenes, rutas de atención diferenciada, redes sociales, comunitarias y veedurías juveniles.</t>
  </si>
  <si>
    <t>Realizar capacitación departamental dirigida al personal del sector salud en la estrategia de acceso universal a la prevención y atención integral en IT-VIH/SIDA.</t>
  </si>
  <si>
    <t>Analizar trimestralmente el comportamiento del evento de VIH, TRASMISIÓN MATERNO INFANTIL DE VIH y HEPATITIS VIRALES e identificar hallazgos frente a la calidad de la atención de acuerdo a los seguimientos individuales.</t>
  </si>
  <si>
    <t>Realizar asistencia técnica y evaluación a la gestión del riesgo en salud de las EAPB, ESE y Programas regulares en la estrategia de acceso universal a la prevención y atención integral en IT-VIH/SIDA.</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</si>
  <si>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</si>
  <si>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</si>
  <si>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</si>
  <si>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</si>
  <si>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</si>
  <si>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</si>
  <si>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</si>
  <si>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</si>
  <si>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</si>
  <si>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</si>
  <si>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</si>
  <si>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</si>
  <si>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</si>
  <si>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</si>
  <si>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</si>
  <si>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y realizar seguimiento al plan de acción del comité departamental de sexualidad, derechos sexuales y reproductivos. (Resolución 533 del 02 junio del 2015)</t>
  </si>
  <si>
    <t>Desarrollar y realizar seguimiento al  Plan de acción del subcomité departamental de promoción y prevención de las ITS-VIH/SIDA (Resolución 533 del 02 junio del 2015)</t>
  </si>
  <si>
    <t>Construir el Plan de acción y realizar seguimiento a las acciones intersectoriales establecidas para la prevención de la violencia de género, con énfasis en las violencias sexuales y la atención integral de las violencias.</t>
  </si>
  <si>
    <t>Analizar mensualmente el comportamiento de los eventos de VIH y HEPATITIS B, C y DELTA y retroalimentar al área de inspección, vigilancia y control los hallazgos frente a las demora en la calidad de la atención de acuerdo a los análisis individuales de los casos.</t>
  </si>
  <si>
    <t>Desarrollar acciones de promoción y prevención en salud sexual y reproductiva en espacios trasnsectoriales y comunitarios de los 11 municipios del Departamento a través del PIC</t>
  </si>
  <si>
    <t>Realizar asistencia técnica y evaluación a las 12 Secretarias de salud municipales en la Dimensión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</si>
  <si>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</si>
  <si>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</si>
  <si>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</si>
  <si>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</si>
  <si>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</si>
  <si>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</si>
  <si>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</si>
  <si>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</si>
  <si>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</si>
  <si>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</si>
  <si>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</si>
  <si>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</si>
  <si>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</si>
  <si>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</si>
  <si>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</si>
  <si>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</si>
  <si>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</si>
  <si>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</si>
  <si>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</si>
  <si>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</si>
  <si>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</si>
  <si>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</si>
  <si>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</si>
  <si>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</si>
  <si>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</si>
  <si>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</si>
  <si>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</si>
  <si>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</si>
  <si>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</si>
  <si>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</si>
  <si>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</si>
  <si>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</si>
  <si>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</si>
  <si>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</si>
  <si>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</si>
  <si>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y gestión del riesgo en Enfermedades Crónicas No Transmisibles (cardiovasculares, diabetes y epoc) con los diferentes grupos poblacionales y los diferentes contextos (PIC)</t>
  </si>
  <si>
    <t>Realizar capacitación en Lineamientos técnicos para la promoción de modos, condiciones y estilos de vida saludable, relacionadas con las enfermedades no transmisibles en el entorno escolar.</t>
  </si>
  <si>
    <t>Brindar asistencia técnica y evaluar en 20 instituciones educativas la implementación de  la estrategia Tiendas escolares Saludables de 11 municipios de competencia departamental.</t>
  </si>
  <si>
    <t>Realizar asistencia técnica a los Planes Locales de Salud en la gestión intersectorial para la promoción de estilos de vida saludables (alimentación saludable, actividad física, alcohol y cigarrillo) en los diferentes entornos educativo, laboral y comunitario.</t>
  </si>
  <si>
    <t>Desarrollar el plan intersectorial para la disminución de lesionados por pólvora y garantizar su implementación en los 12 municipios del departamento.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</si>
  <si>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</si>
  <si>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</si>
  <si>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</si>
  <si>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</si>
  <si>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</si>
  <si>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</si>
  <si>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 xml:space="preserve">Realizar el diagnostico situacional de las enfermedades huérfanas y socialización  y generación de planes de intervención con los aseguradores del  departamento del Quindío.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</si>
  <si>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</si>
  <si>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</si>
  <si>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</si>
  <si>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Coordinar la realización de unidades de análisis de las muertes de interés en salud pública de la dimensión de referencia,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</si>
  <si>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que incluye seguimiento a los indicadores de la 4505 y de vigilancia en salud pública,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</si>
  <si>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</si>
  <si>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</si>
  <si>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1803 - 5 - 3 1 3 12 40 2 139 - 96</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</si>
  <si>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</si>
  <si>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</si>
  <si>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</si>
  <si>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</si>
  <si>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</si>
  <si>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</si>
  <si>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</si>
  <si>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</si>
  <si>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</si>
  <si>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</si>
  <si>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</si>
  <si>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</si>
  <si>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</si>
  <si>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</si>
  <si>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</si>
  <si>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</si>
  <si>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 para  la gestión integral para enfermedades de transmisión vectorial (EGI ETV) </t>
  </si>
  <si>
    <t>Realizar inspección vigilancia y control de focos de reproducción de vectores (dengue, Chikunguña y zika) en los 11 municipios de competencia Departamental.</t>
  </si>
  <si>
    <t>111
118
61
88</t>
  </si>
  <si>
    <t>Res. 781/15 Prev. y control enfermedades por Vect
Res. 1288/2016 Promoción, prevención y control ETV
Fondo Local de Salud - SGP
Superavit Ordinario</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</si>
  <si>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</si>
  <si>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</si>
  <si>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</si>
  <si>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</si>
  <si>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1803 - 5 - 3 1 3 12 40 2 141 - 111
1803 - 5 - 3 1 3 12 40 2 141 - 147
1803 - 5 - 3 1 3 12 40 2 141 - 61
1803 - 5 - 3 1 3 12 40 2 141 - 102
1803 - 5 - 3 1 3 12 40 2 141 - 98</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</si>
  <si>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</si>
  <si>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</si>
  <si>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</si>
  <si>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</si>
  <si>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</si>
  <si>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</si>
  <si>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</si>
  <si>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</si>
  <si>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</si>
  <si>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</si>
  <si>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</si>
  <si>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en el programa de tuberculosis y lepra a las direcciones locales de los 12 municipios del departamento.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</si>
  <si>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</si>
  <si>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</si>
  <si>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t>
  </si>
  <si>
    <t>1803 - 5 - 3 1 3 12 40 2 142 - 114</t>
  </si>
  <si>
    <t>Acompañar la vigilancia de cumplimiento a guías y protocolos de vigilancia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</si>
  <si>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</si>
  <si>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</si>
  <si>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</si>
  <si>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Res.1030/2016 Campaña control lepra QuindÍo</t>
  </si>
  <si>
    <t>1803 - 5 - 3 1 3 12 40 2 142 - 96</t>
  </si>
  <si>
    <t>Ejecutar los nuevos planes estratégicos de tuberculosis y lepra.</t>
  </si>
  <si>
    <t>Res.1030/2016 campaña control lepra Quindío</t>
  </si>
  <si>
    <t>Garantizar los insumos, medios y reactivos para el análisis de las muestras de tuberculosis y lepra en las IPS públicas del departamento.</t>
  </si>
  <si>
    <t>Realizar campañas de prevención y atención integral en afectados por tuberculosis</t>
  </si>
  <si>
    <t>Gestión de la prestación de los servicios en prevención y atención integral centrada en los afectados por tuberculosis y lepra.</t>
  </si>
  <si>
    <t>Realizar actividades de promoción y prevención implementadas para la comunidad y grupos focalizados en tuberculosis y lepra en los 12 municipios del departamento.</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</si>
  <si>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</si>
  <si>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</si>
  <si>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</si>
  <si>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</si>
  <si>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</si>
  <si>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</si>
  <si>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</si>
  <si>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</si>
  <si>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</si>
  <si>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</si>
  <si>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</si>
  <si>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</si>
  <si>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</si>
  <si>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</si>
  <si>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</si>
  <si>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</si>
  <si>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</si>
  <si>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
1803 - 5 - 3 1 3 12 42 2 145 - 96</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</si>
  <si>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</si>
  <si>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</si>
  <si>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</si>
  <si>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</si>
  <si>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</si>
  <si>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</si>
  <si>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</si>
  <si>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</si>
  <si>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</si>
  <si>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</si>
  <si>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</si>
  <si>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</si>
  <si>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</si>
  <si>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</si>
  <si>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</si>
  <si>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</si>
  <si>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</si>
  <si>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</si>
  <si>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</si>
  <si>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</si>
  <si>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</si>
  <si>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</si>
  <si>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t>
  </si>
  <si>
    <t xml:space="preserve">Realizar promocion vigilancia y control a sujetos de interes sanitario de competencia departamental en el marco de los entornos saludbles </t>
  </si>
  <si>
    <t>Asistencia técnica  a los actores de la vigilancia en  salud publica  en el departamento, en el evento de intoxicaciones por sustancias Químicas y enfermedades diarreicas agudas (EDAS) de conformidad con los lineamientos y protocolos del INS.</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</si>
  <si>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</si>
  <si>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</si>
  <si>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</si>
  <si>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inspección vigilancia y control con enfoque de riesgo a los establecimientos que usan y manejan sustancias químicas potencialmente toxicas en los 12 Municipios del Departamento.</t>
  </si>
  <si>
    <t>1803 - 5 - 3 1 3 12 43 2 146 - 98</t>
  </si>
  <si>
    <t>Realizar inspección, vigilancia y control a los planes de gestión  integral de residuos generados en atención en salud y otras actividades en los municipios del departamento.</t>
  </si>
  <si>
    <t>1803 - 5 - 3 1 3 12 43 2 146 - 63</t>
  </si>
  <si>
    <t>Realizar inspección, vigilancia y control, de las condiciones de seguridad higiénico, sanitaria y ambiental, a sujetos de interés en saneamiento básico, en los municipios de competencia departamental.</t>
  </si>
  <si>
    <t>Fondo de Estupefacientes</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</si>
  <si>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</si>
  <si>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</si>
  <si>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</si>
  <si>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1803 - 5 - 3 1 3 12 43 2 146 - 96</t>
  </si>
  <si>
    <t xml:space="preserve">Suministrar medicamentos de control especial- monopolio del estado a los establecimientos farmacéuticos autorizados. </t>
  </si>
  <si>
    <t>Suministrar medicamentos de programas especiales a las IPS’s que lo requieran.</t>
  </si>
  <si>
    <t>1803 - 5 - 3 1 3 12 43 2 146 - 99</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</si>
  <si>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</si>
  <si>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</si>
  <si>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</si>
  <si>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</si>
  <si>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</si>
  <si>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</si>
  <si>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</si>
  <si>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</si>
  <si>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</si>
  <si>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a la comunidad afro en el departamento del Quindío.</t>
  </si>
  <si>
    <t>Realizar una mesa de concertación  con la población afro  para la proyección de acciones PIC departamental, con enfoque diferencial.</t>
  </si>
  <si>
    <t>Difundir a través de medios de comunicación municipales el respeto y reconocimiento de los deberes y derechos de la población vulnerable con enfoque diferencial (genero - LGTBI - afro - habitante de calle - adulto mayor -niños niñas adolescentes - indígenas - discapacidad).</t>
  </si>
  <si>
    <t>Realizar visitas de supervisión a IPS para evaluar la calidad en la atención en salud de la población vulnerable con enfoque diferencial (genero - LGTBI - afro - habitante de calle - adulto mayor -niños niñas adolescentes - indígenas).</t>
  </si>
  <si>
    <t>Realizar la verificación de la afiliación en salud y la atención en salud con  enfoque diferencial          (genero - LGTBI - afro - habitante de calle - adulto mayor -niños niñas adolescentes - indígenas - discapacidad)  en los municipios del departamento.</t>
  </si>
  <si>
    <t>Realizar Seguimiento y asistencia técnica al cumplimiento de planes de mejoramiento suscritos con las instituciones que se encuentran funcionando antes de  la expedición de la ley 1315/2009.</t>
  </si>
  <si>
    <t>Realizar verificación de las instalaciones y el funcionamiento de centros de protección o centro día para el adulto mayor  (ley 1315/2009) con apoyo del estado.</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</si>
  <si>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</si>
  <si>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</si>
  <si>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</si>
  <si>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</si>
  <si>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seguimiento a la implementación del Programa de Atención Psicosocial y Salud Integral a Víctimas PAPSIVI en los municipios donde se encuentra operando.</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</si>
  <si>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</si>
  <si>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</si>
  <si>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</si>
  <si>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1803 - 5 - 3 1 3 12 44 2 148 - 61</t>
  </si>
  <si>
    <t>Apoyar el establecimiento  y coordinación  de  redes integradas  de servicios de información en  salud (acceso del sector salud a VIVANTO).</t>
  </si>
  <si>
    <t>Fortalecimiento de  la estrategia AIEPI en los 12 municipios del Departamento</t>
  </si>
  <si>
    <t>1803 - 5 - 3 1 3 12 44 2 148 - 98</t>
  </si>
  <si>
    <t>Consolidar los programas de atención a la primera infancia</t>
  </si>
  <si>
    <t>Realizar acompañamiento a los 12  Municipios  durante la jornadas Nacionales de vacunación.</t>
  </si>
  <si>
    <t xml:space="preserve">Realizar verificacion del cumplimiento de las coberturas de vacunacion de los 12 municipios del departamento dentro del plan de intervenciones colectivas </t>
  </si>
  <si>
    <t xml:space="preserve">Realizar articulacion con las EAPB, IPS y planes locales de salud mediantes mesas de trabajo para garantizar el cumplimiento en las coberturas de vacunacion dentro de los 12 municipios </t>
  </si>
  <si>
    <t>Capacitar a coordinadores del plan ampliado de inmunizacion para la ejecucion del monitoreo y encuentas de cobertura de vacunacion de los 12 municipios del departamento.</t>
  </si>
  <si>
    <t>realizar la asistencia tecnica a los 12 municipios del departamento para la implementacion de la estartegia AIEPI</t>
  </si>
  <si>
    <t>Brindar asistencia tecnica a los 12 municipios en la elaboracion del plan para la articulacion de las estrategias IAMI - AIEPI - PAI</t>
  </si>
  <si>
    <t>Fortalecer en los doce (12) municipios del departamento los  comités municipales de discapacidad</t>
  </si>
  <si>
    <t>Fortalecer atención integral a poblaciones vulnerables</t>
  </si>
  <si>
    <t>Brindar capacitación y apoyo en el monitoreo de las metas del registro de localización y caracterización de personas con discapacidad de los 12 municipios.</t>
  </si>
  <si>
    <t>Realizar seguimiento a las EAPB para el cumplimiento de la Circular 016 del 2014 (exención de copagos y cuotas moderadoras) y la Circular 010 del 2015 (atención integral de salud para personas con discapacidad).</t>
  </si>
  <si>
    <t>Realizar jornadas de capacitación en normatividad vigente en torno a la población con discapacidad.</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</si>
  <si>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</si>
  <si>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</si>
  <si>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</si>
  <si>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
1803 - 5 - 3 1 3 12 45 2 150 - 98</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</si>
  <si>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</si>
  <si>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</si>
  <si>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</si>
  <si>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</si>
  <si>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</si>
  <si>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</si>
  <si>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</si>
  <si>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</si>
  <si>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</si>
  <si>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</si>
  <si>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</si>
  <si>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</si>
  <si>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2 151 - 102
1803 - 5 - 3 1 3 12 46 2 151 - 61
1803 - 5 - 3 1 3 12 46 2 151 - 96
1803 - 5 - 3 1 3 12 46 2 151 - 98</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</si>
  <si>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</si>
  <si>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</si>
  <si>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</si>
  <si>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</si>
  <si>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</si>
  <si>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</si>
  <si>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</si>
  <si>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</si>
  <si>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</si>
  <si>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</si>
  <si>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</si>
  <si>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</si>
  <si>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</si>
  <si>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2 152 - 102
1803 - 5 - 3 1 3 12 46 2 152 - 61
1803 - 5 - 3 1 3 12 46 2 152 - 96
1803 - 5 - 3 1 3 12 46 2 152 - 98</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</si>
  <si>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</si>
  <si>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</si>
  <si>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</si>
  <si>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</si>
  <si>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61
96
102
98</t>
  </si>
  <si>
    <t xml:space="preserve">Fondo Local de Salud - SGP
Superavir rentas cedidas
Superavit cof nacion
superavit SGP salud publica </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</si>
  <si>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</si>
  <si>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</si>
  <si>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</si>
  <si>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</si>
  <si>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</si>
  <si>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</si>
  <si>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</si>
  <si>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</si>
  <si>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</si>
  <si>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</si>
  <si>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</si>
  <si>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</si>
  <si>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</si>
  <si>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</si>
  <si>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</si>
  <si>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</si>
  <si>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</si>
  <si>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</si>
  <si>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Rentas cedidas subcuenta otros gastos en salud</t>
  </si>
  <si>
    <t>Orientar e inducir a la poblacion no sisbenizada atendida por las IPS 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</si>
  <si>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</si>
  <si>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</si>
  <si>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2 153 - 148
1801 - 5 - 3 1 3 13 48 2 153 - 64
1801 - 5 - 3 1 3 13 48 2 153 - 71
1801 - 5 - 3 1 3 13 48 2 153 - 96</t>
  </si>
  <si>
    <t xml:space="preserve"> Gestionar  recursos para cofinanciación de la afialicon  mpo y lugares de afiliación
</t>
  </si>
  <si>
    <t>Gestión de recursos para cofinanciación de la afiliación a los municipios y lugares de afiliación</t>
  </si>
  <si>
    <t>"64
65
148
154
96
71
155
"</t>
  </si>
  <si>
    <t>"Ley 1393 Rentas cedidas subcuenta régimen subsidiado
Superávit Dec. 1684/2017 Ingreso adicional Cigarrillo
Coljuegos SSF
Dec.1684- Cigarrillo"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</si>
  <si>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</si>
  <si>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</si>
  <si>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</si>
  <si>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</si>
  <si>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</si>
  <si>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 Adriana</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</si>
  <si>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</si>
  <si>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</si>
  <si>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</si>
  <si>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
1802 - 5 - 3 1 3 14 50 2 154 - 102
1802 - 5 - 3 1 3 14 50 2 154 - 110
1802 - 5 - 3 1 3 14 50 2 154 - 145
1802 - 5 - 3 1 3 14 50 2 154 - 151
1802 - 5 - 3 1 3 14 50 2 154 - 58
1802 - 5 - 3 1 3 14 50 2 154 - 59
1802 - 5 - 3 1 3 14 50 2 154 - 60
1802 - 5 - 3 1 3 14 50 2 154 - 65
1802 - 5 - 3 1 3 14 50 2 154 - 96
1802 - 5 - 3 1 3 14 50 2 154 - 97
1804 - 5 - 3 1 3 14 50 2 154 - 102</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</si>
  <si>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</si>
  <si>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</si>
  <si>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</si>
  <si>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procesos de inspección , vigilancia y control en el acceso de los afiliados  a la red de servicios de salud.</t>
  </si>
  <si>
    <t>110
59
60
35
148</t>
  </si>
  <si>
    <t>Resolución 971/2016 programa inimputables
SGP salud prestación servicios C.S.F
SGP salud aportes patronales S.S.F
Recurso destinado del Monopolio
Superávit Dec. 1684/2017 Ingreso adicional Cigarrillo</t>
  </si>
  <si>
    <t>Mantener la contratación con la red pública y privada (15)  para la atención de la población no afiliada.</t>
  </si>
  <si>
    <t xml:space="preserve">Fortalecer la contratación para la atención de la población no afiliada </t>
  </si>
  <si>
    <t xml:space="preserve">Fortaler la contratacion para la atencion de la pobblacion pobre no asegurada y los servicios no incluidos en el Plan de beneficios de la poblacion afiliada al regimen subsidiado. </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</si>
  <si>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</si>
  <si>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</si>
  <si>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</si>
  <si>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</si>
  <si>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</si>
  <si>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</si>
  <si>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</si>
  <si>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</si>
  <si>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</si>
  <si>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</si>
  <si>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</si>
  <si>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</si>
  <si>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verificación a los 12 municipios y sus respectivas E.S.E del departamento en los reportes de gestión financiera.</t>
  </si>
  <si>
    <t>Brindar apoyo en la gestión administrativa y financiera a los municipios y E.S.E del departamento</t>
  </si>
  <si>
    <t>Garantizar red de servicios en eventos de emergencias</t>
  </si>
  <si>
    <t xml:space="preserve">Ajustar los 14 planes de emergencia de las instituciones prestadoras de salud de todo el Departamento.  </t>
  </si>
  <si>
    <t>0318 - 5 - 3 1 3 14 52 2 156 - 20</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</si>
  <si>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</si>
  <si>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</si>
  <si>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</si>
  <si>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</si>
  <si>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</si>
  <si>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</si>
  <si>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Desarrollar el plan de emergencias de salud departamental</t>
  </si>
  <si>
    <t xml:space="preserve">Articular  la red hospitalaria del Departamento
</t>
  </si>
  <si>
    <t xml:space="preserve">Realizar mantenimiento de los equipos de telecomunicación </t>
  </si>
  <si>
    <t>Ajustar un (1) Plan de Emergencias en Salud Departamental.</t>
  </si>
  <si>
    <t>Realizar ajuste a un plan de emergencias del departamento del quindio</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</si>
  <si>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</si>
  <si>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</si>
  <si>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</si>
  <si>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</si>
  <si>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evaluación y gestión de los procesos técnicos Y administrativos de funcionamiento del CRUE.</t>
  </si>
  <si>
    <t>1802 - 5 - 3 1 3 14 52 2 157 - 72</t>
  </si>
  <si>
    <t>Regular y coordinar la prestación de servicios de urgencias y emergencias en salud en el departamento.</t>
  </si>
  <si>
    <t>Realizar asistencia técnica a los prestadores de servicios de salud.</t>
  </si>
  <si>
    <t>Implementación de la línea departamental de urgencia en salud mental.</t>
  </si>
  <si>
    <t>Dotación de quipos de tecnología y telecomunicaciones para el funcionamiento del CRUE.</t>
  </si>
  <si>
    <t>Garantizar continuidad del funcionamiento del CRUE - SEM</t>
  </si>
  <si>
    <t>1804 - 5 - 3 1 3 14 52 2 157 - 96</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</si>
  <si>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</si>
  <si>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</si>
  <si>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</si>
  <si>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</si>
  <si>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</si>
  <si>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</si>
  <si>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</si>
  <si>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</si>
  <si>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</si>
  <si>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Dirección Territorial de acuerdo a lo establecido en la Resolución 3960 de 2008.</t>
  </si>
  <si>
    <t>Evaluación del PAMEC en su condición de compradores de servicios de salud para población pobre no afiliada, mediante  auditoría externa a los prestadores.</t>
  </si>
  <si>
    <t xml:space="preserve">Realizar inspección y vigilancia a la formulación y cumplimiento de los contenidos del PAMEC de los municipios certificados de su jurisdicción.                                                                                </t>
  </si>
  <si>
    <t xml:space="preserve">Enviar anualmente a la superintendencia nacional de salud, un informe de seguimiento a la formulación y evaluación de los PAMEC de los municipios de competencia departamental. </t>
  </si>
  <si>
    <t xml:space="preserve">Realizar un plan de asistencia técnica para la formulación e implementación del PAMEC en la IPS y EAPBS públicas del Departamento. </t>
  </si>
  <si>
    <t xml:space="preserve">Asegurar la totalidad de los estandares establecidos en el sistema de habilitacion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</si>
  <si>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</si>
  <si>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</si>
  <si>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 xml:space="preserve">Garantizar eficiencia en el establecimiento de los indicadores de seguimiento a riesgo 
</t>
  </si>
  <si>
    <t>Realizar capacitación del recurso humano de las ESES, IPS y EPS Tema del PAMEC, indicadores de calidad y circular 012 de 2016</t>
  </si>
  <si>
    <t>Realizar visitas de verificación de los requisitos de habilitación a 150 prestadores de servicios de salud.</t>
  </si>
  <si>
    <t xml:space="preserve">Realizar visitas de verificación de los requisitos de habilitación </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</si>
  <si>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</si>
  <si>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</si>
  <si>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</si>
  <si>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</si>
  <si>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</si>
  <si>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</si>
  <si>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</si>
  <si>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</si>
  <si>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 xml:space="preserve">
20
88</t>
  </si>
  <si>
    <t xml:space="preserve">
Recurso Ordinario
Superavit Ordinario</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</si>
  <si>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</si>
  <si>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</si>
  <si>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</si>
  <si>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</si>
  <si>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</si>
  <si>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</si>
  <si>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</si>
  <si>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</si>
  <si>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</si>
  <si>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</si>
  <si>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</si>
  <si>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</si>
  <si>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</si>
  <si>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</si>
  <si>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</si>
  <si>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</si>
  <si>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</si>
  <si>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</si>
  <si>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</si>
  <si>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</si>
  <si>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</si>
  <si>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</si>
  <si>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</si>
  <si>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</si>
  <si>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</si>
  <si>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VERSIÓN:    06</t>
  </si>
  <si>
    <t>FECHA:        Nov. 22 de 2017</t>
  </si>
  <si>
    <t>PÁGINA:      01 de 1</t>
  </si>
  <si>
    <t>CONTRATOS</t>
  </si>
  <si>
    <t xml:space="preserve">No. DE 
CONTRATOS </t>
  </si>
  <si>
    <t>VALOR COMPROMISOS</t>
  </si>
  <si>
    <t>VALOR DE LAS OBLIGACIONES</t>
  </si>
  <si>
    <t>% DE EJECUCION</t>
  </si>
  <si>
    <t>FUENTE DE LOS RECURSOS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</si>
  <si>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</si>
  <si>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</si>
  <si>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</si>
  <si>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</si>
  <si>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</si>
  <si>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</si>
  <si>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</si>
  <si>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</si>
  <si>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</si>
  <si>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</si>
  <si>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 xml:space="preserve">35
20
134
88
81
137
81
</t>
  </si>
  <si>
    <t>Recurso Monopolio
Recurso Ordinario
Material de rio
Superavit Ordinario
 Educación PAE 
 Superavit PAE  
Superavit Monopolio</t>
  </si>
  <si>
    <t>Recurso Ordinario
Superavit Ordinario
Monopolio
Superavit Monopolio
PAE Transferencia Nación</t>
  </si>
  <si>
    <t>Maria del Pilar Hoyos
Auxiliar Administrativa</t>
  </si>
  <si>
    <t>Secretario de Educación Departamental</t>
  </si>
  <si>
    <t>0314 - 5 - 3 1 3 5 16 1 84 - 35</t>
  </si>
  <si>
    <t>0314 - 5 - 3 1 3 5 16 1 84 - 88</t>
  </si>
  <si>
    <t>Implementar el Programa de Alimentación Escolar (PAE) en el departamento del Quindío</t>
  </si>
  <si>
    <t>Programa PAE implementado</t>
  </si>
  <si>
    <t>0314 - 5 - 3 1 3 5 16 1 84 - 91</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</si>
  <si>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</si>
  <si>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</si>
  <si>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1404 - 5 - 3 1 3 5 16 1 84 - 137</t>
  </si>
  <si>
    <t>1404 - 5 - 3 1 3 5 16 1 84 - 81</t>
  </si>
  <si>
    <t>Contratación Equipo, para el acompañamiento, seguimiento y verificación de la ejecucion del PAE</t>
  </si>
  <si>
    <t>Implementar el programa de transporte escolar en el departamento del Quindio</t>
  </si>
  <si>
    <t>Programa de transporte escolar implementado</t>
  </si>
  <si>
    <t>314 - 5 - 3 1 3 5 16 1 84 - 134</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</si>
  <si>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</si>
  <si>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</si>
  <si>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</si>
  <si>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</si>
  <si>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</si>
  <si>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</si>
  <si>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</si>
  <si>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</si>
  <si>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</si>
  <si>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</si>
  <si>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</si>
  <si>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SGP Educacion</t>
  </si>
  <si>
    <t>Gladiz Giraldo
Profesional Universitario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</si>
  <si>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</si>
  <si>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</si>
  <si>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</si>
  <si>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</si>
  <si>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</si>
  <si>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</si>
  <si>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</si>
  <si>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</si>
  <si>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</si>
  <si>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</si>
  <si>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</si>
  <si>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</si>
  <si>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</si>
  <si>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Personal de apoyo educativo,  para la población  con situación penal, iletrados, menores trabajadores  en el Departamento</t>
  </si>
  <si>
    <t>Diseñar e implementar un plan para la caracterización y atención de la población en condiciones especiales y excepcionales del departa</t>
  </si>
  <si>
    <t>Plan diseñado e implementado</t>
  </si>
  <si>
    <t>Desarrollo de actividades de apoyo pedagógico, estudiantes con discapacidad, capacidades o con talentos excepcionales</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</si>
  <si>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</si>
  <si>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</si>
  <si>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1402 - 5 - 3 1 3 5 18 1 87 - 25
1402 - 5 - 3 1 3 5 18 1 87 - 26
1402 - 5 - 3 1 3 5 18 1 87 -146
1402 - 5 - 3 1 3 5 18 1 87 - 9
1403 - 5 - 3 1 3 5 18 1 87 - 25
1403 - 5 - 3 1 3 5 18 1 87 - 26
0314 - 5 - 3 1 3 5 18 1 87- 88</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</si>
  <si>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</si>
  <si>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</si>
  <si>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</si>
  <si>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</si>
  <si>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del Departamento.</t>
  </si>
  <si>
    <t>25
26
09
146
88</t>
  </si>
  <si>
    <t xml:space="preserve">SGP
SGP
Superavir Ordinario </t>
  </si>
  <si>
    <t>SGP Educación</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</si>
  <si>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</si>
  <si>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</si>
  <si>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</si>
  <si>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</si>
  <si>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</si>
  <si>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</si>
  <si>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</si>
  <si>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</si>
  <si>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</si>
  <si>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20
88</t>
  </si>
  <si>
    <t>Recurso Ordinario
Superavit Ordinario</t>
  </si>
  <si>
    <t>Alvaro Betancurt
Profesional Universitario
Gladiz Giraldo
Profesional Universitario</t>
  </si>
  <si>
    <t>Capacitar a mil doscientos (1.200) docentes en estrategias para el mejoramiento del ISCE en el Departamento del Quindío</t>
  </si>
  <si>
    <t>Número de docentes capacitados</t>
  </si>
  <si>
    <t xml:space="preserve">0314 - 5 - 3 1 3 6 19 1 89 - 20
0314 - 5 - 3 1 3 6 19 1 89 - 88
</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</si>
  <si>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</si>
  <si>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</si>
  <si>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</si>
  <si>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</si>
  <si>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</si>
  <si>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</si>
  <si>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</si>
  <si>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</si>
  <si>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</si>
  <si>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</si>
  <si>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</si>
  <si>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</si>
  <si>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</si>
  <si>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</si>
  <si>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</si>
  <si>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</si>
  <si>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</si>
  <si>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</si>
  <si>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</si>
  <si>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</si>
  <si>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</si>
  <si>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</si>
  <si>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</si>
  <si>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</si>
  <si>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</si>
  <si>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</si>
  <si>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</si>
  <si>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</si>
  <si>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</si>
  <si>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</si>
  <si>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</si>
  <si>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</si>
  <si>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 xml:space="preserve">20
88
25 </t>
  </si>
  <si>
    <t>Recurso Ordinario
Supéravit Ordinario
SGP Educación</t>
  </si>
  <si>
    <t>Superavit Ordinario</t>
  </si>
  <si>
    <t>Clara Ines Buitrago
Profesional Universitario</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</si>
  <si>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</si>
  <si>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</si>
  <si>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</si>
  <si>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</si>
  <si>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</si>
  <si>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</si>
  <si>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</si>
  <si>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</si>
  <si>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</si>
  <si>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</si>
  <si>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</si>
  <si>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</si>
  <si>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</si>
  <si>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</si>
  <si>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</si>
  <si>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</si>
  <si>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Amparo Londoño
Supervisora de Educación</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</si>
  <si>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</si>
  <si>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</si>
  <si>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</si>
  <si>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</si>
  <si>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0314 - 5 - 3 1 3 6 20 1 90 - 88</t>
  </si>
  <si>
    <t>Encuentro Cultural de Étnoeducación</t>
  </si>
  <si>
    <t>1404 - 5 - 3 1 3 6 20 1 90 - 25</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</si>
  <si>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</si>
  <si>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</si>
  <si>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</si>
  <si>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</si>
  <si>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</si>
  <si>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</si>
  <si>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</si>
  <si>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</si>
  <si>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</si>
  <si>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</si>
  <si>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</si>
  <si>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Gloria Elena Castro Profesional Universitario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</si>
  <si>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</si>
  <si>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</si>
  <si>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</si>
  <si>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</si>
  <si>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Alvaro Betancurt Profesional Universitario</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</si>
  <si>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</si>
  <si>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</si>
  <si>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</si>
  <si>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</si>
  <si>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Leonardo Morales Profesional Universitario</t>
  </si>
  <si>
    <t>01/10/201/</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</si>
  <si>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</si>
  <si>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</si>
  <si>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</si>
  <si>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</si>
  <si>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</si>
  <si>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</si>
  <si>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</si>
  <si>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</si>
  <si>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20
88
21
25</t>
  </si>
  <si>
    <t>Orinarios 
Superavit Ordinarios
Rendimientos Financieros
Recurso SGP</t>
  </si>
  <si>
    <t>Alvaro Betancurt</t>
  </si>
  <si>
    <t xml:space="preserve">Dotar ciento cuarenta (140) sedes educativas con la colección semilla </t>
  </si>
  <si>
    <t>Número de sedes educativas dotadas</t>
  </si>
  <si>
    <t>0314 - 5 - 3 1 3 6 21 1 91 - 20</t>
  </si>
  <si>
    <t xml:space="preserve"> Dotar sedes educativas del Departamento del Quindío con la colección semilla</t>
  </si>
  <si>
    <t>Adquisiciíon Colección Semilla</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</si>
  <si>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</si>
  <si>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</si>
  <si>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</si>
  <si>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</si>
  <si>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</si>
  <si>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</si>
  <si>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</si>
  <si>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</si>
  <si>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</si>
  <si>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</si>
  <si>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</si>
  <si>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</si>
  <si>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</si>
  <si>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</si>
  <si>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</si>
  <si>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</si>
  <si>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</si>
  <si>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</si>
  <si>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25
21</t>
  </si>
  <si>
    <t>Recurso SGP
Rendimientosnfinancieros SGP</t>
  </si>
  <si>
    <t>1404 - 5 - 3 1 3 6 22 1 93 - 21</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</si>
  <si>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</si>
  <si>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</si>
  <si>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</si>
  <si>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</si>
  <si>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</si>
  <si>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</si>
  <si>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</si>
  <si>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</si>
  <si>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</si>
  <si>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Leonardo Morales
Profesional Universitario</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</si>
  <si>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</si>
  <si>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</si>
  <si>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</si>
  <si>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</si>
  <si>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</si>
  <si>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</si>
  <si>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0314 - 5 - 3 1 3 7 23 1 94 - 88</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</si>
  <si>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</si>
  <si>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</si>
  <si>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</si>
  <si>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</si>
  <si>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</si>
  <si>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</si>
  <si>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</si>
  <si>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</si>
  <si>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</si>
  <si>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</si>
  <si>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</si>
  <si>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</si>
  <si>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</si>
  <si>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</si>
  <si>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</si>
  <si>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</si>
  <si>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</si>
  <si>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Horacio Echeverry
Supervisor de Educación
Arles López Espinosa
Director Planeamiento Educativo</t>
  </si>
  <si>
    <t>Fortalecer cincuenta (50)   instituciones educativas en competencias básicas</t>
  </si>
  <si>
    <t>Número de instituciones educativas fortalecidas</t>
  </si>
  <si>
    <t>0314 - 5 - 3 1 3 7 24 1 95 - 20
0314 - 5 - 3 1 3 7 24 1 95 - 88</t>
  </si>
  <si>
    <t>Capacitación y Logistica, Talleres de Referentes, Planeación Curricular, Evaluación de los Aprendizajes</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</si>
  <si>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</si>
  <si>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</si>
  <si>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</si>
  <si>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</si>
  <si>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</si>
  <si>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</si>
  <si>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</si>
  <si>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0314 - 5 - 3 1 3 7 24 1 122 - 20
0314 - 5 - 3 1 3 7 24 1 122 - 88</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</si>
  <si>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</si>
  <si>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</si>
  <si>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</si>
  <si>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20
88
91</t>
  </si>
  <si>
    <t>Recurso Ordinadio
Superavit Ordinario 
Superavit Monopolio</t>
  </si>
  <si>
    <t xml:space="preserve">Recurso Ordinario
Superavit Ordinario
Superavit Monopolio
</t>
  </si>
  <si>
    <t>Alvaro Betancurt
Profesional Universitario</t>
  </si>
  <si>
    <t>0314 - 5 - 3 1 3 7 24 1 122 - 91</t>
  </si>
  <si>
    <t>Aportes ente territorial para la infraestructura en educación superior</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</si>
  <si>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</si>
  <si>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</si>
  <si>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</si>
  <si>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</si>
  <si>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</si>
  <si>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</si>
  <si>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</si>
  <si>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</si>
  <si>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</si>
  <si>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Edna Ensuasty Puerto
Profesional Universitario</t>
  </si>
  <si>
    <t>0314 - 5 - 3 1 3 8 25 1 96 - 20</t>
  </si>
  <si>
    <t>Crear e implementar  en cincuenta y dos (52) instituciones educativas procesos presupuestales y financieros integrados</t>
  </si>
  <si>
    <t>Número de instituciones educativas con proceso presupuestal y financiero integrado creado e implementado</t>
  </si>
  <si>
    <t>0314 - 5 - 3 1 3 8 25 1 96 - 88</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</si>
  <si>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</si>
  <si>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</si>
  <si>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</si>
  <si>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 xml:space="preserve"> </t>
  </si>
  <si>
    <t>Implementar y/o mejorar el sistema de conectividad en 200 sedes educativas oficiales en el departamento.</t>
  </si>
  <si>
    <t>Número de sedes educativas implementadas y/o mejoradas</t>
  </si>
  <si>
    <t>1404 - 5 - 3 1 3 8 26 1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</si>
  <si>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</si>
  <si>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</si>
  <si>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</si>
  <si>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</si>
  <si>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</si>
  <si>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t>
  </si>
  <si>
    <t>Maria Eugenia Rivera
Profesional Universitario</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</si>
  <si>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</si>
  <si>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</si>
  <si>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</si>
  <si>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
1401 - 5 - 3 1 3 8 27 1 98 25
0314 - 5 - 3 1 3 8 27 1 98 - 88</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</si>
  <si>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</si>
  <si>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</si>
  <si>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</si>
  <si>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</si>
  <si>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</si>
  <si>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25
88</t>
  </si>
  <si>
    <t xml:space="preserve">SGP Educacion
Superavit Ordinario </t>
  </si>
  <si>
    <t>Marcela Delgado
Profesional Universitario</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</si>
  <si>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</si>
  <si>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</si>
  <si>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</si>
  <si>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0314 - 5 - 3 1 3 8 28 1 100 - 20
0314 - 5 - 3 1 3828 1 100 - 88</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</si>
  <si>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</si>
  <si>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</si>
  <si>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</si>
  <si>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</si>
  <si>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</si>
  <si>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Recurso Ordinario
Supéravit Ordinario</t>
  </si>
  <si>
    <t>Janet Arias</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</si>
  <si>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</si>
  <si>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</si>
  <si>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</si>
  <si>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</si>
  <si>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</si>
  <si>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</si>
  <si>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</si>
  <si>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</si>
  <si>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</si>
  <si>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</si>
  <si>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</si>
  <si>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</si>
  <si>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FRANCISCO JAVIER LOPEZ SEPULVEDA</t>
  </si>
  <si>
    <t>SECRETARIO DE EDUCACION DEPARTAMENTAL</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</si>
  <si>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</si>
  <si>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</si>
  <si>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</si>
  <si>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</si>
  <si>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</si>
  <si>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</si>
  <si>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</si>
  <si>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Generación de entornos favorables y sostenibilidad ambiental para el Departamento del Quindío</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</si>
  <si>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</si>
  <si>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</si>
  <si>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</si>
  <si>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Recursos Ordinarios</t>
  </si>
  <si>
    <t>Ordinario</t>
  </si>
  <si>
    <t>Carlos Alberto Soto Rave
Secretario de Agricultura, Desarrollo Rural y Medio Ambiente</t>
  </si>
  <si>
    <t xml:space="preserve">Actualización, analisis, y recomendaciones de mejora sobre  la información ambiental de los doce municipios. </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</si>
  <si>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</si>
  <si>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</si>
  <si>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</si>
  <si>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</si>
  <si>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</si>
  <si>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Adecuadar planificación para la sostenibilidad de los recursos naturales</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</si>
  <si>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</si>
  <si>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</si>
  <si>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</si>
  <si>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</si>
  <si>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Desarrollar en (5) cinco de los sectores productivos del departamento, actividades de producción más limpia y Buenas  Prácticas Ambientales (BPA) </t>
  </si>
  <si>
    <t>Actividades de producción  desarrolladas</t>
  </si>
  <si>
    <t xml:space="preserve">Generar apropiación de las acciones  de producción más limpia y Buenas  Prácticas Ambientales (BPA) en los sectores productivos  del departamento.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</si>
  <si>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</si>
  <si>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</si>
  <si>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</si>
  <si>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</si>
  <si>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</si>
  <si>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Número de cuencas con servicios ecosistémicos caracterizados</t>
  </si>
  <si>
    <t xml:space="preserve">0312 - 5 - 3 1 1 1 2 10 67 -20
0312 - 5 - 3 1 1 1 2 10 67 - 88 </t>
  </si>
  <si>
    <t>201663000-0067</t>
  </si>
  <si>
    <t>Gestón integral de cuencas hirdográficas en el Departamento del Quindío</t>
  </si>
  <si>
    <t xml:space="preserve">Mantener la oferta hídrica promedio anual  de las Unidades de Manejo de Cuenca (UMC) del departamento del Quindío 
</t>
  </si>
  <si>
    <t xml:space="preserve">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</si>
  <si>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</si>
  <si>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</si>
  <si>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Fondo del Agua creado e implementado</t>
  </si>
  <si>
    <t>Recurso Ordinario
Superavit recurso ordinario</t>
  </si>
  <si>
    <t>Bienes y servicios ambientales para las nuevas generaciones</t>
  </si>
  <si>
    <t xml:space="preserve">Conservar y restaurar seis (6) áreas de importancia estratégica para el recurso hídrico del departamento </t>
  </si>
  <si>
    <t>Áreas conservadas y restauradas</t>
  </si>
  <si>
    <t>0312 - 5 - 3 1 1 1 3 10 68 - 20   0312 - 5 - 3 1 1 1 3 10 68 -88</t>
  </si>
  <si>
    <t>201663000-0068</t>
  </si>
  <si>
    <t>Aplicación de mecanismos de protección ambiental en el Departamento del Quindío.</t>
  </si>
  <si>
    <t xml:space="preserve">Potencializar  el Sistema Departamental y municipal de áreas protegidas
</t>
  </si>
  <si>
    <t>Vigilancia, control y seguimiento a las áreas de protección</t>
  </si>
  <si>
    <t>Recuperación y mantenimiento de  las  zonas deterioradas en las áreas de protección.</t>
  </si>
  <si>
    <t>Adquisición y Mantenimiento  de las áreas de importancia estrategica</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</si>
  <si>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</si>
  <si>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</si>
  <si>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</si>
  <si>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</si>
  <si>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</si>
  <si>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</si>
  <si>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</si>
  <si>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Intervenir en herramientas del PCC las cuencas de los municipios con declaratoria de paisaje cultural cafetero</t>
  </si>
  <si>
    <t>0101/2018</t>
  </si>
  <si>
    <t>Diagnosticar y diseñar los corredores de conservación del PCC</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</si>
  <si>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</si>
  <si>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</si>
  <si>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Poner en marcha programas e incentivos a la conservación </t>
  </si>
  <si>
    <t>Restaurar con obras de bioingeniería veinte (20) Hectáreas o zonas críticas de riesgo.</t>
  </si>
  <si>
    <t xml:space="preserve">Número de hectáreas restauradas </t>
  </si>
  <si>
    <t xml:space="preserve">Poner en marcha obras de bioingenieria </t>
  </si>
  <si>
    <t>Desarrollar treinta y un (31) estrategias de educación ambiental  en los espacios participativos, comunitarios y educativos del departamento</t>
  </si>
  <si>
    <t>Número de estrategias de educación desarrolladas</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</si>
  <si>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</si>
  <si>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</si>
  <si>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</si>
  <si>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Número de  jóvenes,  mujeres, población vulnerable y con enfoque diferencial capacitados</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</si>
  <si>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</si>
  <si>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</si>
  <si>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</si>
  <si>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</si>
  <si>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</si>
  <si>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 xml:space="preserve">0312 - 5 - 3 1 2 2 4 13 72 - 20
0312 - 5 - 3 1 2 2 4 13 72 - 88  </t>
  </si>
  <si>
    <t>201663000-0072</t>
  </si>
  <si>
    <t>Fortalecimiento e innovación empresarial de la caficultura en el Departamento del Quindío</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</si>
  <si>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</si>
  <si>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</si>
  <si>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</si>
  <si>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Recursos Ordinarios
Superavít Recursos Ordinarios</t>
  </si>
  <si>
    <t xml:space="preserve">Capacitacion a caficultores en catacion, tostion y barismo </t>
  </si>
  <si>
    <t>Crear (6) seis grupos multiplicadores de conocimiento en emprendimiento y calidad del café  para jóvenes y mujeres rurales, campesinas y cafeteras</t>
  </si>
  <si>
    <t>Número de grupos multiplicadores creados</t>
  </si>
  <si>
    <t>Fortalecimiento a asociaciones de café de jovenes y mujeres rurales en buenas practicas agricolas y aseguramiento de la calidad del café a traves de asistencia tecnica y talleres</t>
  </si>
  <si>
    <t xml:space="preserve">Capacitación  a jovenes y mujeres rurales en asociatividad, emprendimiento,  en mejoramiento y aseguramiento de la calidad  
</t>
  </si>
  <si>
    <t>Crear (1) portafolio de café origen Quindío a través de la valoración de 6000 predios</t>
  </si>
  <si>
    <t>Portafolio de café origen Quindío creado</t>
  </si>
  <si>
    <t>Alto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</si>
  <si>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</si>
  <si>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</si>
  <si>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 Quindio</t>
  </si>
  <si>
    <t>Formalizar (1) un convenio interinstitucional para la inserción de los cafés de origen Quindío en los mercados nacionales e internacionales</t>
  </si>
  <si>
    <t>Convenio interinstitucional formalizado</t>
  </si>
  <si>
    <t xml:space="preserve">Convenio Interinstitucional 
</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</si>
  <si>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</si>
  <si>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</si>
  <si>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</si>
  <si>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t>
  </si>
  <si>
    <t>201663000-0176</t>
  </si>
  <si>
    <t>Creacion e implementacion de los centros agroindustriales para  la paz CAPAZ en el Deparamento del Quindio</t>
  </si>
  <si>
    <t xml:space="preserve">Equiparar el crecimiento del PIB del departamento del Quindío al PIB nacional
</t>
  </si>
  <si>
    <t>Mejorar  la productividad primaria agropecuaria</t>
  </si>
  <si>
    <t>Acompañamiento en la implementacion y asistencia tecnica y transferencia de tecnologia a pequeños productores  el sector agricola y pecuario a traves de visitas a predios</t>
  </si>
  <si>
    <t xml:space="preserve">Evento de tranferencia de tecnologia para el sector agricola y pecuario a productores del departamento del quindio </t>
  </si>
  <si>
    <t>Apoyar cinco (5) sectores productivos agropecuarios del departamento en métodos de mercadeo que propicien innovación en los aspectos comerciales de los productos del Quindío</t>
  </si>
  <si>
    <t>Sectores productivos apoyados</t>
  </si>
  <si>
    <t>Articular la demanda existente y la oferta efectiva</t>
  </si>
  <si>
    <t>Capacitacion en estrategias de mercadeo a diferentes   grupos asociativos de productores y agroindustriales</t>
  </si>
  <si>
    <t>Apoyo logistico</t>
  </si>
  <si>
    <t>Crear  seis (6) centros logísticos  para la transformación agroindustrial - CARPAZ</t>
  </si>
  <si>
    <t>Centros logísticos creados</t>
  </si>
  <si>
    <t>Brindar un sistema eficiente de prestación de servicios públicos</t>
  </si>
  <si>
    <t>Crear Centros Logísticos para la Transformación Agroindustrial</t>
  </si>
  <si>
    <t>Capacitar seis (6) unidades agro empresariales de jóvenes y mujeres rurales</t>
  </si>
  <si>
    <t>Unidades agro empresariales capacitadas</t>
  </si>
  <si>
    <t>Capacitaciones a los sectores agropecuarios</t>
  </si>
  <si>
    <t>Crear e implementar el Fondo de Financiamiento de Desarrollo Rural - FIDER</t>
  </si>
  <si>
    <t>Fondo de financiamiento creado e implementado</t>
  </si>
  <si>
    <t>0312 - 5 - 3 1 2 2 5 8 177 - 20</t>
  </si>
  <si>
    <t>201663000-0177</t>
  </si>
  <si>
    <t>Creación e implementación del Fondo de Financiamiento de Desarrollo Rural FIDER</t>
  </si>
  <si>
    <t xml:space="preserve">Mejoramiento de las condiciones de acceso al financiamiento de los productores agropecuarios, mediante la creacion de un fondo financiero para el desarrollo rural en el departamento del Quindío.                                               
</t>
  </si>
  <si>
    <t xml:space="preserve">Generación de procesos de  apoyo financiero de facil acceso para desarrolo del sector productivo rural.
</t>
  </si>
  <si>
    <t>Asistencia técnica en la creacion y elaboracion de FIDER</t>
  </si>
  <si>
    <t>Reactivar un instrumento de prevención por eventos naturales para productos agrícolas.</t>
  </si>
  <si>
    <t>Instrumento de prevención por eventos naturales para productos agrícolas reactivado</t>
  </si>
  <si>
    <t>0312 - 5 - 3 1 2 2 5 8 175 - 20
0312 - 5 - 3 1 2 2 5 8 175 - 88</t>
  </si>
  <si>
    <t>201663000-0175</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</si>
  <si>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</si>
  <si>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</si>
  <si>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Fortalecimiento de los  programas de prevención en el sector rural, para mejorar la capacidad de respuesta ante inminencia de eventos y riesgos naturales </t>
  </si>
  <si>
    <t>Establecimiento de barreras vivas</t>
  </si>
  <si>
    <t xml:space="preserve">Generación de espacios de articulación institucional en apoyo de asistencia técnica rural ante eventos y riesgos naturales  </t>
  </si>
  <si>
    <t>Acompañamiento técnico y educación ambiental  en prevención en eventos y riesgos naturales</t>
  </si>
  <si>
    <t>Recurso Ordinario
Superavit de recurso ordinario</t>
  </si>
  <si>
    <t>Emprendimiento y empleo rural</t>
  </si>
  <si>
    <t>Apoyar la formalización de empresas en cuatro (4)  sectores productivos agropecuarios del Departamento</t>
  </si>
  <si>
    <t>Número de sectores productivos apoyados</t>
  </si>
  <si>
    <t>0312 - 5 - 3 1 2 2 6 13 75 - 20   0312 - 5 - 3 1 2 2 6 13 75 - 88</t>
  </si>
  <si>
    <t>201663000-0075</t>
  </si>
  <si>
    <t xml:space="preserve">Fomento al emprendimiento y  al empleo rural en el Departamento del Quindío  </t>
  </si>
  <si>
    <t xml:space="preserve"> Aumetar crecimiento del PIB del departamento  del Quindio a frente al PIB Nacional</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</si>
  <si>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</si>
  <si>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apoyo en la formalización de empresas en los sectores productivos</t>
  </si>
  <si>
    <t>Generar un apalancamiento a 100  iniciativas productivas rurales</t>
  </si>
  <si>
    <t>Número de iniciativas productivas apalancadas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</si>
  <si>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</si>
  <si>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Identificacion, caraterizacion de las nuevas iniciativas productivas rurales</t>
  </si>
  <si>
    <t xml:space="preserve">Capacitar mil doscientos (1200)  jóvenes y mujeres rurales en actividades agrícolas y no agrícolas </t>
  </si>
  <si>
    <t>Número de jóvenes y mujeres rurales capacitados</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</si>
  <si>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</si>
  <si>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Capacitacion a jovenes y mujeres rurales en actividades agricolas y no agricolas.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</si>
  <si>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</si>
  <si>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</si>
  <si>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 xml:space="preserve">formacion para el trabajo y el desarrollo humano
</t>
  </si>
  <si>
    <t>Impulso a la competitividad productiva y empresarial del sector Rural</t>
  </si>
  <si>
    <t>Apoyar (5) cinco sectores productivos del Departamento en ruedas de negocio</t>
  </si>
  <si>
    <t>0312 - 5 - 3 1 2 2 7 13 78 - 20</t>
  </si>
  <si>
    <t>201663000-0078</t>
  </si>
  <si>
    <t>Fortalecimiento a la competitividad productiva y empresarial del sector rural en el Departamento del Quindio</t>
  </si>
  <si>
    <t xml:space="preserve">Crecimiento del PIB del departamento  del Quindio frente al PIB Nacional                                         
</t>
  </si>
  <si>
    <t xml:space="preserve">Conocimiento de metodos no tradicionales de comercialización </t>
  </si>
  <si>
    <t>Impulsar la competitivdad productiva y empresarial  mediante ruedas de negocio</t>
  </si>
  <si>
    <t>Realizar (3) tres eventos  de capacitación para acceder a mercados internacionales</t>
  </si>
  <si>
    <t>Numero de eventos de capacitación realizados</t>
  </si>
  <si>
    <t xml:space="preserve">Aumentar la divulgación de eventos especializados para acceder a mercados Internacionales </t>
  </si>
  <si>
    <t xml:space="preserve">Capacitar al sector empresarial rural para el acceso a mercados internacionales.
</t>
  </si>
  <si>
    <t>Diseñar e implementar (1) un instrumento de planificación e información rural para la comercialización de productos transables</t>
  </si>
  <si>
    <t>Instrumento de planificación e información diseñado e implementado</t>
  </si>
  <si>
    <t xml:space="preserve">Puesta en marcha de los instrumentos de planificación e información rural
</t>
  </si>
  <si>
    <t>Recuerso Ordinario</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</si>
  <si>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</si>
  <si>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</si>
  <si>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</si>
  <si>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 xml:space="preserve">0312 - 5 - 3 1 3 11 34 8 79 - 20
0312 - 5 - 3 1 3 11 34 8 79 -   88                   </t>
  </si>
  <si>
    <t>201663000-0079</t>
  </si>
  <si>
    <t>Fomento a la agricultura familiar , urbana y  mercados campesinos para la soberanía y  Seguridad alimentaria en el Departamento del Quindio.</t>
  </si>
  <si>
    <t>Aumentar la producción de frutas y verduras para el autoconsumo del departamento del Quindío a través de la implementación de un sistema de parcelas campesinas y comercio de excedentes.</t>
  </si>
  <si>
    <t xml:space="preserve">Implementacion del programa de Agricultura Familiar Campesina a traves de acompañamiento tecnico a beneficiarios </t>
  </si>
  <si>
    <t xml:space="preserve">20
88
</t>
  </si>
  <si>
    <t>Recuerso Ordinario
Superavit de recurso ordinario</t>
  </si>
  <si>
    <t>Adquirir semillas, insumos, herramientas, equipos e implementos necesarios para el establecimiento de la canasta familiar basica familiar para apoyar con el suministro a productores y familias benefeciarias</t>
  </si>
  <si>
    <t>Apoyar la conformación de cuatro (4) alianzas para contratos de compra anticipada de productos de la agricultura familiar en el departamento del Quindío</t>
  </si>
  <si>
    <t>Numero de alianzas para contratos de compra anticipada apoyados</t>
  </si>
  <si>
    <t>Acompañamiento tecnico a productores agropecuarios en la productividad primaria y alistamiento de la oferta, permitiendo asi la insercion en nuevos mercados locales, regionales y nacionales</t>
  </si>
  <si>
    <t>Sembrar quinientas (500) Ha de productos de la canasta básica familiar para aumentar la disponibilidad de alimentos</t>
  </si>
  <si>
    <t>Número de hectáreas sembradas</t>
  </si>
  <si>
    <t xml:space="preserve">Sembrar 150 Ha de productos de la canasta basica familiar a traves del apoyo en siembras directas y convenios que fortalezcan  la produccion en pequeños y medianos agricultores </t>
  </si>
  <si>
    <t>Recurso Ordinario
Superavit de recurso ordinario</t>
  </si>
  <si>
    <t>Beneficiar a 2400 familias urbanas y periurbanas con parcelas de agricultura familiar para autoconsumo y comercio de excedentes</t>
  </si>
  <si>
    <t>Numero de familias beneficiadas</t>
  </si>
  <si>
    <t>Acompañamiento a familias urbanas y periurbanas en el establecimiento de parcelas de agricultura familiar</t>
  </si>
  <si>
    <t>Acompañamiento tecnico y logistico en el alistamiento de la oferta productiva de peqeños agricultores en mercados campesinos en los municipios del Departamento del Quindio</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</si>
  <si>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</si>
  <si>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</si>
  <si>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</si>
  <si>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SECRETARÍA DE AGRICULTURA, DESARROLLO RURAL Y MEDIO AMBIENTE</t>
  </si>
  <si>
    <t>PROGRAMACIÓN PLAN DE ACCIÓN
SECRETARIA DE AGRICULTURA, DESARROLLO RURAL Y MEDIO AMBIENTE
IV TRIMESTRE 2018</t>
  </si>
  <si>
    <r>
      <rPr>
        <sz val="12"/>
        <rFont val="Arial"/>
        <family val="2"/>
      </rPr>
      <t xml:space="preserve">Talleres de capacitacion en el mejoramiento de la dieta alimenticia a partir de productos de la canasta basica familiar </t>
    </r>
    <r>
      <rPr>
        <sz val="12"/>
        <color indexed="10"/>
        <rFont val="Arial"/>
        <family val="2"/>
      </rPr>
      <t xml:space="preserve">
</t>
    </r>
  </si>
  <si>
    <t>Palenqueras</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</si>
  <si>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</si>
  <si>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</si>
  <si>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</si>
  <si>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</si>
  <si>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</si>
  <si>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</si>
  <si>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</si>
  <si>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Realizar  procesos de capacitación, asistencia técnica, seguimiento y evaluación del  Indice de Transparencia a las Secretarias Sectoriales eInstitutos Descentralizados del  Departamento del Quindio,  </t>
  </si>
  <si>
    <t>A. Capacitación asistencia tecnica, seguimiento y evaluacion  indice de transparencia  administración departamental e institutos descentralizados (promotora de vivienda, idtq  e indeportes)   * (Bienes y Servicios)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</si>
  <si>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</si>
  <si>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</si>
  <si>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B. Capacitación asistencia técnica, seguimiento y evaluación  índice de transparencia   entes territoriales departamentales</t>
  </si>
  <si>
    <t>1.  Análisis histórico y socialización   índices de gobierno abierto IGA  e índice de transparencia departamento  del Quindío</t>
  </si>
  <si>
    <t>2. Diagnóstico implementación Ley 1712 de 2012  municipios del departamento del Quindío</t>
  </si>
  <si>
    <t>3. Asistencia técnica  implementación  componentes Ley 1712 de 2012</t>
  </si>
  <si>
    <t>4.  Seguimiento y evaluación y socialización  implementación y operatividad componentes índice de transparencia</t>
  </si>
  <si>
    <t xml:space="preserve">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2018 .   
</t>
  </si>
  <si>
    <t>C. Capacitación temas de interés</t>
  </si>
  <si>
    <t>D. Logística</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</si>
  <si>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</si>
  <si>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</si>
  <si>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</si>
  <si>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</si>
  <si>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</si>
  <si>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</si>
  <si>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</si>
  <si>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</si>
  <si>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t>
  </si>
  <si>
    <t>Recursos Ordinarios.</t>
  </si>
  <si>
    <t>Estrategia de Prosperidad con Equidad</t>
  </si>
  <si>
    <t>Estrategia de Inclusion Social</t>
  </si>
  <si>
    <t>Estrategia de Seguridad Humana</t>
  </si>
  <si>
    <t>Estrategia de Buen Gobierno</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</si>
  <si>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</si>
  <si>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2017</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</si>
  <si>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</si>
  <si>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 xml:space="preserve">Sonido </t>
  </si>
  <si>
    <t xml:space="preserve">Refrigerios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</si>
  <si>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</si>
  <si>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</si>
  <si>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</si>
  <si>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</si>
  <si>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</si>
  <si>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</si>
  <si>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</si>
  <si>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</si>
  <si>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</si>
  <si>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Suministro de almuerzos en los doce municipios del Quindío, durante las sesiones descentralizadas.</t>
  </si>
  <si>
    <t xml:space="preserve">1.2. XII Encuentro CTP, traslados de ida y vuelta Suministro de alimentación en el municipio sede, Servicio de alojamiento </t>
  </si>
  <si>
    <t xml:space="preserve">1.3.XXII Congreso del Sistema Nacional de Planeación, traslado de ida y vuelta en transporte aéreo.   suministro de alimentación servicio de alojamiento </t>
  </si>
  <si>
    <t>1.4. Asistencia de los Consejeros a Foros regionales de participación ciudadana y estratégicos, incluye:  Traslados aéreos,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</si>
  <si>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</si>
  <si>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</si>
  <si>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3.3. Suministro de material litografico, papeleria, impresos y publicaciones, entre otros</t>
  </si>
  <si>
    <t xml:space="preserve">Aumentar los  espacios para capacitación orientados en planificación del territorio Quindiano a través de diplomado o Escuela de liderazgo en ordenamiento territorial en el Departamento del Quindio, durante la vigencia 2018. 
</t>
  </si>
  <si>
    <t>4. 1.  Realización Diplomado  para los Consejeros Territoriales del Departamento</t>
  </si>
  <si>
    <t>4.2. Diseñar y elaborar el Contenido Programatico de la Escuela de Liderazgo y Planeación participativa</t>
  </si>
  <si>
    <t xml:space="preserve">Los instrumentos  de planificación como  ruta para el cumplimiento de la gestión pública  </t>
  </si>
  <si>
    <t>Diseñar e implementar el Plan de Ordenamiento del Departamento del Quindio.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</si>
  <si>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</si>
  <si>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</si>
  <si>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</si>
  <si>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</si>
  <si>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</si>
  <si>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Alistamiento para implementar y diagnosticar los ejes y directrices del plan d eordenamiento departamental POD</t>
  </si>
  <si>
    <t>Recursos Ordinarios
Superavit ordinario</t>
  </si>
  <si>
    <t>Actualizacion permanente de las determinantes del POD</t>
  </si>
  <si>
    <t>Puesta en marcha del proceso contractual de implementacion del POD</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</si>
  <si>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</si>
  <si>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</si>
  <si>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</si>
  <si>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Mantener y actualizar los componentes del sig institucional</t>
  </si>
  <si>
    <t>Actualizacion de Licencias y Software del sig institucional</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</si>
  <si>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</si>
  <si>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</si>
  <si>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</si>
  <si>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 como insumo fundamental del POD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</si>
  <si>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</si>
  <si>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</si>
  <si>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</si>
  <si>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</si>
  <si>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</si>
  <si>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</si>
  <si>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</si>
  <si>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Implementacion de procesos de asociatividad mas favorables en el Departamento</t>
  </si>
  <si>
    <t>Apoyo actos constitutivos y mesas tecnicas RAP EJE CAFETERO</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</si>
  <si>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</si>
  <si>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</si>
  <si>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</si>
  <si>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</si>
  <si>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</si>
  <si>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</si>
  <si>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</si>
  <si>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2017.</t>
  </si>
  <si>
    <t>José Iganacio Rojas Sepúlveda
Secretario Departamental de Planeación</t>
  </si>
  <si>
    <t>Análisis de la información recolectada para la actualización y generación de los  boletines trimestrales (4), el informe anual del departamento (1) y los demás análisis requeridos correspondientes a la vigencia 2017 (1 Informe de Empleo)</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</si>
  <si>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</si>
  <si>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Fortalecer el seguimiento a los problemas identificados en el departamento con relacion a los ODS para la ultima vigencia de analisis</t>
  </si>
  <si>
    <t>Apoyo en la implementación del sistema de consulta del Observatorio de Desarrollo Humano y fortalecimiento de su funcionamiento a partir de la compra de equipos de computo y de licencias</t>
  </si>
  <si>
    <t xml:space="preserve">Apoyo en la recolección y procesamiento de bases y datos estadísticos para la estructuración del sistema de información </t>
  </si>
  <si>
    <t>Apoyo en la asistencia y revisión de las Fichas Básicas Municipales</t>
  </si>
  <si>
    <t xml:space="preserve"> Impresos, diseños, visualizaciones</t>
  </si>
  <si>
    <t>Diseñar e implementar el tablero de control  para el seguimiento y evaluación del Plan de Desarrollo  y   políticas públicas  Departamentales</t>
  </si>
  <si>
    <t>Tablero de control diseñado e implementado</t>
  </si>
  <si>
    <t>0305 - 5 - 3 1 5 28 87 17 11 - 20
0305 - 5 - 3 1 5 28 87 17 11 - 88</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</si>
  <si>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</si>
  <si>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</si>
  <si>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</si>
  <si>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</si>
  <si>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 xml:space="preserve">Recursos Ordinarios
Superavit Recurso Ordinario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</si>
  <si>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</si>
  <si>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</si>
  <si>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</si>
  <si>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</si>
  <si>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</si>
  <si>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</si>
  <si>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nacionales, a través del SGR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</si>
  <si>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</si>
  <si>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</si>
  <si>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</si>
  <si>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Asistencia Técnica  componentes Económico, Social y Ambiental</t>
  </si>
  <si>
    <t xml:space="preserve">Asistencia Tecnica componente  de Ingenieria y/o Arquitectura </t>
  </si>
  <si>
    <t>Asistencia Técnica en la formulación y estructuración de  proyectos del orden Departamental, Regional, Nacional e Internacional, en  la Metodología requerida implementadas para tal efecto.</t>
  </si>
  <si>
    <t>Asistencia Técnica en la formulación y estructuración de  proyectos del orden Departamental, Regional, Nacional e Internacional,  (Casa delegada)</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</si>
  <si>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</si>
  <si>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</si>
  <si>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</si>
  <si>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</si>
  <si>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</si>
  <si>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Apoyo a la formulación, estructuración, ajustes y Actualización  de proyectos de Inversión vigencias  2018 y 2019, en su marco logico y a través de la Herramienta MGA WEB .   b) Apoyo a los procesos de control y seguimiento a la inversión pública del Departamento.  c) Apoyo a los trámites de rendición de informes</t>
  </si>
  <si>
    <t xml:space="preserve">Estudios de preinversión  Departamento del Quindio </t>
  </si>
  <si>
    <t xml:space="preserve">Actualizar el Sistema Integrado de Gestión Administrativa SIGA del departamento del Quindío </t>
  </si>
  <si>
    <t>Sistema Integrado de Gestión actualizado</t>
  </si>
  <si>
    <t>0305 - 5 - 3 1 5 28 87 17 13 - 20</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</si>
  <si>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</si>
  <si>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</si>
  <si>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</si>
  <si>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</si>
  <si>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1. Ajuste y actualización  procedimiento procesos  Sistema Integrado de Gestión Administrativa</t>
  </si>
  <si>
    <t>2. Ajuste  y actualización contexto estratégico  Sistema Integrado de Gestión Administrativa  (misión. visión  y matriz DOFFA)</t>
  </si>
  <si>
    <t>3. Ajuste y actualización  manual de calidad departamento del Quindío</t>
  </si>
  <si>
    <t xml:space="preserve">3.1     Politica de Calidad </t>
  </si>
  <si>
    <t xml:space="preserve">3.2 Objetivos de Calidad </t>
  </si>
  <si>
    <t xml:space="preserve">3.3 Indicadores de  Calidad </t>
  </si>
  <si>
    <t xml:space="preserve">3.4    Listado Maestro de Normograma </t>
  </si>
  <si>
    <t xml:space="preserve">3.5  Servicio No Conforme </t>
  </si>
  <si>
    <t xml:space="preserve">3.6  Listado de Maestros Internos  </t>
  </si>
  <si>
    <t xml:space="preserve">3.7  Listado de Maestros Externos </t>
  </si>
  <si>
    <t xml:space="preserve">3.8 Listado de Maestros de Registros </t>
  </si>
  <si>
    <t>3.8  Interelaciones de procesos </t>
  </si>
  <si>
    <t>3.9 Matriz Plan de Comunicaciones </t>
  </si>
  <si>
    <t>3.10 Asistencia tecnica mapa de riesgos institucionales</t>
  </si>
  <si>
    <t xml:space="preserve">3.12 Estructuración Manual de Calidad </t>
  </si>
  <si>
    <t xml:space="preserve">Capacitar a los funcionarios de la Administración departamental  en la operatividad del Sistema Integrado de la Gestión Administrativa  del Departamento del Quindio, con el fin de aumentar los indices de eficiencia y efiacia </t>
  </si>
  <si>
    <t xml:space="preserve">4.  Socialización  Ajuste y Actualización Contexto Estrategico Manual de Calidad Secretarias de Despacho </t>
  </si>
  <si>
    <t xml:space="preserve">Implementar el Comité  de Planificación  Departamental   </t>
  </si>
  <si>
    <t>Comité de Planificación Departamental implementado</t>
  </si>
  <si>
    <t>0305 - 5 - 3 1 5 28 87 17 14 - 20
0305 - 5 - 3 1 5 28 87 17 14 - 88</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</si>
  <si>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</si>
  <si>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</si>
  <si>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</si>
  <si>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</si>
  <si>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</si>
  <si>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</si>
  <si>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</si>
  <si>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</si>
  <si>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</si>
  <si>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</si>
  <si>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</si>
  <si>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</si>
  <si>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</si>
  <si>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</si>
  <si>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 Asistencia técnica, seguimiento y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</si>
  <si>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</si>
  <si>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</si>
  <si>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</si>
  <si>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</si>
  <si>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</si>
  <si>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Capacitación , Asistencia técnica, seguimiento y/o evaluación Estratificación Socioeconómica</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</si>
  <si>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</si>
  <si>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</si>
  <si>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en los doce (12) Municipios </t>
  </si>
  <si>
    <t>Entes territoriales municipales asistidos</t>
  </si>
  <si>
    <t xml:space="preserve">Capacitación, asistencia técnica, seguimiento y/o evaluación incorporación Modelo de Ocupación del Territorio en los doce municipios </t>
  </si>
  <si>
    <t>JOSE IGNACIO ROJAS SEPULVEDA</t>
  </si>
  <si>
    <t xml:space="preserve">SECRETARIO DE PLANEACION DEPARTAMENTAL </t>
  </si>
  <si>
    <t>PROGRAMACION PLAN DE ACCIÓN
SECRETARIA DE PLANEACION
IV TRIMESTRE 2018</t>
  </si>
  <si>
    <t xml:space="preserve">1. Construcción procedimiento cargue de información indicadores de producto  (automatizada) en el tablero de control Gerencial, elaborando rutinas de consulta en el motor de base de datos para organizar reportes de informacion consolidadas en el Plan de Desarrollo Departamental y capturando la información de las metas físicas </t>
  </si>
  <si>
    <t>2. Construcción procedimiento cargue de información indicadores de resultado (automatizada) en el tablero de control Gerencial, elaborando aplicación para automatizar las rutinas del tablero de mando de indicadores de resultado del Plan de Desarrollo y realizando análisis comparativo indicadores de resultado con los departamentos del Eje Cafetero</t>
  </si>
  <si>
    <t>3. Elaboración ruta de seguimiento del Plan de Acción, a través de una plataforma WEB,  flujos de información y conexiones, definiendo los avances de metas físicas, para la validación de la información y realizando análisis de las ejecuciones presupuestales</t>
  </si>
  <si>
    <t>4.  Codificación de procedimientos para la operación del seguimiento, Monitoreo y Control del Plan de Desarrollo, la automatización y visualización de indicadores físicos y financieros del Tablero de Control Gerencial, la elaboración de aplicativos para automatizar las rutinas de los tableros de mando de indicadores de resultado, realizando análisis comparativo indicadores de resultado con los departamentos del Eje Cafetero, a traves  de aplicaciones ofimáticas</t>
  </si>
  <si>
    <t xml:space="preserve">5. Recolección, consolidación y digitación  de información de evidencias con las  unidades ejecutoras, elaboración del documento de códigos y correlativas para la integración del Sistema presupuestal con el avance físico del cumplimiento del Plan de Desarrollo Departamental </t>
  </si>
  <si>
    <t>6. Consolidación fichas técnicas  metas producto periodo administrativo  2016-2017</t>
  </si>
  <si>
    <t>7. Realización de mesas de trabajo con las secretarias y entes descentralizados para validación de información</t>
  </si>
  <si>
    <t xml:space="preserve">8. Adquisición de licencia de uso y funcionamiento </t>
  </si>
  <si>
    <t xml:space="preserve">9  Revisión y análisis de las alertas a nivel de Estrategia, Programa, Subprogramas, Proyectos y Metas e Indicadores, elaborando informe de gestión del Estado de Avance del Plan de Desarrollo, a través de resultados obtenidos en el Tablero de Control, generando reporte y ranking </t>
  </si>
  <si>
    <t>2.1 Revisión y análisis de las alertas a nivel de Estrategias, Programas, Subprogramas, Proyectos, Metas e Indicadores en el Tablero de Control Gerencial</t>
  </si>
  <si>
    <t>2.2. Sensibilización a funcionarios y contratistas de las unidades ejecutoras, del proceso de implementación del Tablero de Control.</t>
  </si>
  <si>
    <t>3. Elaboración de documentos, manuales y presentaciones, ncesarios para la sensibilización a los funcionarios y contratistas de la Administración Departamental, del proceso de implementación del Tablero de Control</t>
  </si>
  <si>
    <t>Infraestructura Sostenible para la Paz</t>
  </si>
  <si>
    <t>Mejora de la Infraestructura Vial del Departamento del Quindío</t>
  </si>
  <si>
    <t>Mantener, mejorar y/o rehabilitar ciento treinta (130) km de vías del Departamento para la implementación del Plan Vial Departamental.</t>
  </si>
  <si>
    <t>Km de vías del departamento mantenidas, mejoradas y/o rehabilitadas</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</si>
  <si>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</si>
  <si>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</si>
  <si>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</si>
  <si>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</si>
  <si>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</si>
  <si>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</si>
  <si>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</si>
  <si>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Leonardo Rodriguez Ospina</t>
  </si>
  <si>
    <t>Mejora de la Infraestructura  Social del Departamento del Quindío</t>
  </si>
  <si>
    <t>Apoyar la construcción, mejoramiento y/o  rehabilitación de la infraestructura de doce (12) escenarios deportivos y/o recreativos en el departamento del Quindío</t>
  </si>
  <si>
    <t>Número de escenarios deportivo o recreativo  apoyado</t>
  </si>
  <si>
    <t xml:space="preserve">Desarrollo de Programas y Proyectos, en los componentes de vivienda, infraestructura, equipamiento colectivo y comunitario.
</t>
  </si>
  <si>
    <t>Construcción, mejoramiento y/o rehabilitación de la infraestructura de escenarios deportivos y/o recreativos.</t>
  </si>
  <si>
    <t>04</t>
  </si>
  <si>
    <t>EPD</t>
  </si>
  <si>
    <t>Mantener, mejorar y/o rehabilitar la Infraestructura de cuarenta y ocho (48) instituciones educativas en el departamento del Quindío.</t>
  </si>
  <si>
    <t>Numero de instituciones educativas mantenidas, mejoradas y/o rehabilitadas</t>
  </si>
  <si>
    <t>Mantener, mejorar y/o rehabilitar la Infraestructura instituciones educativas en el departamento del Quindío.</t>
  </si>
  <si>
    <t>Apoyar la construcción, el mantenimiento, el mejoramiento y/o la rehabilitación de la infraestructura de doce (12) equipamientos públicos y colectivos del Departamento del Quindío.</t>
  </si>
  <si>
    <t>Numero de equipamientos públicos y colectivos apoyados</t>
  </si>
  <si>
    <t>Construcción, mantenimiento, mejoramiento y/o la rehabilitación de la infraestructura de equipamientos públicos y colectivos.</t>
  </si>
  <si>
    <t>129</t>
  </si>
  <si>
    <t>Apoyar la construcción y  el mejoramiento de mil (1000) viviendas urbana y rural priorizada en el departamento del Quindío.</t>
  </si>
  <si>
    <t>Número de viviendas apoyadas</t>
  </si>
  <si>
    <t>Mejoramiento y/o construcción de vivienda urbana y rural.</t>
  </si>
  <si>
    <t>LEONARDO RODRIGUEZ OSPINA</t>
  </si>
  <si>
    <t>Gerente General - ProviQuindío.</t>
  </si>
  <si>
    <t>Proyectó: Diego Fernando Ramirez Restrepo</t>
  </si>
  <si>
    <t>Profesional Universitario - Contratista.</t>
  </si>
  <si>
    <t xml:space="preserve">SEGURIDAD HUMANA </t>
  </si>
  <si>
    <t>Seguridad humana como dinamizador de la vida, dignidad y libertad en el Qundío</t>
  </si>
  <si>
    <t>Fortalecimiento dela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</si>
  <si>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</si>
  <si>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</si>
  <si>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</si>
  <si>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</si>
  <si>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</si>
  <si>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</si>
  <si>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</si>
  <si>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 xml:space="preserve">Recursos Propios </t>
  </si>
  <si>
    <t>Gloria Mercedes Buitrago
Directora</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</si>
  <si>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</si>
  <si>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</si>
  <si>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</si>
  <si>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</si>
  <si>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</si>
  <si>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</si>
  <si>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</si>
  <si>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</si>
  <si>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</si>
  <si>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Apoyo al deporte asociado</t>
  </si>
  <si>
    <t xml:space="preserve"> Ligas deportivas del departamento del Quindío</t>
  </si>
  <si>
    <t xml:space="preserve">Apoyar  y fortalecer veintitrés (23) ligas deportivas   </t>
  </si>
  <si>
    <t>Ligas deportivas apoyadas y fortalecidas</t>
  </si>
  <si>
    <t>2234468202_4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</si>
  <si>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</si>
  <si>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</si>
  <si>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</si>
  <si>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</si>
  <si>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</si>
  <si>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LEY 1816  (MONOPOLIO)</t>
  </si>
  <si>
    <t>GERENTE GENERAL INDEPORTES</t>
  </si>
  <si>
    <t>2234468202-12</t>
  </si>
  <si>
    <t>CIGARRILLO 70%</t>
  </si>
  <si>
    <t>2334468202_6</t>
  </si>
  <si>
    <t>Realizar acompañamiento y asesorìa a las ligas y clubes del departamento  (Componente tecnico)</t>
  </si>
  <si>
    <t>RECURSOS DE CAPITAL (RF)</t>
  </si>
  <si>
    <t>2234468202-9</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</si>
  <si>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</si>
  <si>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</si>
  <si>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</si>
  <si>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</si>
  <si>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</si>
  <si>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</si>
  <si>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</si>
  <si>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 .</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</si>
  <si>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</si>
  <si>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</si>
  <si>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</si>
  <si>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</si>
  <si>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</si>
  <si>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</si>
  <si>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2234470205-4</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</si>
  <si>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</si>
  <si>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</si>
  <si>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</si>
  <si>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</si>
  <si>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</si>
  <si>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2234470205-7</t>
  </si>
  <si>
    <t>2334470205_6</t>
  </si>
  <si>
    <t>2234470205-12</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</si>
  <si>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</si>
  <si>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</si>
  <si>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</si>
  <si>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</si>
  <si>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</si>
  <si>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</si>
  <si>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</si>
  <si>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</si>
  <si>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</si>
  <si>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</si>
  <si>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2334471206_6</t>
  </si>
  <si>
    <t>Cigarrillo 70%</t>
  </si>
  <si>
    <t>Desarrollar  1 eventos de deporte social y comunitario.</t>
  </si>
  <si>
    <t>Eventos deportivos social y comunitarios desarrollar</t>
  </si>
  <si>
    <t>2234471207_12</t>
  </si>
  <si>
    <t>Realizacion de eventos deportivos en el departamento (Adquisición de Bienes y Servicios)</t>
  </si>
  <si>
    <t>2334471207_11</t>
  </si>
  <si>
    <t>Aportes Departamewntales RB</t>
  </si>
  <si>
    <t>2334471207_13</t>
  </si>
  <si>
    <t>SUPERAVIT 2017</t>
  </si>
  <si>
    <t>2334471207_6</t>
  </si>
  <si>
    <t>Cifgarrillo 70%</t>
  </si>
  <si>
    <t>Apoyar  técnicamente un 1  evento de  Juegos Comunales en la fase Departamental</t>
  </si>
  <si>
    <t>Juegos comunales apoyados.</t>
  </si>
  <si>
    <t>2234471208_4</t>
  </si>
  <si>
    <t>Realizacion de los juegos comunales en el departamento (Adquisición de Bienes y Servicios)</t>
  </si>
  <si>
    <t>2334471208_6</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</si>
  <si>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</si>
  <si>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</si>
  <si>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</si>
  <si>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</si>
  <si>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</si>
  <si>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</si>
  <si>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</si>
  <si>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</si>
  <si>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</si>
  <si>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</si>
  <si>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</si>
  <si>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 xml:space="preserve">Ley 1816 (3% Monoolio Licores) </t>
  </si>
  <si>
    <t>2334572209_4</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</si>
  <si>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</si>
  <si>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</si>
  <si>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</si>
  <si>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</si>
  <si>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2334572210_4</t>
  </si>
  <si>
    <t>Recurso Ordinario RB</t>
  </si>
  <si>
    <t>2234572210_3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</si>
  <si>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</si>
  <si>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</si>
  <si>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</si>
  <si>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</si>
  <si>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2334572211_3</t>
  </si>
  <si>
    <t>Ley 1816 (3% Monoolio Licores)  RB</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</si>
  <si>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</si>
  <si>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</si>
  <si>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</si>
  <si>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</si>
  <si>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</si>
  <si>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</si>
  <si>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</si>
  <si>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</si>
  <si>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</si>
  <si>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2334573212_4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</si>
  <si>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</si>
  <si>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</si>
  <si>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</si>
  <si>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</si>
  <si>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</si>
  <si>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</si>
  <si>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</si>
  <si>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</si>
  <si>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</si>
  <si>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 xml:space="preserve">GERENTE GENERAL INDEPORTES
</t>
  </si>
  <si>
    <t>Territorio Vital</t>
  </si>
  <si>
    <t>Manejo Integral del Agua y Saneamiento Basico</t>
  </si>
  <si>
    <t>Formular y ejecutar veinte (20) proyectos de infraestructura de agua potable y saneamiento básico</t>
  </si>
  <si>
    <t>No de proyectos de infraestructura formulados y/o ejecutados</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</si>
  <si>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</si>
  <si>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</si>
  <si>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</si>
  <si>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</si>
  <si>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</si>
  <si>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SGP Agua Potable y Saneamineto Básico</t>
  </si>
  <si>
    <t>Ing. Angela Maria Agudelo Rodriguez - Directora PDA</t>
  </si>
  <si>
    <t xml:space="preserve">Ing. Juan Antonio Osorio Alvarez- Secretario de Aguas e Infraestructura  </t>
  </si>
  <si>
    <t>0308 - 5 - 3 1 1 1 2 3 22 - 04</t>
  </si>
  <si>
    <t>Superavit SGP</t>
  </si>
  <si>
    <t xml:space="preserve">0308 - 5 - 3 1 1 1 2 3 22 - 27
</t>
  </si>
  <si>
    <t>Formular proyectos para ejecutar diferentes proyectos con el fin de brindar un buen servicio de Agua potable y Saneamiento basico.</t>
  </si>
  <si>
    <t>82</t>
  </si>
  <si>
    <t xml:space="preserve">Estampilla Prodesarrollo </t>
  </si>
  <si>
    <t>0308 - 5 - 3 1 1 1 2 3 22 - 82</t>
  </si>
  <si>
    <t>0308 - 5 - 3 1 1 1 2 3 22 - 90</t>
  </si>
  <si>
    <t xml:space="preserve"> Superavit Estampilla Prodesarrollo</t>
  </si>
  <si>
    <t>201663000-0023</t>
  </si>
  <si>
    <t>Construcción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</si>
  <si>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</si>
  <si>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</si>
  <si>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 xml:space="preserve">0308 - 5 - 3 1 1 1 2 3 23 - 27
</t>
  </si>
  <si>
    <t>0308 - 5 - 3 1 1 1 2 3 23 - 82</t>
  </si>
  <si>
    <t>Formular,priorizar, viabilizar y ejecutar proyectos de infraestructura de Agua Potable y Saneamiento Basico</t>
  </si>
  <si>
    <t>Superavit Estampilla Prodesarrollo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</si>
  <si>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</si>
  <si>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</si>
  <si>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</si>
  <si>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</si>
  <si>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</si>
  <si>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</si>
  <si>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</si>
  <si>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</si>
  <si>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</si>
  <si>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</si>
  <si>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</si>
  <si>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</si>
  <si>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</si>
  <si>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</si>
  <si>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</si>
  <si>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</si>
  <si>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</si>
  <si>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</si>
  <si>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</si>
  <si>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</si>
  <si>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</si>
  <si>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</si>
  <si>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</si>
  <si>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</si>
  <si>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</si>
  <si>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</si>
  <si>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</si>
  <si>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</si>
  <si>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 de proyectos para la gestión del riesgo ejecutados </t>
  </si>
  <si>
    <t>0308 - 5 - 3 1 1 1 2 3 27 - 27</t>
  </si>
  <si>
    <t>201663000-0027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</si>
  <si>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</si>
  <si>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2018.</t>
  </si>
  <si>
    <t>Destinar recursos de inversion en planes mantenimiento con su correspondiente priorizacion a través de la estructuración priorizada de
inversión por fases para la gestión del riesgo en el sector de agua potable y saneamiento básico en el Dpto.</t>
  </si>
  <si>
    <t>Estructuración priorizada de inversión para la Gestión del Riesgo en el Sector de Agua Potable y Saneamiento Básico.</t>
  </si>
  <si>
    <t>Atención de emergencias que afecten la prestación de servicios de Agua Potable y Saneamiento Básico.</t>
  </si>
  <si>
    <t>Planificar  adecuadamente los procesos para la mitigación de riesgos en la prestación del servicio de  ,APSB a través de estudios de la gestión del riesgo que aporten en el conocimiento de los mismos.</t>
  </si>
  <si>
    <t>Formulación de un (1) Estudio de Gestión del Riesgo en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</si>
  <si>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</si>
  <si>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</si>
  <si>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</si>
  <si>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</si>
  <si>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</si>
  <si>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</si>
  <si>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</si>
  <si>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</si>
  <si>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</si>
  <si>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</si>
  <si>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Adquisición de bienes y servicios</t>
  </si>
  <si>
    <t>Sobretasa ACPM</t>
  </si>
  <si>
    <t xml:space="preserve">Ing. Marco Aurelio Forero Patino - Director Infraestructura Vial </t>
  </si>
  <si>
    <t>Ing. Juan Antonio Osorio Alvarez  - Secretario de Aguas e Infraestructura</t>
  </si>
  <si>
    <t>Apoyo Institucional</t>
  </si>
  <si>
    <t>Componente Técnico</t>
  </si>
  <si>
    <t>0308 - 5 - 3 1 2 4 14 9 19 - 23</t>
  </si>
  <si>
    <t>Interventoria y Administracion</t>
  </si>
  <si>
    <t>Obra Física</t>
  </si>
  <si>
    <t>Apoyar la atención de emergencias viales en los doce (12) Municipios del Departamento del Quindío.</t>
  </si>
  <si>
    <t>Numero de municipios con emergencias viales apoyados</t>
  </si>
  <si>
    <t>0308 - 5 - 3 1 2 4 14 9 19 - 46</t>
  </si>
  <si>
    <t>Atención oportuna y eficiente de las emergencias viales en el departamento del Quindìo.</t>
  </si>
  <si>
    <t>Recurso del Crédito</t>
  </si>
  <si>
    <t xml:space="preserve"> Apoyo Institucional</t>
  </si>
  <si>
    <t>Superavit Recurso Ordinario</t>
  </si>
  <si>
    <t>0308 - 5 - 3 1 2 4 14 9 19 - 88</t>
  </si>
  <si>
    <t>Realizar ocho (8) estudios y/o diseños para el mantenimiento, mejoramiento y/o rehabilitación de la infraestructura vial del departamento para la implementación del Plan Vial departamental</t>
  </si>
  <si>
    <t>Número de estudios y/o diseños realizados</t>
  </si>
  <si>
    <t>0308 - 5 - 3 1 2 4 14 9 19 - 89</t>
  </si>
  <si>
    <t>Actualización e implementación del diagnóstico de la red vial</t>
  </si>
  <si>
    <t>Estudios</t>
  </si>
  <si>
    <t>Superavit Sobretasa ACPM
Recurso del Credito</t>
  </si>
  <si>
    <t xml:space="preserve">15. </t>
  </si>
  <si>
    <t>MEJORA DE LA INFRAESTRUCTURA SOCIAL DEL DEPARTAMENTO DEL QUINDIO</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</si>
  <si>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</si>
  <si>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</si>
  <si>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</si>
  <si>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</si>
  <si>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 xml:space="preserve">Ing. Marco Aurelio Forero Patino - Director Infraestructura Social 
Arq.Jhon Jairo Corredor Galvis - Jefe Infraestructura Social
Ing. Jessica Rios - Profesional Universitaria G-04
</t>
  </si>
  <si>
    <t xml:space="preserve">
Ing. Juan Antonio Osorio Alvarez -Secretario de Aguas e Infraestructura</t>
  </si>
  <si>
    <t xml:space="preserve">Estudios </t>
  </si>
  <si>
    <t>Ingenieria y Administración</t>
  </si>
  <si>
    <t>Apoyar la construcción, mejoramiento y/o rehabilitación de cuatro (4) obras de infraestructura de salud del departamento del Quindío</t>
  </si>
  <si>
    <t>Numero de instituciones de salud mejoradas y/o apoyadas</t>
  </si>
  <si>
    <t>Adquisicion de bienes y Servicios</t>
  </si>
  <si>
    <t>0308 - 5 - 3 1 2 4 15 15 21 - 04</t>
  </si>
  <si>
    <t xml:space="preserve"> Adquisición de bienes y servicios</t>
  </si>
  <si>
    <t>Estampilla Prodesarrollo</t>
  </si>
  <si>
    <t>0308 - 5 - 3 1 2 4 15 15 21 - 20</t>
  </si>
  <si>
    <t>Número de  equipamientos públcos  y colectivos rehabilitados</t>
  </si>
  <si>
    <t>0308 - 5 - 3 1 2 4 15 15 21 - 46</t>
  </si>
  <si>
    <t>Obra Fisica</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</si>
  <si>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</si>
  <si>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</si>
  <si>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0308 - 5 - 3 1 2 4 15 15 21 - 82</t>
  </si>
  <si>
    <t xml:space="preserve">0308 - 5 - 3 1 2 4 15 15 21 - 88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</si>
  <si>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</si>
  <si>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</si>
  <si>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</si>
  <si>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</si>
  <si>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</si>
  <si>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Cancha Sintetica contruida y Polideportivo, Sector Naranjal, Quimbaya Quindio adecuado </t>
  </si>
  <si>
    <t>0.50</t>
  </si>
  <si>
    <t>0308 - 5 - 3 1 2 4 15 15 2 - 149</t>
  </si>
  <si>
    <t>2018003630- 002</t>
  </si>
  <si>
    <t>Construcion Cancha Sintetica y Adecuacion del Polideportivo en el Sector de Naranjal, Quimbaya Quindio</t>
  </si>
  <si>
    <t>Incrementar los niveles de práctica deportiva</t>
  </si>
  <si>
    <t>Aumentar los espacios para la prácticas deportivas</t>
  </si>
  <si>
    <t>Superavit Recursos Nacionales</t>
  </si>
  <si>
    <t>Ing. Marco Aurelio Forero Patino - Director Infraestructura Social 
Arq.Jhon Jairo Corredor Galvis - Jefe Infraestructura Social
Ing. Jessica Rios - Profesional Universitaria G-04</t>
  </si>
  <si>
    <t>d</t>
  </si>
  <si>
    <t>JUAN ANTONIO OSORIO ALVAREZ</t>
  </si>
  <si>
    <t>Secretario de Aguas e Infraestructura</t>
  </si>
  <si>
    <t>PROGRAMACION PLAN DE ACCIÓN
SECRETARIA DE CULTURA
IV TRIMESTRE 2018</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</si>
  <si>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</si>
  <si>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</si>
  <si>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</si>
  <si>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</si>
  <si>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</si>
  <si>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</si>
  <si>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</si>
  <si>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</si>
  <si>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</si>
  <si>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</si>
  <si>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</si>
  <si>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</si>
  <si>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</si>
  <si>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Aportes para la seguridad social de artistas reconocidos por el consejo Departamental de Cultura </t>
  </si>
  <si>
    <t>James Gonzalez Mata
Secretaria de Cultura</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</si>
  <si>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</si>
  <si>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</si>
  <si>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</si>
  <si>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</si>
  <si>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</si>
  <si>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</si>
  <si>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</si>
  <si>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</si>
  <si>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</si>
  <si>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</si>
  <si>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</si>
  <si>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</si>
  <si>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</si>
  <si>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</si>
  <si>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</si>
  <si>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Estampilla Procultura 10% Estímulos</t>
  </si>
  <si>
    <t>Cofinanciación de proyectos</t>
  </si>
  <si>
    <t>Superavit Estampilla Procultura</t>
  </si>
  <si>
    <t>Apoyar treinta y seis (36) proyectos mediante estímulos artísticos y culturales</t>
  </si>
  <si>
    <t>Mayor apoyo a la creación investigación y producción artistica</t>
  </si>
  <si>
    <t xml:space="preserve"> Evaluación y Seguimiento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</si>
  <si>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</si>
  <si>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</si>
  <si>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</si>
  <si>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</si>
  <si>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</si>
  <si>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</si>
  <si>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</si>
  <si>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</si>
  <si>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</si>
  <si>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</si>
  <si>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</si>
  <si>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48 - 56</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</si>
  <si>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</si>
  <si>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</si>
  <si>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</si>
  <si>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</si>
  <si>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</si>
  <si>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34
83</t>
  </si>
  <si>
    <t>Estampilla Procultura 10% bibliotecas
Superavit Estampilla Procultura</t>
  </si>
  <si>
    <t>11/01/22018</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</si>
  <si>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</si>
  <si>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</si>
  <si>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</si>
  <si>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según aceptacion de ayuda economica en el programa iberoamericano de bibliotecas publicas, VI convocatoria de ayudas 2018</t>
  </si>
  <si>
    <t xml:space="preserve">Ampliación de espacios y acciones para la difusión de la lectura y escritura </t>
  </si>
  <si>
    <t>Apoyo al proyecto editorial Biblioteca de Autores Quindianos</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</si>
  <si>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</si>
  <si>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</si>
  <si>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</si>
  <si>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</si>
  <si>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</si>
  <si>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</si>
  <si>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</si>
  <si>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</si>
  <si>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</si>
  <si>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</si>
  <si>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Investigaciones</t>
  </si>
  <si>
    <t>Apoyo a procesos, evaluación y seguimiento</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</si>
  <si>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</si>
  <si>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</si>
  <si>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</si>
  <si>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</si>
  <si>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</si>
  <si>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</si>
  <si>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</si>
  <si>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</si>
  <si>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</si>
  <si>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</si>
  <si>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</si>
  <si>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</si>
  <si>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Formación para la gestión cultural</t>
  </si>
  <si>
    <t>Fortalecimiento del Sistema de Información Cultural</t>
  </si>
  <si>
    <t>Apoyo a Consejos de las artes y la cultura</t>
  </si>
  <si>
    <t>JAMES GONZALEZ MATA</t>
  </si>
  <si>
    <t xml:space="preserve"> SECRETARIO DE CULTURA</t>
  </si>
  <si>
    <t>Secretario de Representación Judicial y Defensa del Departamento</t>
  </si>
  <si>
    <t>JAMER CHAQUIP GIRALDO MOLINA</t>
  </si>
  <si>
    <t>Socialización de las politicas de prevención de daños antijuridicos en cada una  de las Secretarías y demás dependencias en el Departamento.</t>
  </si>
  <si>
    <t>Proyección y elaboración de actos administrativos para la adopción de las politicas de prevención de daños antijuridicos formuladas para su acatamiento obligatorio por parte de las Secretarías y demás dependencias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</si>
  <si>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</si>
  <si>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</si>
  <si>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</si>
  <si>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Identificar las causas que generan daños antijurídicos en el Departamento.</t>
  </si>
  <si>
    <t>Fortalecer los procesos, procedimienros y actuaciones de la administración para el cumplimiento de su misisón institucional</t>
  </si>
  <si>
    <t xml:space="preserve">Formulación, adopción e implementación de políticas de prevención del daño antijurídico en el Departamento del Quindío. </t>
  </si>
  <si>
    <t>201663000-0131</t>
  </si>
  <si>
    <t>0317 - 5 - 3 1 5 26 83 17 131 - 20</t>
  </si>
  <si>
    <t>Número muncipios con políticas establecidas</t>
  </si>
  <si>
    <t>Establecer y socializar veinte (20)  políticas desde la cultura de la legalidad y  la prevención de daño antijurídico en  el Departamento.</t>
  </si>
  <si>
    <t>PROGRAMACION PLAN DE ACCIÓN
SECRETARIA DE REPRESENTACION JUDICIAL
IV TRIMESTRE 2018</t>
  </si>
  <si>
    <t>PROGRAMACION PLAN DE ACCIÓN
SECRETARIA DE AGUAS E INFRAESTRUCTURA
IV TRIMESTRE 2018.</t>
  </si>
  <si>
    <t>PROGRAMACION PLAN DE ACCIÓN
SECRETARIA DE EDUCACION
 IV TRIMESTRE  2018</t>
  </si>
  <si>
    <t xml:space="preserve">PROGRAMACION PLAN DE ACCIÓN
SECRETARIA DE SALUD
IV TRIMESTRE 2018
</t>
  </si>
  <si>
    <t>PROGRAMACION PLAN DE ACCIÓN
INDEPORTES
 IV TRIMESTRE 2018</t>
  </si>
  <si>
    <t xml:space="preserve">PROGRAMACION DEL PLAN DE ACCIÓN
PROMOTORA DE VIVIENDA
IV TRIMESTRE 2018
</t>
  </si>
  <si>
    <t>PROGRAMACION PLAN DE ACCIÓN
INSTITUTO DEPARTAMENTAL DE TRANSITO DEL QUINDIO IDTQ
IV TRIMESTRE 2018</t>
  </si>
  <si>
    <t>PROGRAMACIÓN PLAN DE ACCIÓN
SECRETARÍA DE FAMILIA
IV TRIMESTRE 2018</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</si>
</sst>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quot;$&quot;\ #,##0"/>
    <numFmt numFmtId="166" formatCode="dd/mm/yyyy;@"/>
    <numFmt numFmtId="167" formatCode="_(&quot;$&quot;\ * #,##0_);_(&quot;$&quot;\ * \(#,##0\);_(&quot;$&quot;\ * &quot;-&quot;??_);_(@_)"/>
    <numFmt numFmtId="168" formatCode="0.0"/>
    <numFmt numFmtId="169" formatCode="_(* #,##0_);_(* \(#,##0\);_(* &quot;-&quot;??_);_(@_)"/>
    <numFmt numFmtId="170" formatCode="_-* #,##0_-;\-* #,##0_-;_-* &quot;-&quot;??_-;_-@_-"/>
    <numFmt numFmtId="171" formatCode="&quot;$&quot;#,##0"/>
    <numFmt numFmtId="172" formatCode="&quot;$&quot;#,##0.00"/>
    <numFmt numFmtId="173" formatCode="00"/>
    <numFmt numFmtId="174" formatCode="_ [$€-2]\ * #,##0.00_ ;_ [$€-2]\ * \-#,##0.00_ ;_ [$€-2]\ * &quot;-&quot;??_ "/>
    <numFmt numFmtId="175" formatCode="_(* #,##0.00_);_(* \(#,##0.00\);_(* &quot;-&quot;_);_(@_)"/>
    <numFmt numFmtId="176" formatCode="#,##0.00;[Red]#,##0.00"/>
    <numFmt numFmtId="177" formatCode="#,##0;[Red]#,##0"/>
    <numFmt numFmtId="178" formatCode="0;[Red]0"/>
    <numFmt numFmtId="179" formatCode="_-* #,##0_-;\-* #,##0_-;_-* &quot;-&quot;_-;_-@_-"/>
    <numFmt numFmtId="180" formatCode="_-* #,##0.00_-;\-* #,##0.00_-;_-* &quot;-&quot;_-;_-@_-"/>
    <numFmt numFmtId="181" formatCode="_-* #,##0.00\ _€_-;\-* #,##0.00\ _€_-;_-* &quot;-&quot;??\ _€_-;_-@_-"/>
    <numFmt numFmtId="182" formatCode="_-&quot;$&quot;* #,##0_-;\-&quot;$&quot;* #,##0_-;_-&quot;$&quot;* &quot;-&quot;_-;_-@_-"/>
    <numFmt numFmtId="183" formatCode="_-&quot;$&quot;* #,##0.00_-;\-&quot;$&quot;* #,##0.00_-;_-&quot;$&quot;* &quot;-&quot;_-;_-@_-"/>
    <numFmt numFmtId="184" formatCode="#,##0.00_);\-#,##0.00"/>
    <numFmt numFmtId="185" formatCode="#,##0_);\-#,##0"/>
    <numFmt numFmtId="186" formatCode="&quot;$&quot;\ #,##0.00"/>
    <numFmt numFmtId="187" formatCode="d/mm/yyyy;@"/>
    <numFmt numFmtId="188" formatCode="0.0%"/>
    <numFmt numFmtId="189" formatCode="_-[$$-240A]* #,##0.00_-;\-[$$-240A]* #,##0.00_-;_-[$$-240A]* &quot;-&quot;??_-;_-@_-"/>
    <numFmt numFmtId="190" formatCode="_-[$$-240A]* #,##0_-;\-[$$-240A]* #,##0_-;_-[$$-240A]* &quot;-&quot;_-;_-@_-"/>
    <numFmt numFmtId="191" formatCode="_-[$$-240A]* #,##0_-;\-[$$-240A]* #,##0_-;_-[$$-240A]* &quot;-&quot;??_-;_-@_-"/>
    <numFmt numFmtId="192" formatCode="#,##0_ ;\-#,##0\ "/>
    <numFmt numFmtId="193" formatCode="0_ ;\-0\ "/>
  </numFmts>
  <fonts count="52">
    <font>
      <sz val="11"/>
      <color indexed="8"/>
      <name val="Calibri"/>
      <family val="2"/>
    </font>
    <font>
      <b/>
      <sz val="14"/>
      <color indexed="8"/>
      <name val="Arial"/>
      <family val="2"/>
    </font>
    <font>
      <b/>
      <sz val="10"/>
      <color indexed="8"/>
      <name val="Arial"/>
      <family val="2"/>
    </font>
    <font>
      <sz val="12"/>
      <color indexed="8"/>
      <name val="Arial"/>
      <family val="2"/>
    </font>
    <font>
      <b/>
      <sz val="12"/>
      <color indexed="8"/>
      <name val="Arial"/>
      <family val="2"/>
    </font>
    <font>
      <b/>
      <sz val="12"/>
      <name val="Arial"/>
      <family val="2"/>
    </font>
    <font>
      <sz val="12"/>
      <name val="Arial"/>
      <family val="2"/>
    </font>
    <font>
      <sz val="20"/>
      <color indexed="8"/>
      <name val="Arial"/>
      <family val="2"/>
    </font>
    <font>
      <b/>
      <sz val="14"/>
      <name val="Arial"/>
      <family val="2"/>
    </font>
    <font>
      <b/>
      <sz val="10"/>
      <name val="Arial"/>
      <family val="2"/>
    </font>
    <font>
      <b/>
      <sz val="12"/>
      <name val="Calibri"/>
      <family val="2"/>
    </font>
    <font>
      <sz val="12"/>
      <color indexed="8"/>
      <name val="Calibri"/>
      <family val="2"/>
    </font>
    <font>
      <sz val="12"/>
      <color indexed="10"/>
      <name val="Arial"/>
      <family val="2"/>
    </font>
    <font>
      <sz val="10"/>
      <name val="Arial"/>
      <family val="2"/>
    </font>
    <font>
      <sz val="12"/>
      <name val="Calibri"/>
      <family val="2"/>
    </font>
    <font>
      <b/>
      <sz val="12"/>
      <color indexed="8"/>
      <name val="Times New Roman"/>
      <family val="1"/>
    </font>
    <font>
      <sz val="14"/>
      <color indexed="8"/>
      <name val="Arial"/>
      <family val="2"/>
    </font>
    <font>
      <b/>
      <sz val="12"/>
      <color indexed="8"/>
      <name val="Calibri"/>
      <family val="2"/>
    </font>
    <font>
      <sz val="12"/>
      <color indexed="36"/>
      <name val="Arial"/>
      <family val="2"/>
    </font>
    <font>
      <sz val="12"/>
      <color indexed="49"/>
      <name val="Arial"/>
      <family val="2"/>
    </font>
    <font>
      <b/>
      <sz val="9"/>
      <name val="Tahoma"/>
      <family val="2"/>
    </font>
    <font>
      <sz val="9"/>
      <name val="Tahoma"/>
      <family val="2"/>
    </font>
    <font>
      <sz val="12"/>
      <color indexed="10"/>
      <name val="Calibri"/>
      <family val="2"/>
    </font>
    <font>
      <sz val="10"/>
      <color indexed="8"/>
      <name val="Arial"/>
      <family val="2"/>
    </font>
    <font>
      <sz val="11"/>
      <name val="Arial"/>
      <family val="2"/>
    </font>
    <font>
      <b/>
      <sz val="11"/>
      <color indexed="8"/>
      <name val="Arial"/>
      <family val="2"/>
    </font>
    <font>
      <b/>
      <sz val="12"/>
      <color indexed="8"/>
      <name val="Arial Narrow"/>
      <family val="2"/>
    </font>
    <font>
      <sz val="12"/>
      <color indexed="8"/>
      <name val="Arial Narrow"/>
      <family val="2"/>
    </font>
    <font>
      <i/>
      <sz val="12"/>
      <color indexed="8"/>
      <name val="Arial Narrow"/>
      <family val="2"/>
    </font>
    <font>
      <sz val="11"/>
      <color indexed="8"/>
      <name val="Arial"/>
      <family val="2"/>
    </font>
    <font>
      <sz val="16"/>
      <color indexed="8"/>
      <name val="Arial"/>
      <family val="2"/>
    </font>
    <font>
      <sz val="9"/>
      <color indexed="8"/>
      <name val="Arial"/>
      <family val="2"/>
    </font>
    <font>
      <sz val="9"/>
      <color indexed="8"/>
      <name val="Calibri"/>
      <family val="2"/>
    </font>
    <font>
      <b/>
      <sz val="9"/>
      <color indexed="8"/>
      <name val="Arial"/>
      <family val="2"/>
    </font>
    <font>
      <b/>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0"/>
        <bgColor indexed="64"/>
      </patternFill>
    </fill>
    <fill>
      <patternFill patternType="solid">
        <fgColor indexed="54"/>
        <bgColor indexed="64"/>
      </patternFill>
    </fill>
    <fill>
      <patternFill patternType="solid">
        <fgColor indexed="50"/>
        <bgColor indexed="64"/>
      </patternFill>
    </fill>
    <fill>
      <patternFill patternType="solid">
        <fgColor indexed="2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right style="medium"/>
      <top/>
      <bottom style="thin"/>
    </border>
    <border>
      <left style="medium"/>
      <right/>
      <top style="thin"/>
      <bottom style="thin"/>
    </border>
    <border>
      <left/>
      <right style="medium"/>
      <top style="thin"/>
      <bottom style="thin"/>
    </border>
    <border>
      <left style="medium"/>
      <right/>
      <top/>
      <bottom/>
    </border>
    <border>
      <left/>
      <right style="medium"/>
      <top style="thin"/>
      <bottom/>
    </border>
    <border>
      <left style="thin"/>
      <right/>
      <top/>
      <bottom style="medium"/>
    </border>
    <border>
      <left style="medium"/>
      <right style="thin"/>
      <top style="thin"/>
      <bottom style="thin"/>
    </border>
    <border>
      <left style="medium"/>
      <right/>
      <top/>
      <bottom style="thin"/>
    </border>
    <border>
      <left/>
      <right style="thin"/>
      <top style="medium"/>
      <bottom style="medium"/>
    </border>
    <border>
      <left style="medium"/>
      <right style="thin"/>
      <top/>
      <bottom style="thin"/>
    </border>
    <border>
      <left/>
      <right style="medium"/>
      <top/>
      <botto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border>
    <border>
      <left style="thin"/>
      <right style="medium"/>
      <top/>
      <bottom style="thin"/>
    </border>
    <border>
      <left style="medium"/>
      <right style="thin"/>
      <top style="medium"/>
      <bottom style="medium"/>
    </border>
    <border>
      <left/>
      <right style="thin"/>
      <top style="medium"/>
      <bottom style="thin"/>
    </border>
    <border>
      <left style="medium"/>
      <right style="thin"/>
      <top style="thin"/>
      <bottom/>
    </border>
    <border>
      <left style="medium"/>
      <right style="thin"/>
      <top/>
      <bottom/>
    </border>
    <border>
      <left style="thin"/>
      <right style="medium"/>
      <top style="thin"/>
      <bottom/>
    </border>
    <border>
      <left style="thin"/>
      <right style="medium"/>
      <top/>
      <bottom/>
    </border>
    <border>
      <left style="thin"/>
      <right style="thin"/>
      <top/>
      <bottom style="medium"/>
    </border>
    <border>
      <left style="medium"/>
      <right/>
      <top style="medium"/>
      <bottom/>
    </border>
    <border>
      <left/>
      <right/>
      <top style="medium"/>
      <bottom/>
    </border>
    <border>
      <left style="thin"/>
      <right style="medium"/>
      <top/>
      <bottom style="medium"/>
    </border>
    <border>
      <left/>
      <right style="thin"/>
      <top style="medium"/>
      <bottom/>
    </border>
    <border>
      <left/>
      <right/>
      <top style="thin"/>
      <bottom style="medium"/>
    </border>
    <border>
      <left/>
      <right style="thin"/>
      <top style="thin"/>
      <bottom style="medium"/>
    </border>
    <border>
      <left/>
      <right style="thin"/>
      <top/>
      <bottom style="mediu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39" fillId="7" borderId="0" applyNumberFormat="0" applyBorder="0" applyAlignment="0" applyProtection="0"/>
    <xf numFmtId="0" fontId="44" fillId="9" borderId="1" applyNumberFormat="0" applyAlignment="0" applyProtection="0"/>
    <xf numFmtId="0" fontId="46" fillId="13" borderId="2" applyNumberFormat="0" applyAlignment="0" applyProtection="0"/>
    <xf numFmtId="0" fontId="45" fillId="0" borderId="3" applyNumberFormat="0" applyFill="0" applyAlignment="0" applyProtection="0"/>
    <xf numFmtId="0" fontId="36" fillId="0" borderId="4" applyNumberFormat="0" applyFill="0" applyAlignment="0" applyProtection="0"/>
    <xf numFmtId="0" fontId="38" fillId="0" borderId="0" applyNumberFormat="0" applyFill="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3"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2" borderId="0" applyNumberFormat="0" applyBorder="0" applyAlignment="0" applyProtection="0"/>
    <xf numFmtId="0" fontId="42" fillId="3" borderId="1" applyNumberFormat="0" applyAlignment="0" applyProtection="0"/>
    <xf numFmtId="0" fontId="13" fillId="0" borderId="0">
      <alignment/>
      <protection/>
    </xf>
    <xf numFmtId="0" fontId="13" fillId="0" borderId="0">
      <alignment/>
      <protection/>
    </xf>
    <xf numFmtId="0" fontId="4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0" fontId="41" fillId="10" borderId="0" applyNumberFormat="0" applyBorder="0" applyAlignment="0" applyProtection="0"/>
    <xf numFmtId="0" fontId="23" fillId="0" borderId="0">
      <alignment/>
      <protection/>
    </xf>
    <xf numFmtId="0" fontId="13" fillId="0" borderId="0">
      <alignment/>
      <protection/>
    </xf>
    <xf numFmtId="174" fontId="0" fillId="0" borderId="0">
      <alignment/>
      <protection/>
    </xf>
    <xf numFmtId="174" fontId="0" fillId="0" borderId="0">
      <alignment/>
      <protection/>
    </xf>
    <xf numFmtId="174" fontId="0" fillId="0" borderId="0">
      <alignment/>
      <protection/>
    </xf>
    <xf numFmtId="0" fontId="0" fillId="0" borderId="0">
      <alignment/>
      <protection/>
    </xf>
    <xf numFmtId="0" fontId="13" fillId="0" borderId="0">
      <alignment/>
      <protection/>
    </xf>
    <xf numFmtId="0" fontId="0" fillId="0" borderId="0">
      <alignment/>
      <protection/>
    </xf>
    <xf numFmtId="0" fontId="0" fillId="5"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9"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5" fillId="0" borderId="0" applyNumberForma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3535">
    <xf numFmtId="0" fontId="0" fillId="0" borderId="0" xfId="0" applyAlignment="1">
      <alignment/>
    </xf>
    <xf numFmtId="0" fontId="2" fillId="0" borderId="10" xfId="0" applyFont="1" applyBorder="1" applyAlignment="1">
      <alignment vertical="center"/>
    </xf>
    <xf numFmtId="0" fontId="3" fillId="0" borderId="0" xfId="0" applyFont="1" applyAlignment="1">
      <alignment/>
    </xf>
    <xf numFmtId="0" fontId="2" fillId="0" borderId="10" xfId="0" applyFont="1" applyBorder="1" applyAlignment="1">
      <alignment horizontal="left" vertical="center"/>
    </xf>
    <xf numFmtId="49" fontId="2" fillId="0" borderId="10" xfId="0" applyNumberFormat="1" applyFont="1" applyBorder="1" applyAlignment="1">
      <alignment vertical="center"/>
    </xf>
    <xf numFmtId="17" fontId="2" fillId="0" borderId="10" xfId="0" applyNumberFormat="1" applyFont="1" applyBorder="1" applyAlignment="1">
      <alignment horizontal="left"/>
    </xf>
    <xf numFmtId="3" fontId="2" fillId="0" borderId="10" xfId="0" applyNumberFormat="1" applyFont="1" applyBorder="1" applyAlignment="1">
      <alignment horizontal="left" vertical="center" wrapText="1"/>
    </xf>
    <xf numFmtId="0" fontId="4" fillId="0" borderId="11" xfId="0" applyFont="1" applyBorder="1" applyAlignment="1">
      <alignment horizontal="justify" vertical="center"/>
    </xf>
    <xf numFmtId="0" fontId="4" fillId="0" borderId="12" xfId="0" applyFont="1" applyBorder="1" applyAlignment="1">
      <alignment horizontal="justify" vertical="center"/>
    </xf>
    <xf numFmtId="10" fontId="5" fillId="0" borderId="12" xfId="78" applyNumberFormat="1"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1" fontId="4" fillId="9" borderId="14" xfId="0" applyNumberFormat="1" applyFont="1" applyFill="1" applyBorder="1" applyAlignment="1">
      <alignment horizontal="center" vertical="center" wrapText="1"/>
    </xf>
    <xf numFmtId="1" fontId="4" fillId="9" borderId="15" xfId="0" applyNumberFormat="1" applyFont="1" applyFill="1" applyBorder="1" applyAlignment="1">
      <alignment horizontal="center" vertical="center" wrapText="1"/>
    </xf>
    <xf numFmtId="0" fontId="4" fillId="9" borderId="10" xfId="0" applyFont="1" applyFill="1" applyBorder="1" applyAlignment="1">
      <alignment horizontal="center" vertical="center" textRotation="90" wrapText="1"/>
    </xf>
    <xf numFmtId="49" fontId="4" fillId="9" borderId="10" xfId="0" applyNumberFormat="1" applyFont="1" applyFill="1" applyBorder="1" applyAlignment="1">
      <alignment horizontal="center" vertical="center" textRotation="90" wrapText="1"/>
    </xf>
    <xf numFmtId="1" fontId="4" fillId="10" borderId="16" xfId="0" applyNumberFormat="1" applyFont="1" applyFill="1" applyBorder="1" applyAlignment="1">
      <alignment horizontal="left" vertical="center" wrapText="1"/>
    </xf>
    <xf numFmtId="0" fontId="4" fillId="10" borderId="17" xfId="0" applyFont="1" applyFill="1" applyBorder="1" applyAlignment="1">
      <alignment vertical="center"/>
    </xf>
    <xf numFmtId="0" fontId="4" fillId="10" borderId="17" xfId="0" applyFont="1" applyFill="1" applyBorder="1" applyAlignment="1">
      <alignment horizontal="justify" vertical="center"/>
    </xf>
    <xf numFmtId="10" fontId="5" fillId="10" borderId="17" xfId="78" applyNumberFormat="1" applyFont="1" applyFill="1" applyBorder="1" applyAlignment="1">
      <alignment horizontal="center" vertical="center"/>
    </xf>
    <xf numFmtId="43" fontId="4" fillId="10" borderId="17" xfId="53" applyFont="1" applyFill="1" applyBorder="1" applyAlignment="1">
      <alignment horizontal="justify" vertical="center"/>
    </xf>
    <xf numFmtId="165" fontId="4" fillId="10" borderId="17" xfId="0" applyNumberFormat="1" applyFont="1" applyFill="1" applyBorder="1" applyAlignment="1">
      <alignment horizontal="center" vertical="center"/>
    </xf>
    <xf numFmtId="1" fontId="4" fillId="10" borderId="17" xfId="0" applyNumberFormat="1" applyFont="1" applyFill="1" applyBorder="1" applyAlignment="1">
      <alignment horizontal="center" vertical="center"/>
    </xf>
    <xf numFmtId="0" fontId="4" fillId="10" borderId="17" xfId="0" applyFont="1" applyFill="1" applyBorder="1" applyAlignment="1">
      <alignment horizontal="center" vertical="center"/>
    </xf>
    <xf numFmtId="166" fontId="4" fillId="10" borderId="17" xfId="0" applyNumberFormat="1" applyFont="1" applyFill="1" applyBorder="1" applyAlignment="1">
      <alignment vertical="center"/>
    </xf>
    <xf numFmtId="0" fontId="4" fillId="10" borderId="18" xfId="0" applyFont="1" applyFill="1" applyBorder="1" applyAlignment="1">
      <alignment horizontal="justify" vertical="center"/>
    </xf>
    <xf numFmtId="1" fontId="4" fillId="4" borderId="19" xfId="0" applyNumberFormat="1" applyFont="1" applyFill="1" applyBorder="1" applyAlignment="1">
      <alignment vertical="center" wrapText="1"/>
    </xf>
    <xf numFmtId="1" fontId="4" fillId="4" borderId="20" xfId="0" applyNumberFormat="1" applyFont="1" applyFill="1" applyBorder="1" applyAlignment="1">
      <alignment vertical="center" wrapText="1"/>
    </xf>
    <xf numFmtId="1" fontId="4" fillId="4" borderId="21" xfId="0" applyNumberFormat="1" applyFont="1" applyFill="1" applyBorder="1" applyAlignment="1">
      <alignment vertical="center" wrapText="1"/>
    </xf>
    <xf numFmtId="1" fontId="4" fillId="9" borderId="11" xfId="0" applyNumberFormat="1" applyFont="1" applyFill="1" applyBorder="1" applyAlignment="1">
      <alignment horizontal="center" vertical="center"/>
    </xf>
    <xf numFmtId="0" fontId="4" fillId="9" borderId="12" xfId="0" applyFont="1" applyFill="1" applyBorder="1" applyAlignment="1">
      <alignment vertical="center"/>
    </xf>
    <xf numFmtId="0" fontId="4" fillId="9" borderId="12" xfId="0" applyFont="1" applyFill="1" applyBorder="1" applyAlignment="1">
      <alignment horizontal="justify" vertical="center"/>
    </xf>
    <xf numFmtId="10" fontId="5" fillId="9" borderId="12" xfId="78" applyNumberFormat="1" applyFont="1" applyFill="1" applyBorder="1" applyAlignment="1">
      <alignment horizontal="center" vertical="center"/>
    </xf>
    <xf numFmtId="43" fontId="4" fillId="9" borderId="12" xfId="53" applyFont="1" applyFill="1" applyBorder="1" applyAlignment="1">
      <alignment horizontal="justify" vertical="center"/>
    </xf>
    <xf numFmtId="165" fontId="4" fillId="9" borderId="12" xfId="0" applyNumberFormat="1" applyFont="1" applyFill="1" applyBorder="1" applyAlignment="1">
      <alignment horizontal="center" vertical="center"/>
    </xf>
    <xf numFmtId="1" fontId="4" fillId="9" borderId="12" xfId="0" applyNumberFormat="1" applyFont="1" applyFill="1" applyBorder="1" applyAlignment="1">
      <alignment horizontal="center" vertical="center"/>
    </xf>
    <xf numFmtId="0" fontId="4" fillId="9" borderId="12" xfId="0" applyFont="1" applyFill="1" applyBorder="1" applyAlignment="1">
      <alignment horizontal="center" vertical="center"/>
    </xf>
    <xf numFmtId="166" fontId="4" fillId="9" borderId="12" xfId="0" applyNumberFormat="1" applyFont="1" applyFill="1" applyBorder="1" applyAlignment="1">
      <alignment vertical="center"/>
    </xf>
    <xf numFmtId="0" fontId="4" fillId="9" borderId="13" xfId="0" applyFont="1" applyFill="1" applyBorder="1" applyAlignment="1">
      <alignment horizontal="justify" vertical="center"/>
    </xf>
    <xf numFmtId="1" fontId="4" fillId="4" borderId="22" xfId="0" applyNumberFormat="1" applyFont="1" applyFill="1" applyBorder="1" applyAlignment="1">
      <alignment vertical="center" wrapText="1"/>
    </xf>
    <xf numFmtId="1" fontId="4" fillId="4" borderId="0" xfId="0" applyNumberFormat="1" applyFont="1" applyFill="1" applyAlignment="1">
      <alignment vertical="center" wrapText="1"/>
    </xf>
    <xf numFmtId="1" fontId="4" fillId="4" borderId="23" xfId="0" applyNumberFormat="1" applyFont="1" applyFill="1" applyBorder="1" applyAlignment="1">
      <alignment vertical="center" wrapText="1"/>
    </xf>
    <xf numFmtId="0" fontId="4" fillId="4" borderId="19" xfId="0" applyFont="1" applyFill="1" applyBorder="1" applyAlignment="1">
      <alignment vertical="center" wrapText="1"/>
    </xf>
    <xf numFmtId="0" fontId="4" fillId="4" borderId="20" xfId="0" applyFont="1" applyFill="1" applyBorder="1" applyAlignment="1">
      <alignment vertical="center" wrapText="1"/>
    </xf>
    <xf numFmtId="0" fontId="4" fillId="4" borderId="21" xfId="0" applyFont="1" applyFill="1" applyBorder="1" applyAlignment="1">
      <alignment vertical="center" wrapText="1"/>
    </xf>
    <xf numFmtId="1" fontId="4" fillId="12" borderId="16" xfId="0" applyNumberFormat="1" applyFont="1" applyFill="1" applyBorder="1" applyAlignment="1">
      <alignment horizontal="left" vertical="center" wrapText="1" indent="1"/>
    </xf>
    <xf numFmtId="0" fontId="4" fillId="12" borderId="17" xfId="0" applyFont="1" applyFill="1" applyBorder="1" applyAlignment="1">
      <alignment vertical="center"/>
    </xf>
    <xf numFmtId="0" fontId="4" fillId="12" borderId="17" xfId="0" applyFont="1" applyFill="1" applyBorder="1" applyAlignment="1">
      <alignment horizontal="justify" vertical="center"/>
    </xf>
    <xf numFmtId="10" fontId="5" fillId="12" borderId="17" xfId="78" applyNumberFormat="1" applyFont="1" applyFill="1" applyBorder="1" applyAlignment="1">
      <alignment horizontal="center" vertical="center"/>
    </xf>
    <xf numFmtId="43" fontId="4" fillId="12" borderId="17" xfId="53" applyFont="1" applyFill="1" applyBorder="1" applyAlignment="1">
      <alignment horizontal="justify" vertical="center"/>
    </xf>
    <xf numFmtId="165" fontId="4" fillId="12" borderId="17" xfId="0" applyNumberFormat="1" applyFont="1" applyFill="1" applyBorder="1" applyAlignment="1">
      <alignment horizontal="center" vertical="center"/>
    </xf>
    <xf numFmtId="1" fontId="4" fillId="12" borderId="20" xfId="0" applyNumberFormat="1" applyFont="1" applyFill="1" applyBorder="1" applyAlignment="1">
      <alignment horizontal="center" vertical="center"/>
    </xf>
    <xf numFmtId="0" fontId="4" fillId="12" borderId="20" xfId="0" applyFont="1" applyFill="1" applyBorder="1" applyAlignment="1">
      <alignment horizontal="center" vertical="center"/>
    </xf>
    <xf numFmtId="166" fontId="4" fillId="12" borderId="17" xfId="0" applyNumberFormat="1" applyFont="1" applyFill="1" applyBorder="1" applyAlignment="1">
      <alignment vertical="center"/>
    </xf>
    <xf numFmtId="0" fontId="4" fillId="12" borderId="18" xfId="0" applyFont="1" applyFill="1" applyBorder="1" applyAlignment="1">
      <alignment horizontal="justify" vertical="center"/>
    </xf>
    <xf numFmtId="0" fontId="4" fillId="4" borderId="22" xfId="0" applyFont="1" applyFill="1" applyBorder="1" applyAlignment="1">
      <alignment vertical="center" wrapText="1"/>
    </xf>
    <xf numFmtId="0" fontId="4" fillId="4" borderId="0" xfId="0" applyFont="1" applyFill="1" applyAlignment="1">
      <alignment vertical="center" wrapText="1"/>
    </xf>
    <xf numFmtId="0" fontId="4" fillId="4" borderId="23" xfId="0" applyFont="1" applyFill="1" applyBorder="1" applyAlignment="1">
      <alignment vertical="center" wrapText="1"/>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3" fillId="4" borderId="21" xfId="0" applyFont="1" applyFill="1" applyBorder="1" applyAlignment="1">
      <alignment vertical="center" wrapText="1"/>
    </xf>
    <xf numFmtId="0" fontId="3" fillId="0" borderId="10" xfId="0" applyFont="1" applyBorder="1" applyAlignment="1">
      <alignment horizontal="justify" vertical="center" wrapText="1"/>
    </xf>
    <xf numFmtId="43" fontId="3" fillId="4" borderId="16" xfId="53"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0" xfId="0" applyFont="1" applyFill="1" applyAlignment="1">
      <alignment vertical="center" wrapText="1"/>
    </xf>
    <xf numFmtId="0" fontId="3" fillId="4" borderId="23" xfId="0" applyFont="1" applyFill="1" applyBorder="1" applyAlignment="1">
      <alignment vertical="center" wrapText="1"/>
    </xf>
    <xf numFmtId="0" fontId="3" fillId="4" borderId="24" xfId="0" applyFont="1" applyFill="1" applyBorder="1" applyAlignment="1">
      <alignment horizontal="center" vertical="center" wrapText="1"/>
    </xf>
    <xf numFmtId="3" fontId="3" fillId="0" borderId="10" xfId="0" applyNumberFormat="1" applyFont="1" applyBorder="1" applyAlignment="1">
      <alignment horizontal="justify" vertical="center" wrapText="1"/>
    </xf>
    <xf numFmtId="43" fontId="3" fillId="4" borderId="10" xfId="53" applyFont="1" applyFill="1" applyBorder="1" applyAlignment="1">
      <alignment horizontal="center" vertical="center" wrapText="1"/>
    </xf>
    <xf numFmtId="1" fontId="3" fillId="0" borderId="24" xfId="0" applyNumberFormat="1" applyFont="1" applyBorder="1" applyAlignment="1">
      <alignment horizontal="center" vertical="center" wrapText="1"/>
    </xf>
    <xf numFmtId="0" fontId="3" fillId="0" borderId="24" xfId="0" applyFont="1" applyBorder="1" applyAlignment="1">
      <alignment horizontal="center" vertical="center" wrapText="1"/>
    </xf>
    <xf numFmtId="43" fontId="3" fillId="0" borderId="10" xfId="53" applyFont="1" applyFill="1" applyBorder="1" applyAlignment="1">
      <alignment horizontal="center" vertical="center" wrapText="1"/>
    </xf>
    <xf numFmtId="1"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justify" vertical="center" wrapText="1" readingOrder="2"/>
    </xf>
    <xf numFmtId="0" fontId="6" fillId="0" borderId="10" xfId="0" applyFont="1" applyBorder="1" applyAlignment="1">
      <alignment horizontal="justify" vertical="center" wrapText="1"/>
    </xf>
    <xf numFmtId="1" fontId="3" fillId="0" borderId="16"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14" xfId="0" applyFont="1" applyFill="1" applyBorder="1" applyAlignment="1">
      <alignment vertical="center" wrapText="1"/>
    </xf>
    <xf numFmtId="10" fontId="6" fillId="4" borderId="10" xfId="78" applyNumberFormat="1" applyFont="1" applyFill="1" applyBorder="1" applyAlignment="1">
      <alignment horizontal="center" vertical="center" wrapText="1"/>
    </xf>
    <xf numFmtId="43" fontId="3" fillId="4" borderId="16" xfId="53" applyFont="1" applyFill="1" applyBorder="1" applyAlignment="1">
      <alignment horizontal="center" vertical="center" wrapText="1"/>
    </xf>
    <xf numFmtId="1" fontId="3" fillId="4" borderId="16"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3" fontId="3" fillId="0" borderId="25" xfId="0" applyNumberFormat="1" applyFont="1" applyBorder="1" applyAlignment="1">
      <alignment horizontal="center" vertical="center" wrapText="1"/>
    </xf>
    <xf numFmtId="43" fontId="6" fillId="0" borderId="10" xfId="53" applyFont="1" applyFill="1" applyBorder="1" applyAlignment="1" applyProtection="1">
      <alignment horizontal="right" vertical="center"/>
      <protection/>
    </xf>
    <xf numFmtId="0" fontId="3" fillId="0" borderId="14"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14" xfId="0" applyFont="1" applyBorder="1" applyAlignment="1">
      <alignment horizontal="justify" vertical="center" wrapText="1"/>
    </xf>
    <xf numFmtId="0" fontId="3" fillId="4" borderId="15" xfId="0" applyFont="1" applyFill="1" applyBorder="1" applyAlignment="1">
      <alignment vertical="center" wrapText="1"/>
    </xf>
    <xf numFmtId="0" fontId="3" fillId="0" borderId="19" xfId="0" applyFont="1" applyBorder="1" applyAlignment="1">
      <alignment horizontal="justify" vertical="center" wrapText="1"/>
    </xf>
    <xf numFmtId="0" fontId="3" fillId="0" borderId="10" xfId="0" applyFont="1" applyBorder="1" applyAlignment="1">
      <alignment vertical="center" wrapText="1"/>
    </xf>
    <xf numFmtId="43" fontId="3" fillId="4" borderId="17" xfId="53"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0" fontId="3" fillId="0" borderId="24" xfId="0" applyFont="1" applyBorder="1" applyAlignment="1">
      <alignment horizontal="justify" vertical="center" wrapText="1"/>
    </xf>
    <xf numFmtId="0" fontId="3" fillId="4" borderId="26" xfId="0" applyFont="1" applyFill="1" applyBorder="1" applyAlignment="1">
      <alignment/>
    </xf>
    <xf numFmtId="0" fontId="3" fillId="4" borderId="27" xfId="0" applyFont="1" applyFill="1" applyBorder="1" applyAlignment="1">
      <alignment/>
    </xf>
    <xf numFmtId="0" fontId="3" fillId="4" borderId="27" xfId="0" applyFont="1" applyFill="1" applyBorder="1" applyAlignment="1">
      <alignment horizontal="justify"/>
    </xf>
    <xf numFmtId="0" fontId="3" fillId="4" borderId="27" xfId="0" applyFont="1" applyFill="1" applyBorder="1" applyAlignment="1">
      <alignment horizontal="justify" vertical="center" wrapText="1"/>
    </xf>
    <xf numFmtId="0" fontId="3" fillId="4" borderId="27" xfId="0" applyFont="1" applyFill="1" applyBorder="1" applyAlignment="1">
      <alignment horizontal="justify" vertical="center"/>
    </xf>
    <xf numFmtId="1" fontId="3" fillId="4" borderId="27" xfId="0" applyNumberFormat="1" applyFont="1" applyFill="1" applyBorder="1" applyAlignment="1">
      <alignment horizontal="justify" vertical="center"/>
    </xf>
    <xf numFmtId="10" fontId="6" fillId="4" borderId="28" xfId="78" applyNumberFormat="1" applyFont="1" applyFill="1" applyBorder="1" applyAlignment="1">
      <alignment horizontal="center" vertical="center"/>
    </xf>
    <xf numFmtId="43" fontId="4" fillId="4" borderId="29" xfId="53" applyFont="1" applyFill="1" applyBorder="1" applyAlignment="1">
      <alignment horizontal="justify" vertical="center"/>
    </xf>
    <xf numFmtId="0" fontId="3" fillId="4" borderId="26" xfId="0" applyFont="1" applyFill="1" applyBorder="1" applyAlignment="1">
      <alignment horizontal="justify" vertical="center" wrapText="1"/>
    </xf>
    <xf numFmtId="0" fontId="3" fillId="4" borderId="28" xfId="0" applyFont="1" applyFill="1" applyBorder="1" applyAlignment="1">
      <alignment horizontal="justify" vertical="center" wrapText="1"/>
    </xf>
    <xf numFmtId="43" fontId="4" fillId="0" borderId="30" xfId="53" applyFont="1" applyBorder="1" applyAlignment="1">
      <alignment horizontal="center" vertical="center"/>
    </xf>
    <xf numFmtId="1" fontId="3" fillId="4" borderId="26" xfId="0" applyNumberFormat="1" applyFont="1" applyFill="1" applyBorder="1" applyAlignment="1">
      <alignment horizontal="center" vertical="center"/>
    </xf>
    <xf numFmtId="1" fontId="3" fillId="4" borderId="27" xfId="0" applyNumberFormat="1" applyFont="1" applyFill="1" applyBorder="1" applyAlignment="1">
      <alignment horizontal="center" vertical="center"/>
    </xf>
    <xf numFmtId="1" fontId="3" fillId="4" borderId="27" xfId="0" applyNumberFormat="1" applyFont="1" applyFill="1" applyBorder="1" applyAlignment="1">
      <alignment horizontal="center" vertical="center" textRotation="180" wrapText="1"/>
    </xf>
    <xf numFmtId="166" fontId="3" fillId="4" borderId="27" xfId="0" applyNumberFormat="1" applyFont="1" applyFill="1" applyBorder="1" applyAlignment="1">
      <alignment horizontal="center" vertical="center"/>
    </xf>
    <xf numFmtId="0" fontId="3" fillId="4" borderId="28" xfId="0" applyFont="1" applyFill="1" applyBorder="1" applyAlignment="1">
      <alignment horizontal="justify" vertical="center"/>
    </xf>
    <xf numFmtId="0" fontId="3" fillId="4" borderId="0" xfId="0" applyFont="1" applyFill="1" applyAlignment="1">
      <alignment/>
    </xf>
    <xf numFmtId="0" fontId="3" fillId="4" borderId="0" xfId="0" applyFont="1" applyFill="1" applyAlignment="1">
      <alignment horizontal="justify"/>
    </xf>
    <xf numFmtId="0" fontId="3" fillId="4" borderId="0" xfId="0" applyFont="1" applyFill="1" applyAlignment="1">
      <alignment horizontal="justify" vertical="center"/>
    </xf>
    <xf numFmtId="10" fontId="6" fillId="4" borderId="0" xfId="78" applyNumberFormat="1" applyFont="1" applyFill="1" applyAlignment="1">
      <alignment horizontal="center" vertical="center"/>
    </xf>
    <xf numFmtId="165" fontId="3" fillId="0" borderId="0" xfId="0" applyNumberFormat="1" applyFont="1" applyAlignment="1">
      <alignment horizontal="justify" vertical="center"/>
    </xf>
    <xf numFmtId="165" fontId="3" fillId="0" borderId="0" xfId="0" applyNumberFormat="1" applyFont="1" applyAlignment="1">
      <alignment horizontal="center" vertical="center"/>
    </xf>
    <xf numFmtId="1" fontId="3" fillId="4" borderId="0" xfId="0" applyNumberFormat="1" applyFont="1" applyFill="1" applyAlignment="1">
      <alignment horizontal="center" vertical="center"/>
    </xf>
    <xf numFmtId="0" fontId="3" fillId="4" borderId="0" xfId="0" applyFont="1" applyFill="1" applyAlignment="1">
      <alignment horizontal="center" vertical="center"/>
    </xf>
    <xf numFmtId="165" fontId="3" fillId="4" borderId="0" xfId="0" applyNumberFormat="1" applyFont="1" applyFill="1" applyAlignment="1">
      <alignment horizontal="center" vertical="center"/>
    </xf>
    <xf numFmtId="165" fontId="3" fillId="4" borderId="0" xfId="0" applyNumberFormat="1" applyFont="1" applyFill="1" applyAlignment="1">
      <alignment horizontal="justify" vertical="center"/>
    </xf>
    <xf numFmtId="0" fontId="4" fillId="4" borderId="0" xfId="0" applyFont="1" applyFill="1" applyAlignment="1">
      <alignment/>
    </xf>
    <xf numFmtId="0" fontId="3" fillId="0" borderId="0" xfId="0" applyFont="1" applyAlignment="1">
      <alignment horizontal="justify"/>
    </xf>
    <xf numFmtId="10" fontId="6" fillId="0" borderId="0" xfId="78" applyNumberFormat="1" applyFont="1" applyAlignment="1">
      <alignment horizontal="center"/>
    </xf>
    <xf numFmtId="0" fontId="7" fillId="0" borderId="0" xfId="0" applyFont="1" applyAlignment="1">
      <alignment/>
    </xf>
    <xf numFmtId="0" fontId="2" fillId="0" borderId="31" xfId="0" applyFont="1" applyBorder="1" applyAlignment="1">
      <alignment vertical="center"/>
    </xf>
    <xf numFmtId="0" fontId="2" fillId="0" borderId="32" xfId="0" applyFont="1" applyBorder="1" applyAlignment="1">
      <alignment vertical="center"/>
    </xf>
    <xf numFmtId="0" fontId="3" fillId="4" borderId="0" xfId="0" applyFont="1" applyFill="1" applyAlignment="1">
      <alignment/>
    </xf>
    <xf numFmtId="0" fontId="3" fillId="0" borderId="0" xfId="0" applyFont="1" applyAlignment="1">
      <alignment/>
    </xf>
    <xf numFmtId="0" fontId="2" fillId="0" borderId="10" xfId="0" applyFont="1" applyBorder="1" applyAlignment="1">
      <alignment horizontal="left" vertical="center"/>
    </xf>
    <xf numFmtId="0" fontId="2" fillId="0" borderId="25" xfId="0" applyFont="1" applyBorder="1" applyAlignment="1">
      <alignment vertical="center"/>
    </xf>
    <xf numFmtId="0" fontId="2" fillId="0" borderId="10" xfId="0" applyFont="1" applyBorder="1" applyAlignment="1">
      <alignment vertical="center"/>
    </xf>
    <xf numFmtId="0" fontId="2" fillId="0" borderId="25" xfId="0" applyFont="1" applyBorder="1" applyAlignment="1">
      <alignment vertical="center" wrapText="1"/>
    </xf>
    <xf numFmtId="3" fontId="2" fillId="0" borderId="25" xfId="0" applyNumberFormat="1" applyFont="1" applyBorder="1" applyAlignment="1">
      <alignment horizontal="left" vertical="center" wrapText="1"/>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4" fillId="0" borderId="12" xfId="0" applyFont="1" applyBorder="1" applyAlignment="1">
      <alignment horizontal="center" vertical="center"/>
    </xf>
    <xf numFmtId="167" fontId="4" fillId="0" borderId="12" xfId="62" applyNumberFormat="1" applyFont="1" applyBorder="1" applyAlignment="1">
      <alignment horizontal="justify" vertical="center"/>
    </xf>
    <xf numFmtId="167" fontId="4" fillId="0" borderId="12" xfId="62" applyNumberFormat="1" applyFont="1" applyBorder="1" applyAlignment="1">
      <alignment horizontal="right" vertical="center"/>
    </xf>
    <xf numFmtId="0" fontId="4" fillId="0" borderId="12" xfId="0" applyFont="1" applyBorder="1" applyAlignment="1">
      <alignment vertical="center"/>
    </xf>
    <xf numFmtId="0" fontId="4" fillId="0" borderId="33" xfId="0" applyFont="1" applyBorder="1" applyAlignment="1">
      <alignment vertical="center"/>
    </xf>
    <xf numFmtId="1" fontId="4" fillId="9" borderId="14" xfId="0" applyNumberFormat="1" applyFont="1" applyFill="1" applyBorder="1" applyAlignment="1">
      <alignment horizontal="center" vertical="center" wrapText="1"/>
    </xf>
    <xf numFmtId="166" fontId="4" fillId="9" borderId="16" xfId="0" applyNumberFormat="1" applyFont="1" applyFill="1" applyBorder="1" applyAlignment="1">
      <alignment horizontal="center" vertical="center" wrapText="1"/>
    </xf>
    <xf numFmtId="1" fontId="4" fillId="9" borderId="15" xfId="0" applyNumberFormat="1" applyFont="1" applyFill="1" applyBorder="1" applyAlignment="1">
      <alignment horizontal="center" vertical="center" wrapText="1"/>
    </xf>
    <xf numFmtId="3" fontId="5" fillId="8" borderId="16" xfId="0" applyNumberFormat="1" applyFont="1" applyFill="1" applyBorder="1" applyAlignment="1">
      <alignment horizontal="center" vertical="center" wrapText="1"/>
    </xf>
    <xf numFmtId="3" fontId="5" fillId="8" borderId="17" xfId="0" applyNumberFormat="1"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166" fontId="4" fillId="9" borderId="10" xfId="0" applyNumberFormat="1" applyFont="1" applyFill="1" applyBorder="1" applyAlignment="1">
      <alignment horizontal="center" vertical="center" wrapText="1"/>
    </xf>
    <xf numFmtId="0" fontId="4" fillId="9" borderId="16" xfId="0" applyFont="1" applyFill="1" applyBorder="1" applyAlignment="1">
      <alignment horizontal="center" vertical="center" textRotation="90" wrapText="1"/>
    </xf>
    <xf numFmtId="49" fontId="4" fillId="9" borderId="16" xfId="0" applyNumberFormat="1" applyFont="1" applyFill="1" applyBorder="1" applyAlignment="1">
      <alignment horizontal="center" vertical="center" textRotation="90" wrapText="1"/>
    </xf>
    <xf numFmtId="1" fontId="4" fillId="10" borderId="34" xfId="0" applyNumberFormat="1" applyFont="1" applyFill="1" applyBorder="1" applyAlignment="1">
      <alignment horizontal="left" vertical="center" wrapText="1"/>
    </xf>
    <xf numFmtId="0" fontId="4" fillId="10" borderId="17" xfId="0" applyFont="1" applyFill="1" applyBorder="1" applyAlignment="1">
      <alignment vertical="center"/>
    </xf>
    <xf numFmtId="0" fontId="4" fillId="10" borderId="17" xfId="0" applyFont="1" applyFill="1" applyBorder="1" applyAlignment="1">
      <alignment horizontal="left" vertical="center"/>
    </xf>
    <xf numFmtId="0" fontId="4" fillId="10" borderId="17" xfId="0" applyFont="1" applyFill="1" applyBorder="1" applyAlignment="1">
      <alignment horizontal="justify" vertical="center"/>
    </xf>
    <xf numFmtId="0" fontId="4" fillId="10" borderId="17" xfId="0" applyFont="1" applyFill="1" applyBorder="1" applyAlignment="1">
      <alignment horizontal="center" vertical="center"/>
    </xf>
    <xf numFmtId="168" fontId="4" fillId="10" borderId="17" xfId="0" applyNumberFormat="1" applyFont="1" applyFill="1" applyBorder="1" applyAlignment="1">
      <alignment horizontal="center" vertical="center"/>
    </xf>
    <xf numFmtId="167" fontId="4" fillId="10" borderId="17" xfId="62" applyNumberFormat="1" applyFont="1" applyFill="1" applyBorder="1" applyAlignment="1">
      <alignment horizontal="justify" vertical="center"/>
    </xf>
    <xf numFmtId="167" fontId="4" fillId="10" borderId="17" xfId="62" applyNumberFormat="1" applyFont="1" applyFill="1" applyBorder="1" applyAlignment="1">
      <alignment horizontal="right" vertical="center"/>
    </xf>
    <xf numFmtId="1" fontId="4" fillId="10" borderId="17" xfId="0" applyNumberFormat="1" applyFont="1" applyFill="1" applyBorder="1" applyAlignment="1">
      <alignment horizontal="center" vertical="center"/>
    </xf>
    <xf numFmtId="166" fontId="4" fillId="10" borderId="17" xfId="0" applyNumberFormat="1" applyFont="1" applyFill="1" applyBorder="1" applyAlignment="1">
      <alignment vertical="center"/>
    </xf>
    <xf numFmtId="0" fontId="4" fillId="10" borderId="35" xfId="0" applyFont="1" applyFill="1" applyBorder="1" applyAlignment="1">
      <alignment horizontal="justify" vertical="center"/>
    </xf>
    <xf numFmtId="1" fontId="4" fillId="4" borderId="36"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1" fontId="4" fillId="9" borderId="11" xfId="0" applyNumberFormat="1" applyFont="1" applyFill="1" applyBorder="1" applyAlignment="1">
      <alignment horizontal="center" vertical="center"/>
    </xf>
    <xf numFmtId="0" fontId="4" fillId="9" borderId="12" xfId="0" applyFont="1" applyFill="1" applyBorder="1" applyAlignment="1">
      <alignment vertical="center"/>
    </xf>
    <xf numFmtId="0" fontId="4" fillId="9" borderId="12" xfId="0" applyFont="1" applyFill="1" applyBorder="1" applyAlignment="1">
      <alignment horizontal="justify" vertical="center"/>
    </xf>
    <xf numFmtId="0" fontId="4" fillId="9" borderId="12" xfId="0" applyFont="1" applyFill="1" applyBorder="1" applyAlignment="1">
      <alignment horizontal="center" vertical="center"/>
    </xf>
    <xf numFmtId="0" fontId="4" fillId="9" borderId="0" xfId="0" applyFont="1" applyFill="1" applyAlignment="1">
      <alignment horizontal="justify" vertical="center"/>
    </xf>
    <xf numFmtId="168" fontId="4" fillId="9" borderId="12" xfId="0" applyNumberFormat="1" applyFont="1" applyFill="1" applyBorder="1" applyAlignment="1">
      <alignment horizontal="center" vertical="center"/>
    </xf>
    <xf numFmtId="167" fontId="4" fillId="9" borderId="12" xfId="62" applyNumberFormat="1" applyFont="1" applyFill="1" applyBorder="1" applyAlignment="1">
      <alignment horizontal="justify" vertical="center"/>
    </xf>
    <xf numFmtId="167" fontId="4" fillId="9" borderId="12" xfId="62" applyNumberFormat="1" applyFont="1" applyFill="1" applyBorder="1" applyAlignment="1">
      <alignment horizontal="right" vertical="center"/>
    </xf>
    <xf numFmtId="1" fontId="4" fillId="9" borderId="12" xfId="0" applyNumberFormat="1" applyFont="1" applyFill="1" applyBorder="1" applyAlignment="1">
      <alignment horizontal="center" vertical="center"/>
    </xf>
    <xf numFmtId="166" fontId="4" fillId="9" borderId="12" xfId="0" applyNumberFormat="1" applyFont="1" applyFill="1" applyBorder="1" applyAlignment="1">
      <alignment vertical="center"/>
    </xf>
    <xf numFmtId="0" fontId="4" fillId="9" borderId="33" xfId="0" applyFont="1" applyFill="1" applyBorder="1" applyAlignment="1">
      <alignment horizontal="justify" vertical="center"/>
    </xf>
    <xf numFmtId="0" fontId="4" fillId="4" borderId="1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17" xfId="0" applyFont="1" applyFill="1" applyBorder="1" applyAlignment="1">
      <alignment vertical="center"/>
    </xf>
    <xf numFmtId="0" fontId="4" fillId="12" borderId="20" xfId="0" applyFont="1" applyFill="1" applyBorder="1" applyAlignment="1">
      <alignment horizontal="justify" vertical="center"/>
    </xf>
    <xf numFmtId="0" fontId="4" fillId="12" borderId="20" xfId="0" applyFont="1" applyFill="1" applyBorder="1" applyAlignment="1">
      <alignment horizontal="center" vertical="center"/>
    </xf>
    <xf numFmtId="0" fontId="4" fillId="12" borderId="14" xfId="0" applyFont="1" applyFill="1" applyBorder="1" applyAlignment="1">
      <alignment horizontal="justify" vertical="center"/>
    </xf>
    <xf numFmtId="168" fontId="4" fillId="12" borderId="20" xfId="0" applyNumberFormat="1" applyFont="1" applyFill="1" applyBorder="1" applyAlignment="1">
      <alignment horizontal="center" vertical="center"/>
    </xf>
    <xf numFmtId="167" fontId="4" fillId="12" borderId="20" xfId="62" applyNumberFormat="1" applyFont="1" applyFill="1" applyBorder="1" applyAlignment="1">
      <alignment horizontal="justify" vertical="center"/>
    </xf>
    <xf numFmtId="167" fontId="4" fillId="12" borderId="20" xfId="62" applyNumberFormat="1" applyFont="1" applyFill="1" applyBorder="1" applyAlignment="1">
      <alignment horizontal="right" vertical="center"/>
    </xf>
    <xf numFmtId="1" fontId="4" fillId="12" borderId="20" xfId="0" applyNumberFormat="1" applyFont="1" applyFill="1" applyBorder="1" applyAlignment="1">
      <alignment horizontal="center" vertical="center"/>
    </xf>
    <xf numFmtId="0" fontId="4" fillId="12" borderId="20" xfId="0" applyFont="1" applyFill="1" applyBorder="1" applyAlignment="1">
      <alignment vertical="center"/>
    </xf>
    <xf numFmtId="166" fontId="4" fillId="12" borderId="20" xfId="0" applyNumberFormat="1" applyFont="1" applyFill="1" applyBorder="1" applyAlignment="1">
      <alignment vertical="center"/>
    </xf>
    <xf numFmtId="0" fontId="4" fillId="12" borderId="37" xfId="0" applyFont="1" applyFill="1" applyBorder="1" applyAlignment="1">
      <alignment horizontal="justify" vertical="center"/>
    </xf>
    <xf numFmtId="1" fontId="3" fillId="4" borderId="36"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2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0" xfId="0" applyFont="1" applyBorder="1" applyAlignment="1">
      <alignment horizontal="justify" vertical="center" wrapText="1" readingOrder="2"/>
    </xf>
    <xf numFmtId="169" fontId="3" fillId="0" borderId="10" xfId="49" applyNumberFormat="1" applyFont="1" applyFill="1" applyBorder="1" applyAlignment="1">
      <alignment horizontal="righ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24" xfId="0" applyFont="1" applyBorder="1" applyAlignment="1">
      <alignment horizontal="justify" vertical="center" wrapText="1"/>
    </xf>
    <xf numFmtId="9" fontId="3" fillId="0" borderId="10" xfId="77" applyFont="1" applyBorder="1" applyAlignment="1">
      <alignment horizontal="center" vertical="center" wrapText="1"/>
    </xf>
    <xf numFmtId="169" fontId="3" fillId="0" borderId="14" xfId="49" applyNumberFormat="1" applyFont="1" applyFill="1" applyBorder="1" applyAlignment="1">
      <alignment horizontal="right" vertical="center" wrapText="1"/>
    </xf>
    <xf numFmtId="1" fontId="3" fillId="0" borderId="26" xfId="0" applyNumberFormat="1" applyFont="1" applyBorder="1" applyAlignment="1">
      <alignment vertical="center"/>
    </xf>
    <xf numFmtId="0" fontId="3" fillId="0" borderId="27" xfId="0" applyFont="1" applyBorder="1" applyAlignment="1">
      <alignment vertical="center"/>
    </xf>
    <xf numFmtId="0" fontId="3" fillId="0" borderId="27" xfId="0" applyFont="1" applyBorder="1" applyAlignment="1">
      <alignment vertical="center" wrapText="1"/>
    </xf>
    <xf numFmtId="0" fontId="3" fillId="0" borderId="27" xfId="0" applyFont="1" applyBorder="1" applyAlignment="1">
      <alignment horizontal="justify" vertical="center"/>
    </xf>
    <xf numFmtId="0" fontId="3" fillId="0" borderId="27" xfId="0" applyFont="1" applyBorder="1" applyAlignment="1">
      <alignment horizontal="center" vertical="center"/>
    </xf>
    <xf numFmtId="168" fontId="3" fillId="0" borderId="28" xfId="0" applyNumberFormat="1" applyFont="1" applyBorder="1" applyAlignment="1">
      <alignment horizontal="center" vertical="center"/>
    </xf>
    <xf numFmtId="43" fontId="4" fillId="0" borderId="30" xfId="49" applyFont="1" applyBorder="1" applyAlignment="1">
      <alignment horizontal="justify" vertical="center"/>
    </xf>
    <xf numFmtId="0" fontId="3" fillId="0" borderId="26" xfId="0" applyFont="1" applyBorder="1" applyAlignment="1">
      <alignment horizontal="justify" vertical="center"/>
    </xf>
    <xf numFmtId="0" fontId="3" fillId="0" borderId="28" xfId="0" applyFont="1" applyBorder="1" applyAlignment="1">
      <alignment horizontal="justify" vertical="center"/>
    </xf>
    <xf numFmtId="43" fontId="4" fillId="0" borderId="30" xfId="49" applyFont="1" applyBorder="1" applyAlignment="1">
      <alignment horizontal="right" vertical="center"/>
    </xf>
    <xf numFmtId="1" fontId="3" fillId="4" borderId="26" xfId="0" applyNumberFormat="1" applyFont="1" applyFill="1" applyBorder="1" applyAlignment="1">
      <alignment horizontal="center" vertical="center"/>
    </xf>
    <xf numFmtId="0" fontId="3" fillId="4" borderId="27" xfId="0" applyFont="1" applyFill="1" applyBorder="1" applyAlignment="1">
      <alignment horizontal="justify" vertical="center"/>
    </xf>
    <xf numFmtId="166" fontId="3" fillId="0" borderId="27" xfId="0" applyNumberFormat="1" applyFont="1" applyBorder="1" applyAlignment="1">
      <alignment horizontal="right" vertical="center"/>
    </xf>
    <xf numFmtId="166" fontId="3" fillId="0" borderId="27" xfId="0" applyNumberFormat="1" applyFont="1" applyBorder="1" applyAlignment="1">
      <alignment horizontal="center" vertical="center"/>
    </xf>
    <xf numFmtId="0" fontId="3" fillId="0" borderId="0" xfId="0" applyFont="1" applyAlignment="1">
      <alignment vertical="center"/>
    </xf>
    <xf numFmtId="167" fontId="4" fillId="0" borderId="0" xfId="62" applyNumberFormat="1" applyFont="1" applyAlignment="1">
      <alignment horizontal="justify" vertical="center"/>
    </xf>
    <xf numFmtId="167" fontId="4" fillId="0" borderId="0" xfId="62" applyNumberFormat="1" applyFont="1" applyAlignment="1">
      <alignment horizontal="right" vertical="center"/>
    </xf>
    <xf numFmtId="165" fontId="4" fillId="4" borderId="0" xfId="0" applyNumberFormat="1" applyFont="1" applyFill="1" applyAlignment="1">
      <alignment vertical="center"/>
    </xf>
    <xf numFmtId="0" fontId="3" fillId="4" borderId="0" xfId="0" applyFont="1" applyFill="1" applyAlignment="1">
      <alignment horizontal="justify"/>
    </xf>
    <xf numFmtId="171" fontId="4" fillId="4" borderId="0" xfId="0" applyNumberFormat="1" applyFont="1" applyFill="1" applyAlignment="1">
      <alignment horizontal="right" vertical="center"/>
    </xf>
    <xf numFmtId="172" fontId="3" fillId="4" borderId="0" xfId="0" applyNumberFormat="1" applyFont="1" applyFill="1" applyAlignment="1">
      <alignment vertical="center"/>
    </xf>
    <xf numFmtId="1" fontId="3" fillId="0" borderId="0" xfId="0" applyNumberFormat="1" applyFont="1" applyAlignment="1">
      <alignment/>
    </xf>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horizontal="justify"/>
    </xf>
    <xf numFmtId="0" fontId="3" fillId="0" borderId="0" xfId="0" applyFont="1" applyAlignment="1">
      <alignment horizontal="center"/>
    </xf>
    <xf numFmtId="167" fontId="3" fillId="0" borderId="0" xfId="62" applyNumberFormat="1" applyFont="1" applyAlignment="1">
      <alignment horizontal="justify"/>
    </xf>
    <xf numFmtId="167" fontId="3" fillId="0" borderId="0" xfId="62" applyNumberFormat="1" applyFont="1" applyAlignment="1">
      <alignment horizontal="right" vertical="center"/>
    </xf>
    <xf numFmtId="1" fontId="3" fillId="4" borderId="0" xfId="0" applyNumberFormat="1" applyFont="1" applyFill="1" applyAlignment="1">
      <alignment horizontal="center" vertical="center"/>
    </xf>
    <xf numFmtId="0" fontId="3" fillId="4" borderId="0" xfId="0" applyFont="1" applyFill="1" applyAlignment="1">
      <alignment horizontal="justify" vertical="center"/>
    </xf>
    <xf numFmtId="166" fontId="3" fillId="0" borderId="0" xfId="0" applyNumberFormat="1" applyFont="1" applyAlignment="1">
      <alignment horizontal="right" vertical="center"/>
    </xf>
    <xf numFmtId="166" fontId="3" fillId="0" borderId="0" xfId="0" applyNumberFormat="1" applyFont="1" applyAlignment="1">
      <alignment horizontal="center"/>
    </xf>
    <xf numFmtId="0" fontId="3" fillId="4" borderId="0" xfId="0" applyFont="1" applyFill="1" applyAlignment="1">
      <alignment horizontal="center"/>
    </xf>
    <xf numFmtId="168" fontId="3" fillId="4" borderId="0" xfId="0" applyNumberFormat="1" applyFont="1" applyFill="1" applyAlignment="1">
      <alignment horizontal="center" vertical="center"/>
    </xf>
    <xf numFmtId="167" fontId="3" fillId="4" borderId="0" xfId="62" applyNumberFormat="1" applyFont="1" applyFill="1" applyAlignment="1">
      <alignment horizontal="justify" vertical="center"/>
    </xf>
    <xf numFmtId="167" fontId="3" fillId="4" borderId="0" xfId="62" applyNumberFormat="1" applyFont="1" applyFill="1" applyAlignment="1">
      <alignment horizontal="right" vertical="center"/>
    </xf>
    <xf numFmtId="0" fontId="2" fillId="0" borderId="10" xfId="0" applyFont="1" applyBorder="1" applyAlignment="1">
      <alignment/>
    </xf>
    <xf numFmtId="0" fontId="2" fillId="0" borderId="10" xfId="0" applyFont="1" applyBorder="1" applyAlignment="1">
      <alignment horizontal="left"/>
    </xf>
    <xf numFmtId="173" fontId="2" fillId="0" borderId="10" xfId="0" applyNumberFormat="1" applyFont="1" applyBorder="1" applyAlignment="1">
      <alignment horizontal="left"/>
    </xf>
    <xf numFmtId="17" fontId="2" fillId="0" borderId="10" xfId="0" applyNumberFormat="1" applyFont="1" applyBorder="1" applyAlignment="1">
      <alignment horizontal="left"/>
    </xf>
    <xf numFmtId="3" fontId="2" fillId="4" borderId="10" xfId="0" applyNumberFormat="1" applyFont="1" applyFill="1" applyBorder="1" applyAlignment="1">
      <alignment horizontal="left" vertical="center" wrapText="1"/>
    </xf>
    <xf numFmtId="0" fontId="3" fillId="0" borderId="0" xfId="0" applyFont="1" applyAlignment="1">
      <alignment wrapText="1"/>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9" borderId="10" xfId="0" applyFont="1" applyFill="1" applyBorder="1" applyAlignment="1">
      <alignment horizontal="center" vertical="center" textRotation="90" wrapText="1"/>
    </xf>
    <xf numFmtId="49" fontId="4" fillId="9" borderId="10" xfId="0" applyNumberFormat="1" applyFont="1" applyFill="1" applyBorder="1" applyAlignment="1">
      <alignment horizontal="center" vertical="center" textRotation="90" wrapText="1"/>
    </xf>
    <xf numFmtId="1" fontId="4" fillId="10" borderId="19" xfId="0" applyNumberFormat="1" applyFont="1" applyFill="1" applyBorder="1" applyAlignment="1">
      <alignment horizontal="left" vertical="center" wrapText="1"/>
    </xf>
    <xf numFmtId="0" fontId="4" fillId="10" borderId="20" xfId="0" applyFont="1" applyFill="1" applyBorder="1" applyAlignment="1">
      <alignment vertical="center"/>
    </xf>
    <xf numFmtId="0" fontId="4" fillId="10" borderId="20" xfId="0" applyFont="1" applyFill="1" applyBorder="1" applyAlignment="1">
      <alignment horizontal="justify" vertical="center"/>
    </xf>
    <xf numFmtId="0" fontId="4" fillId="10" borderId="20" xfId="0" applyFont="1" applyFill="1" applyBorder="1" applyAlignment="1">
      <alignment horizontal="center" vertical="center"/>
    </xf>
    <xf numFmtId="9" fontId="4" fillId="10" borderId="20" xfId="79" applyFont="1" applyFill="1" applyBorder="1" applyAlignment="1">
      <alignment horizontal="center" vertical="center"/>
    </xf>
    <xf numFmtId="3" fontId="3" fillId="10" borderId="20" xfId="0" applyNumberFormat="1" applyFont="1" applyFill="1" applyBorder="1" applyAlignment="1">
      <alignment vertical="center"/>
    </xf>
    <xf numFmtId="3" fontId="4" fillId="10" borderId="20" xfId="0" applyNumberFormat="1" applyFont="1" applyFill="1" applyBorder="1" applyAlignment="1">
      <alignment horizontal="right" vertical="center"/>
    </xf>
    <xf numFmtId="169" fontId="4" fillId="10" borderId="20" xfId="0" applyNumberFormat="1" applyFont="1" applyFill="1" applyBorder="1" applyAlignment="1">
      <alignment horizontal="center" vertical="center"/>
    </xf>
    <xf numFmtId="0" fontId="4" fillId="10" borderId="10" xfId="0" applyFont="1" applyFill="1" applyBorder="1" applyAlignment="1">
      <alignment vertical="center"/>
    </xf>
    <xf numFmtId="0" fontId="4" fillId="10" borderId="10" xfId="0" applyFont="1" applyFill="1" applyBorder="1" applyAlignment="1">
      <alignment horizontal="justify" vertical="center"/>
    </xf>
    <xf numFmtId="0" fontId="3" fillId="4" borderId="19" xfId="0" applyFont="1" applyFill="1" applyBorder="1" applyAlignment="1">
      <alignment vertical="center" wrapText="1"/>
    </xf>
    <xf numFmtId="0" fontId="4" fillId="9" borderId="16" xfId="0" applyFont="1" applyFill="1" applyBorder="1" applyAlignment="1">
      <alignment horizontal="left" vertical="center"/>
    </xf>
    <xf numFmtId="1" fontId="4" fillId="9" borderId="17" xfId="0" applyNumberFormat="1" applyFont="1" applyFill="1" applyBorder="1" applyAlignment="1">
      <alignment horizontal="left" vertical="center"/>
    </xf>
    <xf numFmtId="0" fontId="4" fillId="9" borderId="20" xfId="0" applyFont="1" applyFill="1" applyBorder="1" applyAlignment="1">
      <alignment vertical="center"/>
    </xf>
    <xf numFmtId="0" fontId="4" fillId="9" borderId="20" xfId="0" applyFont="1" applyFill="1" applyBorder="1" applyAlignment="1">
      <alignment horizontal="justify" vertical="center"/>
    </xf>
    <xf numFmtId="0" fontId="4" fillId="9" borderId="20" xfId="0" applyFont="1" applyFill="1" applyBorder="1" applyAlignment="1">
      <alignment horizontal="center" vertical="center"/>
    </xf>
    <xf numFmtId="9" fontId="4" fillId="9" borderId="20" xfId="79" applyFont="1" applyFill="1" applyBorder="1" applyAlignment="1">
      <alignment horizontal="center" vertical="center"/>
    </xf>
    <xf numFmtId="3" fontId="3" fillId="9" borderId="20" xfId="0" applyNumberFormat="1" applyFont="1" applyFill="1" applyBorder="1" applyAlignment="1">
      <alignment vertical="center"/>
    </xf>
    <xf numFmtId="3" fontId="4" fillId="9" borderId="20" xfId="0" applyNumberFormat="1" applyFont="1" applyFill="1" applyBorder="1" applyAlignment="1">
      <alignment horizontal="right" vertical="center"/>
    </xf>
    <xf numFmtId="169" fontId="4" fillId="9" borderId="20" xfId="0" applyNumberFormat="1" applyFont="1" applyFill="1" applyBorder="1" applyAlignment="1">
      <alignment horizontal="center" vertical="center"/>
    </xf>
    <xf numFmtId="0" fontId="4" fillId="9" borderId="0" xfId="0" applyFont="1" applyFill="1" applyAlignment="1">
      <alignment vertical="center"/>
    </xf>
    <xf numFmtId="0" fontId="4" fillId="9" borderId="10" xfId="0" applyFont="1" applyFill="1" applyBorder="1" applyAlignment="1">
      <alignment vertical="center"/>
    </xf>
    <xf numFmtId="166" fontId="4" fillId="9" borderId="10" xfId="0" applyNumberFormat="1" applyFont="1" applyFill="1" applyBorder="1" applyAlignment="1">
      <alignment vertical="center"/>
    </xf>
    <xf numFmtId="0" fontId="4" fillId="9" borderId="10" xfId="0" applyFont="1" applyFill="1" applyBorder="1" applyAlignment="1">
      <alignment horizontal="justify" vertical="center"/>
    </xf>
    <xf numFmtId="0" fontId="3" fillId="4" borderId="22" xfId="0" applyFont="1" applyFill="1" applyBorder="1" applyAlignment="1">
      <alignment vertical="center" wrapText="1"/>
    </xf>
    <xf numFmtId="1" fontId="4" fillId="12" borderId="16" xfId="0" applyNumberFormat="1" applyFont="1" applyFill="1" applyBorder="1" applyAlignment="1">
      <alignment horizontal="left" vertical="center" wrapText="1"/>
    </xf>
    <xf numFmtId="1" fontId="4" fillId="12" borderId="17" xfId="0" applyNumberFormat="1" applyFont="1" applyFill="1" applyBorder="1" applyAlignment="1">
      <alignment vertical="center"/>
    </xf>
    <xf numFmtId="0" fontId="4" fillId="12" borderId="18" xfId="0" applyFont="1" applyFill="1" applyBorder="1" applyAlignment="1">
      <alignment vertical="center"/>
    </xf>
    <xf numFmtId="0" fontId="4" fillId="12" borderId="10" xfId="0" applyFont="1" applyFill="1" applyBorder="1" applyAlignment="1">
      <alignment horizontal="justify" vertical="center"/>
    </xf>
    <xf numFmtId="0" fontId="4" fillId="12" borderId="10" xfId="0" applyFont="1" applyFill="1" applyBorder="1" applyAlignment="1">
      <alignment vertical="center"/>
    </xf>
    <xf numFmtId="0" fontId="4" fillId="12" borderId="10" xfId="0" applyFont="1" applyFill="1" applyBorder="1" applyAlignment="1">
      <alignment horizontal="center" vertical="center"/>
    </xf>
    <xf numFmtId="9" fontId="4" fillId="12" borderId="10" xfId="79" applyFont="1" applyFill="1" applyBorder="1" applyAlignment="1">
      <alignment horizontal="center" vertical="center"/>
    </xf>
    <xf numFmtId="3" fontId="3" fillId="12" borderId="10" xfId="0" applyNumberFormat="1" applyFont="1" applyFill="1" applyBorder="1" applyAlignment="1">
      <alignment vertical="center"/>
    </xf>
    <xf numFmtId="3" fontId="4" fillId="12" borderId="10" xfId="0" applyNumberFormat="1" applyFont="1" applyFill="1" applyBorder="1" applyAlignment="1">
      <alignment horizontal="right" vertical="center"/>
    </xf>
    <xf numFmtId="169" fontId="4" fillId="12" borderId="10" xfId="0" applyNumberFormat="1" applyFont="1" applyFill="1" applyBorder="1" applyAlignment="1">
      <alignment horizontal="center" vertical="center"/>
    </xf>
    <xf numFmtId="166" fontId="4" fillId="12" borderId="10" xfId="0" applyNumberFormat="1" applyFont="1" applyFill="1" applyBorder="1" applyAlignment="1">
      <alignment vertical="center"/>
    </xf>
    <xf numFmtId="0" fontId="3" fillId="4" borderId="10" xfId="0" applyFont="1" applyFill="1" applyBorder="1" applyAlignment="1">
      <alignment horizontal="justify" vertical="center" wrapText="1"/>
    </xf>
    <xf numFmtId="169" fontId="3" fillId="4" borderId="10" xfId="0" applyNumberFormat="1" applyFont="1" applyFill="1" applyBorder="1" applyAlignment="1">
      <alignment horizontal="right" vertical="center" wrapText="1"/>
    </xf>
    <xf numFmtId="0" fontId="3" fillId="4" borderId="10" xfId="0" applyFont="1" applyFill="1" applyBorder="1" applyAlignment="1">
      <alignment horizontal="justify" vertical="center" wrapText="1"/>
    </xf>
    <xf numFmtId="0" fontId="3" fillId="4" borderId="10" xfId="0" applyFont="1" applyFill="1" applyBorder="1" applyAlignment="1">
      <alignment horizontal="center" vertical="center" wrapText="1"/>
    </xf>
    <xf numFmtId="0" fontId="3" fillId="4" borderId="10" xfId="0" applyFont="1" applyFill="1" applyBorder="1" applyAlignment="1">
      <alignment vertical="center" wrapText="1"/>
    </xf>
    <xf numFmtId="9" fontId="3" fillId="4" borderId="10" xfId="79"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69" fontId="6" fillId="0" borderId="10" xfId="0" applyNumberFormat="1" applyFont="1" applyBorder="1" applyAlignment="1">
      <alignment horizontal="center" vertical="center"/>
    </xf>
    <xf numFmtId="3" fontId="3" fillId="0" borderId="10" xfId="0" applyNumberFormat="1" applyFont="1" applyBorder="1" applyAlignment="1">
      <alignment horizontal="center" vertical="center"/>
    </xf>
    <xf numFmtId="14" fontId="3" fillId="4" borderId="10" xfId="0" applyNumberFormat="1" applyFont="1" applyFill="1" applyBorder="1" applyAlignment="1">
      <alignment horizontal="center" vertical="center"/>
    </xf>
    <xf numFmtId="1" fontId="4" fillId="9" borderId="16" xfId="0" applyNumberFormat="1" applyFont="1" applyFill="1" applyBorder="1" applyAlignment="1">
      <alignment horizontal="left" vertical="center"/>
    </xf>
    <xf numFmtId="0" fontId="4" fillId="9" borderId="17" xfId="0" applyFont="1" applyFill="1" applyBorder="1" applyAlignment="1">
      <alignment vertical="center"/>
    </xf>
    <xf numFmtId="0" fontId="4" fillId="9" borderId="18" xfId="0" applyFont="1" applyFill="1" applyBorder="1" applyAlignment="1">
      <alignment vertical="center"/>
    </xf>
    <xf numFmtId="0" fontId="4" fillId="9" borderId="10" xfId="0" applyFont="1" applyFill="1" applyBorder="1" applyAlignment="1">
      <alignment horizontal="center" vertical="center"/>
    </xf>
    <xf numFmtId="9" fontId="4" fillId="9" borderId="10" xfId="79" applyFont="1" applyFill="1" applyBorder="1" applyAlignment="1">
      <alignment horizontal="center" vertical="center"/>
    </xf>
    <xf numFmtId="3" fontId="3" fillId="9" borderId="10" xfId="0" applyNumberFormat="1" applyFont="1" applyFill="1" applyBorder="1" applyAlignment="1">
      <alignment vertical="center"/>
    </xf>
    <xf numFmtId="3" fontId="4" fillId="9" borderId="10" xfId="0" applyNumberFormat="1" applyFont="1" applyFill="1" applyBorder="1" applyAlignment="1">
      <alignment horizontal="right" vertical="center"/>
    </xf>
    <xf numFmtId="169" fontId="4" fillId="9" borderId="10" xfId="0" applyNumberFormat="1" applyFont="1" applyFill="1" applyBorder="1" applyAlignment="1">
      <alignment horizontal="center" vertical="center"/>
    </xf>
    <xf numFmtId="1" fontId="4" fillId="12" borderId="16" xfId="0" applyNumberFormat="1" applyFont="1" applyFill="1" applyBorder="1" applyAlignment="1">
      <alignment horizontal="left" vertical="center" wrapText="1" indent="1"/>
    </xf>
    <xf numFmtId="1" fontId="4" fillId="12" borderId="18" xfId="0" applyNumberFormat="1" applyFont="1" applyFill="1" applyBorder="1" applyAlignment="1">
      <alignment horizontal="left" vertical="center" wrapText="1" indent="1"/>
    </xf>
    <xf numFmtId="169" fontId="4" fillId="12" borderId="10" xfId="0" applyNumberFormat="1" applyFont="1" applyFill="1" applyBorder="1" applyAlignment="1">
      <alignment horizontal="center" vertical="center" wrapText="1"/>
    </xf>
    <xf numFmtId="0" fontId="3" fillId="4" borderId="10" xfId="0" applyFont="1" applyFill="1" applyBorder="1" applyAlignment="1">
      <alignment horizontal="justify" vertical="center" wrapText="1"/>
    </xf>
    <xf numFmtId="169" fontId="6" fillId="4" borderId="10" xfId="54" applyNumberFormat="1" applyFont="1" applyFill="1" applyBorder="1" applyAlignment="1">
      <alignment horizontal="center" vertical="center"/>
    </xf>
    <xf numFmtId="0" fontId="3" fillId="4" borderId="38" xfId="0" applyFont="1" applyFill="1" applyBorder="1" applyAlignment="1">
      <alignment vertical="center" wrapText="1"/>
    </xf>
    <xf numFmtId="0" fontId="3" fillId="4" borderId="14" xfId="0" applyFont="1" applyFill="1" applyBorder="1" applyAlignment="1">
      <alignment horizontal="justify" vertical="center" wrapText="1"/>
    </xf>
    <xf numFmtId="0" fontId="3" fillId="0" borderId="14" xfId="0" applyFont="1" applyBorder="1" applyAlignment="1">
      <alignment horizontal="justify" vertical="center" wrapText="1"/>
    </xf>
    <xf numFmtId="169" fontId="6" fillId="4" borderId="14" xfId="54" applyNumberFormat="1"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5" fillId="0" borderId="28" xfId="0" applyFont="1" applyBorder="1" applyAlignment="1">
      <alignment vertical="center"/>
    </xf>
    <xf numFmtId="43" fontId="5" fillId="0" borderId="30" xfId="54" applyFont="1" applyBorder="1" applyAlignment="1">
      <alignment vertical="center"/>
    </xf>
    <xf numFmtId="0" fontId="4" fillId="0" borderId="28" xfId="0" applyFont="1" applyBorder="1" applyAlignment="1">
      <alignment horizontal="justify" vertical="center"/>
    </xf>
    <xf numFmtId="169" fontId="4" fillId="0" borderId="30" xfId="54" applyNumberFormat="1" applyFont="1" applyBorder="1" applyAlignment="1">
      <alignment/>
    </xf>
    <xf numFmtId="165" fontId="5" fillId="0" borderId="26" xfId="0" applyNumberFormat="1" applyFont="1" applyBorder="1" applyAlignment="1">
      <alignment vertical="center"/>
    </xf>
    <xf numFmtId="0" fontId="4" fillId="4" borderId="27" xfId="0" applyFont="1" applyFill="1" applyBorder="1" applyAlignment="1">
      <alignment horizontal="justify" vertical="center"/>
    </xf>
    <xf numFmtId="0" fontId="4" fillId="0" borderId="27" xfId="0" applyFont="1" applyBorder="1" applyAlignment="1">
      <alignment horizontal="right" vertical="center"/>
    </xf>
    <xf numFmtId="164" fontId="4" fillId="0" borderId="27" xfId="0" applyNumberFormat="1"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vertical="center"/>
    </xf>
    <xf numFmtId="3" fontId="3" fillId="0" borderId="0" xfId="0" applyNumberFormat="1" applyFont="1" applyAlignment="1">
      <alignment/>
    </xf>
    <xf numFmtId="169" fontId="3" fillId="0" borderId="0" xfId="0" applyNumberFormat="1" applyFont="1" applyAlignment="1">
      <alignment horizontal="center"/>
    </xf>
    <xf numFmtId="165" fontId="3" fillId="0" borderId="0" xfId="0" applyNumberFormat="1" applyFont="1" applyAlignment="1">
      <alignment/>
    </xf>
    <xf numFmtId="3" fontId="4" fillId="4" borderId="20" xfId="0" applyNumberFormat="1" applyFont="1" applyFill="1" applyBorder="1" applyAlignment="1">
      <alignment vertical="center"/>
    </xf>
    <xf numFmtId="0" fontId="4" fillId="0" borderId="20" xfId="0" applyFont="1" applyBorder="1" applyAlignment="1">
      <alignment/>
    </xf>
    <xf numFmtId="0" fontId="4" fillId="0" borderId="0" xfId="0" applyFont="1" applyAlignment="1">
      <alignment/>
    </xf>
    <xf numFmtId="14" fontId="9" fillId="0" borderId="31" xfId="0" applyNumberFormat="1" applyFont="1" applyBorder="1" applyAlignment="1">
      <alignment/>
    </xf>
    <xf numFmtId="0" fontId="9" fillId="0" borderId="32" xfId="0" applyFont="1" applyBorder="1" applyAlignment="1">
      <alignment/>
    </xf>
    <xf numFmtId="0" fontId="6" fillId="0" borderId="0" xfId="0" applyFont="1" applyAlignment="1">
      <alignment/>
    </xf>
    <xf numFmtId="14" fontId="9" fillId="0" borderId="10" xfId="0" applyNumberFormat="1" applyFont="1" applyBorder="1" applyAlignment="1">
      <alignment horizontal="left"/>
    </xf>
    <xf numFmtId="173" fontId="9" fillId="0" borderId="25" xfId="0" applyNumberFormat="1" applyFont="1" applyBorder="1" applyAlignment="1">
      <alignment horizontal="left"/>
    </xf>
    <xf numFmtId="14" fontId="9" fillId="0" borderId="10" xfId="0" applyNumberFormat="1" applyFont="1" applyBorder="1" applyAlignment="1">
      <alignment/>
    </xf>
    <xf numFmtId="17" fontId="9" fillId="0" borderId="25" xfId="0" applyNumberFormat="1" applyFont="1" applyBorder="1" applyAlignment="1">
      <alignment horizontal="left"/>
    </xf>
    <xf numFmtId="14" fontId="9" fillId="0" borderId="10" xfId="0" applyNumberFormat="1" applyFont="1" applyBorder="1" applyAlignment="1">
      <alignment vertical="center"/>
    </xf>
    <xf numFmtId="3" fontId="9" fillId="4" borderId="25" xfId="0" applyNumberFormat="1" applyFont="1" applyFill="1" applyBorder="1" applyAlignment="1">
      <alignment horizontal="left" vertical="center" wrapText="1"/>
    </xf>
    <xf numFmtId="0" fontId="6" fillId="0" borderId="0" xfId="0" applyFont="1" applyAlignment="1">
      <alignment wrapText="1"/>
    </xf>
    <xf numFmtId="0" fontId="6" fillId="4" borderId="0" xfId="0" applyFont="1" applyFill="1" applyAlignment="1">
      <alignment/>
    </xf>
    <xf numFmtId="0" fontId="5" fillId="0" borderId="11" xfId="0" applyFont="1" applyBorder="1" applyAlignment="1">
      <alignment vertical="center"/>
    </xf>
    <xf numFmtId="0" fontId="6" fillId="0" borderId="12" xfId="0" applyFont="1" applyBorder="1" applyAlignment="1">
      <alignment vertical="center"/>
    </xf>
    <xf numFmtId="0" fontId="5" fillId="0" borderId="12" xfId="0" applyFont="1" applyBorder="1" applyAlignment="1">
      <alignment horizontal="justify" vertical="center"/>
    </xf>
    <xf numFmtId="0" fontId="5" fillId="0" borderId="12" xfId="0" applyFont="1" applyBorder="1" applyAlignment="1">
      <alignment vertical="center"/>
    </xf>
    <xf numFmtId="43" fontId="6" fillId="0" borderId="12" xfId="49" applyFont="1" applyBorder="1" applyAlignment="1">
      <alignment vertical="center"/>
    </xf>
    <xf numFmtId="169" fontId="5" fillId="0" borderId="12" xfId="49" applyNumberFormat="1" applyFont="1" applyBorder="1" applyAlignment="1">
      <alignment horizontal="center" vertical="center"/>
    </xf>
    <xf numFmtId="14" fontId="5" fillId="0" borderId="12" xfId="0" applyNumberFormat="1" applyFont="1" applyBorder="1" applyAlignment="1">
      <alignment vertical="center"/>
    </xf>
    <xf numFmtId="0" fontId="6" fillId="0" borderId="33" xfId="0" applyFont="1" applyBorder="1" applyAlignment="1">
      <alignment vertical="center"/>
    </xf>
    <xf numFmtId="0" fontId="6" fillId="4" borderId="0" xfId="0" applyFont="1" applyFill="1" applyAlignment="1">
      <alignment horizontal="center"/>
    </xf>
    <xf numFmtId="0" fontId="6" fillId="0" borderId="0" xfId="0" applyFont="1" applyAlignment="1">
      <alignment horizontal="center"/>
    </xf>
    <xf numFmtId="0" fontId="5" fillId="9" borderId="16" xfId="0" applyFont="1" applyFill="1" applyBorder="1" applyAlignment="1">
      <alignment horizontal="center" vertical="center" textRotation="90" wrapText="1"/>
    </xf>
    <xf numFmtId="1" fontId="5" fillId="10" borderId="39" xfId="0" applyNumberFormat="1" applyFont="1" applyFill="1" applyBorder="1" applyAlignment="1">
      <alignment horizontal="center" vertical="center" wrapText="1"/>
    </xf>
    <xf numFmtId="0" fontId="5" fillId="10" borderId="17" xfId="0" applyFont="1" applyFill="1" applyBorder="1" applyAlignment="1">
      <alignment vertical="center"/>
    </xf>
    <xf numFmtId="0" fontId="5" fillId="10" borderId="17" xfId="0" applyFont="1" applyFill="1" applyBorder="1" applyAlignment="1">
      <alignment horizontal="left" vertical="center"/>
    </xf>
    <xf numFmtId="0" fontId="5" fillId="10" borderId="17" xfId="0" applyFont="1" applyFill="1" applyBorder="1" applyAlignment="1">
      <alignment horizontal="justify" vertical="center"/>
    </xf>
    <xf numFmtId="0" fontId="6" fillId="10" borderId="17" xfId="0" applyFont="1" applyFill="1" applyBorder="1" applyAlignment="1">
      <alignment horizontal="center" vertical="center"/>
    </xf>
    <xf numFmtId="168" fontId="5" fillId="10" borderId="17" xfId="0" applyNumberFormat="1" applyFont="1" applyFill="1" applyBorder="1" applyAlignment="1">
      <alignment horizontal="center" vertical="center"/>
    </xf>
    <xf numFmtId="43" fontId="6" fillId="10" borderId="17" xfId="49" applyFont="1" applyFill="1" applyBorder="1" applyAlignment="1">
      <alignment vertical="center"/>
    </xf>
    <xf numFmtId="165" fontId="5" fillId="10" borderId="17"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0" fontId="5" fillId="10" borderId="17" xfId="0" applyFont="1" applyFill="1" applyBorder="1" applyAlignment="1">
      <alignment horizontal="center" vertical="center"/>
    </xf>
    <xf numFmtId="169" fontId="6" fillId="10" borderId="17" xfId="49" applyNumberFormat="1" applyFont="1" applyFill="1" applyBorder="1" applyAlignment="1">
      <alignment vertical="center"/>
    </xf>
    <xf numFmtId="169" fontId="5" fillId="10" borderId="17" xfId="49" applyNumberFormat="1" applyFont="1" applyFill="1" applyBorder="1" applyAlignment="1">
      <alignment vertical="center"/>
    </xf>
    <xf numFmtId="14" fontId="5" fillId="10" borderId="17" xfId="0" applyNumberFormat="1" applyFont="1" applyFill="1" applyBorder="1" applyAlignment="1">
      <alignment vertical="center"/>
    </xf>
    <xf numFmtId="0" fontId="6" fillId="10" borderId="35" xfId="0" applyFont="1" applyFill="1" applyBorder="1" applyAlignment="1">
      <alignment horizontal="justify" vertical="center"/>
    </xf>
    <xf numFmtId="1" fontId="5" fillId="9" borderId="18" xfId="0" applyNumberFormat="1" applyFont="1" applyFill="1" applyBorder="1" applyAlignment="1">
      <alignment horizontal="center" vertical="center"/>
    </xf>
    <xf numFmtId="0" fontId="5" fillId="9" borderId="10" xfId="0" applyFont="1" applyFill="1" applyBorder="1" applyAlignment="1">
      <alignment vertical="center"/>
    </xf>
    <xf numFmtId="0" fontId="5" fillId="9" borderId="12" xfId="0" applyFont="1" applyFill="1" applyBorder="1" applyAlignment="1">
      <alignment vertical="center"/>
    </xf>
    <xf numFmtId="0" fontId="5" fillId="9" borderId="12" xfId="0" applyFont="1" applyFill="1" applyBorder="1" applyAlignment="1">
      <alignment horizontal="justify" vertical="center"/>
    </xf>
    <xf numFmtId="0" fontId="6" fillId="9" borderId="12" xfId="0" applyFont="1" applyFill="1" applyBorder="1" applyAlignment="1">
      <alignment horizontal="center" vertical="center"/>
    </xf>
    <xf numFmtId="168" fontId="5" fillId="9" borderId="12" xfId="0" applyNumberFormat="1" applyFont="1" applyFill="1" applyBorder="1" applyAlignment="1">
      <alignment horizontal="center" vertical="center"/>
    </xf>
    <xf numFmtId="43" fontId="6" fillId="9" borderId="12" xfId="49" applyFont="1" applyFill="1" applyBorder="1" applyAlignment="1">
      <alignment vertical="center"/>
    </xf>
    <xf numFmtId="165" fontId="5" fillId="9" borderId="12" xfId="0" applyNumberFormat="1" applyFont="1" applyFill="1" applyBorder="1" applyAlignment="1">
      <alignment horizontal="center" vertical="center"/>
    </xf>
    <xf numFmtId="1" fontId="5" fillId="9" borderId="12" xfId="0" applyNumberFormat="1" applyFont="1" applyFill="1" applyBorder="1" applyAlignment="1">
      <alignment horizontal="center" vertical="center"/>
    </xf>
    <xf numFmtId="0" fontId="5" fillId="9" borderId="12" xfId="0" applyFont="1" applyFill="1" applyBorder="1" applyAlignment="1">
      <alignment horizontal="center" vertical="center"/>
    </xf>
    <xf numFmtId="169" fontId="6" fillId="9" borderId="12" xfId="49" applyNumberFormat="1" applyFont="1" applyFill="1" applyBorder="1" applyAlignment="1">
      <alignment vertical="center"/>
    </xf>
    <xf numFmtId="169" fontId="5" fillId="9" borderId="12" xfId="49" applyNumberFormat="1" applyFont="1" applyFill="1" applyBorder="1" applyAlignment="1">
      <alignment vertical="center"/>
    </xf>
    <xf numFmtId="14" fontId="5" fillId="9" borderId="12" xfId="0" applyNumberFormat="1" applyFont="1" applyFill="1" applyBorder="1" applyAlignment="1">
      <alignment vertical="center"/>
    </xf>
    <xf numFmtId="0" fontId="6" fillId="9" borderId="33" xfId="0" applyFont="1" applyFill="1" applyBorder="1" applyAlignment="1">
      <alignment horizontal="justify" vertical="center"/>
    </xf>
    <xf numFmtId="1" fontId="5" fillId="12" borderId="18" xfId="0" applyNumberFormat="1" applyFont="1" applyFill="1" applyBorder="1" applyAlignment="1">
      <alignment horizontal="center" vertical="center" wrapText="1"/>
    </xf>
    <xf numFmtId="0" fontId="5" fillId="12" borderId="10" xfId="0" applyFont="1" applyFill="1" applyBorder="1" applyAlignment="1">
      <alignment vertical="center"/>
    </xf>
    <xf numFmtId="0" fontId="5" fillId="12" borderId="17" xfId="0" applyFont="1" applyFill="1" applyBorder="1" applyAlignment="1">
      <alignment vertical="center"/>
    </xf>
    <xf numFmtId="0" fontId="5" fillId="12" borderId="17" xfId="0" applyFont="1" applyFill="1" applyBorder="1" applyAlignment="1">
      <alignment horizontal="justify" vertical="center"/>
    </xf>
    <xf numFmtId="0" fontId="5" fillId="12" borderId="20" xfId="0" applyFont="1" applyFill="1" applyBorder="1" applyAlignment="1">
      <alignment vertical="center"/>
    </xf>
    <xf numFmtId="0" fontId="6" fillId="12" borderId="17" xfId="0" applyFont="1" applyFill="1" applyBorder="1" applyAlignment="1">
      <alignment horizontal="center" vertical="center"/>
    </xf>
    <xf numFmtId="168" fontId="5" fillId="12" borderId="17" xfId="0" applyNumberFormat="1" applyFont="1" applyFill="1" applyBorder="1" applyAlignment="1">
      <alignment horizontal="center" vertical="center"/>
    </xf>
    <xf numFmtId="43" fontId="6" fillId="12" borderId="17" xfId="49" applyFont="1" applyFill="1" applyBorder="1" applyAlignment="1">
      <alignment vertical="center"/>
    </xf>
    <xf numFmtId="165" fontId="5" fillId="12" borderId="17" xfId="0" applyNumberFormat="1" applyFont="1" applyFill="1" applyBorder="1" applyAlignment="1">
      <alignment horizontal="center" vertical="center"/>
    </xf>
    <xf numFmtId="1" fontId="5" fillId="12" borderId="17" xfId="0" applyNumberFormat="1" applyFont="1" applyFill="1" applyBorder="1" applyAlignment="1">
      <alignment horizontal="center" vertical="center"/>
    </xf>
    <xf numFmtId="0" fontId="5" fillId="12" borderId="17" xfId="0" applyFont="1" applyFill="1" applyBorder="1" applyAlignment="1">
      <alignment horizontal="center" vertical="center"/>
    </xf>
    <xf numFmtId="169" fontId="6" fillId="12" borderId="17" xfId="49" applyNumberFormat="1" applyFont="1" applyFill="1" applyBorder="1" applyAlignment="1">
      <alignment vertical="center"/>
    </xf>
    <xf numFmtId="169" fontId="5" fillId="12" borderId="17" xfId="49" applyNumberFormat="1" applyFont="1" applyFill="1" applyBorder="1" applyAlignment="1">
      <alignment vertical="center"/>
    </xf>
    <xf numFmtId="14" fontId="5" fillId="12" borderId="17" xfId="0" applyNumberFormat="1" applyFont="1" applyFill="1" applyBorder="1" applyAlignment="1">
      <alignment vertical="center"/>
    </xf>
    <xf numFmtId="0" fontId="6" fillId="12" borderId="35" xfId="0" applyFont="1" applyFill="1" applyBorder="1" applyAlignment="1">
      <alignment horizontal="justify" vertical="center"/>
    </xf>
    <xf numFmtId="1" fontId="5" fillId="4" borderId="14" xfId="0" applyNumberFormat="1" applyFont="1" applyFill="1" applyBorder="1" applyAlignment="1">
      <alignment horizontal="center" vertical="center" wrapText="1"/>
    </xf>
    <xf numFmtId="1" fontId="5" fillId="4" borderId="15" xfId="0" applyNumberFormat="1" applyFont="1" applyFill="1" applyBorder="1" applyAlignment="1">
      <alignment horizontal="center" vertical="center" wrapText="1"/>
    </xf>
    <xf numFmtId="1" fontId="5" fillId="4" borderId="24"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justify" vertical="center" wrapText="1"/>
    </xf>
    <xf numFmtId="43" fontId="6" fillId="0" borderId="10" xfId="49" applyFont="1" applyBorder="1" applyAlignment="1">
      <alignment vertical="center" wrapText="1"/>
    </xf>
    <xf numFmtId="0" fontId="5" fillId="12" borderId="20" xfId="0" applyFont="1" applyFill="1" applyBorder="1" applyAlignment="1">
      <alignment horizontal="justify" vertical="center"/>
    </xf>
    <xf numFmtId="43" fontId="5" fillId="12" borderId="10" xfId="49" applyFont="1" applyFill="1" applyBorder="1" applyAlignment="1">
      <alignment horizontal="center" vertical="center"/>
    </xf>
    <xf numFmtId="14" fontId="6" fillId="12" borderId="17" xfId="0" applyNumberFormat="1" applyFont="1" applyFill="1" applyBorder="1" applyAlignment="1">
      <alignment vertical="center"/>
    </xf>
    <xf numFmtId="0" fontId="6" fillId="12" borderId="35"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6" fillId="4" borderId="15" xfId="0" applyFont="1" applyFill="1" applyBorder="1" applyAlignment="1">
      <alignment horizontal="center" vertical="center"/>
    </xf>
    <xf numFmtId="1" fontId="5" fillId="0" borderId="15"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5" fillId="9" borderId="10" xfId="0" applyFont="1" applyFill="1" applyBorder="1" applyAlignment="1">
      <alignment horizontal="justify" vertical="center"/>
    </xf>
    <xf numFmtId="14" fontId="6" fillId="9" borderId="12" xfId="0" applyNumberFormat="1" applyFont="1" applyFill="1" applyBorder="1" applyAlignment="1">
      <alignment vertical="center"/>
    </xf>
    <xf numFmtId="0" fontId="6" fillId="9" borderId="33" xfId="0" applyFont="1" applyFill="1" applyBorder="1" applyAlignment="1">
      <alignment horizontal="justify" vertical="center" wrapText="1"/>
    </xf>
    <xf numFmtId="14" fontId="6" fillId="4" borderId="14" xfId="0" applyNumberFormat="1" applyFont="1" applyFill="1" applyBorder="1" applyAlignment="1">
      <alignment horizontal="center" vertical="center" wrapText="1"/>
    </xf>
    <xf numFmtId="14" fontId="6" fillId="4" borderId="15" xfId="0" applyNumberFormat="1" applyFont="1" applyFill="1" applyBorder="1" applyAlignment="1">
      <alignment horizontal="center" vertical="center" wrapText="1"/>
    </xf>
    <xf numFmtId="14" fontId="6" fillId="4" borderId="24" xfId="0" applyNumberFormat="1" applyFont="1" applyFill="1" applyBorder="1" applyAlignment="1">
      <alignment horizontal="center" vertical="center" wrapText="1"/>
    </xf>
    <xf numFmtId="0" fontId="5" fillId="12" borderId="20" xfId="0" applyFont="1" applyFill="1" applyBorder="1" applyAlignment="1">
      <alignment horizontal="center" vertical="center"/>
    </xf>
    <xf numFmtId="0" fontId="6" fillId="4" borderId="14" xfId="0" applyFont="1" applyFill="1" applyBorder="1" applyAlignment="1">
      <alignment horizontal="center"/>
    </xf>
    <xf numFmtId="1" fontId="6" fillId="4" borderId="14" xfId="0" applyNumberFormat="1" applyFont="1" applyFill="1" applyBorder="1" applyAlignment="1">
      <alignment horizontal="center" vertical="center" wrapText="1"/>
    </xf>
    <xf numFmtId="1" fontId="6" fillId="4" borderId="15" xfId="0" applyNumberFormat="1" applyFont="1" applyFill="1" applyBorder="1" applyAlignment="1">
      <alignment horizontal="center" vertical="center" wrapText="1"/>
    </xf>
    <xf numFmtId="1" fontId="6" fillId="4" borderId="24" xfId="0" applyNumberFormat="1" applyFont="1" applyFill="1" applyBorder="1" applyAlignment="1">
      <alignment horizontal="center" vertical="center" wrapText="1"/>
    </xf>
    <xf numFmtId="0" fontId="5" fillId="12" borderId="12" xfId="0" applyFont="1" applyFill="1" applyBorder="1" applyAlignment="1">
      <alignment vertical="center"/>
    </xf>
    <xf numFmtId="0" fontId="5" fillId="12" borderId="12" xfId="0" applyFont="1" applyFill="1" applyBorder="1" applyAlignment="1">
      <alignment horizontal="justify" vertical="center"/>
    </xf>
    <xf numFmtId="0" fontId="5" fillId="12" borderId="12" xfId="0" applyFont="1" applyFill="1" applyBorder="1" applyAlignment="1">
      <alignment horizontal="center" vertical="center"/>
    </xf>
    <xf numFmtId="0" fontId="6" fillId="12" borderId="12" xfId="0" applyFont="1" applyFill="1" applyBorder="1" applyAlignment="1">
      <alignment horizontal="center" vertical="center"/>
    </xf>
    <xf numFmtId="168" fontId="5" fillId="12" borderId="12" xfId="0" applyNumberFormat="1" applyFont="1" applyFill="1" applyBorder="1" applyAlignment="1">
      <alignment horizontal="center" vertical="center"/>
    </xf>
    <xf numFmtId="43" fontId="6" fillId="12" borderId="12" xfId="49" applyFont="1" applyFill="1" applyBorder="1" applyAlignment="1">
      <alignment vertical="center"/>
    </xf>
    <xf numFmtId="1" fontId="5" fillId="12" borderId="0" xfId="0" applyNumberFormat="1" applyFont="1" applyFill="1" applyAlignment="1">
      <alignment horizontal="center" vertical="center"/>
    </xf>
    <xf numFmtId="0" fontId="5" fillId="12" borderId="0" xfId="0" applyFont="1" applyFill="1" applyAlignment="1">
      <alignment horizontal="center" vertical="center"/>
    </xf>
    <xf numFmtId="169" fontId="6" fillId="12" borderId="12" xfId="49" applyNumberFormat="1" applyFont="1" applyFill="1" applyBorder="1" applyAlignment="1">
      <alignment vertical="center"/>
    </xf>
    <xf numFmtId="14" fontId="6" fillId="12" borderId="12" xfId="0" applyNumberFormat="1" applyFont="1" applyFill="1" applyBorder="1" applyAlignment="1">
      <alignment vertical="center"/>
    </xf>
    <xf numFmtId="0" fontId="6" fillId="12" borderId="33" xfId="0" applyFont="1" applyFill="1" applyBorder="1" applyAlignment="1">
      <alignment horizontal="justify" vertical="center" wrapText="1"/>
    </xf>
    <xf numFmtId="1" fontId="6" fillId="0" borderId="26" xfId="0" applyNumberFormat="1" applyFont="1" applyBorder="1" applyAlignment="1">
      <alignment/>
    </xf>
    <xf numFmtId="0" fontId="6" fillId="0" borderId="27" xfId="0" applyFont="1" applyBorder="1" applyAlignment="1">
      <alignment/>
    </xf>
    <xf numFmtId="0" fontId="6" fillId="4" borderId="27" xfId="0" applyFont="1" applyFill="1" applyBorder="1" applyAlignment="1">
      <alignment horizontal="justify" vertical="center"/>
    </xf>
    <xf numFmtId="0" fontId="6" fillId="4" borderId="27" xfId="0" applyFont="1" applyFill="1" applyBorder="1" applyAlignment="1">
      <alignment horizontal="justify"/>
    </xf>
    <xf numFmtId="0" fontId="6" fillId="4" borderId="27" xfId="0" applyFont="1" applyFill="1" applyBorder="1" applyAlignment="1">
      <alignment/>
    </xf>
    <xf numFmtId="0" fontId="6" fillId="4" borderId="27" xfId="0" applyFont="1" applyFill="1" applyBorder="1" applyAlignment="1">
      <alignment horizontal="center"/>
    </xf>
    <xf numFmtId="0" fontId="5" fillId="4" borderId="27" xfId="0" applyFont="1" applyFill="1" applyBorder="1" applyAlignment="1">
      <alignment horizontal="justify" vertical="center"/>
    </xf>
    <xf numFmtId="168" fontId="6" fillId="4" borderId="28" xfId="0" applyNumberFormat="1" applyFont="1" applyFill="1" applyBorder="1" applyAlignment="1">
      <alignment horizontal="center" vertical="center"/>
    </xf>
    <xf numFmtId="43" fontId="5" fillId="0" borderId="30" xfId="49" applyFont="1" applyBorder="1" applyAlignment="1">
      <alignment horizontal="center" vertical="center"/>
    </xf>
    <xf numFmtId="0" fontId="6" fillId="4" borderId="26" xfId="0" applyFont="1" applyFill="1" applyBorder="1" applyAlignment="1">
      <alignment horizontal="justify" vertical="center"/>
    </xf>
    <xf numFmtId="0" fontId="6" fillId="4" borderId="28" xfId="0" applyFont="1" applyFill="1" applyBorder="1" applyAlignment="1">
      <alignment horizontal="justify" vertical="center"/>
    </xf>
    <xf numFmtId="43" fontId="5" fillId="0" borderId="29" xfId="49" applyFont="1" applyBorder="1" applyAlignment="1">
      <alignment horizontal="center" vertical="center"/>
    </xf>
    <xf numFmtId="1" fontId="6" fillId="4" borderId="26" xfId="0" applyNumberFormat="1" applyFont="1" applyFill="1" applyBorder="1" applyAlignment="1">
      <alignment horizontal="center" vertical="center"/>
    </xf>
    <xf numFmtId="0" fontId="6" fillId="4" borderId="27" xfId="0" applyFont="1" applyFill="1" applyBorder="1" applyAlignment="1">
      <alignment horizontal="center" vertical="center"/>
    </xf>
    <xf numFmtId="169" fontId="6" fillId="0" borderId="27" xfId="49" applyNumberFormat="1" applyFont="1" applyBorder="1" applyAlignment="1">
      <alignment/>
    </xf>
    <xf numFmtId="14" fontId="6" fillId="0" borderId="27" xfId="0" applyNumberFormat="1" applyFont="1" applyBorder="1" applyAlignment="1">
      <alignment horizontal="right" vertical="center"/>
    </xf>
    <xf numFmtId="0" fontId="6" fillId="0" borderId="28" xfId="0" applyFont="1" applyBorder="1" applyAlignment="1">
      <alignment horizontal="justify" vertical="center"/>
    </xf>
    <xf numFmtId="1" fontId="6" fillId="0" borderId="0" xfId="0" applyNumberFormat="1" applyFont="1" applyAlignment="1">
      <alignment/>
    </xf>
    <xf numFmtId="0" fontId="6" fillId="4" borderId="0" xfId="0" applyFont="1" applyFill="1" applyAlignment="1">
      <alignment horizontal="justify" vertical="center"/>
    </xf>
    <xf numFmtId="0" fontId="6" fillId="4" borderId="0" xfId="0" applyFont="1" applyFill="1" applyAlignment="1">
      <alignment horizontal="justify"/>
    </xf>
    <xf numFmtId="168" fontId="6" fillId="4" borderId="0" xfId="0" applyNumberFormat="1" applyFont="1" applyFill="1" applyAlignment="1">
      <alignment horizontal="center" vertical="center"/>
    </xf>
    <xf numFmtId="43" fontId="6" fillId="4" borderId="0" xfId="49" applyFont="1" applyFill="1" applyAlignment="1">
      <alignment vertical="center"/>
    </xf>
    <xf numFmtId="165" fontId="6" fillId="0" borderId="0" xfId="0" applyNumberFormat="1" applyFont="1" applyAlignment="1">
      <alignment horizontal="center" vertical="center"/>
    </xf>
    <xf numFmtId="1" fontId="6" fillId="4" borderId="0" xfId="0" applyNumberFormat="1" applyFont="1" applyFill="1" applyAlignment="1">
      <alignment horizontal="center" vertical="center"/>
    </xf>
    <xf numFmtId="0" fontId="6" fillId="4" borderId="0" xfId="0" applyFont="1" applyFill="1" applyAlignment="1">
      <alignment horizontal="center" vertical="center"/>
    </xf>
    <xf numFmtId="169" fontId="6" fillId="0" borderId="0" xfId="49" applyNumberFormat="1" applyFont="1" applyAlignment="1">
      <alignment/>
    </xf>
    <xf numFmtId="14" fontId="6" fillId="0" borderId="0" xfId="0" applyNumberFormat="1" applyFont="1" applyAlignment="1">
      <alignment horizontal="right" vertical="center"/>
    </xf>
    <xf numFmtId="0" fontId="6" fillId="0" borderId="0" xfId="0" applyFont="1" applyAlignment="1">
      <alignment horizontal="justify" vertical="center"/>
    </xf>
    <xf numFmtId="0" fontId="6" fillId="0" borderId="12" xfId="0" applyFont="1" applyBorder="1" applyAlignment="1">
      <alignment/>
    </xf>
    <xf numFmtId="165" fontId="6" fillId="4" borderId="0" xfId="0" applyNumberFormat="1" applyFont="1" applyFill="1" applyAlignment="1">
      <alignment horizontal="center" vertical="center"/>
    </xf>
    <xf numFmtId="0" fontId="5" fillId="0" borderId="0" xfId="0" applyFont="1" applyAlignment="1">
      <alignment/>
    </xf>
    <xf numFmtId="0" fontId="3" fillId="0" borderId="11" xfId="0" applyFont="1" applyBorder="1" applyAlignment="1">
      <alignment horizontal="justify" vertical="center"/>
    </xf>
    <xf numFmtId="0" fontId="3" fillId="0" borderId="12" xfId="0" applyFont="1" applyBorder="1" applyAlignment="1">
      <alignment vertical="center"/>
    </xf>
    <xf numFmtId="0" fontId="4" fillId="0" borderId="12" xfId="0" applyFont="1" applyBorder="1" applyAlignment="1">
      <alignment horizontal="justify" vertical="center" wrapText="1"/>
    </xf>
    <xf numFmtId="41" fontId="4" fillId="0" borderId="12" xfId="0" applyNumberFormat="1" applyFont="1" applyBorder="1" applyAlignment="1">
      <alignment vertical="center"/>
    </xf>
    <xf numFmtId="0" fontId="4" fillId="0" borderId="13" xfId="0" applyFont="1" applyBorder="1" applyAlignment="1">
      <alignment horizontal="justify" vertical="center" wrapText="1"/>
    </xf>
    <xf numFmtId="0" fontId="4" fillId="0" borderId="4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10" fillId="8" borderId="10" xfId="0" applyFont="1" applyFill="1" applyBorder="1" applyAlignment="1">
      <alignment horizontal="center" vertical="center" wrapText="1"/>
    </xf>
    <xf numFmtId="0" fontId="4" fillId="4" borderId="0" xfId="0" applyFont="1" applyFill="1" applyAlignment="1">
      <alignment/>
    </xf>
    <xf numFmtId="0" fontId="4" fillId="9" borderId="10" xfId="0" applyFont="1" applyFill="1" applyBorder="1" applyAlignment="1">
      <alignment horizontal="center" textRotation="255" wrapText="1"/>
    </xf>
    <xf numFmtId="0" fontId="3" fillId="10" borderId="20" xfId="0" applyFont="1" applyFill="1" applyBorder="1" applyAlignment="1">
      <alignment vertical="center"/>
    </xf>
    <xf numFmtId="0" fontId="4" fillId="10" borderId="20" xfId="0" applyFont="1" applyFill="1" applyBorder="1" applyAlignment="1">
      <alignment horizontal="justify" vertical="center" wrapText="1"/>
    </xf>
    <xf numFmtId="0" fontId="3" fillId="10" borderId="20" xfId="0" applyFont="1" applyFill="1" applyBorder="1" applyAlignment="1">
      <alignment horizontal="justify" vertical="center"/>
    </xf>
    <xf numFmtId="168" fontId="3" fillId="10" borderId="20" xfId="0" applyNumberFormat="1" applyFont="1" applyFill="1" applyBorder="1" applyAlignment="1">
      <alignment horizontal="center" vertical="center"/>
    </xf>
    <xf numFmtId="165" fontId="4" fillId="10" borderId="20" xfId="0" applyNumberFormat="1" applyFont="1" applyFill="1" applyBorder="1" applyAlignment="1">
      <alignment vertical="center"/>
    </xf>
    <xf numFmtId="41" fontId="4" fillId="10" borderId="20" xfId="0" applyNumberFormat="1" applyFont="1" applyFill="1" applyBorder="1" applyAlignment="1">
      <alignment horizontal="center" vertical="center"/>
    </xf>
    <xf numFmtId="165" fontId="4" fillId="10" borderId="20" xfId="0" applyNumberFormat="1" applyFont="1" applyFill="1" applyBorder="1" applyAlignment="1">
      <alignment horizontal="center" vertical="center"/>
    </xf>
    <xf numFmtId="166" fontId="4" fillId="10" borderId="20" xfId="0" applyNumberFormat="1" applyFont="1" applyFill="1" applyBorder="1" applyAlignment="1">
      <alignment vertical="center"/>
    </xf>
    <xf numFmtId="0" fontId="4" fillId="10" borderId="21" xfId="0" applyFont="1" applyFill="1" applyBorder="1" applyAlignment="1">
      <alignment horizontal="justify" vertical="center" wrapText="1"/>
    </xf>
    <xf numFmtId="1" fontId="4" fillId="9" borderId="17" xfId="0" applyNumberFormat="1" applyFont="1" applyFill="1" applyBorder="1" applyAlignment="1">
      <alignment horizontal="center" vertical="center"/>
    </xf>
    <xf numFmtId="0" fontId="3" fillId="9" borderId="20" xfId="0" applyFont="1" applyFill="1" applyBorder="1" applyAlignment="1">
      <alignment vertical="center"/>
    </xf>
    <xf numFmtId="0" fontId="4" fillId="9" borderId="20" xfId="0" applyFont="1" applyFill="1" applyBorder="1" applyAlignment="1">
      <alignment horizontal="justify" vertical="center" wrapText="1"/>
    </xf>
    <xf numFmtId="0" fontId="3" fillId="9" borderId="20" xfId="0" applyFont="1" applyFill="1" applyBorder="1" applyAlignment="1">
      <alignment horizontal="justify" vertical="center"/>
    </xf>
    <xf numFmtId="168" fontId="3" fillId="9" borderId="20" xfId="0" applyNumberFormat="1" applyFont="1" applyFill="1" applyBorder="1" applyAlignment="1">
      <alignment horizontal="center" vertical="center"/>
    </xf>
    <xf numFmtId="165" fontId="4" fillId="9" borderId="20" xfId="0" applyNumberFormat="1" applyFont="1" applyFill="1" applyBorder="1" applyAlignment="1">
      <alignment vertical="center"/>
    </xf>
    <xf numFmtId="41" fontId="4" fillId="9" borderId="20" xfId="0" applyNumberFormat="1" applyFont="1" applyFill="1" applyBorder="1" applyAlignment="1">
      <alignment horizontal="center" vertical="center"/>
    </xf>
    <xf numFmtId="165" fontId="4" fillId="9" borderId="20" xfId="0" applyNumberFormat="1" applyFont="1" applyFill="1" applyBorder="1" applyAlignment="1">
      <alignment horizontal="center" vertical="center"/>
    </xf>
    <xf numFmtId="166" fontId="4" fillId="9" borderId="20" xfId="0" applyNumberFormat="1" applyFont="1" applyFill="1" applyBorder="1" applyAlignment="1">
      <alignment vertical="center"/>
    </xf>
    <xf numFmtId="0" fontId="4" fillId="9" borderId="21" xfId="0" applyFont="1" applyFill="1" applyBorder="1" applyAlignment="1">
      <alignment horizontal="justify" vertical="center" wrapText="1"/>
    </xf>
    <xf numFmtId="1" fontId="4" fillId="12" borderId="17" xfId="0" applyNumberFormat="1" applyFont="1" applyFill="1" applyBorder="1" applyAlignment="1">
      <alignment horizontal="left" vertical="center" wrapText="1" indent="1"/>
    </xf>
    <xf numFmtId="0" fontId="3" fillId="12" borderId="20" xfId="0" applyFont="1" applyFill="1" applyBorder="1" applyAlignment="1">
      <alignment vertical="center"/>
    </xf>
    <xf numFmtId="0" fontId="4" fillId="12" borderId="20" xfId="0" applyFont="1" applyFill="1" applyBorder="1" applyAlignment="1">
      <alignment horizontal="justify" vertical="center" wrapText="1"/>
    </xf>
    <xf numFmtId="0" fontId="3" fillId="12" borderId="17" xfId="0" applyFont="1" applyFill="1" applyBorder="1" applyAlignment="1">
      <alignment horizontal="justify" vertical="center"/>
    </xf>
    <xf numFmtId="0" fontId="3" fillId="12" borderId="17" xfId="0" applyFont="1" applyFill="1" applyBorder="1" applyAlignment="1">
      <alignment vertical="center"/>
    </xf>
    <xf numFmtId="0" fontId="4" fillId="12" borderId="17" xfId="0" applyFont="1" applyFill="1" applyBorder="1" applyAlignment="1">
      <alignment horizontal="justify" vertical="center"/>
    </xf>
    <xf numFmtId="168" fontId="3" fillId="12" borderId="20" xfId="0" applyNumberFormat="1" applyFont="1" applyFill="1" applyBorder="1" applyAlignment="1">
      <alignment horizontal="center" vertical="center"/>
    </xf>
    <xf numFmtId="165" fontId="4" fillId="12" borderId="20" xfId="0" applyNumberFormat="1" applyFont="1" applyFill="1" applyBorder="1" applyAlignment="1">
      <alignment vertical="center"/>
    </xf>
    <xf numFmtId="41" fontId="4" fillId="12" borderId="20" xfId="0" applyNumberFormat="1" applyFont="1" applyFill="1" applyBorder="1" applyAlignment="1">
      <alignment horizontal="center" vertical="center"/>
    </xf>
    <xf numFmtId="165" fontId="4" fillId="12" borderId="20" xfId="0" applyNumberFormat="1" applyFont="1" applyFill="1" applyBorder="1" applyAlignment="1">
      <alignment horizontal="center" vertical="center"/>
    </xf>
    <xf numFmtId="0" fontId="4" fillId="12" borderId="21" xfId="0" applyFont="1" applyFill="1" applyBorder="1" applyAlignment="1">
      <alignment horizontal="justify" vertical="center" wrapText="1"/>
    </xf>
    <xf numFmtId="0" fontId="3" fillId="4" borderId="19" xfId="0" applyFont="1" applyFill="1" applyBorder="1" applyAlignment="1">
      <alignment/>
    </xf>
    <xf numFmtId="0" fontId="3" fillId="4" borderId="21" xfId="0" applyFont="1" applyFill="1" applyBorder="1" applyAlignment="1">
      <alignment/>
    </xf>
    <xf numFmtId="3" fontId="3" fillId="4" borderId="10" xfId="70" applyNumberFormat="1" applyFont="1" applyFill="1" applyBorder="1" applyAlignment="1">
      <alignment horizontal="center" vertical="center" wrapText="1"/>
      <protection/>
    </xf>
    <xf numFmtId="174" fontId="3" fillId="4" borderId="10" xfId="70" applyFont="1" applyFill="1" applyBorder="1" applyAlignment="1">
      <alignment horizontal="justify" vertical="center" wrapText="1"/>
      <protection/>
    </xf>
    <xf numFmtId="174" fontId="3" fillId="0" borderId="10" xfId="70" applyFont="1" applyBorder="1" applyAlignment="1">
      <alignment horizontal="justify" vertical="center" wrapText="1"/>
      <protection/>
    </xf>
    <xf numFmtId="3" fontId="3" fillId="0" borderId="10" xfId="70" applyNumberFormat="1" applyFont="1" applyBorder="1" applyAlignment="1">
      <alignment horizontal="center" vertical="center"/>
      <protection/>
    </xf>
    <xf numFmtId="174" fontId="3" fillId="4" borderId="21" xfId="70" applyFont="1" applyFill="1" applyBorder="1" applyAlignment="1">
      <alignment vertical="center" wrapText="1"/>
      <protection/>
    </xf>
    <xf numFmtId="9" fontId="6" fillId="4" borderId="10" xfId="81" applyNumberFormat="1" applyFont="1" applyFill="1" applyBorder="1" applyAlignment="1">
      <alignment horizontal="center" vertical="center" wrapText="1"/>
    </xf>
    <xf numFmtId="175" fontId="3" fillId="0" borderId="10" xfId="54" applyNumberFormat="1" applyFont="1" applyBorder="1" applyAlignment="1">
      <alignment horizontal="center" vertical="center" wrapText="1"/>
    </xf>
    <xf numFmtId="0" fontId="3" fillId="4" borderId="22" xfId="0" applyFont="1" applyFill="1" applyBorder="1" applyAlignment="1">
      <alignment/>
    </xf>
    <xf numFmtId="0" fontId="3" fillId="4" borderId="23" xfId="0" applyFont="1" applyFill="1" applyBorder="1" applyAlignment="1">
      <alignment/>
    </xf>
    <xf numFmtId="3" fontId="3" fillId="4" borderId="10" xfId="70" applyNumberFormat="1" applyFont="1" applyFill="1" applyBorder="1" applyAlignment="1">
      <alignment horizontal="center" vertical="center"/>
      <protection/>
    </xf>
    <xf numFmtId="174" fontId="3" fillId="4" borderId="23" xfId="70" applyFont="1" applyFill="1" applyBorder="1" applyAlignment="1">
      <alignment vertical="center" wrapText="1"/>
      <protection/>
    </xf>
    <xf numFmtId="9" fontId="6" fillId="4" borderId="10" xfId="81" applyFont="1" applyFill="1" applyBorder="1" applyAlignment="1">
      <alignment horizontal="center" vertical="center" wrapText="1"/>
    </xf>
    <xf numFmtId="174" fontId="3" fillId="4" borderId="10" xfId="70" applyFont="1" applyFill="1" applyBorder="1" applyAlignment="1">
      <alignment horizontal="justify" vertical="center" wrapText="1"/>
      <protection/>
    </xf>
    <xf numFmtId="175" fontId="3" fillId="0" borderId="10" xfId="54" applyNumberFormat="1" applyFont="1" applyFill="1" applyBorder="1" applyAlignment="1">
      <alignment horizontal="center" vertical="center" wrapText="1"/>
    </xf>
    <xf numFmtId="174" fontId="3" fillId="4" borderId="23" xfId="70" applyFont="1" applyFill="1" applyBorder="1" applyAlignment="1">
      <alignment horizontal="justify" vertical="center" wrapText="1"/>
      <protection/>
    </xf>
    <xf numFmtId="175" fontId="6" fillId="0" borderId="10" xfId="54" applyNumberFormat="1" applyFont="1" applyBorder="1" applyAlignment="1">
      <alignment horizontal="center" vertical="center"/>
    </xf>
    <xf numFmtId="174" fontId="3" fillId="4" borderId="14" xfId="70" applyFont="1" applyFill="1" applyBorder="1" applyAlignment="1">
      <alignment horizontal="justify" vertical="center" wrapText="1"/>
      <protection/>
    </xf>
    <xf numFmtId="175" fontId="3" fillId="0" borderId="10" xfId="54" applyNumberFormat="1" applyFont="1" applyBorder="1" applyAlignment="1">
      <alignment horizontal="center" vertical="center"/>
    </xf>
    <xf numFmtId="0" fontId="12" fillId="0" borderId="0" xfId="0" applyFont="1" applyAlignment="1">
      <alignment/>
    </xf>
    <xf numFmtId="0" fontId="3" fillId="4" borderId="11" xfId="0" applyFont="1" applyFill="1" applyBorder="1" applyAlignment="1">
      <alignment/>
    </xf>
    <xf numFmtId="0" fontId="3" fillId="4" borderId="13" xfId="0" applyFont="1" applyFill="1" applyBorder="1" applyAlignment="1">
      <alignment/>
    </xf>
    <xf numFmtId="0" fontId="3" fillId="12" borderId="0" xfId="0" applyFont="1" applyFill="1" applyAlignment="1">
      <alignment vertical="center"/>
    </xf>
    <xf numFmtId="0" fontId="4" fillId="12" borderId="0" xfId="0" applyFont="1" applyFill="1" applyAlignment="1">
      <alignment horizontal="justify" vertical="center" wrapText="1"/>
    </xf>
    <xf numFmtId="0" fontId="4" fillId="12" borderId="0" xfId="0" applyFont="1" applyFill="1" applyAlignment="1">
      <alignment horizontal="justify" vertical="center"/>
    </xf>
    <xf numFmtId="0" fontId="4" fillId="12" borderId="0" xfId="0" applyFont="1" applyFill="1" applyAlignment="1">
      <alignment vertical="center"/>
    </xf>
    <xf numFmtId="168" fontId="3" fillId="12" borderId="0" xfId="0" applyNumberFormat="1" applyFont="1" applyFill="1" applyBorder="1" applyAlignment="1">
      <alignment horizontal="center" vertical="center"/>
    </xf>
    <xf numFmtId="43" fontId="4" fillId="12" borderId="0" xfId="54" applyFont="1" applyFill="1" applyBorder="1" applyAlignment="1">
      <alignment vertical="center"/>
    </xf>
    <xf numFmtId="0" fontId="4" fillId="12" borderId="0" xfId="0" applyFont="1" applyFill="1" applyBorder="1" applyAlignment="1">
      <alignment horizontal="justify" vertical="center"/>
    </xf>
    <xf numFmtId="0" fontId="4" fillId="12" borderId="0" xfId="0" applyFont="1" applyFill="1" applyBorder="1" applyAlignment="1">
      <alignment horizontal="justify" vertical="center" wrapText="1"/>
    </xf>
    <xf numFmtId="41" fontId="4" fillId="12" borderId="0" xfId="54" applyNumberFormat="1" applyFont="1" applyFill="1" applyBorder="1" applyAlignment="1">
      <alignment horizontal="center" vertical="center"/>
    </xf>
    <xf numFmtId="165" fontId="4" fillId="12" borderId="0" xfId="0" applyNumberFormat="1" applyFont="1" applyFill="1" applyBorder="1" applyAlignment="1">
      <alignment horizontal="center" vertical="center"/>
    </xf>
    <xf numFmtId="0" fontId="4" fillId="12" borderId="0" xfId="0" applyFont="1" applyFill="1" applyBorder="1" applyAlignment="1">
      <alignment horizontal="center" vertical="center"/>
    </xf>
    <xf numFmtId="166" fontId="4" fillId="12" borderId="17" xfId="0" applyNumberFormat="1" applyFont="1" applyFill="1" applyBorder="1" applyAlignment="1">
      <alignment vertical="center"/>
    </xf>
    <xf numFmtId="166" fontId="4" fillId="12" borderId="17" xfId="0" applyNumberFormat="1" applyFont="1" applyFill="1" applyBorder="1" applyAlignment="1">
      <alignment horizontal="center" vertical="center"/>
    </xf>
    <xf numFmtId="166" fontId="4" fillId="12" borderId="18" xfId="0" applyNumberFormat="1" applyFont="1" applyFill="1" applyBorder="1" applyAlignment="1">
      <alignment horizontal="justify" vertical="center" wrapText="1"/>
    </xf>
    <xf numFmtId="0" fontId="3" fillId="0" borderId="19" xfId="0" applyFont="1" applyBorder="1" applyAlignment="1">
      <alignment/>
    </xf>
    <xf numFmtId="0" fontId="3" fillId="0" borderId="21" xfId="0" applyFont="1" applyBorder="1" applyAlignment="1">
      <alignment/>
    </xf>
    <xf numFmtId="1" fontId="6" fillId="0" borderId="10" xfId="46" applyNumberFormat="1" applyFont="1" applyBorder="1" applyAlignment="1">
      <alignment horizontal="center" vertical="center" wrapText="1"/>
      <protection/>
    </xf>
    <xf numFmtId="1" fontId="3" fillId="0" borderId="10" xfId="70" applyNumberFormat="1" applyFont="1" applyBorder="1" applyAlignment="1">
      <alignment horizontal="center" vertical="center"/>
      <protection/>
    </xf>
    <xf numFmtId="174" fontId="3" fillId="0" borderId="23" xfId="70" applyFont="1" applyBorder="1" applyAlignment="1">
      <alignment horizontal="justify" vertical="center" wrapText="1"/>
      <protection/>
    </xf>
    <xf numFmtId="9" fontId="6" fillId="0" borderId="10" xfId="81" applyFont="1" applyBorder="1" applyAlignment="1">
      <alignment horizontal="center" vertical="center" wrapText="1"/>
    </xf>
    <xf numFmtId="174" fontId="3" fillId="0" borderId="10" xfId="70" applyFont="1" applyBorder="1" applyAlignment="1">
      <alignment horizontal="justify" vertical="center" wrapText="1"/>
      <protection/>
    </xf>
    <xf numFmtId="41" fontId="3" fillId="4" borderId="10" xfId="54" applyNumberFormat="1" applyFont="1" applyFill="1" applyBorder="1" applyAlignment="1">
      <alignment horizontal="center" vertical="center" wrapText="1"/>
    </xf>
    <xf numFmtId="0" fontId="3" fillId="0" borderId="22" xfId="0" applyFont="1" applyBorder="1" applyAlignment="1">
      <alignment/>
    </xf>
    <xf numFmtId="0" fontId="3" fillId="0" borderId="23" xfId="0" applyFont="1" applyBorder="1" applyAlignment="1">
      <alignment/>
    </xf>
    <xf numFmtId="174" fontId="3" fillId="0" borderId="23" xfId="70" applyFont="1" applyBorder="1" applyAlignment="1">
      <alignment vertical="center" wrapText="1"/>
      <protection/>
    </xf>
    <xf numFmtId="41" fontId="3" fillId="0" borderId="10" xfId="54" applyNumberFormat="1" applyFont="1" applyBorder="1" applyAlignment="1">
      <alignment horizontal="center" vertical="center" wrapText="1"/>
    </xf>
    <xf numFmtId="41" fontId="3" fillId="0" borderId="14" xfId="54" applyNumberFormat="1" applyFont="1" applyBorder="1" applyAlignment="1">
      <alignment horizontal="center" vertical="center" wrapText="1"/>
    </xf>
    <xf numFmtId="0" fontId="3" fillId="0" borderId="0" xfId="0" applyFont="1" applyBorder="1" applyAlignment="1">
      <alignment horizontal="justify" vertical="center" wrapText="1"/>
    </xf>
    <xf numFmtId="169" fontId="3" fillId="4" borderId="10" xfId="0" applyNumberFormat="1" applyFont="1" applyFill="1" applyBorder="1" applyAlignment="1">
      <alignment vertical="center"/>
    </xf>
    <xf numFmtId="0" fontId="3" fillId="0" borderId="11" xfId="0" applyFont="1" applyBorder="1" applyAlignment="1">
      <alignment/>
    </xf>
    <xf numFmtId="0" fontId="3" fillId="0" borderId="13" xfId="0" applyFont="1" applyBorder="1" applyAlignment="1">
      <alignment/>
    </xf>
    <xf numFmtId="41" fontId="3" fillId="0" borderId="10" xfId="54" applyNumberFormat="1" applyFont="1" applyBorder="1" applyAlignment="1">
      <alignment vertical="center" wrapText="1"/>
    </xf>
    <xf numFmtId="0" fontId="3" fillId="9" borderId="0" xfId="0" applyFont="1" applyFill="1" applyAlignment="1">
      <alignment vertical="center"/>
    </xf>
    <xf numFmtId="0" fontId="4" fillId="9" borderId="0" xfId="0" applyFont="1" applyFill="1" applyAlignment="1">
      <alignment horizontal="justify" vertical="center" wrapText="1"/>
    </xf>
    <xf numFmtId="168" fontId="3" fillId="9" borderId="0" xfId="0" applyNumberFormat="1" applyFont="1" applyFill="1" applyBorder="1" applyAlignment="1">
      <alignment horizontal="center" vertical="center"/>
    </xf>
    <xf numFmtId="43" fontId="4" fillId="9" borderId="0" xfId="54" applyFont="1" applyFill="1" applyBorder="1" applyAlignment="1">
      <alignment vertical="center"/>
    </xf>
    <xf numFmtId="0" fontId="4" fillId="9" borderId="0" xfId="0" applyFont="1" applyFill="1" applyBorder="1" applyAlignment="1">
      <alignment horizontal="justify" vertical="center"/>
    </xf>
    <xf numFmtId="0" fontId="4" fillId="9" borderId="0" xfId="0" applyFont="1" applyFill="1" applyBorder="1" applyAlignment="1">
      <alignment horizontal="justify" vertical="center" wrapText="1"/>
    </xf>
    <xf numFmtId="41" fontId="4" fillId="9" borderId="0" xfId="54" applyNumberFormat="1" applyFont="1" applyFill="1" applyBorder="1" applyAlignment="1">
      <alignment horizontal="center" vertical="center"/>
    </xf>
    <xf numFmtId="165" fontId="4" fillId="9" borderId="0" xfId="0" applyNumberFormat="1" applyFont="1" applyFill="1" applyBorder="1" applyAlignment="1">
      <alignment horizontal="center" vertical="center"/>
    </xf>
    <xf numFmtId="43" fontId="4" fillId="12" borderId="20" xfId="54" applyFont="1" applyFill="1" applyBorder="1" applyAlignment="1">
      <alignment vertical="center"/>
    </xf>
    <xf numFmtId="41" fontId="4" fillId="12" borderId="20" xfId="54" applyNumberFormat="1" applyFont="1" applyFill="1" applyBorder="1" applyAlignment="1">
      <alignment horizontal="center" vertical="center"/>
    </xf>
    <xf numFmtId="165" fontId="4" fillId="12" borderId="17" xfId="0" applyNumberFormat="1" applyFont="1" applyFill="1" applyBorder="1" applyAlignment="1">
      <alignment horizontal="center" vertical="center"/>
    </xf>
    <xf numFmtId="165" fontId="4" fillId="12" borderId="18" xfId="0" applyNumberFormat="1" applyFont="1" applyFill="1" applyBorder="1" applyAlignment="1">
      <alignment horizontal="justify" vertical="center" wrapText="1"/>
    </xf>
    <xf numFmtId="0" fontId="11" fillId="0" borderId="19"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174" fontId="3" fillId="0" borderId="14" xfId="70" applyFont="1" applyBorder="1" applyAlignment="1">
      <alignment horizontal="justify" vertical="center" wrapText="1"/>
      <protection/>
    </xf>
    <xf numFmtId="0" fontId="11" fillId="0" borderId="11" xfId="0" applyFont="1" applyBorder="1" applyAlignment="1">
      <alignment/>
    </xf>
    <xf numFmtId="0" fontId="11" fillId="0" borderId="13" xfId="0" applyFont="1" applyBorder="1" applyAlignment="1">
      <alignment/>
    </xf>
    <xf numFmtId="1" fontId="4" fillId="0" borderId="17" xfId="0" applyNumberFormat="1" applyFont="1" applyBorder="1" applyAlignment="1">
      <alignment horizontal="left" vertical="center" wrapText="1" indent="1"/>
    </xf>
    <xf numFmtId="0" fontId="4" fillId="0" borderId="17" xfId="0" applyFont="1" applyBorder="1" applyAlignment="1">
      <alignment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3" fillId="0" borderId="17" xfId="0" applyFont="1" applyBorder="1" applyAlignment="1">
      <alignment horizontal="justify" vertical="center"/>
    </xf>
    <xf numFmtId="0" fontId="4" fillId="0" borderId="17" xfId="0" applyFont="1" applyBorder="1" applyAlignment="1">
      <alignment horizontal="justify" vertical="center"/>
    </xf>
    <xf numFmtId="168" fontId="3" fillId="0" borderId="0" xfId="0" applyNumberFormat="1" applyFont="1" applyBorder="1" applyAlignment="1">
      <alignment horizontal="center" vertical="center"/>
    </xf>
    <xf numFmtId="43" fontId="4" fillId="0" borderId="0" xfId="54" applyFont="1" applyBorder="1" applyAlignment="1">
      <alignment vertical="center"/>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41" fontId="4" fillId="0" borderId="0" xfId="54" applyNumberFormat="1" applyFont="1" applyBorder="1" applyAlignment="1">
      <alignment horizontal="center" vertical="center"/>
    </xf>
    <xf numFmtId="165" fontId="4" fillId="0" borderId="12" xfId="0" applyNumberFormat="1" applyFont="1" applyBorder="1" applyAlignment="1">
      <alignment horizontal="center" vertical="center"/>
    </xf>
    <xf numFmtId="165" fontId="4" fillId="0" borderId="17" xfId="0" applyNumberFormat="1" applyFont="1" applyBorder="1" applyAlignment="1">
      <alignment horizontal="center" vertical="center"/>
    </xf>
    <xf numFmtId="165" fontId="4" fillId="0" borderId="18" xfId="0" applyNumberFormat="1" applyFont="1" applyBorder="1" applyAlignment="1">
      <alignment horizontal="justify" vertical="center" wrapText="1"/>
    </xf>
    <xf numFmtId="41" fontId="3" fillId="0" borderId="10" xfId="54" applyNumberFormat="1" applyFont="1" applyBorder="1" applyAlignment="1">
      <alignment horizontal="justify" vertical="center"/>
    </xf>
    <xf numFmtId="0" fontId="3" fillId="0" borderId="17" xfId="0" applyFont="1" applyBorder="1" applyAlignment="1">
      <alignment vertical="center"/>
    </xf>
    <xf numFmtId="0" fontId="4" fillId="0" borderId="20" xfId="0" applyFont="1" applyBorder="1" applyAlignment="1">
      <alignment horizontal="justify" vertical="center"/>
    </xf>
    <xf numFmtId="166" fontId="4" fillId="0" borderId="17" xfId="0" applyNumberFormat="1" applyFont="1" applyBorder="1" applyAlignment="1">
      <alignment vertical="center"/>
    </xf>
    <xf numFmtId="166" fontId="4" fillId="0" borderId="17" xfId="0" applyNumberFormat="1" applyFont="1" applyBorder="1" applyAlignment="1">
      <alignment horizontal="center" vertical="center"/>
    </xf>
    <xf numFmtId="166" fontId="4" fillId="0" borderId="18" xfId="0" applyNumberFormat="1" applyFont="1" applyBorder="1" applyAlignment="1">
      <alignment horizontal="justify" vertical="center" wrapText="1"/>
    </xf>
    <xf numFmtId="41" fontId="3" fillId="4" borderId="10" xfId="54" applyNumberFormat="1" applyFont="1" applyFill="1" applyBorder="1" applyAlignment="1">
      <alignment horizontal="justify" vertical="center"/>
    </xf>
    <xf numFmtId="0" fontId="4" fillId="12" borderId="17" xfId="0" applyFont="1" applyFill="1" applyBorder="1" applyAlignment="1">
      <alignment horizontal="center" vertical="center"/>
    </xf>
    <xf numFmtId="0" fontId="4" fillId="12" borderId="18" xfId="0" applyFont="1" applyFill="1" applyBorder="1" applyAlignment="1">
      <alignment horizontal="justify" vertical="center" wrapText="1"/>
    </xf>
    <xf numFmtId="41" fontId="3" fillId="0" borderId="14" xfId="54" applyNumberFormat="1" applyFont="1" applyBorder="1" applyAlignment="1">
      <alignment horizontal="center" vertical="center"/>
    </xf>
    <xf numFmtId="174" fontId="3" fillId="0" borderId="14" xfId="70" applyFont="1" applyBorder="1" applyAlignment="1">
      <alignment horizontal="justify" vertical="center" wrapText="1"/>
      <protection/>
    </xf>
    <xf numFmtId="41" fontId="3" fillId="0" borderId="10" xfId="54" applyNumberFormat="1" applyFont="1" applyBorder="1" applyAlignment="1">
      <alignment horizontal="center" vertical="center"/>
    </xf>
    <xf numFmtId="174" fontId="3" fillId="0" borderId="14" xfId="70" applyFont="1" applyBorder="1" applyAlignment="1">
      <alignment horizontal="justify" vertical="center" wrapText="1" readingOrder="2"/>
      <protection/>
    </xf>
    <xf numFmtId="41" fontId="3" fillId="4" borderId="10" xfId="54" applyNumberFormat="1" applyFont="1" applyFill="1" applyBorder="1" applyAlignment="1">
      <alignment horizontal="center" vertical="center"/>
    </xf>
    <xf numFmtId="3" fontId="3" fillId="0" borderId="10" xfId="70" applyNumberFormat="1" applyFont="1" applyFill="1" applyBorder="1" applyAlignment="1">
      <alignment horizontal="center" vertical="center"/>
      <protection/>
    </xf>
    <xf numFmtId="174" fontId="6" fillId="0" borderId="10" xfId="70" applyFont="1" applyBorder="1" applyAlignment="1">
      <alignment horizontal="justify" vertical="center" wrapText="1"/>
      <protection/>
    </xf>
    <xf numFmtId="9" fontId="3" fillId="0" borderId="10" xfId="81" applyFont="1" applyBorder="1" applyAlignment="1">
      <alignment horizontal="center" vertical="center"/>
    </xf>
    <xf numFmtId="1" fontId="4" fillId="9" borderId="17" xfId="0" applyNumberFormat="1" applyFont="1" applyFill="1" applyBorder="1" applyAlignment="1">
      <alignment vertical="center"/>
    </xf>
    <xf numFmtId="1" fontId="4" fillId="9" borderId="20" xfId="0" applyNumberFormat="1" applyFont="1" applyFill="1" applyBorder="1" applyAlignment="1">
      <alignment vertical="center"/>
    </xf>
    <xf numFmtId="0" fontId="3" fillId="0" borderId="20" xfId="0" applyFont="1" applyBorder="1" applyAlignment="1">
      <alignment/>
    </xf>
    <xf numFmtId="174" fontId="3" fillId="0" borderId="24" xfId="70" applyFont="1" applyBorder="1" applyAlignment="1">
      <alignment horizontal="justify" vertical="center" wrapText="1"/>
      <protection/>
    </xf>
    <xf numFmtId="174" fontId="3" fillId="0" borderId="14" xfId="70" applyFont="1" applyBorder="1" applyAlignment="1">
      <alignment horizontal="justify" vertical="center" wrapText="1" readingOrder="2"/>
      <protection/>
    </xf>
    <xf numFmtId="41" fontId="3" fillId="4" borderId="14" xfId="54" applyNumberFormat="1" applyFont="1" applyFill="1" applyBorder="1" applyAlignment="1">
      <alignment horizontal="center" vertical="center"/>
    </xf>
    <xf numFmtId="174" fontId="3" fillId="4" borderId="14" xfId="70" applyFont="1" applyFill="1" applyBorder="1" applyAlignment="1">
      <alignment horizontal="justify" vertical="center" wrapText="1" readingOrder="2"/>
      <protection/>
    </xf>
    <xf numFmtId="174" fontId="3" fillId="4" borderId="10" xfId="70" applyFont="1" applyFill="1" applyBorder="1" applyAlignment="1">
      <alignment horizontal="justify" vertical="center" wrapText="1" readingOrder="2"/>
      <protection/>
    </xf>
    <xf numFmtId="174" fontId="3" fillId="4" borderId="14" xfId="70" applyFont="1" applyFill="1" applyBorder="1" applyAlignment="1">
      <alignment horizontal="justify" vertical="center" wrapText="1"/>
      <protection/>
    </xf>
    <xf numFmtId="0" fontId="3" fillId="10" borderId="0" xfId="0" applyFont="1" applyFill="1" applyAlignment="1">
      <alignment vertical="center"/>
    </xf>
    <xf numFmtId="0" fontId="4" fillId="10" borderId="0" xfId="0" applyFont="1" applyFill="1" applyAlignment="1">
      <alignment horizontal="justify" vertical="center" wrapText="1"/>
    </xf>
    <xf numFmtId="0" fontId="4" fillId="10" borderId="0" xfId="0" applyFont="1" applyFill="1" applyAlignment="1">
      <alignment horizontal="justify" vertical="center"/>
    </xf>
    <xf numFmtId="0" fontId="4" fillId="10" borderId="0" xfId="0" applyFont="1" applyFill="1" applyAlignment="1">
      <alignment vertical="center"/>
    </xf>
    <xf numFmtId="168" fontId="3" fillId="10" borderId="0" xfId="0" applyNumberFormat="1" applyFont="1" applyFill="1" applyBorder="1" applyAlignment="1">
      <alignment horizontal="center" vertical="center"/>
    </xf>
    <xf numFmtId="43" fontId="4" fillId="10" borderId="0" xfId="54" applyFont="1" applyFill="1" applyBorder="1" applyAlignment="1">
      <alignment vertical="center"/>
    </xf>
    <xf numFmtId="0" fontId="4" fillId="10" borderId="0" xfId="0" applyFont="1" applyFill="1" applyBorder="1" applyAlignment="1">
      <alignment horizontal="justify" vertical="center"/>
    </xf>
    <xf numFmtId="0" fontId="4" fillId="10" borderId="0" xfId="0" applyFont="1" applyFill="1" applyBorder="1" applyAlignment="1">
      <alignment horizontal="justify" vertical="center" wrapText="1"/>
    </xf>
    <xf numFmtId="41" fontId="4" fillId="10" borderId="0" xfId="54" applyNumberFormat="1" applyFont="1" applyFill="1" applyBorder="1" applyAlignment="1">
      <alignment horizontal="center" vertical="center"/>
    </xf>
    <xf numFmtId="165" fontId="4" fillId="10" borderId="21" xfId="0" applyNumberFormat="1" applyFont="1" applyFill="1" applyBorder="1" applyAlignment="1">
      <alignment horizontal="justify" vertical="center" wrapText="1"/>
    </xf>
    <xf numFmtId="1" fontId="4" fillId="9" borderId="19" xfId="0" applyNumberFormat="1" applyFont="1" applyFill="1" applyBorder="1" applyAlignment="1">
      <alignment horizontal="center" vertical="center"/>
    </xf>
    <xf numFmtId="43" fontId="4" fillId="9" borderId="20" xfId="54" applyFont="1" applyFill="1" applyBorder="1" applyAlignment="1">
      <alignment vertical="center"/>
    </xf>
    <xf numFmtId="41" fontId="4" fillId="9" borderId="20" xfId="54" applyNumberFormat="1" applyFont="1" applyFill="1" applyBorder="1" applyAlignment="1">
      <alignment horizontal="center" vertical="center"/>
    </xf>
    <xf numFmtId="1" fontId="4" fillId="12" borderId="20" xfId="0" applyNumberFormat="1" applyFont="1" applyFill="1" applyBorder="1" applyAlignment="1">
      <alignment horizontal="left" vertical="center" wrapText="1" indent="1"/>
    </xf>
    <xf numFmtId="0" fontId="4" fillId="12" borderId="17" xfId="0" applyFont="1" applyFill="1" applyBorder="1" applyAlignment="1">
      <alignment horizontal="justify" vertical="center" wrapText="1"/>
    </xf>
    <xf numFmtId="168" fontId="3" fillId="12" borderId="17" xfId="0" applyNumberFormat="1" applyFont="1" applyFill="1" applyBorder="1" applyAlignment="1">
      <alignment horizontal="center" vertical="center"/>
    </xf>
    <xf numFmtId="43" fontId="4" fillId="12" borderId="17" xfId="54" applyFont="1" applyFill="1" applyBorder="1" applyAlignment="1">
      <alignment vertical="center"/>
    </xf>
    <xf numFmtId="41" fontId="4" fillId="12" borderId="17" xfId="54" applyNumberFormat="1" applyFont="1" applyFill="1" applyBorder="1" applyAlignment="1">
      <alignment horizontal="center" vertical="center"/>
    </xf>
    <xf numFmtId="0" fontId="3" fillId="4" borderId="14" xfId="0" applyFont="1" applyFill="1" applyBorder="1" applyAlignment="1">
      <alignment/>
    </xf>
    <xf numFmtId="0" fontId="11" fillId="4" borderId="20" xfId="0" applyFont="1" applyFill="1" applyBorder="1" applyAlignment="1">
      <alignment/>
    </xf>
    <xf numFmtId="0" fontId="11" fillId="4" borderId="21" xfId="0" applyFont="1" applyFill="1" applyBorder="1" applyAlignment="1">
      <alignment/>
    </xf>
    <xf numFmtId="41" fontId="3" fillId="4" borderId="24" xfId="54" applyNumberFormat="1" applyFont="1" applyFill="1" applyBorder="1" applyAlignment="1">
      <alignment horizontal="center" vertical="center"/>
    </xf>
    <xf numFmtId="0" fontId="11" fillId="4" borderId="15" xfId="0" applyFont="1" applyFill="1" applyBorder="1" applyAlignment="1">
      <alignment/>
    </xf>
    <xf numFmtId="0" fontId="11" fillId="4" borderId="0" xfId="0" applyFont="1" applyFill="1" applyAlignment="1">
      <alignment/>
    </xf>
    <xf numFmtId="0" fontId="11" fillId="4" borderId="23" xfId="0" applyFont="1" applyFill="1" applyBorder="1" applyAlignment="1">
      <alignment/>
    </xf>
    <xf numFmtId="0" fontId="3" fillId="4" borderId="27" xfId="0" applyFont="1" applyFill="1" applyBorder="1" applyAlignment="1">
      <alignment horizontal="justify" vertical="center" wrapText="1"/>
    </xf>
    <xf numFmtId="0" fontId="3" fillId="4" borderId="27" xfId="0" applyFont="1" applyFill="1" applyBorder="1" applyAlignment="1">
      <alignment vertical="center"/>
    </xf>
    <xf numFmtId="0" fontId="3" fillId="4" borderId="27" xfId="0" applyFont="1" applyFill="1" applyBorder="1" applyAlignment="1">
      <alignment horizontal="center" vertical="center"/>
    </xf>
    <xf numFmtId="168" fontId="3" fillId="4" borderId="28" xfId="0" applyNumberFormat="1" applyFont="1" applyFill="1" applyBorder="1" applyAlignment="1">
      <alignment horizontal="center" vertical="center"/>
    </xf>
    <xf numFmtId="43" fontId="4" fillId="4" borderId="30" xfId="54" applyFont="1" applyFill="1" applyBorder="1" applyAlignment="1">
      <alignment vertical="center"/>
    </xf>
    <xf numFmtId="0" fontId="3" fillId="4" borderId="26" xfId="0" applyFont="1" applyFill="1" applyBorder="1" applyAlignment="1">
      <alignment horizontal="justify" vertical="center"/>
    </xf>
    <xf numFmtId="0" fontId="3" fillId="4" borderId="28" xfId="0" applyFont="1" applyFill="1" applyBorder="1" applyAlignment="1">
      <alignment horizontal="justify" vertical="center" wrapText="1"/>
    </xf>
    <xf numFmtId="175" fontId="4" fillId="0" borderId="30" xfId="54" applyNumberFormat="1" applyFont="1" applyBorder="1" applyAlignment="1">
      <alignment horizontal="center" vertical="center"/>
    </xf>
    <xf numFmtId="0" fontId="3" fillId="0" borderId="41" xfId="0" applyFont="1" applyBorder="1" applyAlignment="1">
      <alignment horizontal="justify" vertical="center" wrapText="1"/>
    </xf>
    <xf numFmtId="0" fontId="3" fillId="4" borderId="0" xfId="0" applyFont="1" applyFill="1" applyAlignment="1">
      <alignment horizontal="justify" vertical="center" wrapText="1"/>
    </xf>
    <xf numFmtId="0" fontId="3" fillId="4" borderId="0" xfId="0" applyFont="1" applyFill="1" applyAlignment="1">
      <alignment horizontal="left" vertical="center"/>
    </xf>
    <xf numFmtId="165" fontId="3" fillId="4" borderId="0" xfId="0" applyNumberFormat="1" applyFont="1" applyFill="1" applyAlignment="1">
      <alignment vertical="center"/>
    </xf>
    <xf numFmtId="41" fontId="3" fillId="4" borderId="0" xfId="0" applyNumberFormat="1" applyFont="1" applyFill="1" applyAlignment="1">
      <alignment horizontal="center" vertical="center"/>
    </xf>
    <xf numFmtId="0" fontId="3" fillId="4" borderId="0" xfId="0" applyFont="1" applyFill="1" applyAlignment="1">
      <alignment horizontal="center" vertical="center"/>
    </xf>
    <xf numFmtId="0" fontId="3" fillId="0" borderId="0" xfId="0" applyFont="1" applyAlignment="1">
      <alignment horizontal="justify" vertical="center" wrapText="1"/>
    </xf>
    <xf numFmtId="0" fontId="4" fillId="0" borderId="10" xfId="0" applyFont="1" applyFill="1" applyBorder="1" applyAlignment="1">
      <alignment vertical="center"/>
    </xf>
    <xf numFmtId="0" fontId="11" fillId="0" borderId="0" xfId="0" applyFont="1" applyAlignment="1">
      <alignment/>
    </xf>
    <xf numFmtId="0" fontId="4" fillId="0" borderId="10" xfId="0" applyFont="1" applyFill="1" applyBorder="1" applyAlignment="1">
      <alignment horizontal="left" vertical="center"/>
    </xf>
    <xf numFmtId="0" fontId="4" fillId="0" borderId="10" xfId="0" applyFont="1" applyFill="1" applyBorder="1" applyAlignment="1">
      <alignment vertical="center" wrapText="1"/>
    </xf>
    <xf numFmtId="3" fontId="4" fillId="0" borderId="10" xfId="0" applyNumberFormat="1" applyFont="1" applyFill="1" applyBorder="1" applyAlignment="1">
      <alignment horizontal="left" vertical="center" wrapText="1"/>
    </xf>
    <xf numFmtId="0" fontId="4" fillId="0" borderId="11" xfId="0" applyFont="1" applyBorder="1" applyAlignment="1">
      <alignment vertical="center"/>
    </xf>
    <xf numFmtId="0" fontId="4" fillId="0" borderId="13" xfId="0" applyFont="1" applyBorder="1" applyAlignment="1">
      <alignment vertical="center"/>
    </xf>
    <xf numFmtId="174" fontId="4" fillId="9" borderId="10" xfId="70" applyFont="1" applyFill="1" applyBorder="1" applyAlignment="1">
      <alignment horizontal="center" vertical="center"/>
      <protection/>
    </xf>
    <xf numFmtId="0" fontId="4" fillId="9" borderId="10" xfId="0" applyFont="1" applyFill="1" applyBorder="1" applyAlignment="1">
      <alignment horizontal="center" vertical="center" textRotation="90" wrapText="1"/>
    </xf>
    <xf numFmtId="49" fontId="4" fillId="9" borderId="10" xfId="0" applyNumberFormat="1" applyFont="1" applyFill="1" applyBorder="1" applyAlignment="1">
      <alignment horizontal="center" vertical="center" textRotation="90" wrapText="1"/>
    </xf>
    <xf numFmtId="0" fontId="4" fillId="9" borderId="10"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4" fillId="10" borderId="11" xfId="0" applyFont="1" applyFill="1" applyBorder="1" applyAlignment="1">
      <alignment horizontal="left" vertical="center"/>
    </xf>
    <xf numFmtId="0" fontId="4" fillId="10" borderId="12" xfId="0" applyFont="1" applyFill="1" applyBorder="1" applyAlignment="1">
      <alignment horizontal="left" vertical="center" wrapText="1"/>
    </xf>
    <xf numFmtId="0" fontId="4" fillId="10" borderId="12" xfId="0" applyFont="1" applyFill="1" applyBorder="1" applyAlignment="1">
      <alignment horizontal="justify" vertical="center" wrapText="1"/>
    </xf>
    <xf numFmtId="0" fontId="4" fillId="10" borderId="12" xfId="0" applyFont="1" applyFill="1" applyBorder="1" applyAlignment="1">
      <alignment horizontal="center" vertical="center" wrapText="1"/>
    </xf>
    <xf numFmtId="0" fontId="4" fillId="10" borderId="33" xfId="0" applyFont="1" applyFill="1" applyBorder="1" applyAlignment="1">
      <alignment horizontal="justify" vertical="center" wrapText="1"/>
    </xf>
    <xf numFmtId="0" fontId="4" fillId="4" borderId="36" xfId="0" applyFont="1" applyFill="1" applyBorder="1" applyAlignment="1">
      <alignment vertical="center" wrapText="1"/>
    </xf>
    <xf numFmtId="0" fontId="4" fillId="4" borderId="23" xfId="0" applyFont="1" applyFill="1" applyBorder="1" applyAlignment="1">
      <alignment vertical="center" wrapText="1"/>
    </xf>
    <xf numFmtId="0" fontId="4" fillId="9" borderId="10" xfId="0" applyFont="1" applyFill="1" applyBorder="1" applyAlignment="1">
      <alignment horizontal="center" vertical="center" wrapText="1"/>
    </xf>
    <xf numFmtId="0" fontId="4" fillId="9" borderId="16" xfId="0" applyFont="1" applyFill="1" applyBorder="1" applyAlignment="1">
      <alignment vertical="center"/>
    </xf>
    <xf numFmtId="0" fontId="4" fillId="9" borderId="0" xfId="0" applyFont="1" applyFill="1" applyAlignment="1">
      <alignment horizontal="center" vertical="center"/>
    </xf>
    <xf numFmtId="0" fontId="4" fillId="9" borderId="43" xfId="0" applyFont="1" applyFill="1" applyBorder="1" applyAlignment="1">
      <alignment horizontal="justify" vertical="center"/>
    </xf>
    <xf numFmtId="0" fontId="4" fillId="4" borderId="22" xfId="0" applyFont="1" applyFill="1" applyBorder="1" applyAlignment="1">
      <alignment vertical="center" wrapText="1"/>
    </xf>
    <xf numFmtId="0" fontId="5" fillId="12" borderId="16" xfId="0" applyFont="1" applyFill="1" applyBorder="1" applyAlignment="1">
      <alignment horizontal="left" vertical="center"/>
    </xf>
    <xf numFmtId="0" fontId="5" fillId="12" borderId="17" xfId="0" applyFont="1" applyFill="1" applyBorder="1" applyAlignment="1">
      <alignment horizontal="left" vertical="center"/>
    </xf>
    <xf numFmtId="0" fontId="6" fillId="12" borderId="18" xfId="0" applyFont="1" applyFill="1" applyBorder="1" applyAlignment="1">
      <alignment horizontal="justify" vertical="center"/>
    </xf>
    <xf numFmtId="0" fontId="3" fillId="4" borderId="10" xfId="0" applyFont="1" applyFill="1" applyBorder="1" applyAlignment="1">
      <alignment horizontal="justify" vertical="top" wrapText="1"/>
    </xf>
    <xf numFmtId="43" fontId="3" fillId="4" borderId="14" xfId="56" applyFont="1" applyFill="1" applyBorder="1" applyAlignment="1">
      <alignment horizontal="center" vertical="center" wrapText="1"/>
    </xf>
    <xf numFmtId="0" fontId="3" fillId="4" borderId="14" xfId="0" applyFont="1" applyFill="1" applyBorder="1" applyAlignment="1">
      <alignment horizontal="justify" vertical="center" wrapText="1"/>
    </xf>
    <xf numFmtId="0" fontId="4" fillId="4" borderId="11" xfId="0" applyFont="1" applyFill="1" applyBorder="1" applyAlignment="1">
      <alignment vertical="center" wrapText="1"/>
    </xf>
    <xf numFmtId="0" fontId="4" fillId="4" borderId="13" xfId="0" applyFont="1" applyFill="1" applyBorder="1" applyAlignment="1">
      <alignment vertical="center" wrapText="1"/>
    </xf>
    <xf numFmtId="43" fontId="3" fillId="4" borderId="10" xfId="56" applyFont="1" applyFill="1" applyBorder="1" applyAlignment="1">
      <alignment horizontal="center" vertical="center" wrapText="1"/>
    </xf>
    <xf numFmtId="0" fontId="4" fillId="9" borderId="17" xfId="0" applyFont="1" applyFill="1" applyBorder="1" applyAlignment="1">
      <alignment horizontal="left" vertical="center"/>
    </xf>
    <xf numFmtId="0" fontId="4" fillId="9" borderId="17" xfId="0" applyFont="1" applyFill="1" applyBorder="1" applyAlignment="1">
      <alignment horizontal="justify" vertical="center"/>
    </xf>
    <xf numFmtId="43" fontId="4" fillId="9" borderId="17" xfId="56" applyFont="1" applyFill="1" applyBorder="1" applyAlignment="1">
      <alignment horizontal="left" vertical="center"/>
    </xf>
    <xf numFmtId="43" fontId="4" fillId="9" borderId="17" xfId="56" applyFont="1" applyFill="1" applyBorder="1" applyAlignment="1">
      <alignment horizontal="center" vertical="center"/>
    </xf>
    <xf numFmtId="0" fontId="4" fillId="9" borderId="17" xfId="0" applyFont="1" applyFill="1" applyBorder="1" applyAlignment="1">
      <alignment horizontal="center" vertical="center"/>
    </xf>
    <xf numFmtId="0" fontId="4" fillId="9" borderId="10" xfId="0" applyFont="1" applyFill="1" applyBorder="1" applyAlignment="1">
      <alignment horizontal="left" vertical="center"/>
    </xf>
    <xf numFmtId="0" fontId="4" fillId="9" borderId="18" xfId="0" applyFont="1" applyFill="1" applyBorder="1" applyAlignment="1">
      <alignment horizontal="left" vertical="center"/>
    </xf>
    <xf numFmtId="0" fontId="3" fillId="9" borderId="10" xfId="0" applyFont="1" applyFill="1" applyBorder="1" applyAlignment="1">
      <alignment horizontal="center" vertical="center"/>
    </xf>
    <xf numFmtId="0" fontId="3" fillId="4" borderId="23" xfId="0" applyFont="1" applyFill="1" applyBorder="1" applyAlignment="1">
      <alignment vertical="center" wrapText="1"/>
    </xf>
    <xf numFmtId="43" fontId="5" fillId="12" borderId="17" xfId="56" applyFont="1" applyFill="1" applyBorder="1" applyAlignment="1">
      <alignment horizontal="left" vertical="center"/>
    </xf>
    <xf numFmtId="43" fontId="5" fillId="12" borderId="17" xfId="56" applyFont="1" applyFill="1" applyBorder="1" applyAlignment="1">
      <alignment horizontal="center" vertical="center"/>
    </xf>
    <xf numFmtId="0" fontId="5" fillId="12" borderId="10" xfId="0" applyFont="1" applyFill="1" applyBorder="1" applyAlignment="1">
      <alignment horizontal="left" vertical="center"/>
    </xf>
    <xf numFmtId="0" fontId="6" fillId="12" borderId="10" xfId="0" applyFont="1" applyFill="1" applyBorder="1" applyAlignment="1">
      <alignment horizontal="center" vertical="center"/>
    </xf>
    <xf numFmtId="0" fontId="3" fillId="4" borderId="21" xfId="0" applyFont="1" applyFill="1" applyBorder="1" applyAlignment="1">
      <alignment vertical="center" wrapText="1"/>
    </xf>
    <xf numFmtId="0" fontId="3" fillId="0" borderId="10" xfId="0" applyFont="1" applyBorder="1" applyAlignment="1">
      <alignment horizontal="justify" vertical="top" wrapText="1"/>
    </xf>
    <xf numFmtId="43" fontId="3" fillId="0" borderId="24" xfId="56" applyFont="1" applyFill="1" applyBorder="1" applyAlignment="1">
      <alignment horizontal="center" vertical="center" wrapText="1"/>
    </xf>
    <xf numFmtId="0" fontId="3" fillId="4" borderId="10" xfId="0" applyFont="1" applyFill="1" applyBorder="1" applyAlignment="1">
      <alignment horizontal="justify" vertical="center" wrapText="1" readingOrder="1"/>
    </xf>
    <xf numFmtId="0" fontId="3" fillId="4" borderId="14" xfId="0" applyFont="1" applyFill="1" applyBorder="1" applyAlignment="1">
      <alignment horizontal="justify" vertical="center" wrapText="1" readingOrder="1"/>
    </xf>
    <xf numFmtId="0" fontId="3" fillId="0" borderId="14" xfId="0" applyFont="1" applyBorder="1" applyAlignment="1">
      <alignment horizontal="justify" vertical="center" wrapText="1" readingOrder="1"/>
    </xf>
    <xf numFmtId="43" fontId="3" fillId="0" borderId="14" xfId="56" applyFont="1" applyFill="1" applyBorder="1" applyAlignment="1">
      <alignment horizontal="center" vertical="center" wrapText="1"/>
    </xf>
    <xf numFmtId="0" fontId="5" fillId="12" borderId="20" xfId="0" applyFont="1" applyFill="1" applyBorder="1" applyAlignment="1">
      <alignment horizontal="left" vertical="center"/>
    </xf>
    <xf numFmtId="0" fontId="3" fillId="4" borderId="0" xfId="0" applyFont="1" applyFill="1" applyAlignment="1">
      <alignment vertical="center" wrapText="1"/>
    </xf>
    <xf numFmtId="176" fontId="3" fillId="4" borderId="14" xfId="0" applyNumberFormat="1" applyFont="1" applyFill="1" applyBorder="1" applyAlignment="1">
      <alignment vertical="center" wrapText="1"/>
    </xf>
    <xf numFmtId="0" fontId="3" fillId="4" borderId="18" xfId="0" applyFont="1" applyFill="1" applyBorder="1" applyAlignment="1">
      <alignment horizontal="justify" vertical="center" wrapText="1"/>
    </xf>
    <xf numFmtId="176" fontId="3" fillId="4" borderId="15" xfId="0" applyNumberFormat="1" applyFont="1" applyFill="1" applyBorder="1" applyAlignment="1">
      <alignment vertical="center" wrapText="1"/>
    </xf>
    <xf numFmtId="0" fontId="3" fillId="0" borderId="17" xfId="0" applyFont="1" applyBorder="1" applyAlignment="1">
      <alignment horizontal="justify" vertical="center" wrapText="1"/>
    </xf>
    <xf numFmtId="43" fontId="3" fillId="0" borderId="10" xfId="56" applyFont="1" applyFill="1" applyBorder="1" applyAlignment="1">
      <alignment horizontal="center" vertical="center" wrapText="1"/>
    </xf>
    <xf numFmtId="0" fontId="3" fillId="0" borderId="18" xfId="0" applyFont="1" applyBorder="1" applyAlignment="1">
      <alignment horizontal="justify" vertical="center" wrapText="1"/>
    </xf>
    <xf numFmtId="0" fontId="3" fillId="4" borderId="18" xfId="0" applyFont="1" applyFill="1" applyBorder="1" applyAlignment="1">
      <alignment horizontal="justify" vertical="justify" wrapText="1"/>
    </xf>
    <xf numFmtId="176" fontId="3" fillId="4" borderId="15" xfId="0" applyNumberFormat="1" applyFont="1" applyFill="1" applyBorder="1" applyAlignment="1">
      <alignment horizontal="center" vertical="center" wrapText="1"/>
    </xf>
    <xf numFmtId="0" fontId="3" fillId="4" borderId="18" xfId="0" applyFont="1" applyFill="1" applyBorder="1" applyAlignment="1">
      <alignment horizontal="justify" vertical="center" wrapText="1"/>
    </xf>
    <xf numFmtId="0" fontId="3" fillId="4" borderId="15" xfId="0" applyFont="1" applyFill="1" applyBorder="1" applyAlignment="1">
      <alignment horizontal="center" vertical="center" wrapText="1"/>
    </xf>
    <xf numFmtId="0" fontId="3" fillId="4" borderId="19" xfId="0" applyFont="1" applyFill="1" applyBorder="1" applyAlignment="1">
      <alignment horizontal="justify" vertical="center" wrapText="1"/>
    </xf>
    <xf numFmtId="176" fontId="3" fillId="4" borderId="24" xfId="0" applyNumberFormat="1" applyFont="1" applyFill="1" applyBorder="1" applyAlignment="1">
      <alignment vertical="center" wrapText="1"/>
    </xf>
    <xf numFmtId="0" fontId="3" fillId="4" borderId="16" xfId="0" applyFont="1" applyFill="1" applyBorder="1" applyAlignment="1">
      <alignment horizontal="justify" vertical="center" wrapText="1"/>
    </xf>
    <xf numFmtId="0" fontId="4" fillId="12" borderId="15" xfId="0" applyFont="1" applyFill="1" applyBorder="1" applyAlignment="1">
      <alignment horizontal="center" vertical="center" wrapText="1"/>
    </xf>
    <xf numFmtId="43" fontId="5" fillId="12" borderId="10" xfId="56" applyFont="1" applyFill="1" applyBorder="1" applyAlignment="1">
      <alignment horizontal="center" vertical="center"/>
    </xf>
    <xf numFmtId="0" fontId="3" fillId="0" borderId="1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10" xfId="0" applyFont="1" applyFill="1" applyBorder="1" applyAlignment="1">
      <alignment horizontal="justify" vertical="top" wrapText="1"/>
    </xf>
    <xf numFmtId="43" fontId="3" fillId="0" borderId="16" xfId="56" applyFont="1" applyFill="1" applyBorder="1" applyAlignment="1">
      <alignment horizontal="center" vertical="center" wrapText="1"/>
    </xf>
    <xf numFmtId="43" fontId="3" fillId="0" borderId="11" xfId="56" applyFont="1" applyFill="1" applyBorder="1" applyAlignment="1">
      <alignment horizontal="center" vertical="center" wrapText="1"/>
    </xf>
    <xf numFmtId="43" fontId="12" fillId="0" borderId="10" xfId="56" applyFont="1" applyFill="1" applyBorder="1" applyAlignment="1">
      <alignment horizontal="center" vertical="center"/>
    </xf>
    <xf numFmtId="0" fontId="3" fillId="0" borderId="10" xfId="0" applyFont="1" applyBorder="1" applyAlignment="1">
      <alignment horizontal="justify" vertical="center" wrapText="1"/>
    </xf>
    <xf numFmtId="0" fontId="6" fillId="4" borderId="14" xfId="0" applyFont="1" applyFill="1" applyBorder="1" applyAlignment="1">
      <alignment horizontal="justify" vertical="center" wrapText="1"/>
    </xf>
    <xf numFmtId="43" fontId="3" fillId="0" borderId="19" xfId="56" applyFont="1" applyFill="1" applyBorder="1" applyAlignment="1">
      <alignment horizontal="center" vertical="center" wrapText="1"/>
    </xf>
    <xf numFmtId="43" fontId="4" fillId="9" borderId="17" xfId="56" applyFont="1" applyFill="1" applyBorder="1" applyAlignment="1">
      <alignment vertical="center"/>
    </xf>
    <xf numFmtId="181" fontId="4" fillId="9" borderId="17" xfId="0" applyNumberFormat="1" applyFont="1" applyFill="1" applyBorder="1" applyAlignment="1">
      <alignment horizontal="justify" vertical="center"/>
    </xf>
    <xf numFmtId="177" fontId="4" fillId="9" borderId="17" xfId="0" applyNumberFormat="1" applyFont="1" applyFill="1" applyBorder="1" applyAlignment="1">
      <alignment vertical="center"/>
    </xf>
    <xf numFmtId="0" fontId="6" fillId="0" borderId="10" xfId="73" applyFont="1" applyFill="1" applyBorder="1" applyAlignment="1">
      <alignment horizontal="justify" vertical="top" wrapText="1"/>
      <protection/>
    </xf>
    <xf numFmtId="43" fontId="3" fillId="0" borderId="16" xfId="56" applyFont="1" applyFill="1" applyBorder="1" applyAlignment="1">
      <alignment horizontal="center" vertical="center"/>
    </xf>
    <xf numFmtId="0" fontId="6" fillId="0" borderId="10" xfId="73" applyFont="1" applyFill="1" applyBorder="1" applyAlignment="1">
      <alignment horizontal="justify" vertical="justify" wrapText="1"/>
      <protection/>
    </xf>
    <xf numFmtId="0" fontId="6" fillId="0" borderId="10" xfId="73" applyFont="1" applyFill="1" applyBorder="1" applyAlignment="1">
      <alignment horizontal="justify" vertical="center" wrapText="1"/>
      <protection/>
    </xf>
    <xf numFmtId="0" fontId="6" fillId="0" borderId="10" xfId="0" applyFont="1" applyFill="1" applyBorder="1" applyAlignment="1">
      <alignment horizontal="justify" vertical="center" wrapText="1"/>
    </xf>
    <xf numFmtId="0" fontId="6" fillId="4" borderId="10" xfId="73" applyFont="1" applyFill="1" applyBorder="1" applyAlignment="1">
      <alignment horizontal="justify" vertical="center" wrapText="1"/>
      <protection/>
    </xf>
    <xf numFmtId="43" fontId="3" fillId="4" borderId="16" xfId="56" applyFont="1" applyFill="1" applyBorder="1" applyAlignment="1">
      <alignment horizontal="center" vertical="center"/>
    </xf>
    <xf numFmtId="0" fontId="6" fillId="0" borderId="10" xfId="73" applyFont="1" applyBorder="1" applyAlignment="1">
      <alignment horizontal="justify" vertical="center" wrapText="1"/>
      <protection/>
    </xf>
    <xf numFmtId="0" fontId="3" fillId="4" borderId="11" xfId="0" applyFont="1" applyFill="1" applyBorder="1" applyAlignment="1">
      <alignment vertical="center" wrapText="1"/>
    </xf>
    <xf numFmtId="0" fontId="4" fillId="12" borderId="24" xfId="0" applyFont="1" applyFill="1" applyBorder="1" applyAlignment="1">
      <alignment horizontal="center" vertical="center" wrapText="1"/>
    </xf>
    <xf numFmtId="0" fontId="4" fillId="12" borderId="16" xfId="0" applyFont="1" applyFill="1" applyBorder="1" applyAlignment="1">
      <alignment horizontal="left" vertical="center"/>
    </xf>
    <xf numFmtId="0" fontId="4" fillId="12" borderId="17" xfId="0" applyFont="1" applyFill="1" applyBorder="1" applyAlignment="1">
      <alignment horizontal="left" vertical="center"/>
    </xf>
    <xf numFmtId="0" fontId="4" fillId="12" borderId="17" xfId="0" applyFont="1" applyFill="1" applyBorder="1" applyAlignment="1">
      <alignment horizontal="justify" vertical="center"/>
    </xf>
    <xf numFmtId="43" fontId="4" fillId="12" borderId="17" xfId="56" applyFont="1" applyFill="1" applyBorder="1" applyAlignment="1">
      <alignment horizontal="left" vertical="center"/>
    </xf>
    <xf numFmtId="43" fontId="4" fillId="12" borderId="17" xfId="56" applyFont="1" applyFill="1" applyBorder="1" applyAlignment="1">
      <alignment horizontal="center" vertical="center"/>
    </xf>
    <xf numFmtId="0" fontId="4" fillId="12" borderId="17" xfId="0" applyFont="1" applyFill="1" applyBorder="1" applyAlignment="1">
      <alignment horizontal="center" vertical="center"/>
    </xf>
    <xf numFmtId="181" fontId="4" fillId="12" borderId="17" xfId="0" applyNumberFormat="1" applyFont="1" applyFill="1" applyBorder="1" applyAlignment="1">
      <alignment horizontal="justify" vertical="center"/>
    </xf>
    <xf numFmtId="0" fontId="4" fillId="12" borderId="10" xfId="0" applyFont="1" applyFill="1" applyBorder="1" applyAlignment="1">
      <alignment horizontal="left" vertical="center"/>
    </xf>
    <xf numFmtId="0" fontId="3" fillId="12" borderId="10" xfId="0" applyFont="1" applyFill="1" applyBorder="1" applyAlignment="1">
      <alignment horizontal="center" vertical="center"/>
    </xf>
    <xf numFmtId="0" fontId="6" fillId="4" borderId="10" xfId="0" applyFont="1" applyFill="1" applyBorder="1" applyAlignment="1">
      <alignment horizontal="justify" vertical="center"/>
    </xf>
    <xf numFmtId="43" fontId="6" fillId="0" borderId="10" xfId="56" applyFont="1" applyFill="1" applyBorder="1" applyAlignment="1">
      <alignment horizontal="center" vertical="center" wrapText="1"/>
    </xf>
    <xf numFmtId="0" fontId="6" fillId="4" borderId="10" xfId="0" applyFont="1" applyFill="1" applyBorder="1" applyAlignment="1">
      <alignment horizontal="justify" vertical="justify"/>
    </xf>
    <xf numFmtId="0" fontId="4" fillId="12" borderId="16" xfId="0" applyFont="1" applyFill="1" applyBorder="1" applyAlignment="1">
      <alignment vertical="center"/>
    </xf>
    <xf numFmtId="0" fontId="4" fillId="12" borderId="17" xfId="0" applyFont="1" applyFill="1" applyBorder="1" applyAlignment="1">
      <alignment vertical="center"/>
    </xf>
    <xf numFmtId="43" fontId="4" fillId="12" borderId="17" xfId="56" applyFont="1" applyFill="1" applyBorder="1" applyAlignment="1">
      <alignment vertical="center"/>
    </xf>
    <xf numFmtId="0" fontId="4" fillId="12" borderId="10" xfId="0" applyFont="1" applyFill="1" applyBorder="1" applyAlignment="1">
      <alignment vertical="center"/>
    </xf>
    <xf numFmtId="0" fontId="4" fillId="12" borderId="17" xfId="0" applyFont="1" applyFill="1" applyBorder="1" applyAlignment="1">
      <alignment horizontal="left" vertical="center" wrapText="1"/>
    </xf>
    <xf numFmtId="43" fontId="3" fillId="0" borderId="10" xfId="56"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6" fillId="4" borderId="10" xfId="0" applyFont="1" applyFill="1" applyBorder="1" applyAlignment="1">
      <alignment horizontal="justify" vertical="justify" wrapText="1"/>
    </xf>
    <xf numFmtId="0" fontId="6" fillId="0" borderId="10" xfId="0" applyFont="1" applyBorder="1" applyAlignment="1">
      <alignment horizontal="justify" vertical="justify" wrapText="1"/>
    </xf>
    <xf numFmtId="0" fontId="3" fillId="4" borderId="13" xfId="0" applyFont="1" applyFill="1" applyBorder="1" applyAlignment="1">
      <alignment vertical="center" wrapText="1"/>
    </xf>
    <xf numFmtId="0" fontId="3" fillId="0" borderId="24" xfId="0" applyFont="1" applyBorder="1" applyAlignment="1">
      <alignment vertical="center" wrapText="1"/>
    </xf>
    <xf numFmtId="0" fontId="4" fillId="9" borderId="15" xfId="0" applyFont="1" applyFill="1" applyBorder="1" applyAlignment="1">
      <alignment horizontal="center" vertical="center" wrapText="1"/>
    </xf>
    <xf numFmtId="0" fontId="4" fillId="12" borderId="20" xfId="0" applyFont="1" applyFill="1" applyBorder="1" applyAlignment="1">
      <alignment vertical="center"/>
    </xf>
    <xf numFmtId="0" fontId="4" fillId="12" borderId="20" xfId="0" applyFont="1" applyFill="1" applyBorder="1" applyAlignment="1">
      <alignment horizontal="center" vertical="center"/>
    </xf>
    <xf numFmtId="0" fontId="4" fillId="12" borderId="20" xfId="0" applyFont="1" applyFill="1" applyBorder="1" applyAlignment="1">
      <alignment horizontal="justify" vertical="center"/>
    </xf>
    <xf numFmtId="0" fontId="3" fillId="4" borderId="14" xfId="0" applyFont="1" applyFill="1" applyBorder="1" applyAlignment="1">
      <alignment vertical="center"/>
    </xf>
    <xf numFmtId="43" fontId="6" fillId="0" borderId="11" xfId="56" applyFont="1" applyFill="1" applyBorder="1" applyAlignment="1">
      <alignment horizontal="center" vertical="center" wrapText="1"/>
    </xf>
    <xf numFmtId="43" fontId="3" fillId="0" borderId="14" xfId="0" applyNumberFormat="1" applyFont="1" applyBorder="1" applyAlignment="1">
      <alignment vertical="center" wrapText="1"/>
    </xf>
    <xf numFmtId="0" fontId="3" fillId="0" borderId="14" xfId="0" applyFont="1" applyBorder="1" applyAlignment="1">
      <alignment horizontal="center" vertical="center"/>
    </xf>
    <xf numFmtId="0" fontId="3" fillId="4" borderId="15" xfId="0" applyFont="1" applyFill="1" applyBorder="1" applyAlignment="1">
      <alignment vertical="center"/>
    </xf>
    <xf numFmtId="43" fontId="3" fillId="0" borderId="15" xfId="0" applyNumberFormat="1" applyFont="1" applyBorder="1" applyAlignment="1">
      <alignment vertical="center" wrapText="1"/>
    </xf>
    <xf numFmtId="0" fontId="3" fillId="0" borderId="15" xfId="0" applyFont="1" applyBorder="1" applyAlignment="1">
      <alignment horizontal="center" vertical="center"/>
    </xf>
    <xf numFmtId="43" fontId="6" fillId="0" borderId="16" xfId="56" applyFont="1" applyFill="1" applyBorder="1" applyAlignment="1">
      <alignment horizontal="center" vertical="center" wrapText="1"/>
    </xf>
    <xf numFmtId="0" fontId="3" fillId="4" borderId="15" xfId="0" applyFont="1" applyFill="1" applyBorder="1" applyAlignment="1">
      <alignment horizontal="left" vertical="center" wrapText="1"/>
    </xf>
    <xf numFmtId="0" fontId="6" fillId="0" borderId="10" xfId="0" applyFont="1" applyFill="1" applyBorder="1" applyAlignment="1">
      <alignment horizontal="justify" vertical="justify"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173" fontId="3" fillId="0" borderId="2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14" xfId="81" applyFont="1" applyBorder="1" applyAlignment="1">
      <alignment horizontal="center" vertical="center"/>
    </xf>
    <xf numFmtId="43" fontId="3" fillId="0" borderId="0" xfId="56" applyFont="1" applyFill="1" applyAlignment="1">
      <alignment horizontal="center" vertical="center"/>
    </xf>
    <xf numFmtId="43" fontId="4" fillId="0" borderId="30" xfId="56" applyFont="1" applyBorder="1" applyAlignment="1">
      <alignment horizontal="center" vertical="center" wrapText="1"/>
    </xf>
    <xf numFmtId="165" fontId="3" fillId="4" borderId="41" xfId="0" applyNumberFormat="1" applyFont="1" applyFill="1" applyBorder="1" applyAlignment="1">
      <alignment horizontal="justify" vertical="center" wrapText="1"/>
    </xf>
    <xf numFmtId="0" fontId="3" fillId="4" borderId="44" xfId="0" applyFont="1" applyFill="1" applyBorder="1" applyAlignment="1">
      <alignment horizontal="justify" vertical="center" wrapText="1"/>
    </xf>
    <xf numFmtId="0" fontId="3" fillId="4" borderId="45" xfId="0" applyFont="1" applyFill="1" applyBorder="1" applyAlignment="1">
      <alignment horizontal="justify" vertical="center" wrapText="1"/>
    </xf>
    <xf numFmtId="0" fontId="3" fillId="4" borderId="41" xfId="0" applyFont="1" applyFill="1" applyBorder="1" applyAlignment="1">
      <alignment horizontal="center" vertical="center" wrapText="1"/>
    </xf>
    <xf numFmtId="0" fontId="3" fillId="4" borderId="44" xfId="0" applyFont="1" applyFill="1" applyBorder="1" applyAlignment="1">
      <alignment vertical="center" wrapText="1"/>
    </xf>
    <xf numFmtId="0" fontId="3" fillId="4" borderId="46" xfId="0" applyFont="1" applyFill="1" applyBorder="1" applyAlignment="1">
      <alignment horizontal="justify" vertical="center" wrapText="1"/>
    </xf>
    <xf numFmtId="0" fontId="3" fillId="0" borderId="10" xfId="0" applyFont="1" applyBorder="1" applyAlignment="1">
      <alignment/>
    </xf>
    <xf numFmtId="0" fontId="3" fillId="0" borderId="0" xfId="0" applyFont="1" applyAlignment="1">
      <alignment horizontal="center" wrapText="1"/>
    </xf>
    <xf numFmtId="0" fontId="3" fillId="0" borderId="0" xfId="0" applyFont="1" applyAlignment="1">
      <alignment vertical="center" wrapText="1"/>
    </xf>
    <xf numFmtId="0" fontId="3" fillId="0" borderId="0" xfId="0" applyFont="1" applyAlignment="1">
      <alignment horizontal="justify" vertical="center" wrapText="1"/>
    </xf>
    <xf numFmtId="165" fontId="4" fillId="0" borderId="0" xfId="0" applyNumberFormat="1" applyFont="1" applyAlignment="1">
      <alignment wrapText="1"/>
    </xf>
    <xf numFmtId="183" fontId="5" fillId="4" borderId="0" xfId="65" applyNumberFormat="1" applyFont="1" applyFill="1" applyBorder="1" applyAlignment="1">
      <alignment horizontal="right" vertical="center"/>
    </xf>
    <xf numFmtId="0" fontId="3" fillId="0" borderId="0" xfId="0" applyFont="1" applyAlignment="1">
      <alignment horizontal="justify" wrapText="1"/>
    </xf>
    <xf numFmtId="0" fontId="6" fillId="0" borderId="0" xfId="0" applyFont="1" applyAlignment="1">
      <alignment horizontal="left"/>
    </xf>
    <xf numFmtId="184" fontId="15" fillId="4" borderId="0" xfId="0" applyNumberFormat="1" applyFont="1" applyFill="1" applyAlignment="1">
      <alignment horizontal="right" vertical="center"/>
    </xf>
    <xf numFmtId="165" fontId="3" fillId="4" borderId="0" xfId="0" applyNumberFormat="1" applyFont="1" applyFill="1" applyAlignment="1">
      <alignment wrapText="1"/>
    </xf>
    <xf numFmtId="185" fontId="4" fillId="4" borderId="0" xfId="0" applyNumberFormat="1" applyFont="1" applyFill="1" applyAlignment="1">
      <alignment horizontal="right" vertical="center"/>
    </xf>
    <xf numFmtId="0" fontId="3" fillId="4" borderId="0" xfId="0" applyFont="1" applyFill="1" applyAlignment="1">
      <alignment horizontal="center" wrapText="1"/>
    </xf>
    <xf numFmtId="165" fontId="3" fillId="0" borderId="0" xfId="0" applyNumberFormat="1" applyFont="1" applyAlignment="1">
      <alignment wrapText="1"/>
    </xf>
    <xf numFmtId="186" fontId="16" fillId="0" borderId="0" xfId="0" applyNumberFormat="1" applyFont="1" applyAlignment="1">
      <alignment wrapText="1"/>
    </xf>
    <xf numFmtId="0" fontId="4" fillId="0" borderId="31" xfId="0" applyFont="1" applyBorder="1" applyAlignment="1">
      <alignment/>
    </xf>
    <xf numFmtId="0" fontId="4" fillId="0" borderId="32" xfId="0" applyFont="1" applyBorder="1" applyAlignment="1">
      <alignment horizontal="justify"/>
    </xf>
    <xf numFmtId="0" fontId="4" fillId="0" borderId="10" xfId="0" applyFont="1" applyBorder="1" applyAlignment="1">
      <alignment horizontal="left"/>
    </xf>
    <xf numFmtId="173" fontId="4" fillId="0" borderId="25" xfId="0" applyNumberFormat="1" applyFont="1" applyBorder="1" applyAlignment="1">
      <alignment horizontal="justify"/>
    </xf>
    <xf numFmtId="0" fontId="4" fillId="0" borderId="10" xfId="0" applyFont="1" applyBorder="1" applyAlignment="1">
      <alignment/>
    </xf>
    <xf numFmtId="17" fontId="4" fillId="0" borderId="25" xfId="0" applyNumberFormat="1" applyFont="1" applyBorder="1" applyAlignment="1">
      <alignment horizontal="justify"/>
    </xf>
    <xf numFmtId="0" fontId="4" fillId="0" borderId="10" xfId="0" applyFont="1" applyBorder="1" applyAlignment="1">
      <alignment vertical="center"/>
    </xf>
    <xf numFmtId="3" fontId="4" fillId="4" borderId="25" xfId="0" applyNumberFormat="1" applyFont="1" applyFill="1" applyBorder="1" applyAlignment="1">
      <alignment horizontal="justify" vertical="center" wrapText="1"/>
    </xf>
    <xf numFmtId="0" fontId="4" fillId="9" borderId="16" xfId="0" applyFont="1" applyFill="1" applyBorder="1" applyAlignment="1">
      <alignment horizontal="center" vertical="center" textRotation="90" wrapText="1"/>
    </xf>
    <xf numFmtId="0" fontId="4" fillId="10" borderId="34" xfId="75" applyFont="1" applyFill="1" applyBorder="1" applyAlignment="1">
      <alignment horizontal="center" vertical="center" wrapText="1"/>
      <protection/>
    </xf>
    <xf numFmtId="0" fontId="4" fillId="10" borderId="17" xfId="75" applyFont="1" applyFill="1" applyBorder="1" applyAlignment="1">
      <alignment vertical="center"/>
      <protection/>
    </xf>
    <xf numFmtId="0" fontId="4" fillId="10" borderId="17" xfId="75" applyFont="1" applyFill="1" applyBorder="1" applyAlignment="1">
      <alignment horizontal="justify" vertical="center"/>
      <protection/>
    </xf>
    <xf numFmtId="0" fontId="4" fillId="10" borderId="17" xfId="75" applyFont="1" applyFill="1" applyBorder="1" applyAlignment="1">
      <alignment horizontal="center" vertical="center"/>
      <protection/>
    </xf>
    <xf numFmtId="0" fontId="3" fillId="10" borderId="17" xfId="75" applyFont="1" applyFill="1" applyBorder="1" applyAlignment="1">
      <alignment vertical="center"/>
      <protection/>
    </xf>
    <xf numFmtId="0" fontId="4" fillId="10" borderId="17" xfId="54" applyNumberFormat="1" applyFont="1" applyFill="1" applyBorder="1" applyAlignment="1">
      <alignment vertical="center"/>
    </xf>
    <xf numFmtId="169" fontId="4" fillId="10" borderId="17" xfId="54" applyNumberFormat="1" applyFont="1" applyFill="1" applyBorder="1" applyAlignment="1">
      <alignment vertical="center"/>
    </xf>
    <xf numFmtId="0" fontId="4" fillId="10" borderId="17" xfId="54" applyNumberFormat="1" applyFont="1" applyFill="1" applyBorder="1" applyAlignment="1">
      <alignment horizontal="center" vertical="center"/>
    </xf>
    <xf numFmtId="0" fontId="4" fillId="10" borderId="35" xfId="75" applyFont="1" applyFill="1" applyBorder="1" applyAlignment="1">
      <alignment vertical="center"/>
      <protection/>
    </xf>
    <xf numFmtId="0" fontId="3" fillId="0" borderId="0" xfId="75" applyFont="1">
      <alignment/>
      <protection/>
    </xf>
    <xf numFmtId="0" fontId="4" fillId="9" borderId="20" xfId="75" applyFont="1" applyFill="1" applyBorder="1" applyAlignment="1">
      <alignment horizontal="center" vertical="center"/>
      <protection/>
    </xf>
    <xf numFmtId="0" fontId="4" fillId="9" borderId="20" xfId="75" applyFont="1" applyFill="1" applyBorder="1" applyAlignment="1">
      <alignment vertical="center"/>
      <protection/>
    </xf>
    <xf numFmtId="0" fontId="4" fillId="9" borderId="17" xfId="75" applyFont="1" applyFill="1" applyBorder="1" applyAlignment="1">
      <alignment vertical="center"/>
      <protection/>
    </xf>
    <xf numFmtId="0" fontId="4" fillId="9" borderId="17" xfId="75" applyFont="1" applyFill="1" applyBorder="1" applyAlignment="1">
      <alignment horizontal="justify" vertical="center"/>
      <protection/>
    </xf>
    <xf numFmtId="0" fontId="4" fillId="9" borderId="17" xfId="75" applyFont="1" applyFill="1" applyBorder="1" applyAlignment="1">
      <alignment horizontal="center" vertical="center"/>
      <protection/>
    </xf>
    <xf numFmtId="0" fontId="3" fillId="9" borderId="17" xfId="75" applyFont="1" applyFill="1" applyBorder="1" applyAlignment="1">
      <alignment vertical="center"/>
      <protection/>
    </xf>
    <xf numFmtId="0" fontId="4" fillId="9" borderId="17" xfId="54" applyNumberFormat="1" applyFont="1" applyFill="1" applyBorder="1" applyAlignment="1">
      <alignment vertical="center"/>
    </xf>
    <xf numFmtId="169" fontId="4" fillId="9" borderId="17" xfId="54" applyNumberFormat="1" applyFont="1" applyFill="1" applyBorder="1" applyAlignment="1">
      <alignment vertical="center"/>
    </xf>
    <xf numFmtId="0" fontId="4" fillId="9" borderId="17" xfId="54" applyNumberFormat="1" applyFont="1" applyFill="1" applyBorder="1" applyAlignment="1">
      <alignment horizontal="center" vertical="center"/>
    </xf>
    <xf numFmtId="0" fontId="4" fillId="9" borderId="35" xfId="75" applyFont="1" applyFill="1" applyBorder="1" applyAlignment="1">
      <alignment vertical="center"/>
      <protection/>
    </xf>
    <xf numFmtId="0" fontId="4" fillId="0" borderId="36" xfId="75" applyFont="1" applyBorder="1" applyAlignment="1">
      <alignment vertical="center" wrapText="1"/>
      <protection/>
    </xf>
    <xf numFmtId="0" fontId="4" fillId="0" borderId="0" xfId="75" applyFont="1" applyAlignment="1">
      <alignment vertical="center" wrapText="1"/>
      <protection/>
    </xf>
    <xf numFmtId="0" fontId="4" fillId="0" borderId="23" xfId="75" applyFont="1" applyBorder="1" applyAlignment="1">
      <alignment vertical="center" wrapText="1"/>
      <protection/>
    </xf>
    <xf numFmtId="0" fontId="4" fillId="0" borderId="20" xfId="75" applyFont="1" applyBorder="1" applyAlignment="1">
      <alignment vertical="center" wrapText="1"/>
      <protection/>
    </xf>
    <xf numFmtId="0" fontId="4" fillId="0" borderId="21" xfId="75" applyFont="1" applyBorder="1" applyAlignment="1">
      <alignment vertical="center" wrapText="1"/>
      <protection/>
    </xf>
    <xf numFmtId="0" fontId="4" fillId="10" borderId="17" xfId="75" applyFont="1" applyFill="1" applyBorder="1" applyAlignment="1">
      <alignment horizontal="center" vertical="center" wrapText="1"/>
      <protection/>
    </xf>
    <xf numFmtId="0" fontId="4" fillId="10" borderId="17" xfId="75" applyFont="1" applyFill="1" applyBorder="1" applyAlignment="1">
      <alignment vertical="center"/>
      <protection/>
    </xf>
    <xf numFmtId="0" fontId="4" fillId="10" borderId="17" xfId="75" applyFont="1" applyFill="1" applyBorder="1" applyAlignment="1">
      <alignment horizontal="justify" vertical="center"/>
      <protection/>
    </xf>
    <xf numFmtId="0" fontId="4" fillId="10" borderId="17" xfId="75" applyFont="1" applyFill="1" applyBorder="1" applyAlignment="1">
      <alignment horizontal="center" vertical="center"/>
      <protection/>
    </xf>
    <xf numFmtId="0" fontId="3" fillId="10" borderId="17" xfId="75" applyFont="1" applyFill="1" applyBorder="1" applyAlignment="1">
      <alignment vertical="center"/>
      <protection/>
    </xf>
    <xf numFmtId="0" fontId="4" fillId="10" borderId="17" xfId="54" applyNumberFormat="1" applyFont="1" applyFill="1" applyBorder="1" applyAlignment="1">
      <alignment vertical="center"/>
    </xf>
    <xf numFmtId="169" fontId="4" fillId="10" borderId="17" xfId="54" applyNumberFormat="1" applyFont="1" applyFill="1" applyBorder="1" applyAlignment="1">
      <alignment vertical="center"/>
    </xf>
    <xf numFmtId="0" fontId="4" fillId="10" borderId="17" xfId="54" applyNumberFormat="1" applyFont="1" applyFill="1" applyBorder="1" applyAlignment="1">
      <alignment horizontal="center" vertical="center"/>
    </xf>
    <xf numFmtId="0" fontId="4" fillId="10" borderId="35" xfId="75" applyFont="1" applyFill="1" applyBorder="1" applyAlignment="1">
      <alignment vertical="center"/>
      <protection/>
    </xf>
    <xf numFmtId="0" fontId="3" fillId="4" borderId="36" xfId="75" applyFont="1" applyFill="1" applyBorder="1" applyAlignment="1">
      <alignment vertical="center" wrapText="1"/>
      <protection/>
    </xf>
    <xf numFmtId="0" fontId="3" fillId="4" borderId="0" xfId="75" applyFont="1" applyFill="1" applyAlignment="1">
      <alignment vertical="center" wrapText="1"/>
      <protection/>
    </xf>
    <xf numFmtId="0" fontId="3" fillId="4" borderId="23" xfId="75" applyFont="1" applyFill="1" applyBorder="1" applyAlignment="1">
      <alignment vertical="center" wrapText="1"/>
      <protection/>
    </xf>
    <xf numFmtId="0" fontId="3" fillId="4" borderId="19" xfId="75" applyFont="1" applyFill="1" applyBorder="1" applyAlignment="1">
      <alignment vertical="center" wrapText="1"/>
      <protection/>
    </xf>
    <xf numFmtId="0" fontId="3" fillId="4" borderId="20" xfId="75" applyFont="1" applyFill="1" applyBorder="1" applyAlignment="1">
      <alignment vertical="center" wrapText="1"/>
      <protection/>
    </xf>
    <xf numFmtId="0" fontId="3" fillId="4" borderId="21" xfId="75" applyFont="1" applyFill="1" applyBorder="1" applyAlignment="1">
      <alignment vertical="center" wrapText="1"/>
      <protection/>
    </xf>
    <xf numFmtId="0" fontId="3" fillId="0" borderId="11" xfId="75" applyFont="1" applyFill="1" applyBorder="1" applyAlignment="1">
      <alignment horizontal="justify" vertical="center" wrapText="1"/>
      <protection/>
    </xf>
    <xf numFmtId="43" fontId="6" fillId="4" borderId="10" xfId="54" applyFont="1" applyFill="1" applyBorder="1" applyAlignment="1">
      <alignment horizontal="center" vertical="center" wrapText="1"/>
    </xf>
    <xf numFmtId="181" fontId="3" fillId="4" borderId="0" xfId="75" applyNumberFormat="1" applyFont="1" applyFill="1">
      <alignment/>
      <protection/>
    </xf>
    <xf numFmtId="0" fontId="3" fillId="4" borderId="0" xfId="75" applyFont="1" applyFill="1">
      <alignment/>
      <protection/>
    </xf>
    <xf numFmtId="0" fontId="3" fillId="4" borderId="22" xfId="75" applyFont="1" applyFill="1" applyBorder="1" applyAlignment="1">
      <alignment vertical="center" wrapText="1"/>
      <protection/>
    </xf>
    <xf numFmtId="43" fontId="3" fillId="4" borderId="0" xfId="75" applyNumberFormat="1" applyFont="1" applyFill="1">
      <alignment/>
      <protection/>
    </xf>
    <xf numFmtId="49" fontId="3" fillId="0" borderId="10" xfId="47" applyNumberFormat="1" applyFont="1" applyFill="1" applyBorder="1" applyAlignment="1">
      <alignment horizontal="left" vertical="center" wrapText="1"/>
      <protection/>
    </xf>
    <xf numFmtId="2" fontId="3" fillId="4" borderId="0" xfId="75" applyNumberFormat="1" applyFont="1" applyFill="1">
      <alignment/>
      <protection/>
    </xf>
    <xf numFmtId="0" fontId="3" fillId="4" borderId="12" xfId="75" applyFont="1" applyFill="1" applyBorder="1" applyAlignment="1">
      <alignment vertical="center" wrapText="1"/>
      <protection/>
    </xf>
    <xf numFmtId="0" fontId="3" fillId="4" borderId="13" xfId="75" applyFont="1" applyFill="1" applyBorder="1" applyAlignment="1">
      <alignment vertical="center" wrapText="1"/>
      <protection/>
    </xf>
    <xf numFmtId="0" fontId="3" fillId="4" borderId="11" xfId="75" applyFont="1" applyFill="1" applyBorder="1" applyAlignment="1">
      <alignment vertical="center" wrapText="1"/>
      <protection/>
    </xf>
    <xf numFmtId="0" fontId="3" fillId="0" borderId="23" xfId="75" applyFont="1" applyBorder="1">
      <alignment/>
      <protection/>
    </xf>
    <xf numFmtId="0" fontId="4" fillId="9" borderId="17" xfId="75" applyFont="1" applyFill="1" applyBorder="1" applyAlignment="1">
      <alignment horizontal="justify" vertical="center" wrapText="1"/>
      <protection/>
    </xf>
    <xf numFmtId="0" fontId="4" fillId="9" borderId="18" xfId="75" applyFont="1" applyFill="1" applyBorder="1" applyAlignment="1">
      <alignment vertical="center"/>
      <protection/>
    </xf>
    <xf numFmtId="0" fontId="4" fillId="9" borderId="16" xfId="75" applyFont="1" applyFill="1" applyBorder="1" applyAlignment="1">
      <alignment vertical="center"/>
      <protection/>
    </xf>
    <xf numFmtId="43" fontId="4" fillId="9" borderId="17" xfId="54" applyFont="1" applyFill="1" applyBorder="1" applyAlignment="1">
      <alignment horizontal="center" vertical="center"/>
    </xf>
    <xf numFmtId="43" fontId="3" fillId="9" borderId="17" xfId="54" applyFont="1" applyFill="1" applyBorder="1" applyAlignment="1">
      <alignment vertical="center"/>
    </xf>
    <xf numFmtId="1" fontId="4" fillId="9" borderId="17" xfId="75" applyNumberFormat="1" applyFont="1" applyFill="1" applyBorder="1" applyAlignment="1">
      <alignment horizontal="center" vertical="center"/>
      <protection/>
    </xf>
    <xf numFmtId="0" fontId="4" fillId="10" borderId="17" xfId="75" applyFont="1" applyFill="1" applyBorder="1" applyAlignment="1">
      <alignment horizontal="justify" vertical="center" wrapText="1"/>
      <protection/>
    </xf>
    <xf numFmtId="43" fontId="4" fillId="10" borderId="17" xfId="54" applyFont="1" applyFill="1" applyBorder="1" applyAlignment="1">
      <alignment horizontal="center" vertical="center"/>
    </xf>
    <xf numFmtId="43" fontId="3" fillId="10" borderId="17" xfId="54" applyFont="1" applyFill="1" applyBorder="1" applyAlignment="1">
      <alignment vertical="center"/>
    </xf>
    <xf numFmtId="1" fontId="4" fillId="10" borderId="17" xfId="75" applyNumberFormat="1" applyFont="1" applyFill="1" applyBorder="1" applyAlignment="1">
      <alignment horizontal="center" vertical="center"/>
      <protection/>
    </xf>
    <xf numFmtId="49" fontId="3" fillId="0" borderId="10" xfId="47" applyNumberFormat="1" applyFont="1" applyFill="1" applyBorder="1" applyAlignment="1">
      <alignment horizontal="justify" vertical="center" wrapText="1"/>
      <protection/>
    </xf>
    <xf numFmtId="0" fontId="4" fillId="4" borderId="36" xfId="75" applyFont="1" applyFill="1" applyBorder="1" applyAlignment="1">
      <alignment vertical="center" wrapText="1"/>
      <protection/>
    </xf>
    <xf numFmtId="0" fontId="4" fillId="4" borderId="0" xfId="75" applyFont="1" applyFill="1" applyAlignment="1">
      <alignment vertical="center" wrapText="1"/>
      <protection/>
    </xf>
    <xf numFmtId="0" fontId="4" fillId="4" borderId="23" xfId="75" applyFont="1" applyFill="1" applyBorder="1" applyAlignment="1">
      <alignment vertical="center" wrapText="1"/>
      <protection/>
    </xf>
    <xf numFmtId="0" fontId="4" fillId="4" borderId="19" xfId="75" applyFont="1" applyFill="1" applyBorder="1" applyAlignment="1">
      <alignment vertical="center" wrapText="1"/>
      <protection/>
    </xf>
    <xf numFmtId="0" fontId="4" fillId="4" borderId="20" xfId="75" applyFont="1" applyFill="1" applyBorder="1" applyAlignment="1">
      <alignment vertical="center" wrapText="1"/>
      <protection/>
    </xf>
    <xf numFmtId="0" fontId="4" fillId="4" borderId="21" xfId="75" applyFont="1" applyFill="1" applyBorder="1" applyAlignment="1">
      <alignment vertical="center" wrapText="1"/>
      <protection/>
    </xf>
    <xf numFmtId="43" fontId="6" fillId="0" borderId="16" xfId="54" applyFont="1" applyFill="1" applyBorder="1" applyAlignment="1">
      <alignment horizontal="center" vertical="center" wrapText="1"/>
    </xf>
    <xf numFmtId="0" fontId="4" fillId="4" borderId="22" xfId="75" applyFont="1" applyFill="1" applyBorder="1" applyAlignment="1">
      <alignment vertical="center" wrapText="1"/>
      <protection/>
    </xf>
    <xf numFmtId="181" fontId="3" fillId="4" borderId="0" xfId="57" applyFont="1" applyFill="1" applyAlignment="1">
      <alignment/>
    </xf>
    <xf numFmtId="0" fontId="4" fillId="4" borderId="11" xfId="75" applyFont="1" applyFill="1" applyBorder="1" applyAlignment="1">
      <alignment vertical="center" wrapText="1"/>
      <protection/>
    </xf>
    <xf numFmtId="0" fontId="4" fillId="4" borderId="12" xfId="75" applyFont="1" applyFill="1" applyBorder="1" applyAlignment="1">
      <alignment vertical="center" wrapText="1"/>
      <protection/>
    </xf>
    <xf numFmtId="0" fontId="4" fillId="4" borderId="13" xfId="75" applyFont="1" applyFill="1" applyBorder="1" applyAlignment="1">
      <alignment vertical="center" wrapText="1"/>
      <protection/>
    </xf>
    <xf numFmtId="0" fontId="3" fillId="0" borderId="10" xfId="75" applyFont="1" applyFill="1" applyBorder="1" applyAlignment="1">
      <alignment horizontal="justify" vertical="center" wrapText="1"/>
      <protection/>
    </xf>
    <xf numFmtId="43" fontId="6" fillId="4" borderId="16" xfId="54" applyFont="1" applyFill="1" applyBorder="1" applyAlignment="1">
      <alignment horizontal="center" vertical="center" wrapText="1"/>
    </xf>
    <xf numFmtId="49" fontId="3" fillId="0" borderId="10" xfId="47" applyNumberFormat="1" applyFont="1" applyFill="1" applyBorder="1" applyAlignment="1">
      <alignment horizontal="justify" vertical="top" wrapText="1"/>
      <protection/>
    </xf>
    <xf numFmtId="43" fontId="6" fillId="4" borderId="0" xfId="75" applyNumberFormat="1" applyFont="1" applyFill="1">
      <alignment/>
      <protection/>
    </xf>
    <xf numFmtId="0" fontId="6" fillId="4" borderId="0" xfId="75" applyFont="1" applyFill="1">
      <alignment/>
      <protection/>
    </xf>
    <xf numFmtId="0" fontId="6" fillId="18" borderId="0" xfId="75" applyFont="1" applyFill="1">
      <alignment/>
      <protection/>
    </xf>
    <xf numFmtId="0" fontId="6" fillId="4" borderId="36" xfId="75" applyFont="1" applyFill="1" applyBorder="1" applyAlignment="1">
      <alignment vertical="center" wrapText="1"/>
      <protection/>
    </xf>
    <xf numFmtId="0" fontId="6" fillId="4" borderId="0" xfId="75" applyFont="1" applyFill="1" applyAlignment="1">
      <alignment vertical="center" wrapText="1"/>
      <protection/>
    </xf>
    <xf numFmtId="0" fontId="6" fillId="4" borderId="23" xfId="75" applyFont="1" applyFill="1" applyBorder="1" applyAlignment="1">
      <alignment vertical="center" wrapText="1"/>
      <protection/>
    </xf>
    <xf numFmtId="0" fontId="6" fillId="4" borderId="19" xfId="75" applyFont="1" applyFill="1" applyBorder="1" applyAlignment="1">
      <alignment vertical="center" wrapText="1"/>
      <protection/>
    </xf>
    <xf numFmtId="0" fontId="6" fillId="4" borderId="20" xfId="75" applyFont="1" applyFill="1" applyBorder="1" applyAlignment="1">
      <alignment vertical="center" wrapText="1"/>
      <protection/>
    </xf>
    <xf numFmtId="0" fontId="6" fillId="4" borderId="21" xfId="75" applyFont="1" applyFill="1" applyBorder="1" applyAlignment="1">
      <alignment vertical="center" wrapText="1"/>
      <protection/>
    </xf>
    <xf numFmtId="0" fontId="6" fillId="4" borderId="22" xfId="75" applyFont="1" applyFill="1" applyBorder="1" applyAlignment="1">
      <alignment vertical="center" wrapText="1"/>
      <protection/>
    </xf>
    <xf numFmtId="181" fontId="6" fillId="4" borderId="0" xfId="75" applyNumberFormat="1" applyFont="1" applyFill="1">
      <alignment/>
      <protection/>
    </xf>
    <xf numFmtId="0" fontId="6" fillId="4" borderId="11" xfId="75" applyFont="1" applyFill="1" applyBorder="1" applyAlignment="1">
      <alignment vertical="center" wrapText="1"/>
      <protection/>
    </xf>
    <xf numFmtId="0" fontId="6" fillId="4" borderId="12" xfId="75" applyFont="1" applyFill="1" applyBorder="1" applyAlignment="1">
      <alignment vertical="center" wrapText="1"/>
      <protection/>
    </xf>
    <xf numFmtId="0" fontId="6" fillId="4" borderId="13" xfId="75" applyFont="1" applyFill="1" applyBorder="1" applyAlignment="1">
      <alignment vertical="center" wrapText="1"/>
      <protection/>
    </xf>
    <xf numFmtId="0" fontId="3" fillId="0" borderId="24" xfId="75" applyFont="1" applyFill="1" applyBorder="1" applyAlignment="1">
      <alignment horizontal="justify" vertical="center" wrapText="1"/>
      <protection/>
    </xf>
    <xf numFmtId="43" fontId="6" fillId="0" borderId="10" xfId="54" applyFont="1" applyFill="1" applyBorder="1" applyAlignment="1">
      <alignment horizontal="center" vertical="center" wrapText="1"/>
    </xf>
    <xf numFmtId="43" fontId="6" fillId="0" borderId="24" xfId="54" applyFont="1" applyFill="1" applyBorder="1" applyAlignment="1">
      <alignment horizontal="center" vertical="center" wrapText="1"/>
    </xf>
    <xf numFmtId="43" fontId="3" fillId="0" borderId="0" xfId="75" applyNumberFormat="1" applyFont="1">
      <alignment/>
      <protection/>
    </xf>
    <xf numFmtId="181" fontId="18" fillId="0" borderId="0" xfId="57" applyFont="1" applyAlignment="1">
      <alignment horizontal="center" vertical="center"/>
    </xf>
    <xf numFmtId="0" fontId="3" fillId="0" borderId="36" xfId="75" applyFont="1" applyBorder="1" applyAlignment="1">
      <alignment vertical="center" wrapText="1"/>
      <protection/>
    </xf>
    <xf numFmtId="0" fontId="3" fillId="0" borderId="0" xfId="75" applyFont="1" applyAlignment="1">
      <alignment vertical="center" wrapText="1"/>
      <protection/>
    </xf>
    <xf numFmtId="0" fontId="3" fillId="0" borderId="23" xfId="75" applyFont="1" applyBorder="1" applyAlignment="1">
      <alignment vertical="center" wrapText="1"/>
      <protection/>
    </xf>
    <xf numFmtId="0" fontId="3" fillId="0" borderId="22" xfId="75" applyFont="1" applyBorder="1" applyAlignment="1">
      <alignment vertical="center" wrapText="1"/>
      <protection/>
    </xf>
    <xf numFmtId="0" fontId="3" fillId="0" borderId="14" xfId="75" applyFont="1" applyBorder="1" applyAlignment="1">
      <alignment horizontal="center" vertical="center" wrapText="1"/>
      <protection/>
    </xf>
    <xf numFmtId="181" fontId="3" fillId="0" borderId="0" xfId="75" applyNumberFormat="1" applyFont="1">
      <alignment/>
      <protection/>
    </xf>
    <xf numFmtId="0" fontId="3" fillId="0" borderId="15" xfId="75" applyFont="1" applyBorder="1" applyAlignment="1">
      <alignment horizontal="center" vertical="center" wrapText="1"/>
      <protection/>
    </xf>
    <xf numFmtId="49" fontId="3" fillId="0" borderId="24" xfId="47" applyNumberFormat="1" applyFont="1" applyFill="1" applyBorder="1" applyAlignment="1">
      <alignment horizontal="justify" vertical="center" wrapText="1"/>
      <protection/>
    </xf>
    <xf numFmtId="0" fontId="3" fillId="0" borderId="24" xfId="75" applyFont="1" applyBorder="1" applyAlignment="1">
      <alignment horizontal="center" vertical="center" wrapText="1"/>
      <protection/>
    </xf>
    <xf numFmtId="43" fontId="3" fillId="4" borderId="24" xfId="54" applyFont="1" applyFill="1" applyBorder="1" applyAlignment="1">
      <alignment horizontal="center" vertical="center" wrapText="1"/>
    </xf>
    <xf numFmtId="1" fontId="3" fillId="0" borderId="14" xfId="75" applyNumberFormat="1" applyFont="1" applyBorder="1" applyAlignment="1">
      <alignment horizontal="center" vertical="center" wrapText="1"/>
      <protection/>
    </xf>
    <xf numFmtId="1" fontId="3" fillId="0" borderId="15" xfId="75" applyNumberFormat="1" applyFont="1" applyBorder="1" applyAlignment="1">
      <alignment horizontal="center" vertical="center" wrapText="1"/>
      <protection/>
    </xf>
    <xf numFmtId="0" fontId="3" fillId="0" borderId="0" xfId="0" applyFont="1" applyAlignment="1">
      <alignment horizontal="center" vertical="center" wrapText="1"/>
    </xf>
    <xf numFmtId="0" fontId="3" fillId="0" borderId="11" xfId="75" applyFont="1" applyBorder="1" applyAlignment="1">
      <alignment vertical="center" wrapText="1"/>
      <protection/>
    </xf>
    <xf numFmtId="0" fontId="3" fillId="0" borderId="12" xfId="75" applyFont="1" applyBorder="1" applyAlignment="1">
      <alignment vertical="center" wrapText="1"/>
      <protection/>
    </xf>
    <xf numFmtId="0" fontId="3" fillId="0" borderId="13" xfId="75" applyFont="1" applyBorder="1" applyAlignment="1">
      <alignment vertical="center" wrapText="1"/>
      <protection/>
    </xf>
    <xf numFmtId="1" fontId="3" fillId="0" borderId="24" xfId="75" applyNumberFormat="1" applyFont="1" applyBorder="1" applyAlignment="1">
      <alignment horizontal="center" vertical="center" wrapText="1"/>
      <protection/>
    </xf>
    <xf numFmtId="0" fontId="3" fillId="4" borderId="14" xfId="75" applyFont="1" applyFill="1" applyBorder="1" applyAlignment="1">
      <alignment horizontal="center" vertical="center" wrapText="1"/>
      <protection/>
    </xf>
    <xf numFmtId="43" fontId="3" fillId="0" borderId="24" xfId="54" applyFont="1" applyFill="1" applyBorder="1" applyAlignment="1">
      <alignment horizontal="center" vertical="center" wrapText="1"/>
    </xf>
    <xf numFmtId="1" fontId="3" fillId="4" borderId="14" xfId="75" applyNumberFormat="1" applyFont="1" applyFill="1" applyBorder="1" applyAlignment="1">
      <alignment vertical="center" wrapText="1"/>
      <protection/>
    </xf>
    <xf numFmtId="0" fontId="3" fillId="4" borderId="15" xfId="75" applyFont="1" applyFill="1" applyBorder="1" applyAlignment="1">
      <alignment horizontal="center" vertical="center" wrapText="1"/>
      <protection/>
    </xf>
    <xf numFmtId="1" fontId="3" fillId="4" borderId="15" xfId="75" applyNumberFormat="1" applyFont="1" applyFill="1" applyBorder="1" applyAlignment="1">
      <alignment vertical="center" wrapText="1"/>
      <protection/>
    </xf>
    <xf numFmtId="1" fontId="3" fillId="4" borderId="15" xfId="75" applyNumberFormat="1" applyFont="1" applyFill="1" applyBorder="1" applyAlignment="1">
      <alignment horizontal="center" vertical="center" wrapText="1"/>
      <protection/>
    </xf>
    <xf numFmtId="0" fontId="3" fillId="4" borderId="15" xfId="75" applyFont="1" applyFill="1" applyBorder="1" applyAlignment="1">
      <alignment horizontal="center" wrapText="1"/>
      <protection/>
    </xf>
    <xf numFmtId="0" fontId="3" fillId="4" borderId="0" xfId="75" applyFont="1" applyFill="1" applyAlignment="1">
      <alignment horizontal="center"/>
      <protection/>
    </xf>
    <xf numFmtId="0" fontId="3" fillId="4" borderId="15" xfId="75" applyFont="1" applyFill="1" applyBorder="1" applyAlignment="1">
      <alignment horizontal="center" vertical="top" wrapText="1"/>
      <protection/>
    </xf>
    <xf numFmtId="0" fontId="3" fillId="4" borderId="24" xfId="75" applyFont="1" applyFill="1" applyBorder="1" applyAlignment="1">
      <alignment horizontal="center" vertical="center" wrapText="1"/>
      <protection/>
    </xf>
    <xf numFmtId="1" fontId="3" fillId="4" borderId="24" xfId="75" applyNumberFormat="1" applyFont="1" applyFill="1" applyBorder="1" applyAlignment="1">
      <alignment vertical="center" wrapText="1"/>
      <protection/>
    </xf>
    <xf numFmtId="43" fontId="19" fillId="0" borderId="0" xfId="75" applyNumberFormat="1" applyFont="1">
      <alignment/>
      <protection/>
    </xf>
    <xf numFmtId="43" fontId="4" fillId="10" borderId="17" xfId="54" applyFont="1" applyFill="1" applyBorder="1" applyAlignment="1">
      <alignment vertical="center"/>
    </xf>
    <xf numFmtId="1" fontId="3" fillId="4" borderId="14" xfId="75" applyNumberFormat="1" applyFont="1" applyFill="1" applyBorder="1" applyAlignment="1">
      <alignment horizontal="center" vertical="center" wrapText="1"/>
      <protection/>
    </xf>
    <xf numFmtId="0" fontId="3" fillId="0" borderId="15" xfId="0" applyFont="1" applyBorder="1" applyAlignment="1">
      <alignment horizontal="center" vertical="center" wrapText="1"/>
    </xf>
    <xf numFmtId="181" fontId="3" fillId="0" borderId="0" xfId="57" applyFont="1" applyAlignment="1">
      <alignment/>
    </xf>
    <xf numFmtId="43" fontId="3" fillId="4" borderId="10" xfId="54" applyFont="1" applyFill="1" applyBorder="1" applyAlignment="1">
      <alignment horizontal="center" vertical="center" wrapText="1"/>
    </xf>
    <xf numFmtId="1" fontId="3" fillId="4" borderId="24" xfId="75" applyNumberFormat="1" applyFont="1" applyFill="1" applyBorder="1" applyAlignment="1">
      <alignment horizontal="center" vertical="center" wrapText="1"/>
      <protection/>
    </xf>
    <xf numFmtId="43" fontId="4" fillId="10" borderId="17" xfId="54" applyFont="1" applyFill="1" applyBorder="1" applyAlignment="1">
      <alignment horizontal="justify" vertical="center"/>
    </xf>
    <xf numFmtId="0" fontId="3" fillId="4" borderId="10" xfId="75" applyFont="1" applyFill="1" applyBorder="1" applyAlignment="1">
      <alignment horizontal="center" vertical="center" wrapText="1"/>
      <protection/>
    </xf>
    <xf numFmtId="0" fontId="3" fillId="4" borderId="10" xfId="75" applyFont="1" applyFill="1" applyBorder="1" applyAlignment="1">
      <alignment horizontal="justify" vertical="center" wrapText="1"/>
      <protection/>
    </xf>
    <xf numFmtId="0" fontId="3" fillId="4" borderId="10" xfId="75" applyFont="1" applyFill="1" applyBorder="1" applyAlignment="1">
      <alignment horizontal="left" vertical="center" wrapText="1"/>
      <protection/>
    </xf>
    <xf numFmtId="0" fontId="3" fillId="0" borderId="0" xfId="75" applyFont="1" applyFill="1">
      <alignment/>
      <protection/>
    </xf>
    <xf numFmtId="49" fontId="3" fillId="0" borderId="10" xfId="47" applyNumberFormat="1" applyFont="1" applyBorder="1" applyAlignment="1">
      <alignment horizontal="justify" vertical="center" wrapText="1"/>
      <protection/>
    </xf>
    <xf numFmtId="43" fontId="3" fillId="0" borderId="0" xfId="75" applyNumberFormat="1" applyFont="1" applyFill="1">
      <alignment/>
      <protection/>
    </xf>
    <xf numFmtId="0" fontId="3" fillId="18" borderId="0" xfId="75" applyFont="1" applyFill="1">
      <alignment/>
      <protection/>
    </xf>
    <xf numFmtId="0" fontId="4" fillId="9" borderId="0" xfId="75" applyFont="1" applyFill="1" applyAlignment="1">
      <alignment horizontal="justify" vertical="center" wrapText="1"/>
      <protection/>
    </xf>
    <xf numFmtId="0" fontId="4" fillId="9" borderId="0" xfId="75" applyFont="1" applyFill="1" applyAlignment="1">
      <alignment vertical="center"/>
      <protection/>
    </xf>
    <xf numFmtId="0" fontId="4" fillId="9" borderId="12" xfId="75" applyFont="1" applyFill="1" applyBorder="1" applyAlignment="1">
      <alignment vertical="center"/>
      <protection/>
    </xf>
    <xf numFmtId="0" fontId="4" fillId="9" borderId="12" xfId="75" applyFont="1" applyFill="1" applyBorder="1" applyAlignment="1">
      <alignment horizontal="justify" vertical="center"/>
      <protection/>
    </xf>
    <xf numFmtId="0" fontId="4" fillId="9" borderId="12" xfId="75" applyFont="1" applyFill="1" applyBorder="1" applyAlignment="1">
      <alignment horizontal="center" vertical="center"/>
      <protection/>
    </xf>
    <xf numFmtId="43" fontId="4" fillId="9" borderId="12" xfId="54" applyFont="1" applyFill="1" applyBorder="1" applyAlignment="1">
      <alignment horizontal="center" vertical="center"/>
    </xf>
    <xf numFmtId="43" fontId="3" fillId="9" borderId="12" xfId="54" applyFont="1" applyFill="1" applyBorder="1" applyAlignment="1">
      <alignment vertical="center"/>
    </xf>
    <xf numFmtId="1" fontId="4" fillId="9" borderId="12" xfId="75" applyNumberFormat="1" applyFont="1" applyFill="1" applyBorder="1" applyAlignment="1">
      <alignment horizontal="center" vertical="center"/>
      <protection/>
    </xf>
    <xf numFmtId="0" fontId="4" fillId="9" borderId="33" xfId="75" applyFont="1" applyFill="1" applyBorder="1" applyAlignment="1">
      <alignment vertical="center"/>
      <protection/>
    </xf>
    <xf numFmtId="0" fontId="3" fillId="0" borderId="10" xfId="75" applyFont="1" applyFill="1" applyBorder="1" applyAlignment="1" quotePrefix="1">
      <alignment horizontal="justify" vertical="center" wrapText="1"/>
      <protection/>
    </xf>
    <xf numFmtId="43" fontId="6" fillId="0" borderId="10" xfId="54" applyFont="1" applyBorder="1" applyAlignment="1">
      <alignment horizontal="center" vertical="center" wrapText="1"/>
    </xf>
    <xf numFmtId="0" fontId="4" fillId="10" borderId="10" xfId="75" applyFont="1" applyFill="1" applyBorder="1" applyAlignment="1">
      <alignment vertical="center"/>
      <protection/>
    </xf>
    <xf numFmtId="0" fontId="3" fillId="4" borderId="19" xfId="75" applyFont="1" applyFill="1" applyBorder="1" applyAlignment="1">
      <alignment horizontal="center" vertical="center" wrapText="1"/>
      <protection/>
    </xf>
    <xf numFmtId="10" fontId="3" fillId="4" borderId="10" xfId="81" applyNumberFormat="1" applyFont="1" applyFill="1" applyBorder="1" applyAlignment="1">
      <alignment horizontal="center" vertical="center" wrapText="1"/>
    </xf>
    <xf numFmtId="1" fontId="3" fillId="4" borderId="14" xfId="75" applyNumberFormat="1" applyFont="1" applyFill="1" applyBorder="1" applyAlignment="1" quotePrefix="1">
      <alignment horizontal="center" vertical="center" wrapText="1"/>
      <protection/>
    </xf>
    <xf numFmtId="0" fontId="3" fillId="0" borderId="18" xfId="75" applyFont="1" applyFill="1" applyBorder="1" applyAlignment="1" quotePrefix="1">
      <alignment horizontal="justify" vertical="center" wrapText="1"/>
      <protection/>
    </xf>
    <xf numFmtId="43" fontId="6" fillId="0" borderId="16" xfId="54" applyFont="1" applyBorder="1" applyAlignment="1">
      <alignment horizontal="center" vertical="center" wrapText="1"/>
    </xf>
    <xf numFmtId="0" fontId="3" fillId="4" borderId="17" xfId="75" applyFont="1" applyFill="1" applyBorder="1" applyAlignment="1">
      <alignment horizontal="justify" vertical="center" wrapText="1"/>
      <protection/>
    </xf>
    <xf numFmtId="3" fontId="4" fillId="9" borderId="20" xfId="75" applyNumberFormat="1" applyFont="1" applyFill="1" applyBorder="1" applyAlignment="1">
      <alignment horizontal="justify" vertical="center" wrapText="1"/>
      <protection/>
    </xf>
    <xf numFmtId="0" fontId="4" fillId="10" borderId="20" xfId="75" applyFont="1" applyFill="1" applyBorder="1" applyAlignment="1">
      <alignment horizontal="justify" vertical="center" wrapText="1"/>
      <protection/>
    </xf>
    <xf numFmtId="0" fontId="4" fillId="10" borderId="20" xfId="75" applyFont="1" applyFill="1" applyBorder="1" applyAlignment="1">
      <alignment vertical="center"/>
      <protection/>
    </xf>
    <xf numFmtId="0" fontId="4" fillId="10" borderId="20" xfId="75" applyFont="1" applyFill="1" applyBorder="1" applyAlignment="1">
      <alignment horizontal="justify" vertical="center"/>
      <protection/>
    </xf>
    <xf numFmtId="0" fontId="4" fillId="10" borderId="20" xfId="75" applyFont="1" applyFill="1" applyBorder="1" applyAlignment="1">
      <alignment horizontal="center" vertical="center"/>
      <protection/>
    </xf>
    <xf numFmtId="43" fontId="4" fillId="10" borderId="20" xfId="54" applyFont="1" applyFill="1" applyBorder="1" applyAlignment="1">
      <alignment horizontal="center" vertical="center"/>
    </xf>
    <xf numFmtId="43" fontId="3" fillId="10" borderId="20" xfId="54" applyFont="1" applyFill="1" applyBorder="1" applyAlignment="1">
      <alignment vertical="center"/>
    </xf>
    <xf numFmtId="1" fontId="4" fillId="10" borderId="20" xfId="75" applyNumberFormat="1" applyFont="1" applyFill="1" applyBorder="1" applyAlignment="1">
      <alignment horizontal="center" vertical="center"/>
      <protection/>
    </xf>
    <xf numFmtId="0" fontId="4" fillId="10" borderId="37" xfId="75" applyFont="1" applyFill="1" applyBorder="1" applyAlignment="1">
      <alignment vertical="center"/>
      <protection/>
    </xf>
    <xf numFmtId="0" fontId="3" fillId="4" borderId="14" xfId="75" applyFont="1" applyFill="1" applyBorder="1" applyAlignment="1">
      <alignment horizontal="justify" vertical="center" wrapText="1"/>
      <protection/>
    </xf>
    <xf numFmtId="0" fontId="3" fillId="0" borderId="14" xfId="75" applyFont="1" applyBorder="1" applyAlignment="1">
      <alignment horizontal="center" vertical="center"/>
      <protection/>
    </xf>
    <xf numFmtId="9" fontId="3" fillId="4" borderId="14" xfId="81" applyFont="1" applyFill="1" applyBorder="1" applyAlignment="1">
      <alignment horizontal="center" vertical="center" wrapText="1"/>
    </xf>
    <xf numFmtId="0" fontId="3" fillId="0" borderId="10" xfId="75" applyFont="1" applyFill="1" applyBorder="1" applyAlignment="1" quotePrefix="1">
      <alignment horizontal="left" vertical="center" wrapText="1"/>
      <protection/>
    </xf>
    <xf numFmtId="0" fontId="3" fillId="0" borderId="10" xfId="75" applyFont="1" applyBorder="1" applyAlignment="1">
      <alignment horizontal="center"/>
      <protection/>
    </xf>
    <xf numFmtId="9" fontId="3" fillId="4" borderId="10" xfId="81" applyFont="1" applyFill="1" applyBorder="1" applyAlignment="1">
      <alignment horizontal="center" vertical="center" wrapText="1"/>
    </xf>
    <xf numFmtId="0" fontId="3" fillId="4" borderId="10" xfId="75" applyFont="1" applyFill="1" applyBorder="1" applyAlignment="1">
      <alignment vertical="center" wrapText="1"/>
      <protection/>
    </xf>
    <xf numFmtId="0" fontId="3" fillId="0" borderId="10" xfId="75" applyFont="1" applyFill="1" applyBorder="1" applyAlignment="1" quotePrefix="1">
      <alignment vertical="center" wrapText="1"/>
      <protection/>
    </xf>
    <xf numFmtId="43" fontId="6" fillId="0" borderId="10" xfId="54" applyFont="1" applyFill="1" applyBorder="1" applyAlignment="1">
      <alignment vertical="center" wrapText="1"/>
    </xf>
    <xf numFmtId="0" fontId="3" fillId="0" borderId="0" xfId="75" applyFont="1" applyAlignment="1">
      <alignment horizontal="center"/>
      <protection/>
    </xf>
    <xf numFmtId="43" fontId="6" fillId="0" borderId="14" xfId="54" applyFont="1" applyBorder="1" applyAlignment="1">
      <alignment vertical="center" wrapText="1"/>
    </xf>
    <xf numFmtId="0" fontId="4" fillId="0" borderId="12" xfId="75" applyFont="1" applyBorder="1" applyAlignment="1">
      <alignment vertical="center" wrapText="1"/>
      <protection/>
    </xf>
    <xf numFmtId="0" fontId="4" fillId="0" borderId="13" xfId="75" applyFont="1" applyBorder="1" applyAlignment="1">
      <alignment vertical="center" wrapText="1"/>
      <protection/>
    </xf>
    <xf numFmtId="0" fontId="3" fillId="0" borderId="16" xfId="75" applyFont="1" applyFill="1" applyBorder="1" applyAlignment="1" quotePrefix="1">
      <alignment vertical="center" wrapText="1"/>
      <protection/>
    </xf>
    <xf numFmtId="43" fontId="6" fillId="0" borderId="10" xfId="54" applyFont="1" applyBorder="1" applyAlignment="1">
      <alignment vertical="center" wrapText="1"/>
    </xf>
    <xf numFmtId="0" fontId="4" fillId="10" borderId="0" xfId="75" applyFont="1" applyFill="1" applyAlignment="1">
      <alignment horizontal="justify" vertical="center" wrapText="1"/>
      <protection/>
    </xf>
    <xf numFmtId="0" fontId="4" fillId="10" borderId="0" xfId="75" applyFont="1" applyFill="1" applyAlignment="1">
      <alignment vertical="center"/>
      <protection/>
    </xf>
    <xf numFmtId="0" fontId="4" fillId="10" borderId="12" xfId="75" applyFont="1" applyFill="1" applyBorder="1" applyAlignment="1">
      <alignment vertical="center"/>
      <protection/>
    </xf>
    <xf numFmtId="0" fontId="4" fillId="10" borderId="12" xfId="75" applyFont="1" applyFill="1" applyBorder="1" applyAlignment="1">
      <alignment horizontal="justify" vertical="center"/>
      <protection/>
    </xf>
    <xf numFmtId="43" fontId="3" fillId="10" borderId="12" xfId="54" applyFont="1" applyFill="1" applyBorder="1" applyAlignment="1">
      <alignment vertical="center"/>
    </xf>
    <xf numFmtId="0" fontId="4" fillId="10" borderId="17" xfId="54" applyNumberFormat="1" applyFont="1" applyFill="1" applyBorder="1" applyAlignment="1">
      <alignment horizontal="center" vertical="center" textRotation="180" wrapText="1"/>
    </xf>
    <xf numFmtId="0" fontId="3" fillId="4" borderId="36" xfId="75" applyFont="1" applyFill="1" applyBorder="1" applyAlignment="1">
      <alignment horizontal="center" vertical="center" wrapText="1"/>
      <protection/>
    </xf>
    <xf numFmtId="0" fontId="3" fillId="4" borderId="0" xfId="75" applyFont="1" applyFill="1" applyAlignment="1">
      <alignment horizontal="center" vertical="center" wrapText="1"/>
      <protection/>
    </xf>
    <xf numFmtId="0" fontId="3" fillId="4" borderId="23" xfId="75" applyFont="1" applyFill="1" applyBorder="1" applyAlignment="1">
      <alignment horizontal="center" vertical="center" wrapText="1"/>
      <protection/>
    </xf>
    <xf numFmtId="0" fontId="3" fillId="4" borderId="20" xfId="75" applyFont="1" applyFill="1" applyBorder="1" applyAlignment="1">
      <alignment horizontal="center" vertical="center" wrapText="1"/>
      <protection/>
    </xf>
    <xf numFmtId="0" fontId="3" fillId="4" borderId="21" xfId="75" applyFont="1" applyFill="1" applyBorder="1" applyAlignment="1">
      <alignment horizontal="center" vertical="center" wrapText="1"/>
      <protection/>
    </xf>
    <xf numFmtId="0" fontId="4" fillId="10" borderId="0" xfId="54" applyNumberFormat="1" applyFont="1" applyFill="1" applyAlignment="1">
      <alignment horizontal="center" vertical="center" textRotation="180" wrapText="1"/>
    </xf>
    <xf numFmtId="0" fontId="6" fillId="0" borderId="10" xfId="47" applyFont="1" applyFill="1" applyBorder="1" applyAlignment="1" quotePrefix="1">
      <alignment horizontal="justify" vertical="center" wrapText="1"/>
      <protection/>
    </xf>
    <xf numFmtId="43" fontId="6" fillId="4" borderId="10" xfId="54" applyFont="1" applyFill="1" applyBorder="1" applyAlignment="1" quotePrefix="1">
      <alignment vertical="center" wrapText="1"/>
    </xf>
    <xf numFmtId="0" fontId="3" fillId="4" borderId="15" xfId="75" applyFont="1" applyFill="1" applyBorder="1" applyAlignment="1">
      <alignment horizontal="justify" vertical="center" wrapText="1"/>
      <protection/>
    </xf>
    <xf numFmtId="0" fontId="3" fillId="4" borderId="14" xfId="75" applyFont="1" applyFill="1" applyBorder="1" applyAlignment="1">
      <alignment vertical="center" wrapText="1"/>
      <protection/>
    </xf>
    <xf numFmtId="49" fontId="3" fillId="0" borderId="10" xfId="47" applyNumberFormat="1" applyFont="1" applyFill="1" applyBorder="1" applyAlignment="1" quotePrefix="1">
      <alignment horizontal="justify" vertical="center" wrapText="1"/>
      <protection/>
    </xf>
    <xf numFmtId="0" fontId="3" fillId="4" borderId="15" xfId="75" applyFont="1" applyFill="1" applyBorder="1" applyAlignment="1">
      <alignment vertical="center" wrapText="1"/>
      <protection/>
    </xf>
    <xf numFmtId="49" fontId="6" fillId="0" borderId="14" xfId="47" applyNumberFormat="1" applyFont="1" applyFill="1" applyBorder="1" applyAlignment="1" quotePrefix="1">
      <alignment horizontal="justify" vertical="center" wrapText="1"/>
      <protection/>
    </xf>
    <xf numFmtId="0" fontId="3" fillId="4" borderId="24" xfId="75" applyFont="1" applyFill="1" applyBorder="1" applyAlignment="1">
      <alignment vertical="center" wrapText="1"/>
      <protection/>
    </xf>
    <xf numFmtId="0" fontId="4" fillId="10" borderId="17" xfId="54" applyNumberFormat="1" applyFont="1" applyFill="1" applyBorder="1" applyAlignment="1">
      <alignment vertical="center" textRotation="180" wrapText="1"/>
    </xf>
    <xf numFmtId="169" fontId="4" fillId="10" borderId="17" xfId="54" applyNumberFormat="1" applyFont="1" applyFill="1" applyBorder="1" applyAlignment="1">
      <alignment vertical="center" textRotation="180" wrapText="1"/>
    </xf>
    <xf numFmtId="49" fontId="6" fillId="0" borderId="10" xfId="47" applyNumberFormat="1" applyFont="1" applyFill="1" applyBorder="1" applyAlignment="1">
      <alignment horizontal="justify" vertical="center" wrapText="1"/>
      <protection/>
    </xf>
    <xf numFmtId="0" fontId="3" fillId="4" borderId="12" xfId="75" applyFont="1" applyFill="1" applyBorder="1" applyAlignment="1">
      <alignment horizontal="center" vertical="center" wrapText="1"/>
      <protection/>
    </xf>
    <xf numFmtId="0" fontId="3" fillId="4" borderId="13" xfId="75" applyFont="1" applyFill="1" applyBorder="1" applyAlignment="1">
      <alignment horizontal="center" vertical="center" wrapText="1"/>
      <protection/>
    </xf>
    <xf numFmtId="43" fontId="6" fillId="0" borderId="10" xfId="54" applyFont="1" applyFill="1" applyBorder="1" applyAlignment="1" quotePrefix="1">
      <alignment horizontal="center" vertical="center"/>
    </xf>
    <xf numFmtId="0" fontId="3" fillId="0" borderId="10" xfId="75" applyFont="1" applyBorder="1" applyAlignment="1">
      <alignment horizontal="center" vertical="center" wrapText="1"/>
      <protection/>
    </xf>
    <xf numFmtId="0" fontId="3" fillId="0" borderId="10" xfId="75" applyFont="1" applyBorder="1" applyAlignment="1">
      <alignment horizontal="justify" vertical="center" wrapText="1"/>
      <protection/>
    </xf>
    <xf numFmtId="0" fontId="3" fillId="0" borderId="14" xfId="75" applyFont="1" applyBorder="1" applyAlignment="1">
      <alignment vertical="center" wrapText="1"/>
      <protection/>
    </xf>
    <xf numFmtId="0" fontId="4" fillId="9" borderId="17" xfId="54" applyNumberFormat="1" applyFont="1" applyFill="1" applyBorder="1" applyAlignment="1">
      <alignment vertical="center" textRotation="180" wrapText="1"/>
    </xf>
    <xf numFmtId="169" fontId="4" fillId="9" borderId="17" xfId="54" applyNumberFormat="1" applyFont="1" applyFill="1" applyBorder="1" applyAlignment="1">
      <alignment vertical="center" textRotation="180" wrapText="1"/>
    </xf>
    <xf numFmtId="0" fontId="4" fillId="9" borderId="17" xfId="54" applyNumberFormat="1" applyFont="1" applyFill="1" applyBorder="1" applyAlignment="1">
      <alignment horizontal="center" vertical="center" textRotation="180" wrapText="1"/>
    </xf>
    <xf numFmtId="0" fontId="4" fillId="10" borderId="12" xfId="75" applyFont="1" applyFill="1" applyBorder="1" applyAlignment="1">
      <alignment horizontal="center" vertical="center"/>
      <protection/>
    </xf>
    <xf numFmtId="0" fontId="4" fillId="10" borderId="12" xfId="54" applyNumberFormat="1" applyFont="1" applyFill="1" applyBorder="1" applyAlignment="1">
      <alignment vertical="center" textRotation="180" wrapText="1"/>
    </xf>
    <xf numFmtId="169" fontId="4" fillId="10" borderId="12" xfId="54" applyNumberFormat="1" applyFont="1" applyFill="1" applyBorder="1" applyAlignment="1">
      <alignment vertical="center" textRotation="180" wrapText="1"/>
    </xf>
    <xf numFmtId="0" fontId="4" fillId="10" borderId="12" xfId="54" applyNumberFormat="1" applyFont="1" applyFill="1" applyBorder="1" applyAlignment="1">
      <alignment horizontal="center" vertical="center" textRotation="180" wrapText="1"/>
    </xf>
    <xf numFmtId="0" fontId="3" fillId="4" borderId="24" xfId="75" applyFont="1" applyFill="1" applyBorder="1" applyAlignment="1">
      <alignment horizontal="justify" vertical="center" wrapText="1"/>
      <protection/>
    </xf>
    <xf numFmtId="9" fontId="3" fillId="4" borderId="24" xfId="81" applyFont="1" applyFill="1" applyBorder="1" applyAlignment="1">
      <alignment horizontal="center" vertical="center" wrapText="1"/>
    </xf>
    <xf numFmtId="43" fontId="3" fillId="4" borderId="10" xfId="54" applyFont="1" applyFill="1" applyBorder="1" applyAlignment="1">
      <alignment vertical="center"/>
    </xf>
    <xf numFmtId="0" fontId="6" fillId="0" borderId="10" xfId="47" applyFont="1" applyFill="1" applyBorder="1" applyAlignment="1">
      <alignment horizontal="justify" vertical="center" wrapText="1"/>
      <protection/>
    </xf>
    <xf numFmtId="0" fontId="6" fillId="0" borderId="14" xfId="47" applyFont="1" applyFill="1" applyBorder="1" applyAlignment="1">
      <alignment horizontal="justify" vertical="center" wrapText="1"/>
      <protection/>
    </xf>
    <xf numFmtId="43" fontId="6" fillId="4" borderId="19" xfId="54" applyFont="1" applyFill="1" applyBorder="1" applyAlignment="1">
      <alignment horizontal="center" vertical="center" wrapText="1"/>
    </xf>
    <xf numFmtId="0" fontId="3" fillId="0" borderId="10" xfId="75" applyFont="1" applyBorder="1">
      <alignment/>
      <protection/>
    </xf>
    <xf numFmtId="43" fontId="4" fillId="0" borderId="30" xfId="54" applyFont="1" applyBorder="1" applyAlignment="1">
      <alignment horizontal="center" vertical="center"/>
    </xf>
    <xf numFmtId="0" fontId="3" fillId="4" borderId="26" xfId="75" applyFont="1" applyFill="1" applyBorder="1">
      <alignment/>
      <protection/>
    </xf>
    <xf numFmtId="0" fontId="3" fillId="4" borderId="27" xfId="75" applyFont="1" applyFill="1" applyBorder="1" applyAlignment="1">
      <alignment horizontal="justify"/>
      <protection/>
    </xf>
    <xf numFmtId="0" fontId="3" fillId="4" borderId="28" xfId="75" applyFont="1" applyFill="1" applyBorder="1" applyAlignment="1">
      <alignment horizontal="right" vertical="center"/>
      <protection/>
    </xf>
    <xf numFmtId="43" fontId="4" fillId="0" borderId="30" xfId="54" applyFont="1" applyBorder="1" applyAlignment="1">
      <alignment horizontal="justify" vertical="center"/>
    </xf>
    <xf numFmtId="0" fontId="3" fillId="4" borderId="26" xfId="75" applyFont="1" applyFill="1" applyBorder="1" applyAlignment="1">
      <alignment horizontal="center" vertical="center"/>
      <protection/>
    </xf>
    <xf numFmtId="0" fontId="3" fillId="4" borderId="27" xfId="75" applyFont="1" applyFill="1" applyBorder="1" applyAlignment="1">
      <alignment horizontal="center" vertical="center"/>
      <protection/>
    </xf>
    <xf numFmtId="0" fontId="3" fillId="0" borderId="27" xfId="54" applyNumberFormat="1" applyFont="1" applyBorder="1" applyAlignment="1">
      <alignment/>
    </xf>
    <xf numFmtId="169" fontId="3" fillId="0" borderId="27" xfId="54" applyNumberFormat="1" applyFont="1" applyBorder="1" applyAlignment="1">
      <alignment/>
    </xf>
    <xf numFmtId="0" fontId="3" fillId="0" borderId="27" xfId="54" applyNumberFormat="1" applyFont="1" applyBorder="1" applyAlignment="1">
      <alignment horizontal="center" vertical="center"/>
    </xf>
    <xf numFmtId="0" fontId="3" fillId="0" borderId="27" xfId="75" applyFont="1" applyBorder="1">
      <alignment/>
      <protection/>
    </xf>
    <xf numFmtId="0" fontId="3" fillId="0" borderId="28" xfId="75" applyFont="1" applyBorder="1">
      <alignment/>
      <protection/>
    </xf>
    <xf numFmtId="0" fontId="3" fillId="4" borderId="0" xfId="75" applyFont="1" applyFill="1" applyAlignment="1">
      <alignment horizontal="justify"/>
      <protection/>
    </xf>
    <xf numFmtId="0" fontId="3" fillId="4" borderId="0" xfId="75" applyFont="1" applyFill="1" applyAlignment="1">
      <alignment horizontal="center" vertical="center"/>
      <protection/>
    </xf>
    <xf numFmtId="0" fontId="3" fillId="4" borderId="0" xfId="75" applyFont="1" applyFill="1" applyAlignment="1">
      <alignment horizontal="justify" vertical="center"/>
      <protection/>
    </xf>
    <xf numFmtId="169" fontId="3" fillId="4" borderId="0" xfId="75" applyNumberFormat="1" applyFont="1" applyFill="1" applyAlignment="1">
      <alignment horizontal="justify" vertical="center"/>
      <protection/>
    </xf>
    <xf numFmtId="0" fontId="3" fillId="0" borderId="0" xfId="54" applyNumberFormat="1" applyFont="1" applyAlignment="1">
      <alignment/>
    </xf>
    <xf numFmtId="169" fontId="3" fillId="0" borderId="0" xfId="54" applyNumberFormat="1" applyFont="1" applyAlignment="1">
      <alignment/>
    </xf>
    <xf numFmtId="0" fontId="3" fillId="0" borderId="0" xfId="54" applyNumberFormat="1" applyFont="1" applyAlignment="1">
      <alignment horizontal="center" vertical="center"/>
    </xf>
    <xf numFmtId="182" fontId="3" fillId="0" borderId="0" xfId="0" applyNumberFormat="1" applyFont="1" applyAlignment="1" applyProtection="1">
      <alignment/>
      <protection locked="0"/>
    </xf>
    <xf numFmtId="3" fontId="9" fillId="0" borderId="0" xfId="0" applyNumberFormat="1" applyFont="1" applyBorder="1" applyAlignment="1" applyProtection="1">
      <alignment horizontal="right" vertical="center"/>
      <protection locked="0"/>
    </xf>
    <xf numFmtId="0" fontId="4" fillId="4" borderId="20" xfId="75" applyFont="1" applyFill="1" applyBorder="1" applyAlignment="1">
      <alignment horizontal="justify"/>
      <protection/>
    </xf>
    <xf numFmtId="181" fontId="3" fillId="4" borderId="0" xfId="75" applyNumberFormat="1" applyFont="1" applyFill="1" applyAlignment="1">
      <alignment horizontal="justify" vertical="center"/>
      <protection/>
    </xf>
    <xf numFmtId="1" fontId="4" fillId="9" borderId="14" xfId="0" applyNumberFormat="1" applyFont="1" applyFill="1" applyBorder="1" applyAlignment="1">
      <alignment horizontal="center" vertical="center" wrapText="1"/>
    </xf>
    <xf numFmtId="168" fontId="4" fillId="9" borderId="14" xfId="0" applyNumberFormat="1" applyFont="1" applyFill="1" applyBorder="1" applyAlignment="1">
      <alignment horizontal="center" vertical="center" wrapText="1"/>
    </xf>
    <xf numFmtId="165" fontId="4" fillId="9" borderId="16" xfId="0" applyNumberFormat="1" applyFont="1" applyFill="1" applyBorder="1" applyAlignment="1">
      <alignment horizontal="center" vertical="center" wrapText="1"/>
    </xf>
    <xf numFmtId="1" fontId="4" fillId="9" borderId="10" xfId="0" applyNumberFormat="1" applyFont="1" applyFill="1" applyBorder="1" applyAlignment="1">
      <alignment horizontal="center" vertical="center" wrapText="1"/>
    </xf>
    <xf numFmtId="0" fontId="4" fillId="9" borderId="14" xfId="0" applyFont="1" applyFill="1" applyBorder="1" applyAlignment="1">
      <alignment horizontal="center" vertical="center" wrapText="1"/>
    </xf>
    <xf numFmtId="3" fontId="4" fillId="9" borderId="14" xfId="0" applyNumberFormat="1" applyFont="1" applyFill="1" applyBorder="1" applyAlignment="1">
      <alignment horizontal="center" vertical="center" wrapText="1"/>
    </xf>
    <xf numFmtId="9" fontId="4" fillId="9" borderId="14" xfId="80" applyFont="1" applyFill="1" applyBorder="1" applyAlignment="1">
      <alignment horizontal="center" vertical="center" wrapText="1"/>
    </xf>
    <xf numFmtId="164" fontId="4" fillId="9" borderId="10" xfId="0" applyNumberFormat="1" applyFont="1" applyFill="1" applyBorder="1" applyAlignment="1">
      <alignment horizontal="center" vertical="center" wrapText="1"/>
    </xf>
    <xf numFmtId="1" fontId="4" fillId="10" borderId="19" xfId="0" applyNumberFormat="1" applyFont="1" applyFill="1" applyBorder="1" applyAlignment="1">
      <alignment horizontal="left" vertical="center"/>
    </xf>
    <xf numFmtId="0" fontId="4" fillId="10" borderId="20" xfId="0" applyFont="1" applyFill="1" applyBorder="1" applyAlignment="1">
      <alignment horizontal="left" vertical="center"/>
    </xf>
    <xf numFmtId="168" fontId="4" fillId="10" borderId="20" xfId="0" applyNumberFormat="1" applyFont="1" applyFill="1" applyBorder="1" applyAlignment="1">
      <alignment horizontal="left" vertical="center"/>
    </xf>
    <xf numFmtId="165" fontId="4" fillId="10" borderId="20" xfId="0" applyNumberFormat="1" applyFont="1" applyFill="1" applyBorder="1" applyAlignment="1">
      <alignment horizontal="left" vertical="center"/>
    </xf>
    <xf numFmtId="166" fontId="4" fillId="10" borderId="20" xfId="0" applyNumberFormat="1" applyFont="1" applyFill="1" applyBorder="1" applyAlignment="1">
      <alignment horizontal="left" vertical="center"/>
    </xf>
    <xf numFmtId="0" fontId="11" fillId="10" borderId="20" xfId="0" applyFont="1" applyFill="1" applyBorder="1" applyAlignment="1">
      <alignment/>
    </xf>
    <xf numFmtId="0" fontId="11" fillId="10" borderId="21" xfId="0" applyFont="1" applyFill="1" applyBorder="1" applyAlignment="1">
      <alignment horizontal="justify"/>
    </xf>
    <xf numFmtId="1" fontId="4" fillId="4" borderId="19" xfId="0" applyNumberFormat="1" applyFont="1" applyFill="1" applyBorder="1" applyAlignment="1">
      <alignment horizontal="center" vertical="center" wrapText="1"/>
    </xf>
    <xf numFmtId="1" fontId="4" fillId="4" borderId="20" xfId="0" applyNumberFormat="1" applyFont="1" applyFill="1" applyBorder="1" applyAlignment="1">
      <alignment horizontal="center" vertical="center" wrapText="1"/>
    </xf>
    <xf numFmtId="1" fontId="4" fillId="4" borderId="21" xfId="0" applyNumberFormat="1" applyFont="1" applyFill="1" applyBorder="1" applyAlignment="1">
      <alignment horizontal="center" vertical="center" wrapText="1"/>
    </xf>
    <xf numFmtId="1" fontId="4" fillId="9" borderId="20" xfId="0" applyNumberFormat="1" applyFont="1" applyFill="1" applyBorder="1" applyAlignment="1">
      <alignment horizontal="left" vertical="center"/>
    </xf>
    <xf numFmtId="0" fontId="4" fillId="9" borderId="20" xfId="0" applyFont="1" applyFill="1" applyBorder="1" applyAlignment="1">
      <alignment horizontal="left" vertical="center"/>
    </xf>
    <xf numFmtId="168" fontId="4" fillId="9" borderId="20" xfId="0" applyNumberFormat="1" applyFont="1" applyFill="1" applyBorder="1" applyAlignment="1">
      <alignment horizontal="left" vertical="center"/>
    </xf>
    <xf numFmtId="165" fontId="4" fillId="9" borderId="20" xfId="0" applyNumberFormat="1" applyFont="1" applyFill="1" applyBorder="1" applyAlignment="1">
      <alignment horizontal="left" vertical="center"/>
    </xf>
    <xf numFmtId="166" fontId="4" fillId="9" borderId="20" xfId="0" applyNumberFormat="1" applyFont="1" applyFill="1" applyBorder="1" applyAlignment="1">
      <alignment horizontal="left" vertical="center"/>
    </xf>
    <xf numFmtId="0" fontId="11" fillId="9" borderId="20" xfId="0" applyFont="1" applyFill="1" applyBorder="1" applyAlignment="1">
      <alignment/>
    </xf>
    <xf numFmtId="0" fontId="11" fillId="9" borderId="21" xfId="0" applyFont="1" applyFill="1" applyBorder="1" applyAlignment="1">
      <alignment horizontal="justify"/>
    </xf>
    <xf numFmtId="1" fontId="4" fillId="4" borderId="22" xfId="0" applyNumberFormat="1" applyFont="1" applyFill="1" applyBorder="1" applyAlignment="1">
      <alignment horizontal="center" vertical="center" wrapText="1"/>
    </xf>
    <xf numFmtId="1" fontId="4" fillId="4" borderId="0" xfId="0" applyNumberFormat="1" applyFont="1" applyFill="1" applyAlignment="1">
      <alignment horizontal="center" vertic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1" fontId="4" fillId="12" borderId="17" xfId="0" applyNumberFormat="1" applyFont="1" applyFill="1" applyBorder="1" applyAlignment="1">
      <alignment horizontal="left" vertical="center"/>
    </xf>
    <xf numFmtId="0" fontId="4" fillId="12" borderId="17" xfId="0" applyFont="1" applyFill="1" applyBorder="1" applyAlignment="1">
      <alignment horizontal="left" vertical="center"/>
    </xf>
    <xf numFmtId="168" fontId="4" fillId="12" borderId="17" xfId="0" applyNumberFormat="1" applyFont="1" applyFill="1" applyBorder="1" applyAlignment="1">
      <alignment horizontal="left" vertical="center"/>
    </xf>
    <xf numFmtId="165" fontId="4" fillId="12" borderId="17" xfId="0" applyNumberFormat="1" applyFont="1" applyFill="1" applyBorder="1" applyAlignment="1">
      <alignment horizontal="left" vertical="center"/>
    </xf>
    <xf numFmtId="1" fontId="3" fillId="12" borderId="17" xfId="0" applyNumberFormat="1" applyFont="1" applyFill="1" applyBorder="1" applyAlignment="1">
      <alignment vertical="center" wrapText="1"/>
    </xf>
    <xf numFmtId="166" fontId="4" fillId="12" borderId="17" xfId="0" applyNumberFormat="1" applyFont="1" applyFill="1" applyBorder="1" applyAlignment="1">
      <alignment horizontal="left" vertical="center"/>
    </xf>
    <xf numFmtId="0" fontId="11" fillId="12" borderId="17" xfId="0" applyFont="1" applyFill="1" applyBorder="1" applyAlignment="1">
      <alignment/>
    </xf>
    <xf numFmtId="0" fontId="11" fillId="12" borderId="18" xfId="0" applyFont="1" applyFill="1" applyBorder="1" applyAlignment="1">
      <alignment horizontal="justify"/>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0" borderId="14" xfId="0" applyFont="1" applyBorder="1" applyAlignment="1">
      <alignment horizontal="justify" vertical="center"/>
    </xf>
    <xf numFmtId="43" fontId="6" fillId="0" borderId="10" xfId="54" applyFont="1" applyFill="1" applyBorder="1" applyAlignment="1">
      <alignment horizontal="center" vertical="center"/>
    </xf>
    <xf numFmtId="0" fontId="11" fillId="0" borderId="0" xfId="0" applyFont="1" applyAlignment="1">
      <alignment wrapText="1"/>
    </xf>
    <xf numFmtId="0" fontId="3" fillId="4" borderId="24" xfId="0" applyFont="1" applyFill="1" applyBorder="1" applyAlignment="1">
      <alignment horizontal="center" vertical="center" wrapText="1"/>
    </xf>
    <xf numFmtId="1" fontId="4" fillId="4" borderId="22" xfId="0" applyNumberFormat="1" applyFont="1" applyFill="1" applyBorder="1" applyAlignment="1">
      <alignment horizontal="justify" vertical="center"/>
    </xf>
    <xf numFmtId="1" fontId="4" fillId="4" borderId="0" xfId="0" applyNumberFormat="1" applyFont="1" applyFill="1" applyAlignment="1">
      <alignment horizontal="justify" vertical="center"/>
    </xf>
    <xf numFmtId="1" fontId="4" fillId="4" borderId="23" xfId="0" applyNumberFormat="1" applyFont="1" applyFill="1" applyBorder="1" applyAlignment="1">
      <alignment horizontal="justify" vertical="center"/>
    </xf>
    <xf numFmtId="1" fontId="4" fillId="12" borderId="20" xfId="0" applyNumberFormat="1" applyFont="1" applyFill="1" applyBorder="1" applyAlignment="1">
      <alignment horizontal="justify" vertical="center"/>
    </xf>
    <xf numFmtId="0" fontId="4" fillId="12" borderId="12" xfId="0" applyFont="1" applyFill="1" applyBorder="1" applyAlignment="1">
      <alignment horizontal="center" vertical="center"/>
    </xf>
    <xf numFmtId="43" fontId="4" fillId="12" borderId="10" xfId="54" applyFont="1" applyFill="1" applyBorder="1" applyAlignment="1">
      <alignment horizontal="justify" vertical="center"/>
    </xf>
    <xf numFmtId="43" fontId="11" fillId="12" borderId="17" xfId="54" applyFont="1" applyFill="1" applyBorder="1" applyAlignment="1">
      <alignment/>
    </xf>
    <xf numFmtId="9" fontId="11" fillId="12" borderId="17" xfId="0" applyNumberFormat="1" applyFont="1" applyFill="1" applyBorder="1" applyAlignment="1">
      <alignment/>
    </xf>
    <xf numFmtId="0" fontId="11" fillId="12" borderId="18" xfId="0" applyFont="1" applyFill="1" applyBorder="1" applyAlignment="1">
      <alignment horizontal="center" vertical="center"/>
    </xf>
    <xf numFmtId="1" fontId="3" fillId="4" borderId="22" xfId="0" applyNumberFormat="1" applyFont="1" applyFill="1" applyBorder="1" applyAlignment="1">
      <alignment horizontal="justify" vertical="center"/>
    </xf>
    <xf numFmtId="1" fontId="3" fillId="4" borderId="0" xfId="0" applyNumberFormat="1" applyFont="1" applyFill="1" applyAlignment="1">
      <alignment horizontal="justify" vertical="center"/>
    </xf>
    <xf numFmtId="0" fontId="3" fillId="4" borderId="22" xfId="0" applyFont="1" applyFill="1" applyBorder="1" applyAlignment="1">
      <alignment horizontal="justify" vertical="center"/>
    </xf>
    <xf numFmtId="0" fontId="3" fillId="4" borderId="23" xfId="0" applyFont="1" applyFill="1" applyBorder="1" applyAlignment="1">
      <alignment horizontal="justify" vertical="center"/>
    </xf>
    <xf numFmtId="0" fontId="3" fillId="4" borderId="19" xfId="0" applyFont="1" applyFill="1" applyBorder="1" applyAlignment="1">
      <alignment horizontal="justify" vertical="center"/>
    </xf>
    <xf numFmtId="0" fontId="3" fillId="4" borderId="20" xfId="0" applyFont="1" applyFill="1" applyBorder="1" applyAlignment="1">
      <alignment horizontal="justify" vertical="center"/>
    </xf>
    <xf numFmtId="0" fontId="3" fillId="4" borderId="21" xfId="0" applyFont="1" applyFill="1" applyBorder="1" applyAlignment="1">
      <alignment horizontal="justify" vertical="center"/>
    </xf>
    <xf numFmtId="0" fontId="3" fillId="0" borderId="10" xfId="0" applyFont="1" applyBorder="1" applyAlignment="1">
      <alignment horizontal="center" vertical="center"/>
    </xf>
    <xf numFmtId="0" fontId="3" fillId="4" borderId="24" xfId="0" applyFont="1" applyFill="1" applyBorder="1" applyAlignment="1">
      <alignment horizontal="justify" vertical="center"/>
    </xf>
    <xf numFmtId="3" fontId="3" fillId="0" borderId="24" xfId="0" applyNumberFormat="1" applyFont="1" applyBorder="1" applyAlignment="1">
      <alignment horizontal="center" vertical="center"/>
    </xf>
    <xf numFmtId="2" fontId="3" fillId="4" borderId="15" xfId="81" applyNumberFormat="1" applyFont="1" applyFill="1" applyBorder="1" applyAlignment="1">
      <alignment horizontal="center" vertical="center"/>
    </xf>
    <xf numFmtId="0" fontId="3" fillId="0" borderId="24" xfId="0" applyFont="1" applyBorder="1" applyAlignment="1">
      <alignment horizontal="justify" vertical="center"/>
    </xf>
    <xf numFmtId="43" fontId="3" fillId="0" borderId="24" xfId="54" applyFont="1" applyBorder="1" applyAlignment="1">
      <alignment horizontal="center" vertical="center"/>
    </xf>
    <xf numFmtId="1" fontId="3" fillId="4" borderId="14" xfId="0" applyNumberFormat="1" applyFont="1" applyFill="1" applyBorder="1" applyAlignment="1">
      <alignment horizontal="center" vertical="center"/>
    </xf>
    <xf numFmtId="0" fontId="3" fillId="4" borderId="10" xfId="0" applyFont="1" applyFill="1" applyBorder="1" applyAlignment="1">
      <alignment horizontal="justify" vertical="center"/>
    </xf>
    <xf numFmtId="2" fontId="3" fillId="4" borderId="14" xfId="81" applyNumberFormat="1" applyFont="1" applyFill="1" applyBorder="1" applyAlignment="1">
      <alignment horizontal="center" vertical="center"/>
    </xf>
    <xf numFmtId="43" fontId="6" fillId="0" borderId="24" xfId="54" applyFont="1" applyFill="1" applyBorder="1" applyAlignment="1">
      <alignment horizontal="center" vertical="center"/>
    </xf>
    <xf numFmtId="1" fontId="3" fillId="4" borderId="15" xfId="0" applyNumberFormat="1" applyFont="1" applyFill="1" applyBorder="1" applyAlignment="1">
      <alignment horizontal="center" vertical="center"/>
    </xf>
    <xf numFmtId="0" fontId="3" fillId="0" borderId="10" xfId="0" applyFont="1" applyBorder="1" applyAlignment="1">
      <alignment horizontal="justify" vertical="center"/>
    </xf>
    <xf numFmtId="0" fontId="3" fillId="4" borderId="15" xfId="0" applyFont="1" applyFill="1" applyBorder="1" applyAlignment="1">
      <alignment horizontal="center" vertical="center"/>
    </xf>
    <xf numFmtId="0" fontId="3" fillId="4" borderId="10" xfId="0" applyFont="1" applyFill="1" applyBorder="1" applyAlignment="1">
      <alignment horizontal="center" vertical="center"/>
    </xf>
    <xf numFmtId="1" fontId="3" fillId="4" borderId="10" xfId="0" applyNumberFormat="1" applyFont="1" applyFill="1" applyBorder="1" applyAlignment="1">
      <alignment horizontal="center" vertical="center"/>
    </xf>
    <xf numFmtId="0" fontId="3" fillId="4" borderId="14" xfId="0" applyFont="1" applyFill="1" applyBorder="1" applyAlignment="1">
      <alignment horizontal="justify" vertical="center"/>
    </xf>
    <xf numFmtId="0" fontId="3" fillId="0" borderId="14" xfId="0" applyFont="1" applyBorder="1" applyAlignment="1">
      <alignment horizontal="left" vertical="center" wrapText="1"/>
    </xf>
    <xf numFmtId="43" fontId="6" fillId="0" borderId="14" xfId="54" applyFont="1" applyFill="1" applyBorder="1" applyAlignment="1">
      <alignment horizontal="center" vertical="center" wrapText="1"/>
    </xf>
    <xf numFmtId="1" fontId="3" fillId="4" borderId="24" xfId="0" applyNumberFormat="1" applyFont="1" applyFill="1" applyBorder="1" applyAlignment="1">
      <alignment horizontal="center" vertical="center"/>
    </xf>
    <xf numFmtId="0" fontId="3" fillId="4" borderId="24" xfId="0" applyFont="1" applyFill="1" applyBorder="1" applyAlignment="1">
      <alignment horizontal="center" vertical="center"/>
    </xf>
    <xf numFmtId="0" fontId="3" fillId="4" borderId="11" xfId="0" applyFont="1" applyFill="1" applyBorder="1" applyAlignment="1">
      <alignment horizontal="justify" vertical="center"/>
    </xf>
    <xf numFmtId="0" fontId="3" fillId="4" borderId="12" xfId="0" applyFont="1" applyFill="1" applyBorder="1" applyAlignment="1">
      <alignment horizontal="justify" vertical="center"/>
    </xf>
    <xf numFmtId="0" fontId="3" fillId="4" borderId="13" xfId="0" applyFont="1" applyFill="1" applyBorder="1" applyAlignment="1">
      <alignment horizontal="justify" vertical="center"/>
    </xf>
    <xf numFmtId="0" fontId="3" fillId="4" borderId="14" xfId="0" applyFont="1" applyFill="1" applyBorder="1" applyAlignment="1">
      <alignment horizontal="center" vertical="center" wrapText="1"/>
    </xf>
    <xf numFmtId="9" fontId="3" fillId="4" borderId="14" xfId="81" applyFont="1" applyFill="1" applyBorder="1" applyAlignment="1">
      <alignment horizontal="center" vertical="center"/>
    </xf>
    <xf numFmtId="43" fontId="3" fillId="4" borderId="14" xfId="54" applyFont="1" applyFill="1" applyBorder="1" applyAlignment="1">
      <alignment horizontal="center" vertical="center"/>
    </xf>
    <xf numFmtId="43" fontId="6" fillId="0" borderId="14" xfId="54" applyFont="1" applyFill="1" applyBorder="1" applyAlignment="1">
      <alignment horizontal="center" vertical="center"/>
    </xf>
    <xf numFmtId="1" fontId="3" fillId="4" borderId="14" xfId="0" applyNumberFormat="1" applyFont="1" applyFill="1" applyBorder="1" applyAlignment="1">
      <alignment horizontal="center" vertical="center" wrapText="1"/>
    </xf>
    <xf numFmtId="0" fontId="6" fillId="4" borderId="14" xfId="0" applyFont="1" applyFill="1" applyBorder="1" applyAlignment="1">
      <alignment horizontal="center" vertical="center"/>
    </xf>
    <xf numFmtId="1" fontId="6" fillId="4" borderId="14" xfId="0" applyNumberFormat="1" applyFont="1" applyFill="1" applyBorder="1" applyAlignment="1">
      <alignment horizontal="center" vertical="center"/>
    </xf>
    <xf numFmtId="1" fontId="6" fillId="4" borderId="19" xfId="0" applyNumberFormat="1" applyFont="1" applyFill="1" applyBorder="1" applyAlignment="1">
      <alignment horizontal="center" vertical="center"/>
    </xf>
    <xf numFmtId="1"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43" fontId="14" fillId="0" borderId="14" xfId="54" applyFont="1" applyBorder="1" applyAlignment="1">
      <alignment horizontal="center" vertical="center"/>
    </xf>
    <xf numFmtId="9" fontId="14" fillId="0" borderId="14" xfId="0" applyNumberFormat="1" applyFont="1" applyBorder="1" applyAlignment="1">
      <alignment horizontal="center" vertical="center"/>
    </xf>
    <xf numFmtId="14" fontId="14" fillId="0" borderId="14" xfId="0" applyNumberFormat="1" applyFont="1" applyBorder="1" applyAlignment="1">
      <alignment vertical="center" wrapText="1"/>
    </xf>
    <xf numFmtId="0" fontId="14" fillId="0" borderId="14" xfId="0" applyFont="1" applyBorder="1" applyAlignment="1">
      <alignment horizontal="center" vertical="center" wrapText="1"/>
    </xf>
    <xf numFmtId="1" fontId="4" fillId="9" borderId="0" xfId="0" applyNumberFormat="1" applyFont="1" applyFill="1" applyAlignment="1">
      <alignment horizontal="justify" vertical="center"/>
    </xf>
    <xf numFmtId="0" fontId="4" fillId="9" borderId="0" xfId="0" applyFont="1" applyFill="1" applyAlignment="1">
      <alignment horizontal="left" vertical="center"/>
    </xf>
    <xf numFmtId="168" fontId="4" fillId="9" borderId="20" xfId="0" applyNumberFormat="1" applyFont="1" applyFill="1" applyBorder="1" applyAlignment="1">
      <alignment horizontal="center" vertical="center"/>
    </xf>
    <xf numFmtId="43" fontId="4" fillId="9" borderId="20" xfId="54" applyFont="1" applyFill="1" applyBorder="1" applyAlignment="1">
      <alignment horizontal="justify" vertical="center"/>
    </xf>
    <xf numFmtId="166" fontId="4" fillId="9" borderId="20" xfId="0" applyNumberFormat="1" applyFont="1" applyFill="1" applyBorder="1" applyAlignment="1">
      <alignment horizontal="center" vertical="center"/>
    </xf>
    <xf numFmtId="43" fontId="11" fillId="9" borderId="20" xfId="54" applyFont="1" applyFill="1" applyBorder="1" applyAlignment="1">
      <alignment/>
    </xf>
    <xf numFmtId="9" fontId="11" fillId="9" borderId="20" xfId="0" applyNumberFormat="1" applyFont="1" applyFill="1" applyBorder="1" applyAlignment="1">
      <alignment/>
    </xf>
    <xf numFmtId="0" fontId="11" fillId="9" borderId="21" xfId="0" applyFont="1" applyFill="1" applyBorder="1" applyAlignment="1">
      <alignment horizontal="center" vertical="center"/>
    </xf>
    <xf numFmtId="0" fontId="6" fillId="0" borderId="22" xfId="0" applyFont="1" applyBorder="1" applyAlignment="1">
      <alignment vertical="center"/>
    </xf>
    <xf numFmtId="0" fontId="4" fillId="4" borderId="0" xfId="0" applyFont="1" applyFill="1" applyAlignment="1">
      <alignment horizontal="justify" vertical="center"/>
    </xf>
    <xf numFmtId="0" fontId="4" fillId="4" borderId="19" xfId="0" applyFont="1" applyFill="1" applyBorder="1" applyAlignment="1">
      <alignment horizontal="justify" vertical="center"/>
    </xf>
    <xf numFmtId="0" fontId="4" fillId="4" borderId="21" xfId="0" applyFont="1" applyFill="1" applyBorder="1" applyAlignment="1">
      <alignment horizontal="justify" vertical="center"/>
    </xf>
    <xf numFmtId="1" fontId="4" fillId="12" borderId="17" xfId="0" applyNumberFormat="1" applyFont="1" applyFill="1" applyBorder="1" applyAlignment="1">
      <alignment horizontal="justify" vertical="center"/>
    </xf>
    <xf numFmtId="43" fontId="4" fillId="12" borderId="17" xfId="54" applyFont="1" applyFill="1" applyBorder="1" applyAlignment="1">
      <alignment horizontal="justify" vertical="center"/>
    </xf>
    <xf numFmtId="0" fontId="3" fillId="4" borderId="22" xfId="0" applyFont="1" applyFill="1" applyBorder="1" applyAlignment="1">
      <alignment horizontal="justify"/>
    </xf>
    <xf numFmtId="0" fontId="4" fillId="4" borderId="22" xfId="0" applyFont="1" applyFill="1" applyBorder="1" applyAlignment="1">
      <alignment horizontal="justify" vertical="center"/>
    </xf>
    <xf numFmtId="0" fontId="4" fillId="4" borderId="23" xfId="0" applyFont="1" applyFill="1" applyBorder="1" applyAlignment="1">
      <alignment horizontal="justify" vertical="center"/>
    </xf>
    <xf numFmtId="0" fontId="3" fillId="0" borderId="24" xfId="0" applyFont="1" applyBorder="1" applyAlignment="1">
      <alignment horizontal="center" vertical="center"/>
    </xf>
    <xf numFmtId="0" fontId="3" fillId="4" borderId="15" xfId="0" applyFont="1" applyFill="1" applyBorder="1" applyAlignment="1">
      <alignment horizontal="center"/>
    </xf>
    <xf numFmtId="9" fontId="3" fillId="4" borderId="15" xfId="81" applyFont="1" applyFill="1" applyBorder="1" applyAlignment="1">
      <alignment horizontal="center" vertical="center"/>
    </xf>
    <xf numFmtId="0" fontId="3" fillId="0" borderId="15" xfId="0" applyFont="1" applyBorder="1" applyAlignment="1">
      <alignment horizontal="justify" vertical="center"/>
    </xf>
    <xf numFmtId="43" fontId="3" fillId="0" borderId="15" xfId="54" applyFont="1" applyBorder="1" applyAlignment="1">
      <alignment horizontal="justify" vertical="center"/>
    </xf>
    <xf numFmtId="3" fontId="3" fillId="0" borderId="14" xfId="0" applyNumberFormat="1" applyFont="1" applyBorder="1" applyAlignment="1">
      <alignment horizontal="center" vertical="center"/>
    </xf>
    <xf numFmtId="0" fontId="3" fillId="0" borderId="14" xfId="0" applyFont="1" applyBorder="1" applyAlignment="1">
      <alignment horizontal="justify" vertical="center" wrapText="1"/>
    </xf>
    <xf numFmtId="43" fontId="3" fillId="0" borderId="14" xfId="54" applyFont="1" applyBorder="1" applyAlignment="1">
      <alignment horizontal="center" vertical="center" wrapText="1"/>
    </xf>
    <xf numFmtId="9" fontId="3" fillId="4" borderId="10" xfId="81" applyFont="1" applyFill="1" applyBorder="1" applyAlignment="1">
      <alignment horizontal="center" vertical="center"/>
    </xf>
    <xf numFmtId="43" fontId="3" fillId="0" borderId="10" xfId="54" applyFont="1" applyBorder="1" applyAlignment="1">
      <alignment horizontal="justify" vertical="center"/>
    </xf>
    <xf numFmtId="43" fontId="3" fillId="0" borderId="10" xfId="54" applyFont="1" applyBorder="1" applyAlignment="1">
      <alignment horizontal="center" vertical="center"/>
    </xf>
    <xf numFmtId="43" fontId="3" fillId="0" borderId="14" xfId="54" applyFont="1" applyBorder="1" applyAlignment="1">
      <alignment horizontal="justify" vertical="center"/>
    </xf>
    <xf numFmtId="0" fontId="4" fillId="4" borderId="22" xfId="0" applyFont="1" applyFill="1" applyBorder="1" applyAlignment="1">
      <alignment vertical="center"/>
    </xf>
    <xf numFmtId="0" fontId="4" fillId="4" borderId="23" xfId="0" applyFont="1" applyFill="1" applyBorder="1" applyAlignment="1">
      <alignment vertical="center"/>
    </xf>
    <xf numFmtId="10" fontId="3" fillId="0" borderId="22" xfId="81" applyNumberFormat="1"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center" vertical="center" wrapText="1"/>
    </xf>
    <xf numFmtId="14" fontId="14" fillId="0" borderId="15" xfId="0" applyNumberFormat="1" applyFont="1" applyBorder="1" applyAlignment="1">
      <alignment vertical="center"/>
    </xf>
    <xf numFmtId="0" fontId="14" fillId="0" borderId="0" xfId="0" applyFont="1" applyAlignment="1">
      <alignment/>
    </xf>
    <xf numFmtId="10" fontId="3" fillId="0" borderId="16" xfId="81" applyNumberFormat="1" applyFont="1" applyBorder="1" applyAlignment="1">
      <alignment horizontal="center" vertical="center"/>
    </xf>
    <xf numFmtId="0" fontId="14" fillId="0" borderId="15" xfId="0" applyFont="1" applyBorder="1" applyAlignment="1">
      <alignment vertical="center"/>
    </xf>
    <xf numFmtId="43" fontId="3" fillId="0" borderId="10" xfId="54" applyFont="1" applyBorder="1" applyAlignment="1">
      <alignment vertical="center"/>
    </xf>
    <xf numFmtId="43" fontId="3" fillId="0" borderId="10" xfId="54" applyFont="1" applyBorder="1" applyAlignment="1">
      <alignment horizontal="justify" vertical="center" wrapText="1"/>
    </xf>
    <xf numFmtId="4" fontId="3" fillId="0" borderId="16" xfId="81" applyNumberFormat="1" applyFont="1" applyBorder="1" applyAlignment="1">
      <alignment horizontal="center" vertical="center"/>
    </xf>
    <xf numFmtId="10" fontId="3" fillId="0" borderId="19" xfId="81" applyNumberFormat="1" applyFont="1" applyBorder="1" applyAlignment="1">
      <alignment horizontal="center" vertical="center"/>
    </xf>
    <xf numFmtId="0" fontId="3" fillId="4" borderId="23" xfId="0" applyFont="1" applyFill="1" applyBorder="1" applyAlignment="1">
      <alignment horizontal="justify"/>
    </xf>
    <xf numFmtId="3" fontId="3" fillId="0" borderId="11" xfId="0" applyNumberFormat="1" applyFont="1" applyBorder="1" applyAlignment="1">
      <alignment horizontal="center" vertical="center"/>
    </xf>
    <xf numFmtId="0" fontId="3" fillId="0" borderId="14" xfId="0" applyFont="1" applyBorder="1" applyAlignment="1">
      <alignment horizontal="center" vertical="center" wrapText="1"/>
    </xf>
    <xf numFmtId="9" fontId="3" fillId="4" borderId="11" xfId="81" applyFont="1" applyFill="1" applyBorder="1" applyAlignment="1">
      <alignment horizontal="center" vertical="center"/>
    </xf>
    <xf numFmtId="0" fontId="3" fillId="4" borderId="14" xfId="0" applyFont="1" applyFill="1" applyBorder="1" applyAlignment="1">
      <alignment horizontal="left" vertical="center" wrapText="1"/>
    </xf>
    <xf numFmtId="3" fontId="3" fillId="0" borderId="19" xfId="0" applyNumberFormat="1" applyFont="1" applyBorder="1" applyAlignment="1">
      <alignment horizontal="center" vertical="center"/>
    </xf>
    <xf numFmtId="0" fontId="3" fillId="0" borderId="24" xfId="0" applyFont="1" applyBorder="1" applyAlignment="1">
      <alignment horizontal="center" vertical="center" wrapText="1"/>
    </xf>
    <xf numFmtId="9" fontId="3" fillId="4" borderId="19" xfId="81" applyFont="1" applyFill="1" applyBorder="1" applyAlignment="1">
      <alignment horizontal="center" vertical="center"/>
    </xf>
    <xf numFmtId="0" fontId="3" fillId="4" borderId="22" xfId="0" applyFont="1" applyFill="1" applyBorder="1" applyAlignment="1">
      <alignment vertical="center"/>
    </xf>
    <xf numFmtId="0" fontId="3" fillId="4" borderId="0" xfId="0" applyFont="1" applyFill="1" applyAlignment="1">
      <alignment vertical="center"/>
    </xf>
    <xf numFmtId="0" fontId="3" fillId="4" borderId="23" xfId="0" applyFont="1" applyFill="1" applyBorder="1" applyAlignment="1">
      <alignment vertical="center"/>
    </xf>
    <xf numFmtId="43" fontId="6" fillId="4" borderId="15" xfId="54" applyFont="1" applyFill="1" applyBorder="1" applyAlignment="1">
      <alignment horizontal="center" vertical="center"/>
    </xf>
    <xf numFmtId="9" fontId="6" fillId="4" borderId="15" xfId="0" applyNumberFormat="1" applyFont="1" applyFill="1" applyBorder="1" applyAlignment="1">
      <alignment horizontal="center" vertical="center"/>
    </xf>
    <xf numFmtId="0" fontId="3" fillId="4" borderId="11" xfId="0" applyFont="1" applyFill="1" applyBorder="1" applyAlignment="1">
      <alignment vertical="center"/>
    </xf>
    <xf numFmtId="0" fontId="3" fillId="4" borderId="13" xfId="0" applyFont="1" applyFill="1" applyBorder="1" applyAlignment="1">
      <alignment vertical="center"/>
    </xf>
    <xf numFmtId="1" fontId="4" fillId="4" borderId="22" xfId="0" applyNumberFormat="1" applyFont="1" applyFill="1" applyBorder="1" applyAlignment="1">
      <alignment vertical="center" wrapText="1"/>
    </xf>
    <xf numFmtId="1" fontId="4" fillId="4" borderId="0" xfId="0" applyNumberFormat="1" applyFont="1" applyFill="1" applyAlignment="1">
      <alignment vertical="center" wrapText="1"/>
    </xf>
    <xf numFmtId="1" fontId="4" fillId="4" borderId="23" xfId="0" applyNumberFormat="1" applyFont="1" applyFill="1" applyBorder="1" applyAlignment="1">
      <alignment vertical="center" wrapText="1"/>
    </xf>
    <xf numFmtId="168" fontId="4" fillId="9" borderId="17" xfId="0" applyNumberFormat="1" applyFont="1" applyFill="1" applyBorder="1" applyAlignment="1">
      <alignment horizontal="center" vertical="center"/>
    </xf>
    <xf numFmtId="43" fontId="4" fillId="9" borderId="17" xfId="54" applyFont="1" applyFill="1" applyBorder="1" applyAlignment="1">
      <alignment vertical="center"/>
    </xf>
    <xf numFmtId="43" fontId="4" fillId="9" borderId="17" xfId="54" applyFont="1" applyFill="1" applyBorder="1" applyAlignment="1">
      <alignment horizontal="justify" vertical="center"/>
    </xf>
    <xf numFmtId="166" fontId="4" fillId="9" borderId="17" xfId="0" applyNumberFormat="1" applyFont="1" applyFill="1" applyBorder="1" applyAlignment="1">
      <alignment horizontal="center" vertical="center"/>
    </xf>
    <xf numFmtId="0" fontId="11" fillId="9" borderId="17" xfId="0" applyFont="1" applyFill="1" applyBorder="1" applyAlignment="1">
      <alignment/>
    </xf>
    <xf numFmtId="0" fontId="22" fillId="9" borderId="17" xfId="0" applyFont="1" applyFill="1" applyBorder="1" applyAlignment="1">
      <alignment/>
    </xf>
    <xf numFmtId="0" fontId="11" fillId="8" borderId="17" xfId="0" applyFont="1" applyFill="1" applyBorder="1" applyAlignment="1">
      <alignment/>
    </xf>
    <xf numFmtId="43" fontId="11" fillId="8" borderId="17" xfId="54" applyFont="1" applyFill="1" applyBorder="1" applyAlignment="1">
      <alignment/>
    </xf>
    <xf numFmtId="9" fontId="11" fillId="8" borderId="17" xfId="0" applyNumberFormat="1" applyFont="1" applyFill="1" applyBorder="1" applyAlignment="1">
      <alignment/>
    </xf>
    <xf numFmtId="0" fontId="11" fillId="8" borderId="18" xfId="0" applyFont="1" applyFill="1" applyBorder="1" applyAlignment="1">
      <alignment horizontal="center" vertical="center"/>
    </xf>
    <xf numFmtId="1" fontId="4" fillId="12" borderId="12" xfId="0" applyNumberFormat="1" applyFont="1" applyFill="1" applyBorder="1" applyAlignment="1">
      <alignment horizontal="justify" vertical="center"/>
    </xf>
    <xf numFmtId="0" fontId="4" fillId="12" borderId="11" xfId="0" applyFont="1" applyFill="1" applyBorder="1" applyAlignment="1">
      <alignment horizontal="left" vertical="center"/>
    </xf>
    <xf numFmtId="0" fontId="4" fillId="12" borderId="12" xfId="0" applyFont="1" applyFill="1" applyBorder="1" applyAlignment="1">
      <alignment horizontal="left" vertical="center"/>
    </xf>
    <xf numFmtId="0" fontId="4" fillId="12" borderId="12" xfId="0" applyFont="1" applyFill="1" applyBorder="1" applyAlignment="1">
      <alignment horizontal="justify" vertical="center"/>
    </xf>
    <xf numFmtId="0" fontId="4" fillId="12" borderId="12" xfId="0" applyFont="1" applyFill="1" applyBorder="1" applyAlignment="1">
      <alignment vertical="center"/>
    </xf>
    <xf numFmtId="43" fontId="4" fillId="12" borderId="12" xfId="54" applyFont="1" applyFill="1" applyBorder="1" applyAlignment="1">
      <alignment vertical="center"/>
    </xf>
    <xf numFmtId="43" fontId="4" fillId="12" borderId="12" xfId="54" applyFont="1" applyFill="1" applyBorder="1" applyAlignment="1">
      <alignment horizontal="justify" vertical="center"/>
    </xf>
    <xf numFmtId="0" fontId="11" fillId="12" borderId="12" xfId="0" applyFont="1" applyFill="1" applyBorder="1" applyAlignment="1">
      <alignment/>
    </xf>
    <xf numFmtId="0" fontId="22" fillId="12" borderId="12" xfId="0" applyFont="1" applyFill="1" applyBorder="1" applyAlignment="1">
      <alignment/>
    </xf>
    <xf numFmtId="43" fontId="11" fillId="12" borderId="12" xfId="54" applyFont="1" applyFill="1" applyBorder="1" applyAlignment="1">
      <alignment/>
    </xf>
    <xf numFmtId="9" fontId="11" fillId="12" borderId="12" xfId="0" applyNumberFormat="1" applyFont="1" applyFill="1" applyBorder="1" applyAlignment="1">
      <alignment/>
    </xf>
    <xf numFmtId="0" fontId="11" fillId="12" borderId="13" xfId="0" applyFont="1" applyFill="1" applyBorder="1" applyAlignment="1">
      <alignment horizontal="center" vertical="center"/>
    </xf>
    <xf numFmtId="0" fontId="3" fillId="4" borderId="20" xfId="0" applyFont="1" applyFill="1" applyBorder="1" applyAlignment="1">
      <alignment horizontal="center"/>
    </xf>
    <xf numFmtId="0" fontId="3" fillId="4" borderId="23" xfId="0" applyFont="1" applyFill="1" applyBorder="1" applyAlignment="1">
      <alignment horizontal="center"/>
    </xf>
    <xf numFmtId="43" fontId="3" fillId="0" borderId="24" xfId="54" applyFont="1" applyBorder="1" applyAlignment="1">
      <alignment horizontal="justify" vertical="center"/>
    </xf>
    <xf numFmtId="0" fontId="11" fillId="0" borderId="0" xfId="0" applyFont="1" applyAlignment="1">
      <alignment horizontal="center"/>
    </xf>
    <xf numFmtId="9" fontId="3" fillId="4" borderId="16" xfId="81" applyFont="1" applyFill="1" applyBorder="1" applyAlignment="1">
      <alignment horizontal="center" vertical="center"/>
    </xf>
    <xf numFmtId="165" fontId="3" fillId="0" borderId="10" xfId="0" applyNumberFormat="1" applyFont="1" applyBorder="1" applyAlignment="1">
      <alignment horizontal="justify" vertical="center"/>
    </xf>
    <xf numFmtId="43" fontId="6" fillId="0" borderId="10" xfId="54" applyFont="1" applyFill="1" applyBorder="1" applyAlignment="1">
      <alignment horizontal="justify" vertical="center"/>
    </xf>
    <xf numFmtId="0" fontId="3" fillId="4" borderId="14" xfId="0" applyFont="1" applyFill="1" applyBorder="1" applyAlignment="1">
      <alignment horizontal="center" vertical="center"/>
    </xf>
    <xf numFmtId="1" fontId="4" fillId="4" borderId="22" xfId="0" applyNumberFormat="1" applyFont="1" applyFill="1" applyBorder="1" applyAlignment="1">
      <alignment vertical="center"/>
    </xf>
    <xf numFmtId="1" fontId="4" fillId="4" borderId="0" xfId="0" applyNumberFormat="1" applyFont="1" applyFill="1" applyAlignment="1">
      <alignment vertical="center"/>
    </xf>
    <xf numFmtId="1" fontId="4" fillId="4" borderId="23" xfId="0" applyNumberFormat="1" applyFont="1" applyFill="1" applyBorder="1" applyAlignment="1">
      <alignment vertical="center"/>
    </xf>
    <xf numFmtId="43" fontId="4" fillId="12" borderId="17" xfId="54" applyFont="1" applyFill="1" applyBorder="1" applyAlignment="1">
      <alignment horizontal="left" vertical="center"/>
    </xf>
    <xf numFmtId="0" fontId="3" fillId="4" borderId="24" xfId="0" applyFont="1" applyFill="1" applyBorder="1" applyAlignment="1">
      <alignment horizontal="justify"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168" fontId="4" fillId="9" borderId="0" xfId="0" applyNumberFormat="1" applyFont="1" applyFill="1" applyAlignment="1">
      <alignment horizontal="center" vertical="center"/>
    </xf>
    <xf numFmtId="43" fontId="4" fillId="9" borderId="0" xfId="54" applyFont="1" applyFill="1" applyAlignment="1">
      <alignment vertical="center"/>
    </xf>
    <xf numFmtId="43" fontId="4" fillId="9" borderId="0" xfId="54" applyFont="1" applyFill="1" applyAlignment="1">
      <alignment horizontal="justify" vertical="center"/>
    </xf>
    <xf numFmtId="1" fontId="4" fillId="9" borderId="0" xfId="0" applyNumberFormat="1" applyFont="1" applyFill="1" applyAlignment="1">
      <alignment horizontal="center" vertical="center"/>
    </xf>
    <xf numFmtId="1" fontId="4" fillId="9" borderId="0" xfId="0" applyNumberFormat="1" applyFont="1" applyFill="1" applyAlignment="1">
      <alignment vertical="center"/>
    </xf>
    <xf numFmtId="1" fontId="11" fillId="9" borderId="0" xfId="0" applyNumberFormat="1" applyFont="1" applyFill="1" applyAlignment="1">
      <alignment/>
    </xf>
    <xf numFmtId="0" fontId="11" fillId="8" borderId="0" xfId="0" applyFont="1" applyFill="1" applyAlignment="1">
      <alignment/>
    </xf>
    <xf numFmtId="43" fontId="11" fillId="8" borderId="0" xfId="54" applyFont="1" applyFill="1" applyAlignment="1">
      <alignment/>
    </xf>
    <xf numFmtId="9" fontId="11" fillId="8" borderId="0" xfId="0" applyNumberFormat="1" applyFont="1" applyFill="1" applyAlignment="1">
      <alignment/>
    </xf>
    <xf numFmtId="0" fontId="11" fillId="8" borderId="23" xfId="0" applyFont="1" applyFill="1" applyBorder="1" applyAlignment="1">
      <alignment horizontal="center" vertical="center"/>
    </xf>
    <xf numFmtId="0" fontId="4" fillId="4" borderId="19" xfId="0" applyFont="1" applyFill="1" applyBorder="1" applyAlignment="1">
      <alignment vertical="center" wrapText="1"/>
    </xf>
    <xf numFmtId="0" fontId="4" fillId="4" borderId="21" xfId="0" applyFont="1" applyFill="1" applyBorder="1" applyAlignment="1">
      <alignment vertical="center" wrapText="1"/>
    </xf>
    <xf numFmtId="0" fontId="3" fillId="4" borderId="15" xfId="0" applyFont="1" applyFill="1" applyBorder="1" applyAlignment="1">
      <alignment horizontal="justify" vertical="center"/>
    </xf>
    <xf numFmtId="3" fontId="3" fillId="0" borderId="15" xfId="0" applyNumberFormat="1" applyFont="1" applyBorder="1" applyAlignment="1">
      <alignment horizontal="center" vertical="center"/>
    </xf>
    <xf numFmtId="0" fontId="3" fillId="4" borderId="15" xfId="0" applyFont="1" applyFill="1" applyBorder="1" applyAlignment="1">
      <alignment horizontal="justify"/>
    </xf>
    <xf numFmtId="43" fontId="3" fillId="4" borderId="15" xfId="54" applyFont="1" applyFill="1" applyBorder="1" applyAlignment="1">
      <alignment horizontal="center" vertical="center"/>
    </xf>
    <xf numFmtId="43" fontId="6" fillId="0" borderId="15" xfId="54" applyFont="1" applyFill="1" applyBorder="1" applyAlignment="1">
      <alignment horizontal="center" vertical="center"/>
    </xf>
    <xf numFmtId="1" fontId="6" fillId="4" borderId="15" xfId="0" applyNumberFormat="1" applyFont="1" applyFill="1" applyBorder="1" applyAlignment="1">
      <alignment horizontal="center" vertical="center"/>
    </xf>
    <xf numFmtId="1" fontId="6" fillId="4" borderId="22" xfId="0" applyNumberFormat="1" applyFont="1" applyFill="1" applyBorder="1" applyAlignment="1">
      <alignment horizontal="center" vertical="center"/>
    </xf>
    <xf numFmtId="1"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43" fontId="14" fillId="0" borderId="15" xfId="54" applyFont="1" applyBorder="1" applyAlignment="1">
      <alignment horizontal="center" vertical="center"/>
    </xf>
    <xf numFmtId="9" fontId="14" fillId="0" borderId="15" xfId="0" applyNumberFormat="1" applyFont="1" applyBorder="1" applyAlignment="1">
      <alignment horizontal="center" vertical="center"/>
    </xf>
    <xf numFmtId="0" fontId="14" fillId="0" borderId="15" xfId="0" applyFont="1" applyBorder="1" applyAlignment="1">
      <alignment horizontal="center" vertical="center" wrapText="1"/>
    </xf>
    <xf numFmtId="9" fontId="3" fillId="0" borderId="15" xfId="80" applyFont="1" applyBorder="1" applyAlignment="1">
      <alignment horizontal="center" vertical="center"/>
    </xf>
    <xf numFmtId="0" fontId="6" fillId="4" borderId="15" xfId="0" applyFont="1" applyFill="1" applyBorder="1" applyAlignment="1">
      <alignment horizontal="justify" vertical="center"/>
    </xf>
    <xf numFmtId="9" fontId="6" fillId="4" borderId="15" xfId="81" applyFont="1" applyFill="1" applyBorder="1" applyAlignment="1">
      <alignment horizontal="center" vertical="center"/>
    </xf>
    <xf numFmtId="0" fontId="6" fillId="0" borderId="15" xfId="0" applyFont="1" applyBorder="1" applyAlignment="1">
      <alignment horizontal="justify" vertical="center"/>
    </xf>
    <xf numFmtId="168" fontId="4" fillId="12" borderId="17" xfId="0" applyNumberFormat="1" applyFont="1" applyFill="1" applyBorder="1" applyAlignment="1">
      <alignment horizontal="center" vertical="center"/>
    </xf>
    <xf numFmtId="169" fontId="4" fillId="12" borderId="17" xfId="0" applyNumberFormat="1" applyFont="1" applyFill="1" applyBorder="1" applyAlignment="1">
      <alignment horizontal="center" vertical="center"/>
    </xf>
    <xf numFmtId="9" fontId="6" fillId="4" borderId="14" xfId="81" applyFont="1" applyFill="1" applyBorder="1" applyAlignment="1">
      <alignment horizontal="center" vertical="center"/>
    </xf>
    <xf numFmtId="1" fontId="4" fillId="9" borderId="20" xfId="0" applyNumberFormat="1" applyFont="1" applyFill="1" applyBorder="1" applyAlignment="1">
      <alignment horizontal="center" vertical="center"/>
    </xf>
    <xf numFmtId="0" fontId="4" fillId="4" borderId="20" xfId="0" applyFont="1" applyFill="1" applyBorder="1" applyAlignment="1">
      <alignment vertical="center"/>
    </xf>
    <xf numFmtId="0" fontId="4" fillId="4" borderId="21" xfId="0" applyFont="1" applyFill="1" applyBorder="1" applyAlignment="1">
      <alignment vertical="center"/>
    </xf>
    <xf numFmtId="0" fontId="4" fillId="12" borderId="17" xfId="0" applyFont="1" applyFill="1" applyBorder="1" applyAlignment="1">
      <alignment vertical="center" wrapText="1"/>
    </xf>
    <xf numFmtId="0" fontId="4" fillId="12" borderId="17" xfId="0" applyFont="1" applyFill="1" applyBorder="1" applyAlignment="1">
      <alignment horizontal="center" vertical="center" wrapText="1"/>
    </xf>
    <xf numFmtId="1" fontId="4" fillId="12" borderId="17" xfId="0" applyNumberFormat="1" applyFont="1" applyFill="1" applyBorder="1" applyAlignment="1">
      <alignment horizontal="center" vertical="center"/>
    </xf>
    <xf numFmtId="1" fontId="4" fillId="4" borderId="11" xfId="0" applyNumberFormat="1" applyFont="1" applyFill="1" applyBorder="1" applyAlignment="1">
      <alignment vertical="center"/>
    </xf>
    <xf numFmtId="1" fontId="4" fillId="4" borderId="12" xfId="0" applyNumberFormat="1" applyFont="1" applyFill="1" applyBorder="1" applyAlignment="1">
      <alignment vertical="center"/>
    </xf>
    <xf numFmtId="1" fontId="4" fillId="4" borderId="13" xfId="0" applyNumberFormat="1" applyFont="1" applyFill="1" applyBorder="1" applyAlignment="1">
      <alignmen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3" fillId="4" borderId="12" xfId="0" applyFont="1" applyFill="1" applyBorder="1" applyAlignment="1">
      <alignment horizontal="justify"/>
    </xf>
    <xf numFmtId="0" fontId="6" fillId="0" borderId="24" xfId="0" applyFont="1" applyBorder="1" applyAlignment="1">
      <alignment horizontal="center" vertical="center"/>
    </xf>
    <xf numFmtId="0" fontId="6" fillId="4" borderId="24" xfId="0" applyFont="1" applyFill="1" applyBorder="1" applyAlignment="1">
      <alignment horizontal="justify" vertical="center"/>
    </xf>
    <xf numFmtId="0" fontId="6" fillId="4" borderId="24" xfId="0" applyFont="1" applyFill="1" applyBorder="1" applyAlignment="1">
      <alignment horizontal="center" vertical="center"/>
    </xf>
    <xf numFmtId="9" fontId="6" fillId="4" borderId="24" xfId="81" applyFont="1" applyFill="1" applyBorder="1" applyAlignment="1">
      <alignment horizontal="center" vertical="center"/>
    </xf>
    <xf numFmtId="43" fontId="6" fillId="4" borderId="24" xfId="54" applyFont="1" applyFill="1" applyBorder="1" applyAlignment="1">
      <alignment horizontal="center" vertical="center"/>
    </xf>
    <xf numFmtId="1" fontId="6" fillId="4" borderId="24" xfId="0" applyNumberFormat="1" applyFont="1" applyFill="1" applyBorder="1" applyAlignment="1">
      <alignment horizontal="center" vertical="center"/>
    </xf>
    <xf numFmtId="1" fontId="6" fillId="4" borderId="11" xfId="0" applyNumberFormat="1" applyFont="1" applyFill="1" applyBorder="1" applyAlignment="1">
      <alignment horizontal="center" vertical="center"/>
    </xf>
    <xf numFmtId="1"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43" fontId="14" fillId="0" borderId="24" xfId="54" applyFont="1" applyBorder="1" applyAlignment="1">
      <alignment horizontal="center" vertical="center"/>
    </xf>
    <xf numFmtId="43" fontId="14" fillId="0" borderId="10" xfId="54" applyFont="1" applyBorder="1" applyAlignment="1">
      <alignment horizontal="center" vertical="center"/>
    </xf>
    <xf numFmtId="10" fontId="1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14" fontId="14" fillId="0" borderId="10" xfId="0" applyNumberFormat="1" applyFont="1" applyBorder="1" applyAlignment="1">
      <alignment vertical="center"/>
    </xf>
    <xf numFmtId="14" fontId="14" fillId="0" borderId="24" xfId="0" applyNumberFormat="1" applyFont="1" applyBorder="1" applyAlignment="1">
      <alignment vertical="center"/>
    </xf>
    <xf numFmtId="0" fontId="14" fillId="0" borderId="24" xfId="0" applyFont="1" applyBorder="1" applyAlignment="1">
      <alignment horizontal="center" vertical="center" wrapText="1"/>
    </xf>
    <xf numFmtId="0" fontId="4" fillId="4" borderId="10" xfId="0" applyFont="1" applyFill="1" applyBorder="1" applyAlignment="1">
      <alignment horizontal="justify" vertical="center"/>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9" fontId="4" fillId="4" borderId="10" xfId="81" applyFont="1" applyFill="1" applyBorder="1" applyAlignment="1">
      <alignment horizontal="center" vertical="center"/>
    </xf>
    <xf numFmtId="43" fontId="4" fillId="4" borderId="10" xfId="54" applyFont="1" applyFill="1" applyBorder="1" applyAlignment="1">
      <alignment horizontal="center" vertical="center"/>
    </xf>
    <xf numFmtId="165" fontId="4" fillId="4" borderId="10" xfId="0" applyNumberFormat="1" applyFont="1" applyFill="1" applyBorder="1" applyAlignment="1">
      <alignment horizontal="center" vertical="center"/>
    </xf>
    <xf numFmtId="0" fontId="17" fillId="0" borderId="10" xfId="0" applyFont="1" applyBorder="1" applyAlignment="1">
      <alignment horizontal="center" vertical="center"/>
    </xf>
    <xf numFmtId="14" fontId="17" fillId="0" borderId="10" xfId="0" applyNumberFormat="1" applyFont="1" applyBorder="1" applyAlignment="1">
      <alignment vertical="center"/>
    </xf>
    <xf numFmtId="0" fontId="17" fillId="0" borderId="10" xfId="0" applyFont="1" applyBorder="1" applyAlignment="1">
      <alignment horizontal="justify" vertical="center" wrapText="1"/>
    </xf>
    <xf numFmtId="0" fontId="17" fillId="0" borderId="0" xfId="0" applyFont="1" applyAlignment="1">
      <alignment/>
    </xf>
    <xf numFmtId="168" fontId="3" fillId="0" borderId="0" xfId="0" applyNumberFormat="1" applyFont="1" applyAlignment="1">
      <alignment horizontal="center" vertical="center"/>
    </xf>
    <xf numFmtId="165" fontId="6" fillId="0" borderId="0" xfId="64" applyNumberFormat="1" applyFont="1" applyAlignment="1">
      <alignment horizontal="center" vertical="center"/>
    </xf>
    <xf numFmtId="165" fontId="3" fillId="0" borderId="0" xfId="0" applyNumberFormat="1" applyFont="1" applyAlignment="1">
      <alignment horizontal="center" vertical="center"/>
    </xf>
    <xf numFmtId="0" fontId="11" fillId="0" borderId="0" xfId="0" applyFont="1" applyAlignment="1">
      <alignment horizontal="justify"/>
    </xf>
    <xf numFmtId="3" fontId="3" fillId="0" borderId="0" xfId="0" applyNumberFormat="1" applyFont="1" applyAlignment="1">
      <alignment horizontal="right" vertical="center"/>
    </xf>
    <xf numFmtId="3" fontId="6" fillId="0" borderId="0" xfId="64" applyNumberFormat="1" applyFont="1" applyAlignment="1">
      <alignment horizontal="right" vertical="center"/>
    </xf>
    <xf numFmtId="4" fontId="3" fillId="0" borderId="0" xfId="0" applyNumberFormat="1" applyFont="1" applyAlignment="1">
      <alignment horizontal="justify" vertical="center"/>
    </xf>
    <xf numFmtId="43" fontId="3" fillId="0" borderId="0" xfId="0" applyNumberFormat="1" applyFont="1" applyAlignment="1">
      <alignment horizontal="justify" vertical="center"/>
    </xf>
    <xf numFmtId="0" fontId="12" fillId="0" borderId="0" xfId="0" applyFont="1" applyAlignment="1">
      <alignment horizontal="justify"/>
    </xf>
    <xf numFmtId="42" fontId="12" fillId="0" borderId="0" xfId="64" applyFont="1" applyAlignment="1">
      <alignment horizontal="justify"/>
    </xf>
    <xf numFmtId="0" fontId="3" fillId="0" borderId="0" xfId="0" applyFont="1" applyAlignment="1">
      <alignment horizontal="left"/>
    </xf>
    <xf numFmtId="165" fontId="3" fillId="0" borderId="0" xfId="0" applyNumberFormat="1" applyFont="1" applyAlignment="1">
      <alignment horizontal="justify"/>
    </xf>
    <xf numFmtId="42" fontId="3" fillId="0" borderId="0" xfId="64" applyFont="1" applyAlignment="1">
      <alignment horizontal="justify"/>
    </xf>
    <xf numFmtId="0" fontId="6" fillId="0" borderId="0" xfId="0" applyFont="1" applyAlignment="1">
      <alignment horizontal="center" vertical="center"/>
    </xf>
    <xf numFmtId="166" fontId="5" fillId="10" borderId="17" xfId="0" applyNumberFormat="1" applyFont="1" applyFill="1" applyBorder="1" applyAlignment="1">
      <alignment vertical="center"/>
    </xf>
    <xf numFmtId="166" fontId="5" fillId="9" borderId="12" xfId="0" applyNumberFormat="1" applyFont="1" applyFill="1" applyBorder="1" applyAlignment="1">
      <alignment vertical="center"/>
    </xf>
    <xf numFmtId="166" fontId="5" fillId="12" borderId="17" xfId="0" applyNumberFormat="1" applyFont="1" applyFill="1" applyBorder="1" applyAlignment="1">
      <alignment vertical="center"/>
    </xf>
    <xf numFmtId="43" fontId="6" fillId="0" borderId="19" xfId="49" applyFont="1" applyBorder="1" applyAlignment="1">
      <alignment horizontal="justify" vertical="center"/>
    </xf>
    <xf numFmtId="0" fontId="6" fillId="4" borderId="0" xfId="0" applyFont="1" applyFill="1" applyAlignment="1">
      <alignment vertical="center" wrapText="1"/>
    </xf>
    <xf numFmtId="0" fontId="6" fillId="4" borderId="23" xfId="0" applyFont="1" applyFill="1" applyBorder="1" applyAlignment="1">
      <alignment vertical="center" wrapText="1"/>
    </xf>
    <xf numFmtId="0" fontId="6" fillId="0" borderId="16" xfId="0" applyFont="1" applyBorder="1" applyAlignment="1">
      <alignment horizontal="justify" vertical="center" wrapText="1"/>
    </xf>
    <xf numFmtId="43" fontId="6" fillId="0" borderId="16" xfId="49" applyFont="1" applyBorder="1" applyAlignment="1">
      <alignment horizontal="justify" vertical="center"/>
    </xf>
    <xf numFmtId="3" fontId="6" fillId="0" borderId="10" xfId="0" applyNumberFormat="1" applyFont="1" applyBorder="1" applyAlignment="1">
      <alignment horizontal="center" vertical="center" wrapText="1"/>
    </xf>
    <xf numFmtId="43" fontId="6" fillId="0" borderId="11" xfId="49" applyFont="1" applyBorder="1" applyAlignment="1">
      <alignment horizontal="justify" vertical="center"/>
    </xf>
    <xf numFmtId="0" fontId="6" fillId="0" borderId="10" xfId="0" applyFont="1" applyBorder="1" applyAlignment="1">
      <alignment horizontal="justify" vertical="center"/>
    </xf>
    <xf numFmtId="0" fontId="6" fillId="4" borderId="10" xfId="0" applyFont="1" applyFill="1" applyBorder="1" applyAlignment="1">
      <alignment horizontal="center" vertical="center" wrapText="1"/>
    </xf>
    <xf numFmtId="0" fontId="5" fillId="4" borderId="0" xfId="0" applyFont="1" applyFill="1" applyAlignment="1">
      <alignment/>
    </xf>
    <xf numFmtId="43" fontId="6" fillId="4" borderId="16" xfId="49" applyFont="1" applyFill="1" applyBorder="1" applyAlignment="1">
      <alignment horizontal="justify" vertical="center"/>
    </xf>
    <xf numFmtId="0" fontId="6" fillId="0" borderId="10" xfId="0" applyFont="1" applyBorder="1" applyAlignment="1">
      <alignment horizontal="center" vertical="center"/>
    </xf>
    <xf numFmtId="43" fontId="6" fillId="4" borderId="14" xfId="49" applyFont="1" applyFill="1" applyBorder="1" applyAlignment="1">
      <alignment horizontal="center" vertical="center" wrapText="1"/>
    </xf>
    <xf numFmtId="0" fontId="5" fillId="10" borderId="12" xfId="0" applyFont="1" applyFill="1" applyBorder="1" applyAlignment="1">
      <alignment horizontal="center" vertical="center"/>
    </xf>
    <xf numFmtId="43" fontId="6" fillId="0" borderId="16" xfId="49" applyFont="1" applyFill="1" applyBorder="1" applyAlignment="1">
      <alignment horizontal="justify" vertical="center"/>
    </xf>
    <xf numFmtId="0" fontId="6" fillId="4" borderId="18" xfId="0" applyFont="1" applyFill="1" applyBorder="1" applyAlignment="1">
      <alignment horizontal="center" vertical="center" wrapText="1"/>
    </xf>
    <xf numFmtId="14" fontId="6" fillId="0" borderId="24" xfId="0" applyNumberFormat="1" applyFont="1" applyBorder="1" applyAlignment="1">
      <alignment horizontal="center" vertical="center" wrapText="1"/>
    </xf>
    <xf numFmtId="0" fontId="6" fillId="4" borderId="31" xfId="0" applyFont="1" applyFill="1" applyBorder="1" applyAlignment="1">
      <alignment horizontal="center" vertical="center" wrapText="1"/>
    </xf>
    <xf numFmtId="43" fontId="6" fillId="0" borderId="10" xfId="49" applyFont="1" applyFill="1" applyBorder="1" applyAlignment="1" applyProtection="1">
      <alignment horizontal="right" vertical="center"/>
      <protection/>
    </xf>
    <xf numFmtId="0" fontId="6" fillId="0" borderId="24" xfId="0" applyFont="1" applyBorder="1" applyAlignment="1">
      <alignment horizontal="center" vertical="center" wrapText="1"/>
    </xf>
    <xf numFmtId="0" fontId="5" fillId="10" borderId="12" xfId="0" applyFont="1" applyFill="1" applyBorder="1" applyAlignment="1">
      <alignment vertical="center"/>
    </xf>
    <xf numFmtId="0" fontId="6" fillId="0" borderId="27" xfId="0" applyFont="1" applyBorder="1" applyAlignment="1">
      <alignment horizontal="justify"/>
    </xf>
    <xf numFmtId="0" fontId="6" fillId="0" borderId="27" xfId="0" applyFont="1" applyBorder="1" applyAlignment="1">
      <alignment horizontal="center" vertical="center"/>
    </xf>
    <xf numFmtId="0" fontId="6" fillId="0" borderId="0" xfId="0" applyFont="1" applyAlignment="1">
      <alignment horizontal="justify"/>
    </xf>
    <xf numFmtId="0" fontId="4" fillId="0" borderId="31"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horizontal="left" vertical="center"/>
    </xf>
    <xf numFmtId="0" fontId="4" fillId="0" borderId="25" xfId="0" applyFont="1" applyBorder="1" applyAlignment="1">
      <alignment vertical="center"/>
    </xf>
    <xf numFmtId="17" fontId="4" fillId="0" borderId="25" xfId="0" applyNumberFormat="1" applyFont="1" applyBorder="1" applyAlignment="1">
      <alignment horizontal="left"/>
    </xf>
    <xf numFmtId="3" fontId="4" fillId="0" borderId="25" xfId="0" applyNumberFormat="1" applyFont="1" applyBorder="1" applyAlignment="1">
      <alignment horizontal="left" vertical="center" wrapText="1"/>
    </xf>
    <xf numFmtId="165" fontId="4" fillId="9" borderId="10" xfId="0" applyNumberFormat="1" applyFont="1" applyFill="1" applyBorder="1" applyAlignment="1">
      <alignment horizontal="center" vertical="center" wrapText="1"/>
    </xf>
    <xf numFmtId="167" fontId="4" fillId="9" borderId="10" xfId="62" applyNumberFormat="1" applyFont="1" applyFill="1" applyBorder="1" applyAlignment="1">
      <alignment horizontal="justify" vertical="center" wrapText="1"/>
    </xf>
    <xf numFmtId="0" fontId="3" fillId="0" borderId="0" xfId="0" applyFont="1" applyAlignment="1">
      <alignment horizontal="center" vertical="center"/>
    </xf>
    <xf numFmtId="165" fontId="4" fillId="10" borderId="17" xfId="0" applyNumberFormat="1" applyFont="1" applyFill="1" applyBorder="1" applyAlignment="1">
      <alignment vertical="center"/>
    </xf>
    <xf numFmtId="1" fontId="4" fillId="9" borderId="24" xfId="0" applyNumberFormat="1" applyFont="1" applyFill="1" applyBorder="1" applyAlignment="1">
      <alignment horizontal="center" vertical="center"/>
    </xf>
    <xf numFmtId="165" fontId="4" fillId="9" borderId="12" xfId="0" applyNumberFormat="1" applyFont="1" applyFill="1" applyBorder="1" applyAlignment="1">
      <alignment vertical="center"/>
    </xf>
    <xf numFmtId="1" fontId="4" fillId="12" borderId="16" xfId="0" applyNumberFormat="1" applyFont="1" applyFill="1" applyBorder="1" applyAlignment="1">
      <alignment horizontal="center" vertical="center" wrapText="1"/>
    </xf>
    <xf numFmtId="165" fontId="4" fillId="12" borderId="17" xfId="0" applyNumberFormat="1" applyFont="1" applyFill="1" applyBorder="1" applyAlignment="1">
      <alignment vertical="center"/>
    </xf>
    <xf numFmtId="167" fontId="4" fillId="12" borderId="17" xfId="62" applyNumberFormat="1" applyFont="1" applyFill="1" applyBorder="1" applyAlignment="1">
      <alignment horizontal="justify" vertical="center"/>
    </xf>
    <xf numFmtId="0" fontId="4" fillId="12" borderId="35" xfId="0" applyFont="1" applyFill="1" applyBorder="1" applyAlignment="1">
      <alignment horizontal="justify" vertical="center"/>
    </xf>
    <xf numFmtId="1" fontId="3" fillId="0" borderId="16" xfId="0" applyNumberFormat="1" applyFont="1" applyBorder="1" applyAlignment="1">
      <alignment horizontal="center" vertical="center" wrapText="1"/>
    </xf>
    <xf numFmtId="0" fontId="3" fillId="0" borderId="16" xfId="0" applyFont="1" applyBorder="1" applyAlignment="1">
      <alignment horizontal="justify" vertical="center" wrapText="1"/>
    </xf>
    <xf numFmtId="10" fontId="3" fillId="0" borderId="10" xfId="77" applyNumberFormat="1" applyFont="1" applyBorder="1" applyAlignment="1">
      <alignment horizontal="center" vertical="center" wrapText="1"/>
    </xf>
    <xf numFmtId="0" fontId="3" fillId="0" borderId="10" xfId="0" applyFont="1" applyBorder="1" applyAlignment="1">
      <alignment horizontal="justify" vertical="center"/>
    </xf>
    <xf numFmtId="43" fontId="3" fillId="4" borderId="22" xfId="0" applyNumberFormat="1" applyFont="1" applyFill="1" applyBorder="1" applyAlignment="1">
      <alignment horizontal="center" vertical="center" wrapText="1"/>
    </xf>
    <xf numFmtId="43" fontId="3" fillId="0" borderId="16" xfId="49" applyFont="1" applyBorder="1" applyAlignment="1">
      <alignment horizontal="justify" vertical="center" wrapText="1"/>
    </xf>
    <xf numFmtId="1" fontId="4" fillId="4" borderId="40" xfId="0" applyNumberFormat="1"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10" fontId="4" fillId="12" borderId="17" xfId="0" applyNumberFormat="1" applyFont="1" applyFill="1" applyBorder="1" applyAlignment="1">
      <alignment horizontal="center" vertical="center"/>
    </xf>
    <xf numFmtId="43" fontId="4" fillId="12" borderId="17" xfId="49" applyFont="1" applyFill="1" applyBorder="1" applyAlignment="1">
      <alignment vertical="center"/>
    </xf>
    <xf numFmtId="43" fontId="4" fillId="12" borderId="17" xfId="49" applyFont="1" applyFill="1" applyBorder="1" applyAlignment="1">
      <alignment horizontal="justify" vertical="center"/>
    </xf>
    <xf numFmtId="1" fontId="4" fillId="12" borderId="0" xfId="0" applyNumberFormat="1" applyFont="1" applyFill="1" applyAlignment="1">
      <alignment horizontal="center" vertical="center"/>
    </xf>
    <xf numFmtId="0" fontId="4" fillId="12" borderId="0" xfId="0" applyFont="1" applyFill="1" applyAlignment="1">
      <alignment horizontal="center" vertical="center"/>
    </xf>
    <xf numFmtId="1" fontId="3" fillId="4" borderId="36" xfId="0" applyNumberFormat="1" applyFont="1" applyFill="1" applyBorder="1" applyAlignment="1">
      <alignment/>
    </xf>
    <xf numFmtId="43" fontId="3" fillId="0" borderId="16" xfId="49" applyFont="1" applyBorder="1" applyAlignment="1">
      <alignment horizontal="justify" vertical="center"/>
    </xf>
    <xf numFmtId="1" fontId="3" fillId="4" borderId="16" xfId="0" applyNumberFormat="1" applyFont="1" applyFill="1" applyBorder="1" applyAlignment="1">
      <alignment horizontal="center" vertical="center" wrapText="1"/>
    </xf>
    <xf numFmtId="43" fontId="3" fillId="4" borderId="16" xfId="49" applyFont="1" applyFill="1" applyBorder="1" applyAlignment="1">
      <alignment horizontal="justify" vertical="center"/>
    </xf>
    <xf numFmtId="1" fontId="4" fillId="12" borderId="17" xfId="0" applyNumberFormat="1" applyFont="1" applyFill="1" applyBorder="1" applyAlignment="1">
      <alignment horizontal="center" vertical="center" wrapText="1"/>
    </xf>
    <xf numFmtId="1" fontId="3" fillId="0" borderId="36" xfId="0" applyNumberFormat="1" applyFont="1" applyFill="1" applyBorder="1" applyAlignment="1">
      <alignment/>
    </xf>
    <xf numFmtId="0" fontId="3" fillId="0" borderId="0" xfId="0" applyFont="1" applyFill="1" applyAlignment="1">
      <alignment/>
    </xf>
    <xf numFmtId="1" fontId="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24" xfId="0" applyNumberFormat="1" applyFont="1" applyFill="1" applyBorder="1" applyAlignment="1">
      <alignment horizontal="center" vertical="center" wrapText="1"/>
    </xf>
    <xf numFmtId="10" fontId="3" fillId="4" borderId="10" xfId="77" applyNumberFormat="1" applyFont="1" applyFill="1" applyBorder="1" applyAlignment="1">
      <alignment horizontal="center" vertical="center"/>
    </xf>
    <xf numFmtId="0" fontId="3" fillId="0" borderId="14" xfId="0" applyFont="1" applyBorder="1" applyAlignment="1">
      <alignment horizontal="justify" vertical="center" wrapText="1" readingOrder="2"/>
    </xf>
    <xf numFmtId="3" fontId="3" fillId="4" borderId="10" xfId="0" applyNumberFormat="1" applyFont="1" applyFill="1" applyBorder="1" applyAlignment="1">
      <alignment horizontal="justify" vertical="center" wrapText="1"/>
    </xf>
    <xf numFmtId="0" fontId="3" fillId="0" borderId="10" xfId="0" applyFont="1" applyBorder="1" applyAlignment="1">
      <alignment horizontal="justify" vertical="center" wrapText="1" readingOrder="2"/>
    </xf>
    <xf numFmtId="10" fontId="4" fillId="10" borderId="17" xfId="0" applyNumberFormat="1" applyFont="1" applyFill="1" applyBorder="1" applyAlignment="1">
      <alignment horizontal="center" vertical="center"/>
    </xf>
    <xf numFmtId="43" fontId="4" fillId="10" borderId="17" xfId="49" applyFont="1" applyFill="1" applyBorder="1" applyAlignment="1">
      <alignment vertical="center"/>
    </xf>
    <xf numFmtId="43" fontId="4" fillId="10" borderId="17" xfId="49" applyFont="1" applyFill="1" applyBorder="1" applyAlignment="1">
      <alignment horizontal="justify" vertical="center"/>
    </xf>
    <xf numFmtId="1" fontId="4" fillId="10" borderId="12" xfId="0" applyNumberFormat="1" applyFont="1" applyFill="1" applyBorder="1" applyAlignment="1">
      <alignment horizontal="center" vertical="center"/>
    </xf>
    <xf numFmtId="0" fontId="4" fillId="10" borderId="12" xfId="0" applyFont="1" applyFill="1" applyBorder="1" applyAlignment="1">
      <alignment horizontal="center" vertical="center"/>
    </xf>
    <xf numFmtId="166" fontId="4" fillId="10" borderId="17" xfId="0" applyNumberFormat="1" applyFont="1" applyFill="1" applyBorder="1" applyAlignment="1">
      <alignment horizontal="center" vertical="center"/>
    </xf>
    <xf numFmtId="1" fontId="4" fillId="4" borderId="47" xfId="0" applyNumberFormat="1"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1" fontId="4" fillId="9" borderId="23" xfId="0" applyNumberFormat="1" applyFont="1" applyFill="1" applyBorder="1" applyAlignment="1">
      <alignment horizontal="center" vertical="center"/>
    </xf>
    <xf numFmtId="10" fontId="4" fillId="9" borderId="12" xfId="0" applyNumberFormat="1" applyFont="1" applyFill="1" applyBorder="1" applyAlignment="1">
      <alignment horizontal="center" vertical="center"/>
    </xf>
    <xf numFmtId="43" fontId="4" fillId="9" borderId="12" xfId="49" applyFont="1" applyFill="1" applyBorder="1" applyAlignment="1">
      <alignment vertical="center"/>
    </xf>
    <xf numFmtId="43" fontId="4" fillId="9" borderId="12" xfId="49" applyFont="1" applyFill="1" applyBorder="1" applyAlignment="1">
      <alignment horizontal="justify" vertical="center"/>
    </xf>
    <xf numFmtId="166" fontId="4" fillId="9" borderId="12" xfId="0" applyNumberFormat="1" applyFont="1" applyFill="1" applyBorder="1" applyAlignment="1">
      <alignment horizontal="center" vertical="center"/>
    </xf>
    <xf numFmtId="0" fontId="3" fillId="4" borderId="20"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xf>
    <xf numFmtId="0" fontId="3" fillId="0" borderId="14" xfId="0" applyFont="1" applyFill="1" applyBorder="1" applyAlignment="1">
      <alignment horizontal="justify" vertical="center" wrapText="1"/>
    </xf>
    <xf numFmtId="0" fontId="3" fillId="4" borderId="12" xfId="0" applyFont="1" applyFill="1" applyBorder="1" applyAlignment="1">
      <alignment/>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1" fontId="4" fillId="12" borderId="20" xfId="0" applyNumberFormat="1" applyFont="1" applyFill="1" applyBorder="1" applyAlignment="1">
      <alignment horizontal="center" vertical="center" wrapText="1"/>
    </xf>
    <xf numFmtId="1" fontId="4" fillId="12" borderId="12" xfId="0" applyNumberFormat="1" applyFont="1" applyFill="1" applyBorder="1" applyAlignment="1">
      <alignment horizontal="center" vertical="center"/>
    </xf>
    <xf numFmtId="43" fontId="3" fillId="4" borderId="10" xfId="49" applyFont="1" applyFill="1" applyBorder="1" applyAlignment="1">
      <alignment horizontal="justify" vertical="center"/>
    </xf>
    <xf numFmtId="0" fontId="3" fillId="4" borderId="18" xfId="0" applyFont="1" applyFill="1" applyBorder="1" applyAlignment="1">
      <alignment horizontal="center" vertical="center" wrapText="1"/>
    </xf>
    <xf numFmtId="43" fontId="3" fillId="4" borderId="10" xfId="49" applyFont="1" applyFill="1" applyBorder="1" applyAlignment="1">
      <alignment vertical="center"/>
    </xf>
    <xf numFmtId="166" fontId="3" fillId="0" borderId="24" xfId="0" applyNumberFormat="1" applyFont="1" applyBorder="1" applyAlignment="1">
      <alignment horizontal="center" vertical="center" wrapText="1"/>
    </xf>
    <xf numFmtId="166" fontId="3" fillId="0" borderId="24" xfId="0" applyNumberFormat="1" applyFont="1" applyBorder="1" applyAlignment="1">
      <alignment vertical="center" wrapText="1"/>
    </xf>
    <xf numFmtId="0" fontId="3" fillId="0" borderId="48" xfId="0" applyFont="1" applyBorder="1" applyAlignment="1">
      <alignment vertical="center" wrapText="1"/>
    </xf>
    <xf numFmtId="1" fontId="4" fillId="12" borderId="12" xfId="0" applyNumberFormat="1" applyFont="1" applyFill="1" applyBorder="1" applyAlignment="1">
      <alignment horizontal="center" vertical="center" wrapText="1"/>
    </xf>
    <xf numFmtId="1" fontId="3" fillId="4" borderId="40" xfId="0" applyNumberFormat="1" applyFont="1" applyFill="1" applyBorder="1" applyAlignment="1">
      <alignment/>
    </xf>
    <xf numFmtId="0" fontId="4" fillId="10" borderId="12" xfId="0" applyFont="1" applyFill="1" applyBorder="1" applyAlignment="1">
      <alignment vertical="center"/>
    </xf>
    <xf numFmtId="1" fontId="4" fillId="9" borderId="13" xfId="0" applyNumberFormat="1" applyFont="1" applyFill="1" applyBorder="1" applyAlignment="1">
      <alignment horizontal="center" vertical="center"/>
    </xf>
    <xf numFmtId="0" fontId="12" fillId="4" borderId="10" xfId="0" applyFont="1" applyFill="1" applyBorder="1" applyAlignment="1">
      <alignment horizontal="justify" vertical="center" wrapText="1"/>
    </xf>
    <xf numFmtId="0" fontId="3" fillId="0" borderId="26" xfId="0" applyFont="1" applyBorder="1" applyAlignment="1">
      <alignment/>
    </xf>
    <xf numFmtId="0" fontId="3" fillId="0" borderId="27" xfId="0" applyFont="1" applyBorder="1" applyAlignment="1">
      <alignment/>
    </xf>
    <xf numFmtId="0" fontId="3" fillId="0" borderId="27" xfId="0" applyFont="1" applyBorder="1" applyAlignment="1">
      <alignment horizontal="justify"/>
    </xf>
    <xf numFmtId="0" fontId="3" fillId="0" borderId="27" xfId="0" applyFont="1" applyBorder="1" applyAlignment="1">
      <alignment horizontal="center"/>
    </xf>
    <xf numFmtId="0" fontId="3" fillId="0" borderId="28" xfId="0" applyFont="1" applyBorder="1" applyAlignment="1">
      <alignment/>
    </xf>
    <xf numFmtId="43" fontId="4" fillId="0" borderId="30" xfId="49" applyFont="1" applyBorder="1" applyAlignment="1">
      <alignment vertical="center"/>
    </xf>
    <xf numFmtId="0" fontId="4" fillId="0" borderId="26" xfId="0" applyFont="1" applyBorder="1" applyAlignment="1">
      <alignment horizontal="justify"/>
    </xf>
    <xf numFmtId="0" fontId="4" fillId="0" borderId="27" xfId="0" applyFont="1" applyBorder="1" applyAlignment="1">
      <alignment horizontal="justify"/>
    </xf>
    <xf numFmtId="0" fontId="4" fillId="0" borderId="28" xfId="0" applyFont="1" applyBorder="1" applyAlignment="1">
      <alignment horizontal="justify"/>
    </xf>
    <xf numFmtId="0" fontId="4" fillId="0" borderId="26" xfId="0" applyFont="1" applyBorder="1" applyAlignment="1">
      <alignment/>
    </xf>
    <xf numFmtId="0" fontId="3" fillId="0" borderId="49" xfId="0" applyFont="1" applyBorder="1" applyAlignment="1">
      <alignment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lignment vertical="center" wrapText="1"/>
    </xf>
    <xf numFmtId="3" fontId="9" fillId="0" borderId="10" xfId="0" applyNumberFormat="1" applyFont="1" applyBorder="1" applyAlignment="1">
      <alignment horizontal="left" vertical="center" wrapText="1"/>
    </xf>
    <xf numFmtId="1" fontId="5" fillId="10" borderId="20" xfId="0" applyNumberFormat="1" applyFont="1" applyFill="1" applyBorder="1" applyAlignment="1">
      <alignment horizontal="justify" vertical="center" wrapText="1"/>
    </xf>
    <xf numFmtId="168" fontId="5" fillId="10" borderId="17" xfId="0" applyNumberFormat="1" applyFont="1" applyFill="1" applyBorder="1" applyAlignment="1">
      <alignment horizontal="justify" vertical="center"/>
    </xf>
    <xf numFmtId="0" fontId="6" fillId="10" borderId="17" xfId="0" applyFont="1" applyFill="1" applyBorder="1" applyAlignment="1">
      <alignment horizontal="justify" vertical="center"/>
    </xf>
    <xf numFmtId="43" fontId="6" fillId="10" borderId="17" xfId="52" applyNumberFormat="1" applyFont="1" applyFill="1" applyBorder="1" applyAlignment="1">
      <alignment horizontal="center" vertical="center"/>
    </xf>
    <xf numFmtId="0" fontId="5" fillId="10" borderId="18" xfId="0" applyFont="1" applyFill="1" applyBorder="1" applyAlignment="1">
      <alignment horizontal="justify" vertical="center"/>
    </xf>
    <xf numFmtId="1" fontId="5" fillId="4" borderId="19" xfId="0" applyNumberFormat="1" applyFont="1" applyFill="1" applyBorder="1" applyAlignment="1">
      <alignment horizontal="justify" vertical="center" wrapText="1"/>
    </xf>
    <xf numFmtId="0" fontId="5" fillId="4" borderId="20" xfId="0" applyFont="1" applyFill="1" applyBorder="1" applyAlignment="1">
      <alignment horizontal="justify" vertical="center" wrapText="1"/>
    </xf>
    <xf numFmtId="0" fontId="5" fillId="4" borderId="21" xfId="0" applyFont="1" applyFill="1" applyBorder="1" applyAlignment="1">
      <alignment horizontal="justify" vertical="center" wrapText="1"/>
    </xf>
    <xf numFmtId="1" fontId="5" fillId="9" borderId="0" xfId="0" applyNumberFormat="1" applyFont="1" applyFill="1" applyAlignment="1">
      <alignment horizontal="justify" vertical="center"/>
    </xf>
    <xf numFmtId="168" fontId="5" fillId="9" borderId="12" xfId="0" applyNumberFormat="1" applyFont="1" applyFill="1" applyBorder="1" applyAlignment="1">
      <alignment horizontal="justify" vertical="center"/>
    </xf>
    <xf numFmtId="0" fontId="6" fillId="9" borderId="12" xfId="0" applyFont="1" applyFill="1" applyBorder="1" applyAlignment="1">
      <alignment horizontal="justify" vertical="center"/>
    </xf>
    <xf numFmtId="43" fontId="6" fillId="9" borderId="12" xfId="52" applyNumberFormat="1" applyFont="1" applyFill="1" applyBorder="1" applyAlignment="1">
      <alignment horizontal="center" vertical="center"/>
    </xf>
    <xf numFmtId="0" fontId="5" fillId="9" borderId="13" xfId="0" applyFont="1" applyFill="1" applyBorder="1" applyAlignment="1">
      <alignment horizontal="justify" vertical="center"/>
    </xf>
    <xf numFmtId="1" fontId="5" fillId="4" borderId="22" xfId="0" applyNumberFormat="1" applyFont="1" applyFill="1" applyBorder="1" applyAlignment="1">
      <alignment horizontal="justify" vertical="center" wrapText="1"/>
    </xf>
    <xf numFmtId="0" fontId="5" fillId="4" borderId="0" xfId="0" applyFont="1" applyFill="1" applyAlignment="1">
      <alignment horizontal="justify" vertical="center" wrapText="1"/>
    </xf>
    <xf numFmtId="0" fontId="5" fillId="4" borderId="19" xfId="0" applyFont="1" applyFill="1" applyBorder="1" applyAlignment="1">
      <alignment horizontal="justify" vertical="center" wrapText="1"/>
    </xf>
    <xf numFmtId="1" fontId="5" fillId="12" borderId="16" xfId="0" applyNumberFormat="1" applyFont="1" applyFill="1" applyBorder="1" applyAlignment="1">
      <alignment horizontal="justify" vertical="center" wrapText="1"/>
    </xf>
    <xf numFmtId="168" fontId="5" fillId="12" borderId="17" xfId="0" applyNumberFormat="1" applyFont="1" applyFill="1" applyBorder="1" applyAlignment="1">
      <alignment horizontal="justify" vertical="center"/>
    </xf>
    <xf numFmtId="165" fontId="5" fillId="12" borderId="20" xfId="0" applyNumberFormat="1" applyFont="1" applyFill="1" applyBorder="1" applyAlignment="1">
      <alignment horizontal="center" vertical="center"/>
    </xf>
    <xf numFmtId="0" fontId="6" fillId="12" borderId="17" xfId="0" applyFont="1" applyFill="1" applyBorder="1" applyAlignment="1">
      <alignment horizontal="justify" vertical="center"/>
    </xf>
    <xf numFmtId="43" fontId="6" fillId="12" borderId="17" xfId="52" applyNumberFormat="1" applyFont="1" applyFill="1" applyBorder="1" applyAlignment="1">
      <alignment horizontal="center" vertical="center"/>
    </xf>
    <xf numFmtId="0" fontId="5" fillId="12" borderId="18" xfId="0" applyFont="1" applyFill="1" applyBorder="1" applyAlignment="1">
      <alignment horizontal="justify" vertical="center"/>
    </xf>
    <xf numFmtId="1" fontId="6" fillId="0" borderId="22" xfId="0" applyNumberFormat="1" applyFont="1" applyBorder="1" applyAlignment="1">
      <alignment horizontal="justify" vertical="center" wrapText="1"/>
    </xf>
    <xf numFmtId="0" fontId="6" fillId="0" borderId="0" xfId="0" applyFont="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19" xfId="0" applyFont="1" applyBorder="1" applyAlignment="1">
      <alignment horizontal="justify" vertical="center" wrapText="1"/>
    </xf>
    <xf numFmtId="3" fontId="6" fillId="0" borderId="10" xfId="0" applyNumberFormat="1" applyFont="1" applyBorder="1" applyAlignment="1">
      <alignment horizontal="justify" vertical="center" wrapText="1"/>
    </xf>
    <xf numFmtId="0" fontId="14" fillId="0" borderId="10" xfId="0" applyFont="1" applyBorder="1" applyAlignment="1">
      <alignment horizontal="justify" vertical="center"/>
    </xf>
    <xf numFmtId="43" fontId="6" fillId="0" borderId="10" xfId="54" applyNumberFormat="1" applyFont="1" applyBorder="1" applyAlignment="1">
      <alignment horizontal="center" vertical="center"/>
    </xf>
    <xf numFmtId="0" fontId="6" fillId="0" borderId="10" xfId="69" applyFont="1" applyBorder="1" applyAlignment="1">
      <alignment horizontal="justify" vertical="center"/>
      <protection/>
    </xf>
    <xf numFmtId="0" fontId="6" fillId="0" borderId="10" xfId="69" applyFont="1" applyBorder="1" applyAlignment="1">
      <alignment horizontal="justify" vertical="center" wrapText="1"/>
      <protection/>
    </xf>
    <xf numFmtId="1" fontId="6" fillId="4" borderId="22" xfId="0" applyNumberFormat="1" applyFont="1" applyFill="1" applyBorder="1" applyAlignment="1">
      <alignment horizontal="justify"/>
    </xf>
    <xf numFmtId="0" fontId="6" fillId="4" borderId="22" xfId="0" applyFont="1" applyFill="1" applyBorder="1" applyAlignment="1">
      <alignment horizontal="justify"/>
    </xf>
    <xf numFmtId="0" fontId="6" fillId="12" borderId="16" xfId="0" applyFont="1" applyFill="1" applyBorder="1" applyAlignment="1">
      <alignment horizontal="justify"/>
    </xf>
    <xf numFmtId="165" fontId="5" fillId="12" borderId="12" xfId="0" applyNumberFormat="1" applyFont="1" applyFill="1" applyBorder="1" applyAlignment="1">
      <alignment horizontal="center" vertical="center"/>
    </xf>
    <xf numFmtId="0" fontId="5" fillId="12" borderId="17" xfId="0" applyFont="1" applyFill="1" applyBorder="1" applyAlignment="1">
      <alignment horizontal="justify" vertical="center" wrapText="1"/>
    </xf>
    <xf numFmtId="43" fontId="6" fillId="12" borderId="17" xfId="54" applyNumberFormat="1" applyFont="1" applyFill="1" applyBorder="1" applyAlignment="1">
      <alignment horizontal="center" vertical="center"/>
    </xf>
    <xf numFmtId="1" fontId="6" fillId="12" borderId="17" xfId="0" applyNumberFormat="1" applyFont="1" applyFill="1" applyBorder="1" applyAlignment="1">
      <alignment horizontal="center" vertical="center"/>
    </xf>
    <xf numFmtId="0" fontId="6" fillId="12" borderId="17" xfId="0" applyFont="1" applyFill="1" applyBorder="1" applyAlignment="1">
      <alignment/>
    </xf>
    <xf numFmtId="2" fontId="6" fillId="12" borderId="17" xfId="0" applyNumberFormat="1" applyFont="1" applyFill="1" applyBorder="1" applyAlignment="1">
      <alignment vertical="center" wrapText="1"/>
    </xf>
    <xf numFmtId="166" fontId="6" fillId="12" borderId="17" xfId="0" applyNumberFormat="1" applyFont="1" applyFill="1" applyBorder="1" applyAlignment="1">
      <alignment horizontal="right" vertical="center"/>
    </xf>
    <xf numFmtId="166" fontId="6" fillId="12" borderId="17" xfId="0" applyNumberFormat="1" applyFont="1" applyFill="1" applyBorder="1" applyAlignment="1">
      <alignment horizontal="center"/>
    </xf>
    <xf numFmtId="0" fontId="6" fillId="12" borderId="18" xfId="0" applyFont="1" applyFill="1" applyBorder="1" applyAlignment="1">
      <alignment horizontal="justify" vertical="center" wrapText="1"/>
    </xf>
    <xf numFmtId="1" fontId="6" fillId="0" borderId="22" xfId="0" applyNumberFormat="1" applyFont="1" applyBorder="1" applyAlignment="1">
      <alignment horizontal="justify"/>
    </xf>
    <xf numFmtId="0" fontId="6" fillId="0" borderId="22" xfId="0" applyFont="1" applyBorder="1" applyAlignment="1">
      <alignment horizontal="justify"/>
    </xf>
    <xf numFmtId="0" fontId="6" fillId="0" borderId="11" xfId="0" applyFont="1" applyBorder="1" applyAlignment="1">
      <alignment horizontal="justify"/>
    </xf>
    <xf numFmtId="1" fontId="5" fillId="13" borderId="16" xfId="0" applyNumberFormat="1" applyFont="1" applyFill="1" applyBorder="1" applyAlignment="1">
      <alignment horizontal="justify" vertical="center"/>
    </xf>
    <xf numFmtId="0" fontId="5" fillId="13" borderId="20" xfId="0" applyFont="1" applyFill="1" applyBorder="1" applyAlignment="1">
      <alignment horizontal="justify" vertical="center"/>
    </xf>
    <xf numFmtId="0" fontId="5" fillId="13" borderId="20" xfId="0" applyFont="1" applyFill="1" applyBorder="1" applyAlignment="1">
      <alignment horizontal="center" vertical="center"/>
    </xf>
    <xf numFmtId="168" fontId="5" fillId="13" borderId="20" xfId="0" applyNumberFormat="1" applyFont="1" applyFill="1" applyBorder="1" applyAlignment="1">
      <alignment horizontal="justify" vertical="center"/>
    </xf>
    <xf numFmtId="165" fontId="5" fillId="13" borderId="20" xfId="0" applyNumberFormat="1" applyFont="1" applyFill="1" applyBorder="1" applyAlignment="1">
      <alignment horizontal="center" vertical="center"/>
    </xf>
    <xf numFmtId="0" fontId="5" fillId="13" borderId="20" xfId="0" applyFont="1" applyFill="1" applyBorder="1" applyAlignment="1">
      <alignment horizontal="justify" vertical="center" wrapText="1"/>
    </xf>
    <xf numFmtId="0" fontId="6" fillId="13" borderId="20" xfId="0" applyFont="1" applyFill="1" applyBorder="1" applyAlignment="1">
      <alignment horizontal="justify" vertical="center"/>
    </xf>
    <xf numFmtId="43" fontId="6" fillId="13" borderId="20" xfId="52" applyNumberFormat="1" applyFont="1" applyFill="1" applyBorder="1" applyAlignment="1">
      <alignment horizontal="center" vertical="center"/>
    </xf>
    <xf numFmtId="1" fontId="6" fillId="13" borderId="20" xfId="0" applyNumberFormat="1" applyFont="1" applyFill="1" applyBorder="1" applyAlignment="1">
      <alignment horizontal="center" vertical="center"/>
    </xf>
    <xf numFmtId="0" fontId="6" fillId="13" borderId="20" xfId="0" applyFont="1" applyFill="1" applyBorder="1" applyAlignment="1">
      <alignment horizontal="center" vertical="center"/>
    </xf>
    <xf numFmtId="0" fontId="6" fillId="13" borderId="20" xfId="0" applyFont="1" applyFill="1" applyBorder="1" applyAlignment="1">
      <alignment/>
    </xf>
    <xf numFmtId="2" fontId="6" fillId="13" borderId="20" xfId="0" applyNumberFormat="1" applyFont="1" applyFill="1" applyBorder="1" applyAlignment="1">
      <alignment vertical="center" wrapText="1"/>
    </xf>
    <xf numFmtId="166" fontId="6" fillId="13" borderId="20" xfId="0" applyNumberFormat="1" applyFont="1" applyFill="1" applyBorder="1" applyAlignment="1">
      <alignment horizontal="right" vertical="center"/>
    </xf>
    <xf numFmtId="166" fontId="6" fillId="13" borderId="20" xfId="0" applyNumberFormat="1" applyFont="1" applyFill="1" applyBorder="1" applyAlignment="1">
      <alignment horizontal="center"/>
    </xf>
    <xf numFmtId="0" fontId="6" fillId="13" borderId="21" xfId="0" applyFont="1" applyFill="1" applyBorder="1" applyAlignment="1">
      <alignment horizontal="justify" vertical="center" wrapText="1"/>
    </xf>
    <xf numFmtId="0" fontId="6" fillId="4" borderId="23" xfId="0" applyFont="1" applyFill="1" applyBorder="1" applyAlignment="1">
      <alignment horizontal="justify"/>
    </xf>
    <xf numFmtId="1" fontId="6" fillId="0" borderId="22" xfId="0" applyNumberFormat="1" applyFont="1" applyBorder="1" applyAlignment="1">
      <alignment horizontal="justify" vertical="center"/>
    </xf>
    <xf numFmtId="0" fontId="6" fillId="0" borderId="23" xfId="0" applyFont="1" applyBorder="1" applyAlignment="1">
      <alignment horizontal="justify" vertical="center"/>
    </xf>
    <xf numFmtId="0" fontId="6" fillId="0" borderId="22" xfId="0" applyFont="1" applyBorder="1" applyAlignment="1">
      <alignment horizontal="justify" vertical="center"/>
    </xf>
    <xf numFmtId="0" fontId="6" fillId="0" borderId="19" xfId="0" applyFont="1" applyBorder="1" applyAlignment="1">
      <alignment horizontal="justify" vertical="center"/>
    </xf>
    <xf numFmtId="49" fontId="6" fillId="0" borderId="10" xfId="46" applyNumberFormat="1" applyFont="1" applyBorder="1" applyAlignment="1">
      <alignment horizontal="justify" vertical="center" wrapText="1"/>
      <protection/>
    </xf>
    <xf numFmtId="1" fontId="5" fillId="13" borderId="16" xfId="0" applyNumberFormat="1" applyFont="1" applyFill="1" applyBorder="1" applyAlignment="1">
      <alignment horizontal="justify" vertical="center"/>
    </xf>
    <xf numFmtId="0" fontId="5" fillId="13" borderId="17" xfId="0" applyFont="1" applyFill="1" applyBorder="1" applyAlignment="1">
      <alignment horizontal="justify" vertical="center"/>
    </xf>
    <xf numFmtId="0" fontId="5" fillId="13" borderId="20" xfId="0" applyFont="1" applyFill="1" applyBorder="1" applyAlignment="1">
      <alignment horizontal="justify" vertical="center"/>
    </xf>
    <xf numFmtId="0" fontId="5" fillId="13" borderId="20" xfId="0" applyFont="1" applyFill="1" applyBorder="1" applyAlignment="1">
      <alignment horizontal="center" vertical="center"/>
    </xf>
    <xf numFmtId="168" fontId="5" fillId="13" borderId="20" xfId="0" applyNumberFormat="1" applyFont="1" applyFill="1" applyBorder="1" applyAlignment="1">
      <alignment horizontal="justify" vertical="center"/>
    </xf>
    <xf numFmtId="165" fontId="5" fillId="13" borderId="20" xfId="0" applyNumberFormat="1" applyFont="1" applyFill="1" applyBorder="1" applyAlignment="1">
      <alignment horizontal="center" vertical="center"/>
    </xf>
    <xf numFmtId="0" fontId="5" fillId="13" borderId="20" xfId="0" applyFont="1" applyFill="1" applyBorder="1" applyAlignment="1">
      <alignment horizontal="justify" vertical="center" wrapText="1"/>
    </xf>
    <xf numFmtId="0" fontId="6" fillId="13" borderId="20" xfId="0" applyFont="1" applyFill="1" applyBorder="1" applyAlignment="1">
      <alignment horizontal="justify" vertical="center"/>
    </xf>
    <xf numFmtId="43" fontId="6" fillId="13" borderId="20" xfId="52" applyNumberFormat="1" applyFont="1" applyFill="1" applyBorder="1" applyAlignment="1">
      <alignment horizontal="center" vertical="center"/>
    </xf>
    <xf numFmtId="1" fontId="6" fillId="13" borderId="20" xfId="0" applyNumberFormat="1" applyFont="1" applyFill="1" applyBorder="1" applyAlignment="1">
      <alignment horizontal="center" vertical="center"/>
    </xf>
    <xf numFmtId="0" fontId="6" fillId="13" borderId="20" xfId="0" applyFont="1" applyFill="1" applyBorder="1" applyAlignment="1">
      <alignment horizontal="center" vertical="center"/>
    </xf>
    <xf numFmtId="0" fontId="6" fillId="13" borderId="20" xfId="0" applyFont="1" applyFill="1" applyBorder="1" applyAlignment="1">
      <alignment/>
    </xf>
    <xf numFmtId="2" fontId="6" fillId="13" borderId="20" xfId="0" applyNumberFormat="1" applyFont="1" applyFill="1" applyBorder="1" applyAlignment="1">
      <alignment vertical="center" wrapText="1"/>
    </xf>
    <xf numFmtId="166" fontId="6" fillId="13" borderId="20" xfId="0" applyNumberFormat="1" applyFont="1" applyFill="1" applyBorder="1" applyAlignment="1">
      <alignment horizontal="right" vertical="center"/>
    </xf>
    <xf numFmtId="166" fontId="6" fillId="13" borderId="20" xfId="0" applyNumberFormat="1" applyFont="1" applyFill="1" applyBorder="1" applyAlignment="1">
      <alignment horizontal="center"/>
    </xf>
    <xf numFmtId="0" fontId="6" fillId="13" borderId="21" xfId="0" applyFont="1" applyFill="1" applyBorder="1" applyAlignment="1">
      <alignment horizontal="justify" vertical="center" wrapText="1"/>
    </xf>
    <xf numFmtId="0" fontId="6" fillId="4" borderId="19" xfId="0" applyFont="1" applyFill="1" applyBorder="1" applyAlignment="1">
      <alignment horizontal="justify"/>
    </xf>
    <xf numFmtId="0" fontId="6" fillId="4" borderId="20" xfId="0" applyFont="1" applyFill="1" applyBorder="1" applyAlignment="1">
      <alignment horizontal="justify"/>
    </xf>
    <xf numFmtId="0" fontId="6" fillId="4" borderId="21" xfId="0" applyFont="1" applyFill="1" applyBorder="1" applyAlignment="1">
      <alignment horizontal="justify"/>
    </xf>
    <xf numFmtId="1" fontId="6" fillId="12" borderId="20" xfId="0" applyNumberFormat="1" applyFont="1" applyFill="1" applyBorder="1" applyAlignment="1">
      <alignment horizontal="center" vertical="center"/>
    </xf>
    <xf numFmtId="0" fontId="6" fillId="12" borderId="20" xfId="0" applyFont="1" applyFill="1" applyBorder="1" applyAlignment="1">
      <alignment horizontal="center" vertical="center"/>
    </xf>
    <xf numFmtId="0" fontId="6" fillId="12" borderId="20" xfId="0" applyFont="1" applyFill="1" applyBorder="1" applyAlignment="1">
      <alignment/>
    </xf>
    <xf numFmtId="0" fontId="6" fillId="0" borderId="19" xfId="0" applyFont="1" applyBorder="1" applyAlignment="1">
      <alignment horizontal="justify"/>
    </xf>
    <xf numFmtId="0" fontId="6" fillId="0" borderId="20" xfId="0" applyFont="1" applyBorder="1" applyAlignment="1">
      <alignment horizontal="justify"/>
    </xf>
    <xf numFmtId="43" fontId="6" fillId="0" borderId="10" xfId="54" applyNumberFormat="1" applyFont="1" applyFill="1" applyBorder="1" applyAlignment="1">
      <alignment horizontal="center" vertical="center"/>
    </xf>
    <xf numFmtId="0" fontId="6" fillId="0" borderId="0" xfId="0" applyFont="1" applyAlignment="1">
      <alignment horizontal="justify" wrapText="1"/>
    </xf>
    <xf numFmtId="1" fontId="6" fillId="0" borderId="10" xfId="0" applyNumberFormat="1" applyFont="1" applyBorder="1" applyAlignment="1">
      <alignment horizontal="center" vertical="center" wrapText="1"/>
    </xf>
    <xf numFmtId="1" fontId="6" fillId="0" borderId="16" xfId="0" applyNumberFormat="1" applyFont="1" applyBorder="1" applyAlignment="1">
      <alignment horizontal="center" vertical="center"/>
    </xf>
    <xf numFmtId="9" fontId="6" fillId="0" borderId="10" xfId="79" applyFont="1" applyBorder="1" applyAlignment="1">
      <alignment horizontal="center" vertical="center"/>
    </xf>
    <xf numFmtId="43" fontId="6" fillId="0" borderId="16" xfId="54" applyNumberFormat="1" applyFont="1" applyFill="1" applyBorder="1" applyAlignment="1">
      <alignment horizontal="center" vertical="center"/>
    </xf>
    <xf numFmtId="1" fontId="6" fillId="0" borderId="24" xfId="0" applyNumberFormat="1" applyFont="1" applyBorder="1" applyAlignment="1">
      <alignment horizontal="center" vertical="center" wrapText="1"/>
    </xf>
    <xf numFmtId="0" fontId="6" fillId="0" borderId="24" xfId="0" applyFont="1" applyBorder="1" applyAlignment="1">
      <alignment horizontal="justify" vertical="center" wrapText="1"/>
    </xf>
    <xf numFmtId="1" fontId="6" fillId="0" borderId="24"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justify" vertical="center" wrapText="1"/>
    </xf>
    <xf numFmtId="9" fontId="6" fillId="0" borderId="12" xfId="79" applyFont="1" applyBorder="1" applyAlignment="1">
      <alignment horizontal="center" vertical="center"/>
    </xf>
    <xf numFmtId="43" fontId="6" fillId="0" borderId="24" xfId="54" applyFont="1" applyBorder="1" applyAlignment="1">
      <alignment horizontal="center" vertical="center" wrapText="1"/>
    </xf>
    <xf numFmtId="1" fontId="6" fillId="0" borderId="24" xfId="54" applyNumberFormat="1" applyFont="1" applyBorder="1" applyAlignment="1">
      <alignment horizontal="center" vertical="center"/>
    </xf>
    <xf numFmtId="1" fontId="6" fillId="0" borderId="24" xfId="54" applyNumberFormat="1" applyFont="1" applyBorder="1" applyAlignment="1">
      <alignment horizontal="center" vertical="center" wrapText="1"/>
    </xf>
    <xf numFmtId="1" fontId="6" fillId="0" borderId="11" xfId="54" applyNumberFormat="1" applyFont="1" applyBorder="1" applyAlignment="1">
      <alignment horizontal="center" vertical="center" wrapText="1"/>
    </xf>
    <xf numFmtId="1" fontId="6" fillId="0" borderId="13" xfId="54" applyNumberFormat="1" applyFont="1" applyBorder="1" applyAlignment="1">
      <alignment horizontal="center" vertical="center" wrapText="1"/>
    </xf>
    <xf numFmtId="187" fontId="6" fillId="0" borderId="24" xfId="0" applyNumberFormat="1" applyFont="1" applyBorder="1" applyAlignment="1">
      <alignment horizontal="center" vertical="center"/>
    </xf>
    <xf numFmtId="43" fontId="6" fillId="0" borderId="16" xfId="54" applyNumberFormat="1" applyFont="1" applyBorder="1" applyAlignment="1">
      <alignment horizontal="center" vertical="center"/>
    </xf>
    <xf numFmtId="0" fontId="6" fillId="0" borderId="10" xfId="0" applyFont="1" applyFill="1" applyBorder="1" applyAlignment="1">
      <alignment horizontal="justify" vertical="center"/>
    </xf>
    <xf numFmtId="0" fontId="6" fillId="0" borderId="16" xfId="0" applyFont="1" applyBorder="1" applyAlignment="1">
      <alignment horizontal="center" vertical="center" wrapText="1"/>
    </xf>
    <xf numFmtId="9" fontId="6" fillId="0" borderId="17" xfId="79" applyFont="1" applyBorder="1" applyAlignment="1">
      <alignment horizontal="center" vertical="center" wrapText="1"/>
    </xf>
    <xf numFmtId="0" fontId="6" fillId="0" borderId="18" xfId="0" applyFont="1" applyBorder="1" applyAlignment="1">
      <alignment horizontal="justify" vertical="center" wrapText="1"/>
    </xf>
    <xf numFmtId="1" fontId="6" fillId="0" borderId="14" xfId="0" applyNumberFormat="1" applyFont="1" applyBorder="1" applyAlignment="1">
      <alignment horizontal="center" vertical="center"/>
    </xf>
    <xf numFmtId="1" fontId="6" fillId="0" borderId="24" xfId="0" applyNumberFormat="1" applyFont="1" applyBorder="1" applyAlignment="1">
      <alignment vertical="center" wrapText="1"/>
    </xf>
    <xf numFmtId="1" fontId="6" fillId="0" borderId="18" xfId="0" applyNumberFormat="1" applyFont="1" applyBorder="1" applyAlignment="1">
      <alignment horizontal="center" vertical="center"/>
    </xf>
    <xf numFmtId="1" fontId="6" fillId="0" borderId="10" xfId="0" applyNumberFormat="1" applyFont="1" applyBorder="1" applyAlignment="1">
      <alignment horizontal="center" vertical="center"/>
    </xf>
    <xf numFmtId="187" fontId="6" fillId="0" borderId="10" xfId="0" applyNumberFormat="1" applyFont="1" applyBorder="1" applyAlignment="1">
      <alignment horizontal="center" vertical="center"/>
    </xf>
    <xf numFmtId="0" fontId="6" fillId="0" borderId="10" xfId="0" applyFont="1" applyBorder="1" applyAlignment="1">
      <alignment horizontal="justify" vertical="top" wrapText="1"/>
    </xf>
    <xf numFmtId="0" fontId="6" fillId="0" borderId="14" xfId="0" applyFont="1" applyBorder="1" applyAlignment="1">
      <alignment horizontal="justify" vertical="center"/>
    </xf>
    <xf numFmtId="0" fontId="6" fillId="0" borderId="14" xfId="0" applyFont="1" applyFill="1" applyBorder="1" applyAlignment="1">
      <alignment horizontal="justify" vertical="center"/>
    </xf>
    <xf numFmtId="2" fontId="6" fillId="0" borderId="10" xfId="0" applyNumberFormat="1" applyFont="1" applyBorder="1" applyAlignment="1">
      <alignment horizontal="justify" vertical="center" wrapText="1"/>
    </xf>
    <xf numFmtId="9" fontId="6" fillId="0" borderId="16" xfId="79" applyFont="1" applyBorder="1" applyAlignment="1">
      <alignment horizontal="center" vertical="center" wrapText="1"/>
    </xf>
    <xf numFmtId="43" fontId="6" fillId="0" borderId="14" xfId="54" applyFont="1" applyBorder="1" applyAlignment="1">
      <alignment horizontal="center" vertical="center" wrapText="1"/>
    </xf>
    <xf numFmtId="0" fontId="6" fillId="0" borderId="24" xfId="0" applyFont="1" applyBorder="1" applyAlignment="1">
      <alignment vertical="center" wrapText="1"/>
    </xf>
    <xf numFmtId="2" fontId="6" fillId="0" borderId="10" xfId="0" applyNumberFormat="1" applyFont="1" applyBorder="1" applyAlignment="1">
      <alignment vertical="center" wrapText="1"/>
    </xf>
    <xf numFmtId="0" fontId="6" fillId="0" borderId="24" xfId="0" applyFont="1" applyBorder="1" applyAlignment="1">
      <alignment horizontal="justify" vertical="center"/>
    </xf>
    <xf numFmtId="0" fontId="5" fillId="0" borderId="0" xfId="0" applyFont="1" applyAlignment="1">
      <alignment horizontal="justify" vertical="center" wrapText="1"/>
    </xf>
    <xf numFmtId="9" fontId="6" fillId="0" borderId="16" xfId="79" applyFont="1" applyBorder="1" applyAlignment="1">
      <alignment horizontal="center" vertical="center"/>
    </xf>
    <xf numFmtId="3" fontId="6" fillId="0" borderId="24" xfId="0" applyNumberFormat="1" applyFont="1" applyBorder="1" applyAlignment="1">
      <alignment horizontal="center" vertical="center"/>
    </xf>
    <xf numFmtId="0" fontId="6" fillId="0" borderId="18" xfId="0" applyFont="1" applyBorder="1" applyAlignment="1">
      <alignment horizontal="justify" vertical="center"/>
    </xf>
    <xf numFmtId="0" fontId="6" fillId="0" borderId="10" xfId="54" applyNumberFormat="1" applyFont="1" applyBorder="1" applyAlignment="1">
      <alignment horizontal="center" vertical="center"/>
    </xf>
    <xf numFmtId="0" fontId="6" fillId="0" borderId="10" xfId="54" applyNumberFormat="1" applyFont="1" applyBorder="1" applyAlignment="1">
      <alignment horizontal="center" vertical="center" wrapText="1"/>
    </xf>
    <xf numFmtId="1" fontId="6" fillId="0" borderId="10" xfId="0" applyNumberFormat="1" applyFont="1" applyBorder="1" applyAlignment="1">
      <alignment horizontal="justify" vertical="center" wrapText="1"/>
    </xf>
    <xf numFmtId="165" fontId="6" fillId="0" borderId="10" xfId="0" applyNumberFormat="1" applyFont="1" applyBorder="1" applyAlignment="1">
      <alignment horizontal="center" vertical="center"/>
    </xf>
    <xf numFmtId="169" fontId="6" fillId="0" borderId="10" xfId="54" applyNumberFormat="1" applyFont="1" applyBorder="1" applyAlignment="1">
      <alignment horizontal="center" vertical="center"/>
    </xf>
    <xf numFmtId="0" fontId="6" fillId="0" borderId="23" xfId="0" applyFont="1" applyBorder="1" applyAlignment="1">
      <alignment horizontal="justify"/>
    </xf>
    <xf numFmtId="0" fontId="6" fillId="0" borderId="10" xfId="74" applyFont="1" applyBorder="1" applyAlignment="1">
      <alignment horizontal="justify" vertical="center" wrapText="1"/>
      <protection/>
    </xf>
    <xf numFmtId="1" fontId="6" fillId="0" borderId="14" xfId="0" applyNumberFormat="1" applyFont="1" applyBorder="1" applyAlignment="1">
      <alignment horizontal="center" vertical="center" wrapText="1"/>
    </xf>
    <xf numFmtId="9" fontId="6" fillId="0" borderId="14" xfId="79" applyFont="1" applyBorder="1" applyAlignment="1">
      <alignment horizontal="center" vertical="center"/>
    </xf>
    <xf numFmtId="0" fontId="6" fillId="0" borderId="14" xfId="74" applyFont="1" applyBorder="1" applyAlignment="1">
      <alignment horizontal="justify" vertical="center" wrapText="1"/>
      <protection/>
    </xf>
    <xf numFmtId="43" fontId="6" fillId="0" borderId="14" xfId="54" applyNumberFormat="1" applyFont="1" applyBorder="1" applyAlignment="1">
      <alignment horizontal="center" vertical="center"/>
    </xf>
    <xf numFmtId="1" fontId="6" fillId="0" borderId="26" xfId="0" applyNumberFormat="1" applyFont="1" applyBorder="1" applyAlignment="1">
      <alignment horizontal="justify"/>
    </xf>
    <xf numFmtId="168" fontId="6" fillId="4" borderId="28" xfId="0" applyNumberFormat="1" applyFont="1" applyFill="1" applyBorder="1" applyAlignment="1">
      <alignment horizontal="justify" vertical="center"/>
    </xf>
    <xf numFmtId="41" fontId="5" fillId="4" borderId="30" xfId="52" applyFont="1" applyFill="1" applyBorder="1" applyAlignment="1">
      <alignment horizontal="center" vertical="center"/>
    </xf>
    <xf numFmtId="43" fontId="5" fillId="4" borderId="30" xfId="54" applyNumberFormat="1" applyFont="1" applyFill="1" applyBorder="1" applyAlignment="1">
      <alignment horizontal="center" vertical="center"/>
    </xf>
    <xf numFmtId="166" fontId="6" fillId="0" borderId="27" xfId="0" applyNumberFormat="1" applyFont="1" applyBorder="1" applyAlignment="1">
      <alignment horizontal="right" vertical="center"/>
    </xf>
    <xf numFmtId="166" fontId="6" fillId="0" borderId="27" xfId="0" applyNumberFormat="1" applyFont="1" applyBorder="1" applyAlignment="1">
      <alignment horizontal="center"/>
    </xf>
    <xf numFmtId="1" fontId="6" fillId="0" borderId="0" xfId="0" applyNumberFormat="1" applyFont="1" applyAlignment="1">
      <alignment horizontal="justify"/>
    </xf>
    <xf numFmtId="0" fontId="5" fillId="0" borderId="0" xfId="0" applyFont="1" applyAlignment="1">
      <alignment horizontal="justify"/>
    </xf>
    <xf numFmtId="168" fontId="6" fillId="4" borderId="0" xfId="0" applyNumberFormat="1" applyFont="1" applyFill="1" applyAlignment="1">
      <alignment horizontal="justify" vertical="center"/>
    </xf>
    <xf numFmtId="43" fontId="6" fillId="4" borderId="0" xfId="54" applyNumberFormat="1" applyFont="1" applyFill="1" applyAlignment="1">
      <alignment horizontal="center" vertical="center"/>
    </xf>
    <xf numFmtId="166" fontId="6" fillId="0" borderId="0" xfId="0" applyNumberFormat="1" applyFont="1" applyAlignment="1">
      <alignment horizontal="right" vertical="center"/>
    </xf>
    <xf numFmtId="166" fontId="6" fillId="0" borderId="0" xfId="0" applyNumberFormat="1" applyFont="1" applyAlignment="1">
      <alignment horizontal="center"/>
    </xf>
    <xf numFmtId="168" fontId="6" fillId="0" borderId="0" xfId="0" applyNumberFormat="1" applyFont="1" applyAlignment="1">
      <alignment horizontal="center" vertical="center"/>
    </xf>
    <xf numFmtId="165" fontId="6" fillId="0" borderId="0" xfId="0" applyNumberFormat="1" applyFont="1" applyAlignment="1">
      <alignment horizontal="justify" vertical="center"/>
    </xf>
    <xf numFmtId="43" fontId="6" fillId="4" borderId="0" xfId="52" applyNumberFormat="1" applyFont="1" applyFill="1" applyAlignment="1">
      <alignment horizontal="center" vertical="center"/>
    </xf>
    <xf numFmtId="0" fontId="5" fillId="0" borderId="20" xfId="0" applyFont="1" applyBorder="1" applyAlignment="1">
      <alignment/>
    </xf>
    <xf numFmtId="0" fontId="5" fillId="0" borderId="20" xfId="0" applyFont="1" applyBorder="1" applyAlignment="1">
      <alignment horizontal="center"/>
    </xf>
    <xf numFmtId="0" fontId="5" fillId="0" borderId="0" xfId="0" applyFont="1" applyAlignment="1">
      <alignment horizontal="center"/>
    </xf>
    <xf numFmtId="49" fontId="5" fillId="9" borderId="16" xfId="0" applyNumberFormat="1" applyFont="1" applyFill="1" applyBorder="1" applyAlignment="1">
      <alignment horizontal="center" vertical="center" textRotation="90" wrapText="1"/>
    </xf>
    <xf numFmtId="0" fontId="5" fillId="9" borderId="10" xfId="0" applyFont="1" applyFill="1" applyBorder="1" applyAlignment="1">
      <alignment horizontal="center" vertical="center" textRotation="90" wrapText="1"/>
    </xf>
    <xf numFmtId="0" fontId="25" fillId="0" borderId="10" xfId="0" applyFont="1" applyFill="1" applyBorder="1" applyAlignment="1">
      <alignment vertical="center"/>
    </xf>
    <xf numFmtId="0" fontId="25" fillId="0" borderId="10" xfId="0" applyFont="1" applyFill="1" applyBorder="1" applyAlignment="1">
      <alignment horizontal="left" vertical="center"/>
    </xf>
    <xf numFmtId="0" fontId="25" fillId="0" borderId="10" xfId="0" applyFont="1" applyFill="1" applyBorder="1" applyAlignment="1">
      <alignment vertical="center" wrapText="1"/>
    </xf>
    <xf numFmtId="0" fontId="25" fillId="0" borderId="19" xfId="0" applyFont="1" applyFill="1" applyBorder="1" applyAlignment="1">
      <alignment vertical="center"/>
    </xf>
    <xf numFmtId="3" fontId="25" fillId="0" borderId="14" xfId="0" applyNumberFormat="1" applyFont="1" applyFill="1" applyBorder="1" applyAlignment="1">
      <alignment horizontal="left" vertical="center" wrapText="1"/>
    </xf>
    <xf numFmtId="0" fontId="17" fillId="9" borderId="10" xfId="0" applyFont="1" applyFill="1" applyBorder="1" applyAlignment="1">
      <alignment horizontal="center" vertical="center" textRotation="90" wrapText="1"/>
    </xf>
    <xf numFmtId="49" fontId="17" fillId="9" borderId="10" xfId="0" applyNumberFormat="1" applyFont="1" applyFill="1" applyBorder="1" applyAlignment="1">
      <alignment horizontal="center" vertical="center" textRotation="90" wrapText="1"/>
    </xf>
    <xf numFmtId="0" fontId="5" fillId="10" borderId="14" xfId="0" applyFont="1" applyFill="1" applyBorder="1" applyAlignment="1">
      <alignment horizontal="center" vertical="center" wrapText="1"/>
    </xf>
    <xf numFmtId="0" fontId="5" fillId="10" borderId="20" xfId="0" applyFont="1" applyFill="1" applyBorder="1" applyAlignment="1">
      <alignment vertical="center" wrapText="1"/>
    </xf>
    <xf numFmtId="0" fontId="5" fillId="10" borderId="19" xfId="0" applyFont="1" applyFill="1" applyBorder="1" applyAlignment="1">
      <alignment vertical="center" wrapText="1"/>
    </xf>
    <xf numFmtId="14" fontId="5" fillId="10" borderId="20" xfId="0" applyNumberFormat="1" applyFont="1" applyFill="1" applyBorder="1" applyAlignment="1">
      <alignment vertical="center" wrapText="1"/>
    </xf>
    <xf numFmtId="0" fontId="5" fillId="10" borderId="21" xfId="0" applyFont="1" applyFill="1" applyBorder="1" applyAlignment="1">
      <alignment vertical="center" wrapText="1"/>
    </xf>
    <xf numFmtId="0" fontId="5" fillId="4" borderId="14"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20" xfId="0" applyFont="1" applyFill="1" applyBorder="1" applyAlignment="1">
      <alignment vertical="center" wrapText="1"/>
    </xf>
    <xf numFmtId="0" fontId="5" fillId="19" borderId="16" xfId="0" applyFont="1" applyFill="1" applyBorder="1" applyAlignment="1">
      <alignment horizontal="center" vertical="center" wrapText="1"/>
    </xf>
    <xf numFmtId="0" fontId="5" fillId="19" borderId="20" xfId="0" applyFont="1" applyFill="1" applyBorder="1" applyAlignment="1">
      <alignment vertical="center" wrapText="1"/>
    </xf>
    <xf numFmtId="0" fontId="5" fillId="19" borderId="21" xfId="0" applyFont="1" applyFill="1" applyBorder="1" applyAlignment="1">
      <alignment vertical="center" wrapText="1"/>
    </xf>
    <xf numFmtId="0" fontId="5" fillId="4" borderId="15" xfId="0" applyFont="1" applyFill="1" applyBorder="1" applyAlignment="1">
      <alignment horizontal="center" vertical="center" wrapText="1"/>
    </xf>
    <xf numFmtId="0" fontId="5" fillId="4" borderId="15" xfId="0" applyFont="1" applyFill="1" applyBorder="1" applyAlignment="1">
      <alignment vertical="center" wrapText="1"/>
    </xf>
    <xf numFmtId="0" fontId="5" fillId="12" borderId="11" xfId="0" applyFont="1" applyFill="1" applyBorder="1" applyAlignment="1">
      <alignment horizontal="center" vertical="center" wrapText="1"/>
    </xf>
    <xf numFmtId="0" fontId="5" fillId="12" borderId="16" xfId="0" applyFont="1" applyFill="1" applyBorder="1" applyAlignment="1">
      <alignment vertical="center"/>
    </xf>
    <xf numFmtId="0" fontId="5" fillId="12" borderId="17" xfId="0" applyFont="1" applyFill="1" applyBorder="1" applyAlignment="1">
      <alignment vertical="center" wrapText="1"/>
    </xf>
    <xf numFmtId="0" fontId="5" fillId="12" borderId="18" xfId="0" applyFont="1" applyFill="1" applyBorder="1" applyAlignment="1">
      <alignment vertical="center" wrapText="1"/>
    </xf>
    <xf numFmtId="49" fontId="6" fillId="4" borderId="15" xfId="0" applyNumberFormat="1" applyFont="1" applyFill="1" applyBorder="1" applyAlignment="1">
      <alignment vertical="center" wrapText="1"/>
    </xf>
    <xf numFmtId="49" fontId="6" fillId="4" borderId="14" xfId="0" applyNumberFormat="1" applyFont="1" applyFill="1" applyBorder="1" applyAlignment="1">
      <alignment vertical="center" wrapText="1"/>
    </xf>
    <xf numFmtId="0" fontId="6" fillId="0" borderId="24" xfId="49" applyNumberFormat="1" applyFont="1" applyBorder="1" applyAlignment="1">
      <alignment horizontal="center" vertical="center" wrapText="1"/>
    </xf>
    <xf numFmtId="9" fontId="6" fillId="0" borderId="24" xfId="77" applyFont="1" applyBorder="1" applyAlignment="1">
      <alignment horizontal="center" vertical="center" wrapText="1"/>
    </xf>
    <xf numFmtId="43" fontId="6" fillId="0" borderId="24" xfId="49" applyFont="1" applyBorder="1" applyAlignment="1">
      <alignment horizontal="center" vertical="center" wrapText="1"/>
    </xf>
    <xf numFmtId="43" fontId="6" fillId="0" borderId="24" xfId="49" applyNumberFormat="1" applyFont="1" applyBorder="1" applyAlignment="1">
      <alignment horizontal="center" vertical="center" wrapText="1"/>
    </xf>
    <xf numFmtId="49" fontId="6" fillId="4" borderId="10" xfId="0" applyNumberFormat="1" applyFont="1" applyFill="1" applyBorder="1" applyAlignment="1">
      <alignment horizontal="center" vertical="center" wrapText="1"/>
    </xf>
    <xf numFmtId="189" fontId="6" fillId="0" borderId="24" xfId="0" applyNumberFormat="1" applyFont="1" applyBorder="1" applyAlignment="1">
      <alignment horizontal="center" vertical="center" wrapText="1"/>
    </xf>
    <xf numFmtId="41" fontId="6" fillId="0" borderId="24" xfId="52" applyFont="1" applyBorder="1" applyAlignment="1">
      <alignment horizontal="center" vertical="center" wrapText="1"/>
    </xf>
    <xf numFmtId="0" fontId="5" fillId="12" borderId="10" xfId="0" applyFont="1" applyFill="1" applyBorder="1" applyAlignment="1">
      <alignment horizontal="center" vertical="center" wrapText="1"/>
    </xf>
    <xf numFmtId="0" fontId="5" fillId="12" borderId="10" xfId="0" applyFont="1" applyFill="1" applyBorder="1" applyAlignment="1">
      <alignment horizontal="left" vertical="center" wrapText="1"/>
    </xf>
    <xf numFmtId="43" fontId="5" fillId="12" borderId="10" xfId="49" applyFont="1" applyFill="1" applyBorder="1" applyAlignment="1">
      <alignment horizontal="left" vertical="center" wrapText="1"/>
    </xf>
    <xf numFmtId="0" fontId="5" fillId="12" borderId="10" xfId="0" applyFont="1" applyFill="1" applyBorder="1" applyAlignment="1">
      <alignment horizontal="left" vertical="center" wrapText="1"/>
    </xf>
    <xf numFmtId="43" fontId="5" fillId="12" borderId="10" xfId="49" applyNumberFormat="1" applyFont="1" applyFill="1" applyBorder="1" applyAlignment="1">
      <alignment horizontal="left" vertical="center" wrapText="1"/>
    </xf>
    <xf numFmtId="14" fontId="5" fillId="12" borderId="10" xfId="0" applyNumberFormat="1" applyFont="1" applyFill="1" applyBorder="1" applyAlignment="1">
      <alignment horizontal="left" vertical="center" wrapText="1"/>
    </xf>
    <xf numFmtId="49" fontId="6" fillId="4" borderId="15" xfId="0" applyNumberFormat="1" applyFont="1" applyFill="1" applyBorder="1" applyAlignment="1">
      <alignment horizontal="center" vertical="center" wrapText="1"/>
    </xf>
    <xf numFmtId="43" fontId="6" fillId="4" borderId="10" xfId="49" applyNumberFormat="1" applyFont="1" applyFill="1" applyBorder="1" applyAlignment="1">
      <alignment horizontal="center" vertical="center" wrapText="1"/>
    </xf>
    <xf numFmtId="189" fontId="6" fillId="4" borderId="10" xfId="0" applyNumberFormat="1" applyFont="1" applyFill="1" applyBorder="1" applyAlignment="1">
      <alignment horizontal="center" vertical="center" wrapText="1"/>
    </xf>
    <xf numFmtId="0" fontId="6" fillId="4" borderId="15" xfId="0" applyFont="1" applyFill="1" applyBorder="1" applyAlignment="1">
      <alignment horizontal="justify" vertical="center" wrapText="1"/>
    </xf>
    <xf numFmtId="43" fontId="6" fillId="0" borderId="14" xfId="49" applyNumberFormat="1" applyFont="1" applyBorder="1" applyAlignment="1">
      <alignment horizontal="center" vertical="center" wrapText="1"/>
    </xf>
    <xf numFmtId="49" fontId="6" fillId="4" borderId="14" xfId="0" applyNumberFormat="1" applyFont="1" applyFill="1" applyBorder="1" applyAlignment="1">
      <alignment horizontal="center" vertical="center" wrapText="1"/>
    </xf>
    <xf numFmtId="189" fontId="6" fillId="4" borderId="14" xfId="0" applyNumberFormat="1" applyFont="1" applyFill="1" applyBorder="1" applyAlignment="1">
      <alignment horizontal="center" vertical="center" wrapText="1"/>
    </xf>
    <xf numFmtId="43" fontId="6" fillId="4" borderId="14" xfId="49" applyNumberFormat="1" applyFont="1" applyFill="1" applyBorder="1" applyAlignment="1">
      <alignment horizontal="center" vertical="center" wrapText="1"/>
    </xf>
    <xf numFmtId="190" fontId="5" fillId="4" borderId="27" xfId="0" applyNumberFormat="1" applyFont="1" applyFill="1" applyBorder="1" applyAlignment="1">
      <alignment vertical="center" wrapText="1"/>
    </xf>
    <xf numFmtId="0" fontId="5" fillId="4" borderId="27" xfId="0" applyFont="1" applyFill="1" applyBorder="1" applyAlignment="1">
      <alignment vertical="center" wrapText="1"/>
    </xf>
    <xf numFmtId="0" fontId="5" fillId="4" borderId="28" xfId="0" applyFont="1" applyFill="1" applyBorder="1" applyAlignment="1">
      <alignment horizontal="justify" vertical="center" wrapText="1"/>
    </xf>
    <xf numFmtId="43" fontId="5" fillId="4" borderId="30" xfId="49" applyFont="1" applyFill="1" applyBorder="1" applyAlignment="1">
      <alignment horizontal="justify" vertical="center" wrapText="1"/>
    </xf>
    <xf numFmtId="191" fontId="5" fillId="4" borderId="26" xfId="0" applyNumberFormat="1" applyFont="1" applyFill="1" applyBorder="1" applyAlignment="1">
      <alignment horizontal="center" vertical="center" wrapText="1"/>
    </xf>
    <xf numFmtId="191" fontId="5" fillId="4" borderId="27" xfId="0" applyNumberFormat="1" applyFont="1" applyFill="1" applyBorder="1" applyAlignment="1">
      <alignment horizontal="center" vertical="center" wrapText="1"/>
    </xf>
    <xf numFmtId="191" fontId="5" fillId="4" borderId="28" xfId="0" applyNumberFormat="1" applyFont="1" applyFill="1" applyBorder="1" applyAlignment="1">
      <alignment horizontal="center" vertical="center" wrapText="1"/>
    </xf>
    <xf numFmtId="43" fontId="5" fillId="4" borderId="30" xfId="49" applyNumberFormat="1" applyFont="1" applyFill="1" applyBorder="1" applyAlignment="1">
      <alignment horizontal="center" vertical="center" wrapText="1"/>
    </xf>
    <xf numFmtId="0" fontId="5" fillId="4" borderId="26" xfId="0" applyFont="1" applyFill="1" applyBorder="1" applyAlignment="1">
      <alignment vertical="center"/>
    </xf>
    <xf numFmtId="0" fontId="5" fillId="4" borderId="27" xfId="0" applyFont="1" applyFill="1" applyBorder="1" applyAlignment="1">
      <alignment vertical="center"/>
    </xf>
    <xf numFmtId="14" fontId="5" fillId="4" borderId="27" xfId="0" applyNumberFormat="1" applyFont="1" applyFill="1" applyBorder="1" applyAlignment="1">
      <alignment horizontal="right" vertical="center"/>
    </xf>
    <xf numFmtId="14" fontId="5" fillId="4" borderId="27" xfId="0" applyNumberFormat="1" applyFont="1" applyFill="1" applyBorder="1" applyAlignment="1">
      <alignment horizontal="left" vertical="center"/>
    </xf>
    <xf numFmtId="0" fontId="11" fillId="0" borderId="27" xfId="0" applyFont="1" applyBorder="1" applyAlignment="1">
      <alignment/>
    </xf>
    <xf numFmtId="0" fontId="11" fillId="0" borderId="28" xfId="0" applyFont="1" applyBorder="1" applyAlignment="1">
      <alignment/>
    </xf>
    <xf numFmtId="14" fontId="6" fillId="0" borderId="0" xfId="0" applyNumberFormat="1" applyFont="1" applyAlignment="1">
      <alignment horizontal="lef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 fillId="0" borderId="31" xfId="0" applyFont="1" applyBorder="1" applyAlignment="1">
      <alignment/>
    </xf>
    <xf numFmtId="0" fontId="2" fillId="0" borderId="32" xfId="0" applyFont="1" applyBorder="1" applyAlignment="1">
      <alignment/>
    </xf>
    <xf numFmtId="173" fontId="2" fillId="0" borderId="25" xfId="0" applyNumberFormat="1" applyFont="1" applyBorder="1" applyAlignment="1">
      <alignment horizontal="left"/>
    </xf>
    <xf numFmtId="17" fontId="2" fillId="0" borderId="25" xfId="0" applyNumberFormat="1" applyFont="1" applyBorder="1" applyAlignment="1">
      <alignment horizontal="left"/>
    </xf>
    <xf numFmtId="3" fontId="2" fillId="4" borderId="25" xfId="0" applyNumberFormat="1" applyFont="1" applyFill="1" applyBorder="1" applyAlignment="1">
      <alignment horizontal="left" vertical="center" wrapText="1"/>
    </xf>
    <xf numFmtId="1" fontId="4" fillId="15" borderId="39" xfId="0" applyNumberFormat="1" applyFont="1" applyFill="1" applyBorder="1" applyAlignment="1">
      <alignment horizontal="left" vertical="center" wrapText="1"/>
    </xf>
    <xf numFmtId="0" fontId="4" fillId="15" borderId="16" xfId="0" applyFont="1" applyFill="1" applyBorder="1" applyAlignment="1">
      <alignment vertical="center"/>
    </xf>
    <xf numFmtId="0" fontId="4" fillId="15" borderId="17" xfId="0" applyFont="1" applyFill="1" applyBorder="1" applyAlignment="1">
      <alignment vertical="center"/>
    </xf>
    <xf numFmtId="0" fontId="4" fillId="15" borderId="17" xfId="0" applyFont="1" applyFill="1" applyBorder="1" applyAlignment="1">
      <alignment horizontal="justify" vertical="center"/>
    </xf>
    <xf numFmtId="0" fontId="4" fillId="15" borderId="17" xfId="0" applyFont="1" applyFill="1" applyBorder="1" applyAlignment="1">
      <alignment horizontal="center" vertical="center"/>
    </xf>
    <xf numFmtId="168" fontId="4" fillId="15" borderId="17" xfId="0" applyNumberFormat="1" applyFont="1" applyFill="1" applyBorder="1" applyAlignment="1">
      <alignment horizontal="center" vertical="center"/>
    </xf>
    <xf numFmtId="165" fontId="4" fillId="15" borderId="17" xfId="0" applyNumberFormat="1" applyFont="1" applyFill="1" applyBorder="1" applyAlignment="1">
      <alignment vertical="center"/>
    </xf>
    <xf numFmtId="165" fontId="4" fillId="15" borderId="17" xfId="0" applyNumberFormat="1" applyFont="1" applyFill="1" applyBorder="1" applyAlignment="1">
      <alignment horizontal="center" vertical="center"/>
    </xf>
    <xf numFmtId="1" fontId="4" fillId="15" borderId="17" xfId="0" applyNumberFormat="1" applyFont="1" applyFill="1" applyBorder="1" applyAlignment="1">
      <alignment horizontal="center" vertical="center"/>
    </xf>
    <xf numFmtId="166" fontId="4" fillId="15" borderId="17" xfId="0" applyNumberFormat="1" applyFont="1" applyFill="1" applyBorder="1" applyAlignment="1">
      <alignment vertical="center"/>
    </xf>
    <xf numFmtId="0" fontId="4" fillId="15" borderId="35" xfId="0" applyFont="1" applyFill="1" applyBorder="1" applyAlignment="1">
      <alignment horizontal="justify" vertical="center"/>
    </xf>
    <xf numFmtId="1" fontId="4" fillId="20" borderId="21" xfId="0" applyNumberFormat="1" applyFont="1" applyFill="1" applyBorder="1" applyAlignment="1">
      <alignment horizontal="center" vertical="center"/>
    </xf>
    <xf numFmtId="0" fontId="4" fillId="20" borderId="0" xfId="0" applyFont="1" applyFill="1" applyAlignment="1">
      <alignment vertical="center"/>
    </xf>
    <xf numFmtId="0" fontId="4" fillId="20" borderId="12" xfId="0" applyFont="1" applyFill="1" applyBorder="1" applyAlignment="1">
      <alignment vertical="center"/>
    </xf>
    <xf numFmtId="0" fontId="4" fillId="20" borderId="12" xfId="0" applyFont="1" applyFill="1" applyBorder="1" applyAlignment="1">
      <alignment horizontal="justify" vertical="center"/>
    </xf>
    <xf numFmtId="0" fontId="4" fillId="20" borderId="12" xfId="0" applyFont="1" applyFill="1" applyBorder="1" applyAlignment="1">
      <alignment horizontal="center" vertical="center"/>
    </xf>
    <xf numFmtId="168" fontId="4" fillId="20" borderId="12" xfId="0" applyNumberFormat="1" applyFont="1" applyFill="1" applyBorder="1" applyAlignment="1">
      <alignment horizontal="center" vertical="center"/>
    </xf>
    <xf numFmtId="165" fontId="4" fillId="20" borderId="12" xfId="0" applyNumberFormat="1" applyFont="1" applyFill="1" applyBorder="1" applyAlignment="1">
      <alignment vertical="center"/>
    </xf>
    <xf numFmtId="165" fontId="4" fillId="20" borderId="12" xfId="0" applyNumberFormat="1" applyFont="1" applyFill="1" applyBorder="1" applyAlignment="1">
      <alignment horizontal="center" vertical="center"/>
    </xf>
    <xf numFmtId="1" fontId="4" fillId="20" borderId="12" xfId="0" applyNumberFormat="1" applyFont="1" applyFill="1" applyBorder="1" applyAlignment="1">
      <alignment horizontal="center" vertical="center"/>
    </xf>
    <xf numFmtId="166" fontId="4" fillId="20" borderId="12" xfId="0" applyNumberFormat="1" applyFont="1" applyFill="1" applyBorder="1" applyAlignment="1">
      <alignment vertical="center"/>
    </xf>
    <xf numFmtId="0" fontId="4" fillId="20" borderId="33" xfId="0" applyFont="1" applyFill="1" applyBorder="1" applyAlignment="1">
      <alignment horizontal="justify" vertical="center"/>
    </xf>
    <xf numFmtId="1" fontId="4" fillId="21" borderId="10" xfId="0" applyNumberFormat="1" applyFont="1" applyFill="1" applyBorder="1" applyAlignment="1">
      <alignment horizontal="center" vertical="center" wrapText="1"/>
    </xf>
    <xf numFmtId="0" fontId="4" fillId="21" borderId="17" xfId="0" applyFont="1" applyFill="1" applyBorder="1" applyAlignment="1">
      <alignment vertical="center"/>
    </xf>
    <xf numFmtId="0" fontId="4" fillId="21" borderId="17" xfId="0" applyFont="1" applyFill="1" applyBorder="1" applyAlignment="1">
      <alignment horizontal="justify" vertical="center"/>
    </xf>
    <xf numFmtId="0" fontId="4" fillId="21" borderId="17" xfId="0" applyFont="1" applyFill="1" applyBorder="1" applyAlignment="1">
      <alignment horizontal="center" vertical="center"/>
    </xf>
    <xf numFmtId="168" fontId="4" fillId="21" borderId="17" xfId="0" applyNumberFormat="1" applyFont="1" applyFill="1" applyBorder="1" applyAlignment="1">
      <alignment horizontal="center" vertical="center"/>
    </xf>
    <xf numFmtId="165" fontId="4" fillId="21" borderId="17" xfId="0" applyNumberFormat="1" applyFont="1" applyFill="1" applyBorder="1" applyAlignment="1">
      <alignment vertical="center"/>
    </xf>
    <xf numFmtId="165" fontId="4" fillId="21" borderId="17" xfId="0" applyNumberFormat="1" applyFont="1" applyFill="1" applyBorder="1" applyAlignment="1">
      <alignment horizontal="center" vertical="center"/>
    </xf>
    <xf numFmtId="1" fontId="4" fillId="21" borderId="17" xfId="0" applyNumberFormat="1" applyFont="1" applyFill="1" applyBorder="1" applyAlignment="1">
      <alignment horizontal="center" vertical="center"/>
    </xf>
    <xf numFmtId="166" fontId="4" fillId="21" borderId="17" xfId="0" applyNumberFormat="1" applyFont="1" applyFill="1" applyBorder="1" applyAlignment="1">
      <alignment vertical="center"/>
    </xf>
    <xf numFmtId="0" fontId="4" fillId="21" borderId="35" xfId="0" applyFont="1" applyFill="1" applyBorder="1" applyAlignment="1">
      <alignment horizontal="justify" vertical="center"/>
    </xf>
    <xf numFmtId="0" fontId="3" fillId="4" borderId="23" xfId="0" applyFont="1" applyFill="1" applyBorder="1" applyAlignment="1">
      <alignment horizontal="center" vertical="center" wrapText="1"/>
    </xf>
    <xf numFmtId="192" fontId="3" fillId="4" borderId="22" xfId="0" applyNumberFormat="1" applyFont="1" applyFill="1" applyBorder="1" applyAlignment="1">
      <alignment horizontal="center" vertical="center" wrapText="1"/>
    </xf>
    <xf numFmtId="188" fontId="3" fillId="4" borderId="10" xfId="81" applyNumberFormat="1" applyFont="1" applyFill="1" applyBorder="1" applyAlignment="1">
      <alignment horizontal="center" vertical="center"/>
    </xf>
    <xf numFmtId="2" fontId="3" fillId="0" borderId="10" xfId="0" applyNumberFormat="1" applyFont="1" applyFill="1" applyBorder="1" applyAlignment="1">
      <alignment horizontal="justify" vertical="center" wrapText="1"/>
    </xf>
    <xf numFmtId="0" fontId="6" fillId="4" borderId="14" xfId="0" applyFont="1" applyFill="1" applyBorder="1" applyAlignment="1">
      <alignment horizontal="justify" vertical="center"/>
    </xf>
    <xf numFmtId="188" fontId="6" fillId="4" borderId="14" xfId="81" applyNumberFormat="1" applyFont="1" applyFill="1" applyBorder="1" applyAlignment="1">
      <alignment horizontal="center" vertical="center"/>
    </xf>
    <xf numFmtId="2" fontId="3" fillId="4" borderId="14" xfId="0" applyNumberFormat="1" applyFont="1" applyFill="1" applyBorder="1" applyAlignment="1">
      <alignment horizontal="justify" vertical="center" wrapText="1"/>
    </xf>
    <xf numFmtId="43" fontId="6" fillId="4" borderId="15" xfId="54" applyFont="1" applyFill="1" applyBorder="1" applyAlignment="1">
      <alignment horizontal="center" vertical="center" wrapText="1"/>
    </xf>
    <xf numFmtId="0" fontId="3" fillId="0" borderId="26" xfId="0" applyFont="1" applyBorder="1" applyAlignment="1">
      <alignment vertical="center"/>
    </xf>
    <xf numFmtId="43" fontId="4" fillId="0" borderId="30" xfId="54" applyFont="1" applyBorder="1" applyAlignment="1">
      <alignment vertical="center"/>
    </xf>
    <xf numFmtId="0" fontId="3" fillId="0" borderId="28" xfId="0" applyFont="1" applyBorder="1" applyAlignment="1">
      <alignment vertical="center"/>
    </xf>
    <xf numFmtId="0" fontId="3" fillId="0" borderId="12" xfId="0" applyFont="1" applyBorder="1" applyAlignment="1">
      <alignment/>
    </xf>
    <xf numFmtId="0" fontId="29" fillId="0" borderId="0" xfId="0" applyFont="1" applyAlignment="1">
      <alignment/>
    </xf>
    <xf numFmtId="0" fontId="29" fillId="0" borderId="0" xfId="0" applyFont="1" applyAlignment="1">
      <alignment wrapText="1"/>
    </xf>
    <xf numFmtId="1" fontId="25" fillId="15" borderId="16" xfId="0" applyNumberFormat="1" applyFont="1" applyFill="1" applyBorder="1" applyAlignment="1">
      <alignment horizontal="left" vertical="center" wrapText="1"/>
    </xf>
    <xf numFmtId="0" fontId="25" fillId="15" borderId="17" xfId="0" applyFont="1" applyFill="1" applyBorder="1" applyAlignment="1">
      <alignment vertical="center"/>
    </xf>
    <xf numFmtId="0" fontId="25" fillId="15" borderId="17" xfId="0" applyFont="1" applyFill="1" applyBorder="1" applyAlignment="1">
      <alignment horizontal="justify" vertical="center"/>
    </xf>
    <xf numFmtId="0" fontId="25" fillId="15" borderId="17" xfId="0" applyFont="1" applyFill="1" applyBorder="1" applyAlignment="1">
      <alignment horizontal="center" vertical="center"/>
    </xf>
    <xf numFmtId="168" fontId="25" fillId="15" borderId="17" xfId="0" applyNumberFormat="1" applyFont="1" applyFill="1" applyBorder="1" applyAlignment="1">
      <alignment horizontal="center" vertical="center"/>
    </xf>
    <xf numFmtId="165" fontId="25" fillId="15" borderId="17" xfId="0" applyNumberFormat="1" applyFont="1" applyFill="1" applyBorder="1" applyAlignment="1">
      <alignment vertical="center"/>
    </xf>
    <xf numFmtId="1" fontId="25" fillId="15" borderId="17" xfId="0" applyNumberFormat="1" applyFont="1" applyFill="1" applyBorder="1" applyAlignment="1">
      <alignment horizontal="center" vertical="center"/>
    </xf>
    <xf numFmtId="166" fontId="25" fillId="15" borderId="17" xfId="0" applyNumberFormat="1" applyFont="1" applyFill="1" applyBorder="1" applyAlignment="1">
      <alignment vertical="center"/>
    </xf>
    <xf numFmtId="0" fontId="25" fillId="15" borderId="18" xfId="0" applyFont="1" applyFill="1" applyBorder="1" applyAlignment="1">
      <alignment horizontal="justify" vertical="center"/>
    </xf>
    <xf numFmtId="0" fontId="29" fillId="4" borderId="0" xfId="0" applyFont="1" applyFill="1" applyAlignment="1">
      <alignment/>
    </xf>
    <xf numFmtId="0" fontId="29" fillId="4" borderId="19" xfId="0" applyFont="1" applyFill="1" applyBorder="1" applyAlignment="1">
      <alignment vertical="center" wrapText="1"/>
    </xf>
    <xf numFmtId="0" fontId="29" fillId="4" borderId="20" xfId="0" applyFont="1" applyFill="1" applyBorder="1" applyAlignment="1">
      <alignment vertical="center" wrapText="1"/>
    </xf>
    <xf numFmtId="0" fontId="29" fillId="4" borderId="21" xfId="0" applyFont="1" applyFill="1" applyBorder="1" applyAlignment="1">
      <alignment vertical="center" wrapText="1"/>
    </xf>
    <xf numFmtId="1" fontId="25" fillId="13" borderId="11" xfId="0" applyNumberFormat="1" applyFont="1" applyFill="1" applyBorder="1" applyAlignment="1">
      <alignment horizontal="center" vertical="center"/>
    </xf>
    <xf numFmtId="0" fontId="25" fillId="13" borderId="12" xfId="0" applyFont="1" applyFill="1" applyBorder="1" applyAlignment="1">
      <alignment vertical="center"/>
    </xf>
    <xf numFmtId="0" fontId="25" fillId="13" borderId="12" xfId="0" applyFont="1" applyFill="1" applyBorder="1" applyAlignment="1">
      <alignment horizontal="justify" vertical="center"/>
    </xf>
    <xf numFmtId="0" fontId="25" fillId="13" borderId="12" xfId="0" applyFont="1" applyFill="1" applyBorder="1" applyAlignment="1">
      <alignment horizontal="center" vertical="center"/>
    </xf>
    <xf numFmtId="168" fontId="25" fillId="13" borderId="12" xfId="0" applyNumberFormat="1" applyFont="1" applyFill="1" applyBorder="1" applyAlignment="1">
      <alignment horizontal="center" vertical="center"/>
    </xf>
    <xf numFmtId="165" fontId="25" fillId="13" borderId="12" xfId="0" applyNumberFormat="1" applyFont="1" applyFill="1" applyBorder="1" applyAlignment="1">
      <alignment vertical="center"/>
    </xf>
    <xf numFmtId="165" fontId="25" fillId="13" borderId="12" xfId="0" applyNumberFormat="1" applyFont="1" applyFill="1" applyBorder="1" applyAlignment="1">
      <alignment horizontal="center" vertical="center"/>
    </xf>
    <xf numFmtId="1" fontId="25" fillId="13" borderId="12" xfId="0" applyNumberFormat="1" applyFont="1" applyFill="1" applyBorder="1" applyAlignment="1">
      <alignment horizontal="center" vertical="center"/>
    </xf>
    <xf numFmtId="166" fontId="25" fillId="13" borderId="12" xfId="0" applyNumberFormat="1" applyFont="1" applyFill="1" applyBorder="1" applyAlignment="1">
      <alignment vertical="center"/>
    </xf>
    <xf numFmtId="0" fontId="25" fillId="13" borderId="13" xfId="0" applyFont="1" applyFill="1" applyBorder="1" applyAlignment="1">
      <alignment horizontal="justify" vertical="center"/>
    </xf>
    <xf numFmtId="0" fontId="29" fillId="4" borderId="22" xfId="0" applyFont="1" applyFill="1" applyBorder="1" applyAlignment="1">
      <alignment vertical="center" wrapText="1"/>
    </xf>
    <xf numFmtId="0" fontId="29" fillId="4" borderId="0" xfId="0" applyFont="1" applyFill="1" applyAlignment="1">
      <alignment vertical="center" wrapText="1"/>
    </xf>
    <xf numFmtId="0" fontId="29" fillId="4" borderId="23" xfId="0" applyFont="1" applyFill="1" applyBorder="1" applyAlignment="1">
      <alignment vertical="center" wrapText="1"/>
    </xf>
    <xf numFmtId="0" fontId="25" fillId="4" borderId="19" xfId="0" applyFont="1" applyFill="1" applyBorder="1" applyAlignment="1">
      <alignment horizontal="center" vertical="center" wrapText="1"/>
    </xf>
    <xf numFmtId="0" fontId="25" fillId="4" borderId="0" xfId="0" applyFont="1" applyFill="1" applyAlignment="1">
      <alignment horizontal="center" vertical="center" wrapText="1"/>
    </xf>
    <xf numFmtId="1" fontId="25" fillId="20" borderId="16" xfId="0" applyNumberFormat="1" applyFont="1" applyFill="1" applyBorder="1" applyAlignment="1">
      <alignment horizontal="left" vertical="center" wrapText="1" indent="1"/>
    </xf>
    <xf numFmtId="0" fontId="25" fillId="20" borderId="17" xfId="0" applyFont="1" applyFill="1" applyBorder="1" applyAlignment="1">
      <alignment vertical="center"/>
    </xf>
    <xf numFmtId="0" fontId="25" fillId="20" borderId="17" xfId="0" applyFont="1" applyFill="1" applyBorder="1" applyAlignment="1">
      <alignment horizontal="justify" vertical="center"/>
    </xf>
    <xf numFmtId="0" fontId="25" fillId="20" borderId="17" xfId="0" applyFont="1" applyFill="1" applyBorder="1" applyAlignment="1">
      <alignment horizontal="center" vertical="center"/>
    </xf>
    <xf numFmtId="168" fontId="25" fillId="20" borderId="17" xfId="0" applyNumberFormat="1" applyFont="1" applyFill="1" applyBorder="1" applyAlignment="1">
      <alignment horizontal="center" vertical="center"/>
    </xf>
    <xf numFmtId="165" fontId="25" fillId="20" borderId="17" xfId="0" applyNumberFormat="1" applyFont="1" applyFill="1" applyBorder="1" applyAlignment="1">
      <alignment vertical="center"/>
    </xf>
    <xf numFmtId="165" fontId="25" fillId="20" borderId="17" xfId="0" applyNumberFormat="1" applyFont="1" applyFill="1" applyBorder="1" applyAlignment="1">
      <alignment horizontal="center" vertical="center"/>
    </xf>
    <xf numFmtId="1" fontId="25" fillId="20" borderId="17" xfId="0" applyNumberFormat="1" applyFont="1" applyFill="1" applyBorder="1" applyAlignment="1">
      <alignment horizontal="center" vertical="center"/>
    </xf>
    <xf numFmtId="166" fontId="25" fillId="20" borderId="17" xfId="0" applyNumberFormat="1" applyFont="1" applyFill="1" applyBorder="1" applyAlignment="1">
      <alignment vertical="center"/>
    </xf>
    <xf numFmtId="0" fontId="25" fillId="20" borderId="18" xfId="0" applyFont="1" applyFill="1" applyBorder="1" applyAlignment="1">
      <alignment horizontal="justify" vertical="center"/>
    </xf>
    <xf numFmtId="0" fontId="29" fillId="4" borderId="22"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19" xfId="0" applyFont="1" applyFill="1" applyBorder="1" applyAlignment="1">
      <alignment horizontal="center" vertical="center" wrapText="1"/>
    </xf>
    <xf numFmtId="0" fontId="29" fillId="4" borderId="10" xfId="0" applyFont="1" applyFill="1" applyBorder="1" applyAlignment="1">
      <alignment horizontal="center" vertical="center" wrapText="1"/>
    </xf>
    <xf numFmtId="9" fontId="29" fillId="4" borderId="10" xfId="0" applyNumberFormat="1" applyFont="1" applyFill="1" applyBorder="1" applyAlignment="1">
      <alignment horizontal="center" vertical="center" wrapText="1"/>
    </xf>
    <xf numFmtId="42" fontId="24" fillId="0" borderId="10" xfId="64" applyFont="1" applyFill="1" applyBorder="1" applyAlignment="1">
      <alignment vertical="center" wrapText="1"/>
    </xf>
    <xf numFmtId="1" fontId="29" fillId="4" borderId="24" xfId="0" applyNumberFormat="1"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0" xfId="0" applyFont="1" applyFill="1" applyBorder="1" applyAlignment="1">
      <alignment horizontal="justify" vertical="center" wrapText="1"/>
    </xf>
    <xf numFmtId="0" fontId="29" fillId="4" borderId="11" xfId="0" applyFont="1" applyFill="1" applyBorder="1" applyAlignment="1">
      <alignment horizontal="justify" vertical="center" wrapText="1"/>
    </xf>
    <xf numFmtId="0" fontId="29" fillId="20" borderId="17" xfId="0" applyFont="1" applyFill="1" applyBorder="1" applyAlignment="1">
      <alignment vertical="center"/>
    </xf>
    <xf numFmtId="0" fontId="29" fillId="20" borderId="18" xfId="0" applyFont="1" applyFill="1" applyBorder="1" applyAlignment="1">
      <alignment horizontal="justify" vertical="center"/>
    </xf>
    <xf numFmtId="165" fontId="29" fillId="4" borderId="24" xfId="0" applyNumberFormat="1" applyFont="1" applyFill="1" applyBorder="1" applyAlignment="1">
      <alignment horizontal="center" vertical="center" wrapText="1"/>
    </xf>
    <xf numFmtId="43" fontId="13" fillId="0" borderId="10" xfId="49" applyFont="1" applyFill="1" applyBorder="1" applyAlignment="1">
      <alignment horizontal="left" vertical="center" wrapText="1"/>
    </xf>
    <xf numFmtId="1" fontId="29" fillId="4"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67" fontId="24" fillId="0" borderId="10" xfId="62" applyNumberFormat="1" applyFont="1" applyFill="1" applyBorder="1" applyAlignment="1">
      <alignment vertical="center" wrapText="1"/>
    </xf>
    <xf numFmtId="165" fontId="29" fillId="4" borderId="10" xfId="0" applyNumberFormat="1" applyFont="1" applyFill="1" applyBorder="1" applyAlignment="1">
      <alignment horizontal="center" vertical="center" wrapText="1"/>
    </xf>
    <xf numFmtId="0" fontId="29" fillId="4" borderId="11" xfId="0" applyFont="1" applyFill="1" applyBorder="1" applyAlignment="1">
      <alignment vertical="center" wrapText="1"/>
    </xf>
    <xf numFmtId="0" fontId="29" fillId="4" borderId="12" xfId="0" applyFont="1" applyFill="1" applyBorder="1" applyAlignment="1">
      <alignment vertical="center" wrapText="1"/>
    </xf>
    <xf numFmtId="0" fontId="29" fillId="4" borderId="13" xfId="0" applyFont="1" applyFill="1" applyBorder="1" applyAlignment="1">
      <alignment vertical="center" wrapText="1"/>
    </xf>
    <xf numFmtId="0" fontId="29" fillId="4" borderId="11" xfId="0" applyFont="1" applyFill="1" applyBorder="1" applyAlignment="1">
      <alignment horizontal="center" vertical="center" wrapText="1"/>
    </xf>
    <xf numFmtId="1" fontId="29" fillId="0" borderId="16" xfId="0" applyNumberFormat="1" applyFont="1" applyBorder="1" applyAlignment="1">
      <alignment/>
    </xf>
    <xf numFmtId="0" fontId="29" fillId="0" borderId="17" xfId="0" applyFont="1" applyBorder="1" applyAlignment="1">
      <alignment/>
    </xf>
    <xf numFmtId="0" fontId="29" fillId="4" borderId="17" xfId="0" applyFont="1" applyFill="1" applyBorder="1" applyAlignment="1">
      <alignment horizontal="justify" vertical="center"/>
    </xf>
    <xf numFmtId="0" fontId="29" fillId="4" borderId="17" xfId="0" applyFont="1" applyFill="1" applyBorder="1" applyAlignment="1">
      <alignment/>
    </xf>
    <xf numFmtId="0" fontId="29" fillId="4" borderId="17" xfId="0" applyFont="1" applyFill="1" applyBorder="1" applyAlignment="1">
      <alignment horizontal="center"/>
    </xf>
    <xf numFmtId="168" fontId="29" fillId="4" borderId="17" xfId="0" applyNumberFormat="1" applyFont="1" applyFill="1" applyBorder="1" applyAlignment="1">
      <alignment horizontal="center" vertical="center"/>
    </xf>
    <xf numFmtId="165" fontId="29" fillId="4" borderId="17" xfId="0" applyNumberFormat="1" applyFont="1" applyFill="1" applyBorder="1" applyAlignment="1">
      <alignment vertical="center"/>
    </xf>
    <xf numFmtId="0" fontId="29" fillId="4" borderId="18" xfId="0" applyFont="1" applyFill="1" applyBorder="1" applyAlignment="1">
      <alignment horizontal="justify" vertical="center"/>
    </xf>
    <xf numFmtId="165" fontId="25" fillId="4" borderId="16" xfId="0" applyNumberFormat="1" applyFont="1" applyFill="1" applyBorder="1" applyAlignment="1">
      <alignment horizontal="center" vertical="center"/>
    </xf>
    <xf numFmtId="1" fontId="29" fillId="4" borderId="16" xfId="0" applyNumberFormat="1" applyFont="1" applyFill="1" applyBorder="1" applyAlignment="1">
      <alignment horizontal="center" vertical="center"/>
    </xf>
    <xf numFmtId="0" fontId="29" fillId="4" borderId="17" xfId="0" applyFont="1" applyFill="1" applyBorder="1" applyAlignment="1">
      <alignment horizontal="center" vertical="center"/>
    </xf>
    <xf numFmtId="166" fontId="29" fillId="0" borderId="17" xfId="0" applyNumberFormat="1" applyFont="1" applyBorder="1" applyAlignment="1">
      <alignment horizontal="right" vertical="center"/>
    </xf>
    <xf numFmtId="166" fontId="29" fillId="0" borderId="17" xfId="0" applyNumberFormat="1" applyFont="1" applyBorder="1" applyAlignment="1">
      <alignment horizontal="center"/>
    </xf>
    <xf numFmtId="0" fontId="29" fillId="0" borderId="18" xfId="0" applyFont="1" applyBorder="1" applyAlignment="1">
      <alignment/>
    </xf>
    <xf numFmtId="1" fontId="29" fillId="0" borderId="0" xfId="0" applyNumberFormat="1" applyFont="1" applyAlignment="1">
      <alignment/>
    </xf>
    <xf numFmtId="0" fontId="29" fillId="4" borderId="0" xfId="0" applyFont="1" applyFill="1" applyAlignment="1">
      <alignment horizontal="justify" vertical="center"/>
    </xf>
    <xf numFmtId="0" fontId="29" fillId="4" borderId="0" xfId="0" applyFont="1" applyFill="1" applyAlignment="1">
      <alignment horizontal="center"/>
    </xf>
    <xf numFmtId="168" fontId="29" fillId="4" borderId="0" xfId="0" applyNumberFormat="1" applyFont="1" applyFill="1" applyAlignment="1">
      <alignment horizontal="center" vertical="center"/>
    </xf>
    <xf numFmtId="165" fontId="30" fillId="4" borderId="0" xfId="0" applyNumberFormat="1" applyFont="1" applyFill="1" applyAlignment="1">
      <alignment vertical="center"/>
    </xf>
    <xf numFmtId="165" fontId="16" fillId="4" borderId="0" xfId="0" applyNumberFormat="1" applyFont="1" applyFill="1" applyAlignment="1">
      <alignment vertical="center"/>
    </xf>
    <xf numFmtId="1" fontId="29" fillId="4" borderId="0" xfId="0" applyNumberFormat="1" applyFont="1" applyFill="1" applyAlignment="1">
      <alignment horizontal="center" vertical="center"/>
    </xf>
    <xf numFmtId="0" fontId="29" fillId="4" borderId="0" xfId="0" applyFont="1" applyFill="1" applyAlignment="1">
      <alignment horizontal="center" vertical="center"/>
    </xf>
    <xf numFmtId="166" fontId="29" fillId="0" borderId="0" xfId="0" applyNumberFormat="1" applyFont="1" applyAlignment="1">
      <alignment horizontal="right" vertical="center"/>
    </xf>
    <xf numFmtId="166" fontId="29" fillId="0" borderId="0" xfId="0" applyNumberFormat="1" applyFont="1" applyAlignment="1">
      <alignment horizontal="center"/>
    </xf>
    <xf numFmtId="165" fontId="29" fillId="4" borderId="0" xfId="0" applyNumberFormat="1" applyFont="1" applyFill="1" applyAlignment="1">
      <alignment vertical="center"/>
    </xf>
    <xf numFmtId="165" fontId="29" fillId="4" borderId="0" xfId="0" applyNumberFormat="1" applyFont="1" applyFill="1" applyAlignment="1">
      <alignment horizontal="center" vertical="center"/>
    </xf>
    <xf numFmtId="0" fontId="31" fillId="0" borderId="0" xfId="0" applyFont="1" applyAlignment="1">
      <alignment/>
    </xf>
    <xf numFmtId="0" fontId="31" fillId="0" borderId="0" xfId="0" applyFont="1" applyAlignment="1">
      <alignment wrapText="1"/>
    </xf>
    <xf numFmtId="0" fontId="4" fillId="0" borderId="35" xfId="0" applyFont="1" applyBorder="1" applyAlignment="1">
      <alignment horizontal="center" vertical="center"/>
    </xf>
    <xf numFmtId="174" fontId="17" fillId="9" borderId="50" xfId="71" applyFont="1" applyFill="1" applyBorder="1" applyAlignment="1">
      <alignment horizontal="center" vertical="center"/>
      <protection/>
    </xf>
    <xf numFmtId="0" fontId="32" fillId="0" borderId="0" xfId="0" applyFont="1" applyAlignment="1">
      <alignment/>
    </xf>
    <xf numFmtId="1" fontId="4" fillId="10" borderId="47" xfId="0" applyNumberFormat="1" applyFont="1" applyFill="1" applyBorder="1" applyAlignment="1">
      <alignment horizontal="center" vertical="center" wrapText="1"/>
    </xf>
    <xf numFmtId="0" fontId="4" fillId="10" borderId="17" xfId="0" applyFont="1" applyFill="1" applyBorder="1" applyAlignment="1">
      <alignment vertical="center" wrapText="1"/>
    </xf>
    <xf numFmtId="43" fontId="4" fillId="10" borderId="17" xfId="54" applyFont="1" applyFill="1" applyBorder="1" applyAlignment="1">
      <alignment vertical="center" wrapText="1"/>
    </xf>
    <xf numFmtId="0" fontId="4" fillId="10" borderId="35" xfId="0" applyFont="1" applyFill="1" applyBorder="1" applyAlignment="1">
      <alignment vertical="center" wrapText="1"/>
    </xf>
    <xf numFmtId="0" fontId="4" fillId="9" borderId="17" xfId="0" applyFont="1" applyFill="1" applyBorder="1" applyAlignment="1">
      <alignment vertical="center" wrapText="1"/>
    </xf>
    <xf numFmtId="0" fontId="4" fillId="9" borderId="16" xfId="0" applyFont="1" applyFill="1" applyBorder="1" applyAlignment="1">
      <alignment vertical="center" wrapText="1"/>
    </xf>
    <xf numFmtId="43" fontId="4" fillId="9" borderId="17" xfId="54" applyFont="1" applyFill="1" applyBorder="1" applyAlignment="1">
      <alignment vertical="center" wrapText="1"/>
    </xf>
    <xf numFmtId="0" fontId="4" fillId="9" borderId="35" xfId="0" applyFont="1" applyFill="1" applyBorder="1" applyAlignment="1">
      <alignment vertical="center" wrapText="1"/>
    </xf>
    <xf numFmtId="0" fontId="4" fillId="10" borderId="18" xfId="0" applyFont="1" applyFill="1" applyBorder="1" applyAlignment="1">
      <alignment vertical="center" wrapText="1"/>
    </xf>
    <xf numFmtId="0" fontId="4" fillId="10" borderId="17" xfId="0" applyFont="1" applyFill="1" applyBorder="1" applyAlignment="1">
      <alignment vertical="center" wrapText="1"/>
    </xf>
    <xf numFmtId="43" fontId="4" fillId="10" borderId="17" xfId="54" applyFont="1" applyFill="1" applyBorder="1" applyAlignment="1">
      <alignment vertical="center" wrapText="1"/>
    </xf>
    <xf numFmtId="0" fontId="4" fillId="10" borderId="35" xfId="0" applyFont="1" applyFill="1" applyBorder="1" applyAlignment="1">
      <alignment vertical="center" wrapText="1"/>
    </xf>
    <xf numFmtId="0" fontId="3" fillId="4" borderId="22" xfId="0" applyFont="1" applyFill="1" applyBorder="1" applyAlignment="1">
      <alignment horizontal="justify" vertical="center" wrapText="1"/>
    </xf>
    <xf numFmtId="0" fontId="3" fillId="4" borderId="19" xfId="0" applyFont="1" applyFill="1" applyBorder="1" applyAlignment="1">
      <alignment horizontal="justify" vertical="center" wrapText="1"/>
    </xf>
    <xf numFmtId="0" fontId="3" fillId="0" borderId="14" xfId="0" applyFont="1" applyBorder="1" applyAlignment="1">
      <alignment vertical="center" wrapText="1"/>
    </xf>
    <xf numFmtId="0" fontId="3" fillId="4" borderId="23" xfId="0" applyFont="1" applyFill="1" applyBorder="1" applyAlignment="1">
      <alignment horizontal="justify" vertical="center" wrapText="1"/>
    </xf>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1" fontId="3" fillId="4" borderId="40" xfId="0" applyNumberFormat="1"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10" borderId="36" xfId="0" applyFont="1" applyFill="1" applyBorder="1" applyAlignment="1">
      <alignment vertical="center"/>
    </xf>
    <xf numFmtId="0" fontId="5" fillId="10" borderId="0" xfId="0" applyFont="1" applyFill="1" applyAlignment="1">
      <alignment vertical="center"/>
    </xf>
    <xf numFmtId="0" fontId="5" fillId="10" borderId="0" xfId="0" applyFont="1" applyFill="1" applyAlignment="1">
      <alignment horizontal="justify" vertical="center"/>
    </xf>
    <xf numFmtId="0" fontId="5" fillId="10" borderId="12" xfId="0" applyFont="1" applyFill="1" applyBorder="1" applyAlignment="1">
      <alignment horizontal="justify" vertical="center"/>
    </xf>
    <xf numFmtId="0" fontId="6" fillId="10" borderId="12" xfId="0" applyFont="1" applyFill="1" applyBorder="1" applyAlignment="1">
      <alignment horizontal="center" vertical="center"/>
    </xf>
    <xf numFmtId="165" fontId="5" fillId="10" borderId="12" xfId="0" applyNumberFormat="1" applyFont="1" applyFill="1" applyBorder="1" applyAlignment="1">
      <alignment horizontal="justify" vertical="center"/>
    </xf>
    <xf numFmtId="43" fontId="5" fillId="10" borderId="12" xfId="54" applyFont="1" applyFill="1" applyBorder="1" applyAlignment="1">
      <alignment horizontal="justify" vertical="center"/>
    </xf>
    <xf numFmtId="41" fontId="5" fillId="10" borderId="12" xfId="52" applyFont="1" applyFill="1" applyBorder="1" applyAlignment="1">
      <alignment horizontal="center" vertical="center"/>
    </xf>
    <xf numFmtId="43" fontId="5" fillId="10" borderId="12" xfId="54" applyFont="1" applyFill="1" applyBorder="1" applyAlignment="1">
      <alignment horizontal="center" vertical="center"/>
    </xf>
    <xf numFmtId="166" fontId="5" fillId="10" borderId="12" xfId="0" applyNumberFormat="1" applyFont="1" applyFill="1" applyBorder="1" applyAlignment="1">
      <alignment vertical="center"/>
    </xf>
    <xf numFmtId="0" fontId="6" fillId="10" borderId="0" xfId="0" applyFont="1" applyFill="1" applyAlignment="1">
      <alignment vertical="center"/>
    </xf>
    <xf numFmtId="0" fontId="6" fillId="10" borderId="33" xfId="0" applyFont="1" applyFill="1" applyBorder="1" applyAlignment="1">
      <alignment horizontal="justify" vertical="center"/>
    </xf>
    <xf numFmtId="0" fontId="5" fillId="9" borderId="17" xfId="0" applyFont="1" applyFill="1" applyBorder="1" applyAlignment="1">
      <alignment horizontal="justify" vertical="center"/>
    </xf>
    <xf numFmtId="165" fontId="5" fillId="9" borderId="12" xfId="0" applyNumberFormat="1" applyFont="1" applyFill="1" applyBorder="1" applyAlignment="1">
      <alignment horizontal="justify" vertical="center"/>
    </xf>
    <xf numFmtId="43" fontId="5" fillId="9" borderId="12" xfId="54" applyFont="1" applyFill="1" applyBorder="1" applyAlignment="1">
      <alignment horizontal="justify" vertical="center"/>
    </xf>
    <xf numFmtId="41" fontId="5" fillId="9" borderId="12" xfId="52" applyFont="1" applyFill="1" applyBorder="1" applyAlignment="1">
      <alignment horizontal="center" vertical="center"/>
    </xf>
    <xf numFmtId="43" fontId="5" fillId="9" borderId="12" xfId="54" applyFont="1" applyFill="1" applyBorder="1" applyAlignment="1">
      <alignment horizontal="center" vertical="center"/>
    </xf>
    <xf numFmtId="0" fontId="6" fillId="9" borderId="20" xfId="0" applyFont="1" applyFill="1" applyBorder="1" applyAlignment="1">
      <alignment vertical="center"/>
    </xf>
    <xf numFmtId="0" fontId="6" fillId="9" borderId="35" xfId="0" applyFont="1" applyFill="1" applyBorder="1" applyAlignment="1">
      <alignment horizontal="justify" vertical="center"/>
    </xf>
    <xf numFmtId="0" fontId="5" fillId="12" borderId="16" xfId="0" applyFont="1" applyFill="1" applyBorder="1" applyAlignment="1">
      <alignment horizontal="justify" vertical="center"/>
    </xf>
    <xf numFmtId="165" fontId="5" fillId="12" borderId="17" xfId="0" applyNumberFormat="1" applyFont="1" applyFill="1" applyBorder="1" applyAlignment="1">
      <alignment horizontal="justify" vertical="center"/>
    </xf>
    <xf numFmtId="43" fontId="5" fillId="12" borderId="17" xfId="54" applyFont="1" applyFill="1" applyBorder="1" applyAlignment="1">
      <alignment horizontal="justify" vertical="center"/>
    </xf>
    <xf numFmtId="41" fontId="5" fillId="12" borderId="20" xfId="52" applyFont="1" applyFill="1" applyBorder="1" applyAlignment="1">
      <alignment horizontal="center" vertical="center"/>
    </xf>
    <xf numFmtId="43" fontId="5" fillId="12" borderId="20" xfId="54" applyFont="1" applyFill="1" applyBorder="1" applyAlignment="1">
      <alignment horizontal="center" vertical="center"/>
    </xf>
    <xf numFmtId="0" fontId="6" fillId="12" borderId="20" xfId="0" applyFont="1" applyFill="1" applyBorder="1" applyAlignment="1">
      <alignment vertical="center"/>
    </xf>
    <xf numFmtId="9" fontId="6" fillId="4" borderId="14" xfId="81" applyFont="1" applyFill="1" applyBorder="1" applyAlignment="1">
      <alignment horizontal="center" vertical="center" wrapText="1"/>
    </xf>
    <xf numFmtId="0" fontId="6" fillId="4" borderId="16" xfId="0" applyFont="1" applyFill="1" applyBorder="1" applyAlignment="1">
      <alignment horizontal="justify" vertical="center" wrapText="1"/>
    </xf>
    <xf numFmtId="49" fontId="3" fillId="4" borderId="15" xfId="0" applyNumberFormat="1" applyFont="1" applyFill="1" applyBorder="1" applyAlignment="1">
      <alignment horizontal="center" vertical="center" wrapText="1"/>
    </xf>
    <xf numFmtId="0" fontId="6" fillId="4" borderId="36" xfId="0" applyFont="1" applyFill="1" applyBorder="1" applyAlignment="1">
      <alignment vertical="center" wrapText="1"/>
    </xf>
    <xf numFmtId="0" fontId="6" fillId="4" borderId="20" xfId="0" applyFont="1" applyFill="1" applyBorder="1" applyAlignment="1">
      <alignment vertical="center" wrapText="1"/>
    </xf>
    <xf numFmtId="0" fontId="6" fillId="4" borderId="21" xfId="0" applyFont="1" applyFill="1" applyBorder="1" applyAlignment="1">
      <alignment vertical="center" wrapText="1"/>
    </xf>
    <xf numFmtId="0" fontId="5" fillId="12" borderId="10" xfId="0" applyFont="1" applyFill="1" applyBorder="1" applyAlignment="1">
      <alignment horizontal="justify" vertical="center"/>
    </xf>
    <xf numFmtId="0" fontId="5" fillId="12" borderId="0" xfId="0" applyFont="1" applyFill="1" applyAlignment="1">
      <alignment horizontal="justify" vertical="center"/>
    </xf>
    <xf numFmtId="43" fontId="5" fillId="12" borderId="0" xfId="54" applyFont="1" applyFill="1" applyAlignment="1">
      <alignment horizontal="center" vertical="center"/>
    </xf>
    <xf numFmtId="0" fontId="5" fillId="12" borderId="0" xfId="0" applyFont="1" applyFill="1" applyAlignment="1">
      <alignment vertical="center"/>
    </xf>
    <xf numFmtId="0" fontId="6" fillId="12" borderId="0" xfId="0" applyFont="1" applyFill="1" applyAlignment="1">
      <alignment horizontal="justify" vertical="center"/>
    </xf>
    <xf numFmtId="0" fontId="6" fillId="12" borderId="37" xfId="0" applyFont="1" applyFill="1" applyBorder="1" applyAlignment="1">
      <alignment horizontal="justify" vertical="center"/>
    </xf>
    <xf numFmtId="49" fontId="6" fillId="4" borderId="20" xfId="0" applyNumberFormat="1" applyFont="1" applyFill="1" applyBorder="1" applyAlignment="1">
      <alignment vertical="center" wrapText="1"/>
    </xf>
    <xf numFmtId="3" fontId="6" fillId="4" borderId="19" xfId="0" applyNumberFormat="1" applyFont="1" applyFill="1" applyBorder="1" applyAlignment="1">
      <alignment vertical="center" wrapText="1"/>
    </xf>
    <xf numFmtId="49" fontId="6" fillId="4" borderId="0" xfId="0" applyNumberFormat="1" applyFont="1" applyFill="1" applyAlignment="1">
      <alignment vertical="center" wrapText="1"/>
    </xf>
    <xf numFmtId="3" fontId="6" fillId="4" borderId="22" xfId="0" applyNumberFormat="1" applyFont="1" applyFill="1" applyBorder="1" applyAlignment="1">
      <alignment vertical="center" wrapText="1"/>
    </xf>
    <xf numFmtId="3" fontId="6" fillId="4" borderId="0" xfId="0" applyNumberFormat="1" applyFont="1" applyFill="1" applyAlignment="1">
      <alignment vertical="center" wrapText="1"/>
    </xf>
    <xf numFmtId="3" fontId="6" fillId="4" borderId="0" xfId="0" applyNumberFormat="1" applyFont="1" applyFill="1" applyAlignment="1">
      <alignment horizontal="center" vertical="center" wrapText="1"/>
    </xf>
    <xf numFmtId="3" fontId="6" fillId="4" borderId="22" xfId="0" applyNumberFormat="1" applyFont="1" applyFill="1" applyBorder="1" applyAlignment="1">
      <alignment horizontal="center" vertical="center" wrapText="1"/>
    </xf>
    <xf numFmtId="10" fontId="6" fillId="4" borderId="14" xfId="81" applyNumberFormat="1" applyFont="1" applyFill="1" applyBorder="1" applyAlignment="1">
      <alignment horizontal="center" vertical="center" wrapText="1"/>
    </xf>
    <xf numFmtId="0" fontId="5" fillId="0" borderId="27" xfId="0" applyFont="1" applyBorder="1" applyAlignment="1">
      <alignment vertical="center"/>
    </xf>
    <xf numFmtId="0" fontId="33" fillId="0" borderId="0" xfId="0" applyFont="1" applyAlignment="1">
      <alignment vertical="center"/>
    </xf>
    <xf numFmtId="43" fontId="31" fillId="0" borderId="0" xfId="54" applyFont="1" applyAlignment="1">
      <alignment/>
    </xf>
    <xf numFmtId="0" fontId="5" fillId="4" borderId="20" xfId="0" applyFont="1" applyFill="1" applyBorder="1" applyAlignment="1">
      <alignment/>
    </xf>
    <xf numFmtId="0" fontId="4" fillId="0" borderId="0" xfId="0" applyFont="1" applyAlignment="1">
      <alignment horizontal="center" vertical="center"/>
    </xf>
    <xf numFmtId="3" fontId="5" fillId="9" borderId="10" xfId="0" applyNumberFormat="1" applyFont="1" applyFill="1" applyBorder="1" applyAlignment="1">
      <alignment horizontal="center" vertical="center" textRotation="90" wrapText="1"/>
    </xf>
    <xf numFmtId="3" fontId="5" fillId="9" borderId="17" xfId="0" applyNumberFormat="1" applyFont="1" applyFill="1" applyBorder="1" applyAlignment="1">
      <alignment horizontal="center" vertical="center" textRotation="90" wrapText="1"/>
    </xf>
    <xf numFmtId="0" fontId="5" fillId="9" borderId="16" xfId="0" applyFont="1" applyFill="1" applyBorder="1" applyAlignment="1">
      <alignment horizontal="center" vertical="center" textRotation="90" wrapText="1"/>
    </xf>
    <xf numFmtId="0" fontId="5" fillId="9" borderId="16" xfId="0" applyFont="1" applyFill="1" applyBorder="1" applyAlignment="1">
      <alignment horizontal="center" vertical="center" textRotation="90"/>
    </xf>
    <xf numFmtId="0" fontId="5" fillId="9" borderId="10" xfId="0" applyFont="1" applyFill="1" applyBorder="1" applyAlignment="1">
      <alignment horizontal="center" vertical="center" textRotation="90"/>
    </xf>
    <xf numFmtId="0" fontId="4" fillId="9" borderId="14" xfId="0" applyFont="1" applyFill="1" applyBorder="1" applyAlignment="1">
      <alignment horizontal="center" vertical="center" textRotation="90" wrapText="1"/>
    </xf>
    <xf numFmtId="49" fontId="4" fillId="9" borderId="14" xfId="0" applyNumberFormat="1" applyFont="1" applyFill="1" applyBorder="1" applyAlignment="1">
      <alignment horizontal="center" vertical="center" textRotation="90" wrapText="1"/>
    </xf>
    <xf numFmtId="0" fontId="4" fillId="9" borderId="19" xfId="0" applyFont="1" applyFill="1" applyBorder="1" applyAlignment="1">
      <alignment horizontal="center" vertical="center" textRotation="90" wrapText="1"/>
    </xf>
    <xf numFmtId="164" fontId="4" fillId="9" borderId="10" xfId="0" applyNumberFormat="1" applyFont="1" applyFill="1" applyBorder="1" applyAlignment="1">
      <alignment vertical="center" wrapText="1"/>
    </xf>
    <xf numFmtId="0" fontId="4" fillId="0" borderId="0" xfId="0" applyFont="1" applyAlignment="1">
      <alignment horizontal="center"/>
    </xf>
    <xf numFmtId="0" fontId="4" fillId="10" borderId="51" xfId="0" applyFont="1" applyFill="1" applyBorder="1" applyAlignment="1">
      <alignment horizontal="center" vertical="center" wrapText="1"/>
    </xf>
    <xf numFmtId="0" fontId="4" fillId="10" borderId="16" xfId="0" applyFont="1" applyFill="1" applyBorder="1" applyAlignment="1">
      <alignment vertical="center" wrapText="1"/>
    </xf>
    <xf numFmtId="0" fontId="4" fillId="10" borderId="20" xfId="0" applyFont="1" applyFill="1" applyBorder="1" applyAlignment="1">
      <alignment vertical="center" wrapText="1"/>
    </xf>
    <xf numFmtId="0" fontId="4" fillId="10" borderId="17" xfId="0" applyFont="1" applyFill="1" applyBorder="1" applyAlignment="1">
      <alignment horizontal="justify" vertical="center" wrapText="1"/>
    </xf>
    <xf numFmtId="2" fontId="4" fillId="10" borderId="17" xfId="0" applyNumberFormat="1" applyFont="1" applyFill="1" applyBorder="1" applyAlignment="1">
      <alignment horizontal="right" vertical="center" wrapText="1"/>
    </xf>
    <xf numFmtId="41" fontId="4" fillId="10" borderId="17" xfId="52" applyFont="1" applyFill="1" applyBorder="1" applyAlignment="1">
      <alignment horizontal="right" vertical="center" wrapText="1"/>
    </xf>
    <xf numFmtId="1" fontId="4" fillId="10" borderId="17" xfId="0" applyNumberFormat="1"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21" xfId="0" applyFont="1" applyFill="1" applyBorder="1" applyAlignment="1">
      <alignment/>
    </xf>
    <xf numFmtId="0" fontId="4" fillId="19" borderId="21" xfId="0" applyFont="1" applyFill="1" applyBorder="1" applyAlignment="1">
      <alignment horizontal="center" vertical="center" wrapText="1"/>
    </xf>
    <xf numFmtId="0" fontId="4" fillId="19" borderId="17" xfId="0" applyFont="1" applyFill="1" applyBorder="1" applyAlignment="1">
      <alignment horizontal="justify" vertical="center" wrapText="1"/>
    </xf>
    <xf numFmtId="0" fontId="4" fillId="19" borderId="17" xfId="0" applyFont="1" applyFill="1" applyBorder="1" applyAlignment="1">
      <alignment vertical="center" wrapText="1"/>
    </xf>
    <xf numFmtId="2" fontId="4" fillId="19" borderId="17" xfId="0" applyNumberFormat="1" applyFont="1" applyFill="1" applyBorder="1" applyAlignment="1">
      <alignment horizontal="right" vertical="center" wrapText="1"/>
    </xf>
    <xf numFmtId="41" fontId="4" fillId="19" borderId="17" xfId="52" applyFont="1" applyFill="1" applyBorder="1" applyAlignment="1">
      <alignment horizontal="right" vertical="center" wrapText="1"/>
    </xf>
    <xf numFmtId="1" fontId="4" fillId="19" borderId="17" xfId="0" applyNumberFormat="1" applyFont="1" applyFill="1" applyBorder="1" applyAlignment="1">
      <alignment horizontal="center" vertical="center" wrapText="1"/>
    </xf>
    <xf numFmtId="0" fontId="4" fillId="19" borderId="17"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12" borderId="17" xfId="0" applyFont="1" applyFill="1" applyBorder="1" applyAlignment="1">
      <alignment horizontal="justify" vertical="center" wrapText="1"/>
    </xf>
    <xf numFmtId="0" fontId="3" fillId="12" borderId="17" xfId="0" applyFont="1" applyFill="1" applyBorder="1" applyAlignment="1">
      <alignment vertical="center" wrapText="1"/>
    </xf>
    <xf numFmtId="2" fontId="3" fillId="12" borderId="17" xfId="0" applyNumberFormat="1" applyFont="1" applyFill="1" applyBorder="1" applyAlignment="1">
      <alignment horizontal="right" vertical="center" wrapText="1"/>
    </xf>
    <xf numFmtId="41" fontId="3" fillId="12" borderId="17" xfId="52" applyFont="1" applyFill="1" applyBorder="1" applyAlignment="1">
      <alignment horizontal="right" vertical="center" wrapText="1"/>
    </xf>
    <xf numFmtId="1" fontId="3" fillId="12" borderId="17" xfId="0" applyNumberFormat="1" applyFont="1" applyFill="1" applyBorder="1" applyAlignment="1">
      <alignment horizontal="center" vertical="center" wrapText="1"/>
    </xf>
    <xf numFmtId="0" fontId="3" fillId="12" borderId="17" xfId="0" applyFont="1" applyFill="1" applyBorder="1" applyAlignment="1">
      <alignment horizontal="center" vertical="center" wrapText="1"/>
    </xf>
    <xf numFmtId="0" fontId="3" fillId="4" borderId="52" xfId="0" applyFont="1" applyFill="1" applyBorder="1" applyAlignment="1">
      <alignment vertical="center" wrapText="1"/>
    </xf>
    <xf numFmtId="0" fontId="3" fillId="4" borderId="0" xfId="0" applyFont="1" applyFill="1" applyAlignment="1">
      <alignment vertical="center" textRotation="90" wrapText="1"/>
    </xf>
    <xf numFmtId="0" fontId="3" fillId="4" borderId="23" xfId="0" applyFont="1" applyFill="1" applyBorder="1" applyAlignment="1">
      <alignment vertical="center" textRotation="90" wrapText="1"/>
    </xf>
    <xf numFmtId="0" fontId="3" fillId="4" borderId="15" xfId="0" applyFont="1" applyFill="1" applyBorder="1" applyAlignment="1">
      <alignment vertical="center" wrapText="1"/>
    </xf>
    <xf numFmtId="1" fontId="3" fillId="4" borderId="21" xfId="0" applyNumberFormat="1" applyFont="1" applyFill="1" applyBorder="1" applyAlignment="1">
      <alignment horizontal="center" vertical="center" wrapText="1"/>
    </xf>
    <xf numFmtId="1" fontId="3" fillId="4" borderId="23" xfId="0" applyNumberFormat="1" applyFont="1" applyFill="1" applyBorder="1" applyAlignment="1">
      <alignment vertical="center" wrapText="1"/>
    </xf>
    <xf numFmtId="43" fontId="3" fillId="4" borderId="10" xfId="54" applyFont="1" applyFill="1" applyBorder="1" applyAlignment="1">
      <alignment horizontal="right" vertical="center" wrapText="1"/>
    </xf>
    <xf numFmtId="1" fontId="3" fillId="4" borderId="23" xfId="0" applyNumberFormat="1" applyFont="1" applyFill="1" applyBorder="1" applyAlignment="1">
      <alignment horizontal="center" vertical="center" wrapText="1"/>
    </xf>
    <xf numFmtId="0" fontId="3" fillId="0" borderId="11" xfId="0" applyFont="1" applyBorder="1" applyAlignment="1">
      <alignment horizontal="justify" vertical="center" wrapText="1"/>
    </xf>
    <xf numFmtId="0" fontId="3" fillId="0" borderId="16" xfId="0" applyFont="1" applyBorder="1" applyAlignment="1">
      <alignment horizontal="justify" vertical="center" wrapText="1"/>
    </xf>
    <xf numFmtId="43" fontId="6" fillId="4" borderId="10" xfId="54" applyFont="1" applyFill="1" applyBorder="1" applyAlignment="1">
      <alignment horizontal="right" vertical="center" wrapText="1"/>
    </xf>
    <xf numFmtId="1" fontId="3" fillId="4" borderId="13" xfId="0" applyNumberFormat="1" applyFont="1" applyFill="1" applyBorder="1" applyAlignment="1">
      <alignment vertical="center" wrapText="1"/>
    </xf>
    <xf numFmtId="0" fontId="3" fillId="4" borderId="24" xfId="0" applyFont="1" applyFill="1" applyBorder="1" applyAlignment="1">
      <alignment vertical="center" wrapText="1"/>
    </xf>
    <xf numFmtId="0" fontId="6" fillId="12" borderId="17" xfId="0" applyFont="1" applyFill="1" applyBorder="1" applyAlignment="1">
      <alignment vertical="center" wrapText="1"/>
    </xf>
    <xf numFmtId="43" fontId="3" fillId="12" borderId="17" xfId="54" applyFont="1" applyFill="1" applyBorder="1" applyAlignment="1">
      <alignment vertical="center" wrapText="1"/>
    </xf>
    <xf numFmtId="43" fontId="12" fillId="12" borderId="10" xfId="54" applyFont="1" applyFill="1" applyBorder="1" applyAlignment="1">
      <alignment horizontal="right" vertical="center" wrapText="1"/>
    </xf>
    <xf numFmtId="0" fontId="12" fillId="12" borderId="17" xfId="0" applyFont="1" applyFill="1" applyBorder="1" applyAlignment="1">
      <alignment vertical="center" wrapText="1"/>
    </xf>
    <xf numFmtId="0" fontId="12" fillId="12" borderId="35" xfId="0" applyFont="1" applyFill="1" applyBorder="1" applyAlignment="1">
      <alignment vertical="center" wrapText="1"/>
    </xf>
    <xf numFmtId="43" fontId="6" fillId="4" borderId="14" xfId="54" applyFont="1" applyFill="1" applyBorder="1" applyAlignment="1">
      <alignment horizontal="right" vertical="center" wrapText="1"/>
    </xf>
    <xf numFmtId="43" fontId="6" fillId="4" borderId="24" xfId="54" applyFont="1" applyFill="1" applyBorder="1" applyAlignment="1">
      <alignment horizontal="right" vertical="center" wrapText="1"/>
    </xf>
    <xf numFmtId="0" fontId="5" fillId="19" borderId="17" xfId="0" applyFont="1" applyFill="1" applyBorder="1" applyAlignment="1">
      <alignment vertical="center" wrapText="1"/>
    </xf>
    <xf numFmtId="43" fontId="4" fillId="19" borderId="17" xfId="54" applyFont="1" applyFill="1" applyBorder="1" applyAlignment="1">
      <alignment vertical="center" wrapText="1"/>
    </xf>
    <xf numFmtId="43" fontId="34" fillId="19" borderId="10" xfId="54" applyFont="1" applyFill="1" applyBorder="1" applyAlignment="1">
      <alignment horizontal="right" vertical="center" wrapText="1"/>
    </xf>
    <xf numFmtId="0" fontId="34" fillId="19" borderId="17" xfId="0" applyFont="1" applyFill="1" applyBorder="1" applyAlignment="1">
      <alignment vertical="center" wrapText="1"/>
    </xf>
    <xf numFmtId="0" fontId="34" fillId="19" borderId="35" xfId="0" applyFont="1" applyFill="1" applyBorder="1" applyAlignment="1">
      <alignment vertical="center" wrapText="1"/>
    </xf>
    <xf numFmtId="0" fontId="4" fillId="4" borderId="5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0" xfId="0" applyFont="1" applyFill="1" applyBorder="1" applyAlignment="1">
      <alignment/>
    </xf>
    <xf numFmtId="43" fontId="4" fillId="12" borderId="17" xfId="54" applyFont="1" applyFill="1" applyBorder="1" applyAlignment="1">
      <alignment vertical="center" wrapText="1"/>
    </xf>
    <xf numFmtId="43" fontId="34" fillId="12" borderId="10" xfId="54" applyFont="1" applyFill="1" applyBorder="1" applyAlignment="1">
      <alignment horizontal="right" vertical="center" wrapText="1"/>
    </xf>
    <xf numFmtId="0" fontId="34" fillId="12" borderId="17" xfId="0" applyFont="1" applyFill="1" applyBorder="1" applyAlignment="1">
      <alignment vertical="center" wrapText="1"/>
    </xf>
    <xf numFmtId="0" fontId="34" fillId="12" borderId="35" xfId="0" applyFont="1" applyFill="1" applyBorder="1" applyAlignment="1">
      <alignment vertical="center" wrapText="1"/>
    </xf>
    <xf numFmtId="3" fontId="6" fillId="4" borderId="14"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3" fontId="6" fillId="4" borderId="24" xfId="0" applyNumberFormat="1" applyFont="1" applyFill="1" applyBorder="1" applyAlignment="1">
      <alignment horizontal="center" vertical="center" wrapText="1"/>
    </xf>
    <xf numFmtId="0" fontId="6" fillId="12" borderId="17" xfId="0" applyFont="1" applyFill="1" applyBorder="1" applyAlignment="1">
      <alignment horizontal="center" vertical="center" wrapText="1"/>
    </xf>
    <xf numFmtId="43" fontId="6" fillId="4" borderId="15" xfId="54" applyFont="1" applyFill="1" applyBorder="1" applyAlignment="1">
      <alignment horizontal="righ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93" fontId="3" fillId="0" borderId="27" xfId="0" applyNumberFormat="1" applyFont="1" applyBorder="1" applyAlignment="1">
      <alignment horizontal="center" vertical="center" wrapText="1"/>
    </xf>
    <xf numFmtId="0" fontId="3" fillId="0" borderId="27" xfId="0" applyFont="1" applyBorder="1" applyAlignment="1">
      <alignment horizontal="justify" vertical="center" wrapText="1"/>
    </xf>
    <xf numFmtId="0" fontId="4" fillId="0" borderId="27" xfId="0" applyFont="1" applyBorder="1" applyAlignment="1">
      <alignment horizontal="justify" vertical="center" wrapText="1"/>
    </xf>
    <xf numFmtId="10" fontId="3" fillId="0" borderId="27" xfId="0" applyNumberFormat="1" applyFont="1" applyBorder="1" applyAlignment="1">
      <alignment horizontal="center" vertical="center" wrapText="1"/>
    </xf>
    <xf numFmtId="43" fontId="4" fillId="0" borderId="30" xfId="54" applyFont="1" applyBorder="1" applyAlignment="1">
      <alignment horizontal="right" vertical="center" wrapText="1"/>
    </xf>
    <xf numFmtId="1" fontId="3" fillId="0" borderId="27" xfId="0" applyNumberFormat="1" applyFont="1" applyBorder="1" applyAlignment="1">
      <alignment horizontal="center" vertical="center" wrapText="1"/>
    </xf>
    <xf numFmtId="0" fontId="3" fillId="0" borderId="27" xfId="0" applyFont="1" applyBorder="1" applyAlignment="1">
      <alignment horizontal="center" vertical="center" textRotation="180" wrapText="1"/>
    </xf>
    <xf numFmtId="49" fontId="3" fillId="0" borderId="27" xfId="0" applyNumberFormat="1" applyFont="1" applyBorder="1" applyAlignment="1">
      <alignment horizontal="center" vertical="center" textRotation="180" wrapText="1"/>
    </xf>
    <xf numFmtId="2" fontId="3" fillId="4" borderId="0" xfId="0" applyNumberFormat="1" applyFont="1" applyFill="1" applyAlignment="1">
      <alignment horizontal="right"/>
    </xf>
    <xf numFmtId="179" fontId="3" fillId="4" borderId="0" xfId="0" applyNumberFormat="1" applyFont="1" applyFill="1" applyAlignment="1">
      <alignment horizontal="right" vertical="center"/>
    </xf>
    <xf numFmtId="0" fontId="12" fillId="4" borderId="0" xfId="0" applyFont="1" applyFill="1" applyAlignment="1">
      <alignment vertical="center"/>
    </xf>
    <xf numFmtId="2" fontId="3" fillId="4" borderId="0" xfId="0" applyNumberFormat="1" applyFont="1" applyFill="1" applyAlignment="1">
      <alignment horizontal="right" vertical="center"/>
    </xf>
    <xf numFmtId="165" fontId="3" fillId="4" borderId="0" xfId="0" applyNumberFormat="1" applyFont="1" applyFill="1" applyAlignment="1">
      <alignment horizontal="justify" vertical="center" wrapText="1"/>
    </xf>
    <xf numFmtId="165" fontId="12" fillId="4" borderId="0" xfId="0" applyNumberFormat="1" applyFont="1" applyFill="1" applyAlignment="1">
      <alignment horizontal="center" vertical="center" wrapText="1"/>
    </xf>
    <xf numFmtId="165" fontId="12" fillId="4" borderId="0" xfId="0" applyNumberFormat="1" applyFont="1" applyFill="1" applyAlignment="1">
      <alignment horizontal="center" vertical="center"/>
    </xf>
    <xf numFmtId="3" fontId="3" fillId="4" borderId="0" xfId="0" applyNumberFormat="1" applyFont="1" applyFill="1" applyAlignment="1">
      <alignment horizontal="center" vertical="center"/>
    </xf>
    <xf numFmtId="0" fontId="12" fillId="0" borderId="0" xfId="0" applyFont="1" applyAlignment="1">
      <alignment vertical="center"/>
    </xf>
    <xf numFmtId="0" fontId="3" fillId="0" borderId="0" xfId="0" applyFont="1" applyAlignment="1">
      <alignment horizontal="right" vertical="center"/>
    </xf>
    <xf numFmtId="0" fontId="12" fillId="0" borderId="0" xfId="0" applyFont="1" applyAlignment="1">
      <alignment horizontal="right" vertical="center"/>
    </xf>
    <xf numFmtId="164" fontId="3" fillId="0" borderId="0" xfId="0" applyNumberFormat="1" applyFont="1" applyAlignment="1">
      <alignment horizontal="center"/>
    </xf>
    <xf numFmtId="164" fontId="12" fillId="0" borderId="0" xfId="0" applyNumberFormat="1" applyFont="1" applyAlignment="1">
      <alignment horizontal="center"/>
    </xf>
    <xf numFmtId="179" fontId="4" fillId="0" borderId="0" xfId="0" applyNumberFormat="1" applyFont="1" applyAlignment="1">
      <alignment horizontal="right" vertical="center"/>
    </xf>
    <xf numFmtId="181" fontId="6" fillId="0" borderId="0" xfId="58" applyFont="1" applyAlignment="1">
      <alignment horizontal="justify" vertical="center"/>
    </xf>
    <xf numFmtId="2" fontId="3" fillId="0" borderId="0" xfId="0" applyNumberFormat="1" applyFont="1" applyAlignment="1">
      <alignment horizontal="right"/>
    </xf>
    <xf numFmtId="179" fontId="3" fillId="0" borderId="0" xfId="0" applyNumberFormat="1" applyFont="1" applyAlignment="1">
      <alignment horizontal="right"/>
    </xf>
    <xf numFmtId="0" fontId="29" fillId="0" borderId="20" xfId="0" applyFont="1" applyBorder="1" applyAlignment="1">
      <alignment/>
    </xf>
    <xf numFmtId="165" fontId="29" fillId="0" borderId="0" xfId="0" applyNumberFormat="1" applyFont="1" applyAlignment="1">
      <alignment/>
    </xf>
    <xf numFmtId="43" fontId="29" fillId="0" borderId="0" xfId="55" applyFont="1" applyAlignment="1">
      <alignment/>
    </xf>
    <xf numFmtId="0" fontId="25" fillId="0" borderId="0" xfId="0" applyFont="1" applyAlignment="1">
      <alignment vertical="center"/>
    </xf>
    <xf numFmtId="43" fontId="5" fillId="0" borderId="30" xfId="55" applyFont="1" applyBorder="1" applyAlignment="1">
      <alignment vertical="center"/>
    </xf>
    <xf numFmtId="43" fontId="5" fillId="0" borderId="28" xfId="55" applyFont="1" applyBorder="1" applyAlignment="1">
      <alignment vertical="center"/>
    </xf>
    <xf numFmtId="0" fontId="3" fillId="9" borderId="25" xfId="0" applyFont="1" applyFill="1" applyBorder="1" applyAlignment="1">
      <alignment/>
    </xf>
    <xf numFmtId="0" fontId="3" fillId="9" borderId="10" xfId="0" applyFont="1" applyFill="1" applyBorder="1" applyAlignment="1">
      <alignment/>
    </xf>
    <xf numFmtId="1" fontId="4" fillId="9" borderId="10" xfId="0" applyNumberFormat="1" applyFont="1" applyFill="1" applyBorder="1" applyAlignment="1">
      <alignment horizontal="left" vertical="center" wrapText="1" indent="1"/>
    </xf>
    <xf numFmtId="0" fontId="3" fillId="13" borderId="25" xfId="0" applyFont="1" applyFill="1" applyBorder="1" applyAlignment="1">
      <alignment/>
    </xf>
    <xf numFmtId="0" fontId="3" fillId="13" borderId="10" xfId="0" applyFont="1" applyFill="1" applyBorder="1" applyAlignment="1">
      <alignment/>
    </xf>
    <xf numFmtId="1" fontId="4" fillId="13" borderId="17" xfId="0" applyNumberFormat="1" applyFont="1" applyFill="1" applyBorder="1" applyAlignment="1">
      <alignment horizontal="center" vertical="center"/>
    </xf>
    <xf numFmtId="0" fontId="3" fillId="10" borderId="25" xfId="0" applyFont="1" applyFill="1" applyBorder="1" applyAlignment="1">
      <alignment/>
    </xf>
    <xf numFmtId="0" fontId="3" fillId="10" borderId="10" xfId="0" applyFont="1" applyFill="1" applyBorder="1" applyAlignment="1">
      <alignment/>
    </xf>
    <xf numFmtId="0" fontId="4" fillId="10" borderId="17" xfId="0" applyFont="1" applyFill="1" applyBorder="1" applyAlignment="1">
      <alignment vertical="center"/>
    </xf>
    <xf numFmtId="1" fontId="4" fillId="10" borderId="34" xfId="0" applyNumberFormat="1" applyFont="1" applyFill="1" applyBorder="1" applyAlignment="1">
      <alignment horizontal="center" vertical="center" wrapText="1"/>
    </xf>
    <xf numFmtId="0" fontId="4" fillId="9" borderId="16" xfId="0" applyFont="1" applyFill="1" applyBorder="1" applyAlignment="1">
      <alignment horizontal="center" vertical="center" textRotation="90" wrapText="1"/>
    </xf>
    <xf numFmtId="3" fontId="25" fillId="4" borderId="25" xfId="0" applyNumberFormat="1" applyFont="1" applyFill="1" applyBorder="1" applyAlignment="1">
      <alignment horizontal="left" vertical="center" wrapText="1"/>
    </xf>
    <xf numFmtId="0" fontId="25" fillId="0" borderId="10" xfId="0" applyFont="1" applyBorder="1" applyAlignment="1">
      <alignment vertical="center"/>
    </xf>
    <xf numFmtId="17" fontId="25" fillId="0" borderId="25" xfId="0" applyNumberFormat="1" applyFont="1" applyBorder="1" applyAlignment="1">
      <alignment horizontal="left"/>
    </xf>
    <xf numFmtId="0" fontId="25" fillId="0" borderId="10" xfId="0" applyFont="1" applyBorder="1" applyAlignment="1">
      <alignment/>
    </xf>
    <xf numFmtId="173" fontId="25" fillId="0" borderId="25" xfId="0" applyNumberFormat="1" applyFont="1" applyBorder="1" applyAlignment="1">
      <alignment horizontal="left"/>
    </xf>
    <xf numFmtId="0" fontId="25" fillId="0" borderId="10" xfId="0" applyFont="1" applyBorder="1" applyAlignment="1">
      <alignment horizontal="left"/>
    </xf>
    <xf numFmtId="0" fontId="25" fillId="0" borderId="32" xfId="0" applyFont="1" applyBorder="1" applyAlignment="1">
      <alignment/>
    </xf>
    <xf numFmtId="0" fontId="25" fillId="0" borderId="31" xfId="0" applyFont="1" applyBorder="1" applyAlignment="1">
      <alignment/>
    </xf>
    <xf numFmtId="0" fontId="6" fillId="4" borderId="10" xfId="0" applyFont="1" applyFill="1" applyBorder="1" applyAlignment="1">
      <alignment horizontal="left" vertical="center" wrapText="1"/>
    </xf>
    <xf numFmtId="0" fontId="6" fillId="4" borderId="10" xfId="0" applyFont="1" applyFill="1" applyBorder="1" applyAlignment="1">
      <alignment horizontal="justify" vertical="center" wrapText="1"/>
    </xf>
    <xf numFmtId="0" fontId="6" fillId="4" borderId="10" xfId="0" applyFont="1" applyFill="1" applyBorder="1" applyAlignment="1">
      <alignment vertical="center" wrapText="1"/>
    </xf>
    <xf numFmtId="3" fontId="6" fillId="4" borderId="11" xfId="0" applyNumberFormat="1" applyFont="1" applyFill="1" applyBorder="1" applyAlignment="1">
      <alignment vertical="center" wrapText="1"/>
    </xf>
    <xf numFmtId="3" fontId="6" fillId="4" borderId="24" xfId="0" applyNumberFormat="1" applyFont="1" applyFill="1" applyBorder="1" applyAlignment="1">
      <alignment vertical="center" wrapText="1"/>
    </xf>
    <xf numFmtId="0" fontId="4" fillId="4" borderId="28" xfId="0" applyFont="1" applyFill="1" applyBorder="1" applyAlignment="1">
      <alignment horizontal="justify" vertical="center"/>
    </xf>
    <xf numFmtId="0" fontId="4" fillId="9" borderId="21" xfId="0" applyFont="1" applyFill="1" applyBorder="1" applyAlignment="1">
      <alignment horizontal="center" vertical="center" wrapText="1"/>
    </xf>
    <xf numFmtId="0" fontId="4" fillId="4" borderId="0" xfId="0" applyFont="1" applyFill="1" applyBorder="1" applyAlignment="1">
      <alignment horizontal="center" vertical="center"/>
    </xf>
    <xf numFmtId="1" fontId="4" fillId="4" borderId="0" xfId="0" applyNumberFormat="1" applyFont="1" applyFill="1" applyBorder="1" applyAlignment="1">
      <alignment horizontal="justify" vertical="center"/>
    </xf>
    <xf numFmtId="0" fontId="3" fillId="4" borderId="0" xfId="0" applyFont="1" applyFill="1" applyBorder="1" applyAlignment="1">
      <alignment horizontal="justify" vertical="center"/>
    </xf>
    <xf numFmtId="0" fontId="1" fillId="0" borderId="0" xfId="0" applyFont="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 fontId="4" fillId="9" borderId="21" xfId="0" applyNumberFormat="1" applyFont="1" applyFill="1" applyBorder="1" applyAlignment="1">
      <alignment horizontal="center" vertical="center" wrapText="1"/>
    </xf>
    <xf numFmtId="1" fontId="4" fillId="9" borderId="23" xfId="0" applyNumberFormat="1"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5" fillId="8" borderId="19" xfId="0" applyFont="1" applyFill="1" applyBorder="1" applyAlignment="1">
      <alignment horizontal="center" vertical="center" textRotation="90" wrapText="1"/>
    </xf>
    <xf numFmtId="0" fontId="5" fillId="8" borderId="11" xfId="0" applyFont="1" applyFill="1" applyBorder="1" applyAlignment="1">
      <alignment horizontal="center" vertical="center" textRotation="90" wrapText="1"/>
    </xf>
    <xf numFmtId="164" fontId="4" fillId="9" borderId="19" xfId="0" applyNumberFormat="1" applyFont="1" applyFill="1" applyBorder="1" applyAlignment="1">
      <alignment horizontal="center" vertical="center" wrapText="1"/>
    </xf>
    <xf numFmtId="164" fontId="4" fillId="9" borderId="11" xfId="0" applyNumberFormat="1" applyFont="1" applyFill="1" applyBorder="1" applyAlignment="1">
      <alignment horizontal="center" vertical="center" wrapText="1"/>
    </xf>
    <xf numFmtId="3" fontId="4" fillId="9" borderId="14" xfId="0" applyNumberFormat="1" applyFont="1" applyFill="1" applyBorder="1" applyAlignment="1">
      <alignment horizontal="center" vertical="center" wrapText="1"/>
    </xf>
    <xf numFmtId="3" fontId="4" fillId="9" borderId="15" xfId="0" applyNumberFormat="1"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3" fontId="5" fillId="8" borderId="16" xfId="0" applyNumberFormat="1" applyFont="1" applyFill="1" applyBorder="1" applyAlignment="1">
      <alignment horizontal="center" vertical="center" wrapText="1"/>
    </xf>
    <xf numFmtId="3" fontId="5" fillId="8" borderId="17" xfId="0" applyNumberFormat="1"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10" fontId="5" fillId="9" borderId="14" xfId="78" applyNumberFormat="1" applyFont="1" applyFill="1" applyBorder="1" applyAlignment="1">
      <alignment horizontal="center" vertical="center" wrapText="1"/>
    </xf>
    <xf numFmtId="10" fontId="5" fillId="9" borderId="15" xfId="78" applyNumberFormat="1" applyFont="1" applyFill="1" applyBorder="1" applyAlignment="1">
      <alignment horizontal="center" vertical="center" wrapText="1"/>
    </xf>
    <xf numFmtId="43" fontId="4" fillId="9" borderId="14" xfId="53" applyFont="1" applyFill="1" applyBorder="1" applyAlignment="1">
      <alignment horizontal="center" vertical="center" wrapText="1"/>
    </xf>
    <xf numFmtId="43" fontId="4" fillId="9" borderId="15" xfId="53"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24" xfId="0" applyFont="1" applyBorder="1" applyAlignment="1">
      <alignment horizontal="justify" vertical="center" wrapText="1"/>
    </xf>
    <xf numFmtId="0" fontId="4" fillId="9" borderId="11" xfId="0" applyFont="1" applyFill="1" applyBorder="1" applyAlignment="1">
      <alignment horizontal="center" vertical="center" wrapText="1"/>
    </xf>
    <xf numFmtId="0" fontId="6" fillId="0" borderId="14" xfId="0" applyFont="1" applyBorder="1" applyAlignment="1">
      <alignment horizontal="justify" vertical="center" wrapText="1"/>
    </xf>
    <xf numFmtId="0" fontId="6" fillId="0" borderId="24" xfId="0" applyFont="1" applyBorder="1" applyAlignment="1">
      <alignment horizontal="justify" vertical="center" wrapText="1"/>
    </xf>
    <xf numFmtId="9" fontId="6" fillId="0" borderId="14" xfId="78" applyFont="1" applyBorder="1" applyAlignment="1">
      <alignment horizontal="center" vertical="center" wrapText="1"/>
    </xf>
    <xf numFmtId="9" fontId="6" fillId="0" borderId="24" xfId="78" applyFont="1" applyBorder="1" applyAlignment="1">
      <alignment horizontal="center" vertical="center" wrapText="1"/>
    </xf>
    <xf numFmtId="43" fontId="3" fillId="0" borderId="14" xfId="53" applyFont="1" applyBorder="1" applyAlignment="1">
      <alignment horizontal="center" vertical="center" wrapText="1"/>
    </xf>
    <xf numFmtId="43" fontId="3" fillId="0" borderId="24" xfId="53" applyFont="1" applyBorder="1" applyAlignment="1">
      <alignment horizontal="center" vertical="center" wrapText="1"/>
    </xf>
    <xf numFmtId="3" fontId="3" fillId="0" borderId="14" xfId="0" applyNumberFormat="1" applyFont="1" applyBorder="1" applyAlignment="1">
      <alignment horizontal="justify" vertical="center" wrapText="1"/>
    </xf>
    <xf numFmtId="3" fontId="3" fillId="0" borderId="24" xfId="0" applyNumberFormat="1" applyFont="1" applyBorder="1" applyAlignment="1">
      <alignment horizontal="justify" vertical="center" wrapText="1"/>
    </xf>
    <xf numFmtId="3" fontId="3" fillId="4" borderId="53" xfId="0" applyNumberFormat="1" applyFont="1" applyFill="1" applyBorder="1" applyAlignment="1">
      <alignment horizontal="center" vertical="center" wrapText="1"/>
    </xf>
    <xf numFmtId="3" fontId="3" fillId="4" borderId="48"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9" fontId="6" fillId="0" borderId="10" xfId="78" applyFont="1" applyBorder="1" applyAlignment="1">
      <alignment horizontal="center" vertical="center" wrapText="1"/>
    </xf>
    <xf numFmtId="3" fontId="3" fillId="0" borderId="14" xfId="0" applyNumberFormat="1" applyFont="1" applyBorder="1" applyAlignment="1">
      <alignment horizontal="center" vertical="center"/>
    </xf>
    <xf numFmtId="3" fontId="3" fillId="0" borderId="24" xfId="0" applyNumberFormat="1" applyFont="1" applyBorder="1" applyAlignment="1">
      <alignment horizontal="center" vertical="center"/>
    </xf>
    <xf numFmtId="164" fontId="3" fillId="4" borderId="14" xfId="0" applyNumberFormat="1" applyFont="1" applyFill="1" applyBorder="1" applyAlignment="1">
      <alignment horizontal="center" vertical="center" wrapText="1"/>
    </xf>
    <xf numFmtId="164" fontId="3" fillId="4" borderId="24" xfId="0" applyNumberFormat="1" applyFont="1" applyFill="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3" fontId="3" fillId="0" borderId="10" xfId="0" applyNumberFormat="1" applyFont="1" applyBorder="1" applyAlignment="1">
      <alignment horizontal="center" vertical="center"/>
    </xf>
    <xf numFmtId="43" fontId="3" fillId="0" borderId="10" xfId="53" applyFont="1" applyBorder="1" applyAlignment="1">
      <alignment horizontal="center" vertical="center" wrapText="1"/>
    </xf>
    <xf numFmtId="3" fontId="3" fillId="0" borderId="18" xfId="0" applyNumberFormat="1" applyFont="1" applyBorder="1" applyAlignment="1">
      <alignment horizontal="center" vertical="center"/>
    </xf>
    <xf numFmtId="164" fontId="3" fillId="0" borderId="10"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justify"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10" fontId="6" fillId="0" borderId="10" xfId="78" applyNumberFormat="1" applyFont="1" applyBorder="1" applyAlignment="1">
      <alignment horizontal="center" vertical="center" wrapText="1"/>
    </xf>
    <xf numFmtId="43" fontId="3" fillId="4" borderId="10" xfId="53" applyFont="1" applyFill="1" applyBorder="1" applyAlignment="1">
      <alignment horizontal="center" vertical="center" wrapText="1"/>
    </xf>
    <xf numFmtId="3" fontId="3" fillId="0" borderId="15" xfId="0" applyNumberFormat="1" applyFont="1" applyBorder="1" applyAlignment="1">
      <alignment horizontal="center" vertical="center"/>
    </xf>
    <xf numFmtId="10" fontId="6" fillId="0" borderId="14" xfId="78" applyNumberFormat="1" applyFont="1" applyBorder="1" applyAlignment="1">
      <alignment horizontal="center" vertical="center" wrapText="1"/>
    </xf>
    <xf numFmtId="10" fontId="6" fillId="0" borderId="15" xfId="78" applyNumberFormat="1" applyFont="1" applyBorder="1" applyAlignment="1">
      <alignment horizontal="center" vertical="center" wrapText="1"/>
    </xf>
    <xf numFmtId="10" fontId="6" fillId="0" borderId="24" xfId="78" applyNumberFormat="1" applyFont="1" applyBorder="1" applyAlignment="1">
      <alignment horizontal="center" vertical="center" wrapText="1"/>
    </xf>
    <xf numFmtId="43" fontId="3" fillId="0" borderId="15" xfId="53" applyFont="1" applyBorder="1" applyAlignment="1">
      <alignment horizontal="center" vertical="center" wrapText="1"/>
    </xf>
    <xf numFmtId="1" fontId="3" fillId="0" borderId="15" xfId="0" applyNumberFormat="1" applyFont="1" applyBorder="1" applyAlignment="1">
      <alignment horizontal="center" vertical="center" wrapText="1"/>
    </xf>
    <xf numFmtId="3" fontId="3" fillId="0" borderId="53" xfId="0" applyNumberFormat="1" applyFont="1" applyBorder="1" applyAlignment="1">
      <alignment horizontal="center" vertical="center" wrapText="1"/>
    </xf>
    <xf numFmtId="3" fontId="3" fillId="0" borderId="54" xfId="0" applyNumberFormat="1" applyFont="1" applyBorder="1" applyAlignment="1">
      <alignment horizontal="center" vertical="center" wrapText="1"/>
    </xf>
    <xf numFmtId="3" fontId="3" fillId="0" borderId="48" xfId="0" applyNumberFormat="1" applyFont="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4"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24" xfId="0" applyFont="1" applyFill="1" applyBorder="1" applyAlignment="1">
      <alignment horizontal="justify" vertical="center" wrapText="1"/>
    </xf>
    <xf numFmtId="43" fontId="3" fillId="4" borderId="14" xfId="53" applyFont="1" applyFill="1" applyBorder="1" applyAlignment="1">
      <alignment horizontal="center" vertical="center" wrapText="1"/>
    </xf>
    <xf numFmtId="43" fontId="3" fillId="4" borderId="15" xfId="53" applyFont="1" applyFill="1" applyBorder="1" applyAlignment="1">
      <alignment horizontal="center" vertical="center" wrapText="1"/>
    </xf>
    <xf numFmtId="43" fontId="3" fillId="4" borderId="24" xfId="53"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64" fontId="3" fillId="4" borderId="15" xfId="0" applyNumberFormat="1" applyFont="1" applyFill="1" applyBorder="1" applyAlignment="1">
      <alignment horizontal="center" vertical="center" wrapText="1"/>
    </xf>
    <xf numFmtId="164" fontId="3" fillId="4" borderId="55"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10" fontId="6" fillId="4" borderId="14" xfId="78" applyNumberFormat="1" applyFont="1" applyFill="1" applyBorder="1" applyAlignment="1">
      <alignment horizontal="center" vertical="center" wrapText="1"/>
    </xf>
    <xf numFmtId="10" fontId="6" fillId="4" borderId="24" xfId="78"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5" fillId="0" borderId="20" xfId="0" applyFont="1" applyBorder="1" applyAlignment="1">
      <alignment horizontal="center" vertical="center"/>
    </xf>
    <xf numFmtId="0" fontId="5" fillId="0" borderId="10" xfId="0" applyFont="1" applyBorder="1" applyAlignment="1">
      <alignment horizontal="center" vertical="center"/>
    </xf>
    <xf numFmtId="1" fontId="5" fillId="9" borderId="14" xfId="0" applyNumberFormat="1" applyFont="1" applyFill="1" applyBorder="1" applyAlignment="1">
      <alignment horizontal="center" vertical="center" wrapText="1"/>
    </xf>
    <xf numFmtId="1" fontId="5" fillId="9" borderId="15" xfId="0" applyNumberFormat="1"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3" fontId="5" fillId="9" borderId="14" xfId="0" applyNumberFormat="1" applyFont="1" applyFill="1" applyBorder="1" applyAlignment="1">
      <alignment horizontal="center" vertical="center" wrapText="1"/>
    </xf>
    <xf numFmtId="3" fontId="5" fillId="9" borderId="15" xfId="0" applyNumberFormat="1" applyFont="1" applyFill="1" applyBorder="1" applyAlignment="1">
      <alignment horizontal="center" vertical="center" wrapText="1"/>
    </xf>
    <xf numFmtId="166" fontId="5" fillId="8" borderId="19" xfId="0" applyNumberFormat="1" applyFont="1" applyFill="1" applyBorder="1" applyAlignment="1">
      <alignment horizontal="center" vertical="center" textRotation="90" wrapText="1"/>
    </xf>
    <xf numFmtId="166" fontId="5" fillId="8" borderId="22" xfId="0" applyNumberFormat="1" applyFont="1" applyFill="1" applyBorder="1" applyAlignment="1">
      <alignment horizontal="center" vertical="center" textRotation="90" wrapText="1"/>
    </xf>
    <xf numFmtId="166" fontId="5" fillId="9" borderId="19" xfId="0" applyNumberFormat="1" applyFont="1" applyFill="1" applyBorder="1" applyAlignment="1">
      <alignment horizontal="center" vertical="center" wrapText="1"/>
    </xf>
    <xf numFmtId="166" fontId="5" fillId="9" borderId="22" xfId="0" applyNumberFormat="1" applyFont="1" applyFill="1" applyBorder="1" applyAlignment="1">
      <alignment horizontal="center" vertical="center" wrapText="1"/>
    </xf>
    <xf numFmtId="0" fontId="5" fillId="10" borderId="17" xfId="0" applyFont="1" applyFill="1" applyBorder="1" applyAlignment="1">
      <alignment horizontal="left" vertical="center"/>
    </xf>
    <xf numFmtId="0" fontId="5" fillId="9" borderId="17" xfId="0" applyFont="1" applyFill="1" applyBorder="1" applyAlignment="1">
      <alignment horizontal="left" vertical="center"/>
    </xf>
    <xf numFmtId="3" fontId="5" fillId="8" borderId="16" xfId="0" applyNumberFormat="1" applyFont="1" applyFill="1" applyBorder="1" applyAlignment="1">
      <alignment horizontal="center" vertical="center" wrapText="1"/>
    </xf>
    <xf numFmtId="3" fontId="5" fillId="8" borderId="17" xfId="0" applyNumberFormat="1"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168" fontId="5" fillId="9" borderId="14" xfId="0" applyNumberFormat="1" applyFont="1" applyFill="1" applyBorder="1" applyAlignment="1">
      <alignment horizontal="center" vertical="center" wrapText="1"/>
    </xf>
    <xf numFmtId="168" fontId="5" fillId="9" borderId="15" xfId="0" applyNumberFormat="1" applyFont="1" applyFill="1" applyBorder="1" applyAlignment="1">
      <alignment horizontal="center" vertical="center" wrapText="1"/>
    </xf>
    <xf numFmtId="165" fontId="5" fillId="9" borderId="14" xfId="0" applyNumberFormat="1" applyFont="1" applyFill="1" applyBorder="1" applyAlignment="1">
      <alignment horizontal="center" vertical="center" wrapText="1"/>
    </xf>
    <xf numFmtId="165" fontId="5" fillId="9" borderId="15" xfId="0" applyNumberFormat="1" applyFont="1" applyFill="1" applyBorder="1" applyAlignment="1">
      <alignment horizontal="center" vertical="center" wrapText="1"/>
    </xf>
    <xf numFmtId="41" fontId="5" fillId="9" borderId="14" xfId="52" applyFont="1" applyFill="1" applyBorder="1" applyAlignment="1">
      <alignment horizontal="center" vertical="center" wrapText="1"/>
    </xf>
    <xf numFmtId="41" fontId="5" fillId="9" borderId="15" xfId="52" applyFont="1" applyFill="1" applyBorder="1" applyAlignment="1">
      <alignment horizontal="center" vertical="center" wrapText="1"/>
    </xf>
    <xf numFmtId="0" fontId="5" fillId="9" borderId="11" xfId="0" applyFont="1" applyFill="1" applyBorder="1" applyAlignment="1">
      <alignment horizontal="center" vertical="center" wrapText="1"/>
    </xf>
    <xf numFmtId="9" fontId="6" fillId="0" borderId="16" xfId="79" applyFont="1" applyBorder="1" applyAlignment="1">
      <alignment horizontal="center" vertical="center" wrapText="1"/>
    </xf>
    <xf numFmtId="0" fontId="5" fillId="12" borderId="17" xfId="0" applyFont="1" applyFill="1" applyBorder="1" applyAlignment="1">
      <alignment horizontal="left" vertical="center"/>
    </xf>
    <xf numFmtId="43" fontId="6" fillId="0" borderId="10" xfId="54" applyFont="1" applyBorder="1" applyAlignment="1">
      <alignment horizontal="center" vertical="center" wrapText="1"/>
    </xf>
    <xf numFmtId="1" fontId="6" fillId="0" borderId="10" xfId="0" applyNumberFormat="1" applyFont="1" applyBorder="1" applyAlignment="1">
      <alignment horizontal="center" vertical="center"/>
    </xf>
    <xf numFmtId="187" fontId="6" fillId="0" borderId="10" xfId="0" applyNumberFormat="1" applyFont="1" applyBorder="1" applyAlignment="1">
      <alignment horizontal="center" vertical="center"/>
    </xf>
    <xf numFmtId="1"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54" applyNumberFormat="1" applyFont="1" applyBorder="1" applyAlignment="1">
      <alignment horizontal="center" vertical="center"/>
    </xf>
    <xf numFmtId="1" fontId="6" fillId="0" borderId="10" xfId="0" applyNumberFormat="1" applyFont="1" applyBorder="1" applyAlignment="1">
      <alignment horizontal="justify" vertical="center" wrapText="1"/>
    </xf>
    <xf numFmtId="0" fontId="6" fillId="0" borderId="10" xfId="54" applyNumberFormat="1" applyFont="1" applyBorder="1" applyAlignment="1">
      <alignment vertical="center" wrapText="1"/>
    </xf>
    <xf numFmtId="0" fontId="5" fillId="13" borderId="17" xfId="0" applyFont="1" applyFill="1" applyBorder="1" applyAlignment="1">
      <alignment horizontal="left" vertical="center"/>
    </xf>
    <xf numFmtId="9" fontId="6" fillId="0" borderId="10" xfId="79" applyFont="1" applyBorder="1" applyAlignment="1">
      <alignment horizontal="center" vertical="center"/>
    </xf>
    <xf numFmtId="43" fontId="6" fillId="0" borderId="10" xfId="54" applyFont="1" applyBorder="1" applyAlignment="1">
      <alignment horizontal="center" vertical="center"/>
    </xf>
    <xf numFmtId="0" fontId="5" fillId="13" borderId="17" xfId="0" applyFont="1" applyFill="1" applyBorder="1" applyAlignment="1">
      <alignment horizontal="left" vertical="center"/>
    </xf>
    <xf numFmtId="0" fontId="6" fillId="0" borderId="10" xfId="0" applyFont="1" applyBorder="1" applyAlignment="1">
      <alignment vertical="center"/>
    </xf>
    <xf numFmtId="1" fontId="6" fillId="0" borderId="10" xfId="0" applyNumberFormat="1" applyFont="1" applyBorder="1" applyAlignment="1">
      <alignment vertical="center" wrapText="1"/>
    </xf>
    <xf numFmtId="0" fontId="6" fillId="0" borderId="21"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13" xfId="0" applyFont="1" applyBorder="1" applyAlignment="1">
      <alignment horizontal="justify" vertical="center" wrapText="1"/>
    </xf>
    <xf numFmtId="43" fontId="6" fillId="0" borderId="14" xfId="54" applyFont="1" applyBorder="1" applyAlignment="1">
      <alignment horizontal="center" vertical="center" wrapText="1"/>
    </xf>
    <xf numFmtId="43" fontId="6" fillId="0" borderId="15" xfId="54" applyFont="1" applyBorder="1" applyAlignment="1">
      <alignment horizontal="center" vertical="center" wrapText="1"/>
    </xf>
    <xf numFmtId="43" fontId="6" fillId="0" borderId="24" xfId="54"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1" fontId="6" fillId="0" borderId="24" xfId="0" applyNumberFormat="1" applyFont="1" applyBorder="1" applyAlignment="1">
      <alignment horizontal="center" vertical="center" wrapText="1"/>
    </xf>
    <xf numFmtId="9" fontId="6" fillId="0" borderId="14" xfId="79" applyFont="1" applyBorder="1" applyAlignment="1">
      <alignment horizontal="center" vertical="center"/>
    </xf>
    <xf numFmtId="9" fontId="6" fillId="0" borderId="24" xfId="79" applyFont="1" applyBorder="1" applyAlignment="1">
      <alignment horizontal="center" vertical="center"/>
    </xf>
    <xf numFmtId="1" fontId="6" fillId="0" borderId="16" xfId="0" applyNumberFormat="1"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1" fontId="6" fillId="0" borderId="14" xfId="0" applyNumberFormat="1" applyFont="1" applyBorder="1" applyAlignment="1">
      <alignment horizontal="center" vertical="center"/>
    </xf>
    <xf numFmtId="1" fontId="6" fillId="0" borderId="24" xfId="0" applyNumberFormat="1" applyFont="1" applyBorder="1" applyAlignment="1">
      <alignment horizontal="center" vertical="center"/>
    </xf>
    <xf numFmtId="1" fontId="6" fillId="0" borderId="10" xfId="54" applyNumberFormat="1" applyFont="1" applyBorder="1" applyAlignment="1">
      <alignment horizontal="center" vertical="center" wrapText="1"/>
    </xf>
    <xf numFmtId="1" fontId="6" fillId="0" borderId="14" xfId="54" applyNumberFormat="1" applyFont="1" applyBorder="1" applyAlignment="1">
      <alignment horizontal="center" vertical="center" wrapText="1"/>
    </xf>
    <xf numFmtId="1" fontId="6" fillId="0" borderId="15" xfId="54" applyNumberFormat="1" applyFont="1" applyBorder="1" applyAlignment="1">
      <alignment horizontal="center" vertical="center" wrapText="1"/>
    </xf>
    <xf numFmtId="1" fontId="6" fillId="0" borderId="24" xfId="54" applyNumberFormat="1" applyFont="1" applyBorder="1" applyAlignment="1">
      <alignment horizontal="center" vertical="center" wrapText="1"/>
    </xf>
    <xf numFmtId="1" fontId="6" fillId="0" borderId="14" xfId="54" applyNumberFormat="1" applyFont="1" applyBorder="1" applyAlignment="1">
      <alignment horizontal="center" vertical="center"/>
    </xf>
    <xf numFmtId="1" fontId="6" fillId="0" borderId="15" xfId="54" applyNumberFormat="1" applyFont="1" applyBorder="1" applyAlignment="1">
      <alignment horizontal="center" vertical="center"/>
    </xf>
    <xf numFmtId="1" fontId="6" fillId="0" borderId="24" xfId="54" applyNumberFormat="1" applyFont="1" applyBorder="1" applyAlignment="1">
      <alignment horizontal="center" vertical="center"/>
    </xf>
    <xf numFmtId="1" fontId="6" fillId="0" borderId="19" xfId="54" applyNumberFormat="1" applyFont="1" applyBorder="1" applyAlignment="1">
      <alignment horizontal="center" vertical="center" wrapText="1"/>
    </xf>
    <xf numFmtId="1" fontId="6" fillId="0" borderId="22" xfId="54" applyNumberFormat="1" applyFont="1" applyBorder="1" applyAlignment="1">
      <alignment horizontal="center" vertical="center" wrapText="1"/>
    </xf>
    <xf numFmtId="1" fontId="6" fillId="0" borderId="11" xfId="54" applyNumberFormat="1" applyFont="1" applyBorder="1" applyAlignment="1">
      <alignment horizontal="center" vertical="center" wrapText="1"/>
    </xf>
    <xf numFmtId="0" fontId="6" fillId="0" borderId="0" xfId="0" applyFont="1" applyAlignment="1">
      <alignment horizontal="justify" vertical="center" wrapText="1"/>
    </xf>
    <xf numFmtId="0" fontId="6" fillId="0" borderId="22" xfId="0" applyFont="1" applyBorder="1" applyAlignment="1">
      <alignment horizontal="justify" vertical="center" wrapText="1"/>
    </xf>
    <xf numFmtId="187" fontId="6" fillId="0" borderId="14" xfId="0" applyNumberFormat="1" applyFont="1" applyBorder="1" applyAlignment="1">
      <alignment horizontal="center" vertical="center"/>
    </xf>
    <xf numFmtId="187" fontId="6" fillId="0" borderId="15" xfId="0" applyNumberFormat="1" applyFont="1" applyBorder="1" applyAlignment="1">
      <alignment horizontal="center" vertical="center"/>
    </xf>
    <xf numFmtId="187" fontId="6" fillId="0" borderId="24" xfId="0" applyNumberFormat="1" applyFont="1" applyBorder="1" applyAlignment="1">
      <alignment horizontal="center" vertical="center"/>
    </xf>
    <xf numFmtId="1" fontId="6" fillId="0" borderId="16" xfId="0" applyNumberFormat="1" applyFont="1" applyBorder="1" applyAlignment="1">
      <alignment horizontal="center" vertical="center"/>
    </xf>
    <xf numFmtId="0" fontId="6" fillId="0" borderId="18" xfId="0" applyFont="1" applyBorder="1" applyAlignment="1">
      <alignment horizontal="justify" vertical="center" wrapText="1"/>
    </xf>
    <xf numFmtId="3" fontId="6" fillId="0" borderId="10" xfId="0" applyNumberFormat="1" applyFont="1" applyBorder="1" applyAlignment="1">
      <alignment horizontal="justify"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9" fontId="6" fillId="0" borderId="17" xfId="79" applyFont="1" applyBorder="1" applyAlignment="1">
      <alignment horizontal="center" vertical="center" wrapText="1"/>
    </xf>
    <xf numFmtId="1" fontId="6" fillId="0" borderId="18" xfId="0" applyNumberFormat="1" applyFont="1" applyBorder="1" applyAlignment="1">
      <alignment horizontal="center" vertical="center"/>
    </xf>
    <xf numFmtId="9" fontId="6" fillId="0" borderId="10" xfId="79" applyFont="1" applyBorder="1" applyAlignment="1">
      <alignment horizontal="center" vertical="center" wrapText="1"/>
    </xf>
    <xf numFmtId="0" fontId="6" fillId="0" borderId="16" xfId="0" applyFont="1" applyBorder="1" applyAlignment="1">
      <alignment horizontal="justify" vertical="center" wrapText="1"/>
    </xf>
    <xf numFmtId="2" fontId="6" fillId="0" borderId="10" xfId="0" applyNumberFormat="1" applyFont="1" applyBorder="1" applyAlignment="1">
      <alignment horizontal="justify" vertical="center" wrapText="1"/>
    </xf>
    <xf numFmtId="1" fontId="6" fillId="0" borderId="24" xfId="0" applyNumberFormat="1" applyFont="1" applyBorder="1" applyAlignment="1">
      <alignment vertical="center" wrapText="1"/>
    </xf>
    <xf numFmtId="0" fontId="6" fillId="0" borderId="10" xfId="0" applyFont="1" applyBorder="1" applyAlignment="1">
      <alignment horizontal="justify" vertical="center"/>
    </xf>
    <xf numFmtId="9" fontId="6" fillId="0" borderId="16" xfId="79" applyFont="1" applyBorder="1" applyAlignment="1">
      <alignment horizontal="center" vertical="center"/>
    </xf>
    <xf numFmtId="1" fontId="6" fillId="0" borderId="22" xfId="0" applyNumberFormat="1" applyFont="1" applyBorder="1" applyAlignment="1">
      <alignment horizontal="justify"/>
    </xf>
    <xf numFmtId="0" fontId="5" fillId="0" borderId="0" xfId="0" applyFont="1" applyAlignment="1">
      <alignment horizontal="justify" vertical="center" wrapText="1"/>
    </xf>
    <xf numFmtId="0" fontId="6" fillId="0" borderId="22" xfId="0" applyFont="1" applyBorder="1" applyAlignment="1">
      <alignment horizontal="justify"/>
    </xf>
    <xf numFmtId="0" fontId="6" fillId="0" borderId="0" xfId="0" applyFont="1" applyAlignment="1">
      <alignment horizontal="justify"/>
    </xf>
    <xf numFmtId="0" fontId="6" fillId="0" borderId="10" xfId="54" applyNumberFormat="1" applyFont="1" applyBorder="1" applyAlignment="1">
      <alignment horizontal="center" vertical="center" wrapText="1"/>
    </xf>
    <xf numFmtId="3" fontId="6" fillId="0" borderId="10" xfId="0" applyNumberFormat="1" applyFont="1" applyBorder="1" applyAlignment="1">
      <alignment horizontal="center" vertical="center"/>
    </xf>
    <xf numFmtId="0" fontId="6" fillId="0" borderId="18" xfId="0" applyFont="1" applyBorder="1" applyAlignment="1">
      <alignment horizontal="justify" vertical="center"/>
    </xf>
    <xf numFmtId="2" fontId="6" fillId="0" borderId="10" xfId="0" applyNumberFormat="1" applyFont="1" applyBorder="1" applyAlignment="1">
      <alignment vertical="center" wrapText="1"/>
    </xf>
    <xf numFmtId="165" fontId="6" fillId="0" borderId="24" xfId="0" applyNumberFormat="1" applyFont="1" applyBorder="1" applyAlignment="1">
      <alignment horizontal="center" vertical="center"/>
    </xf>
    <xf numFmtId="165" fontId="6" fillId="0" borderId="10" xfId="0" applyNumberFormat="1" applyFont="1" applyBorder="1" applyAlignment="1">
      <alignment horizontal="center" vertical="center"/>
    </xf>
    <xf numFmtId="0" fontId="6" fillId="0" borderId="14" xfId="0" applyFont="1" applyBorder="1" applyAlignment="1">
      <alignment horizontal="justify" vertical="center"/>
    </xf>
    <xf numFmtId="3" fontId="6" fillId="0" borderId="14" xfId="0" applyNumberFormat="1" applyFont="1" applyBorder="1" applyAlignment="1">
      <alignment horizontal="center" vertical="center"/>
    </xf>
    <xf numFmtId="169" fontId="6" fillId="0" borderId="10" xfId="54"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55" xfId="0" applyNumberFormat="1" applyFont="1" applyBorder="1" applyAlignment="1">
      <alignment horizontal="center" vertical="center"/>
    </xf>
    <xf numFmtId="2" fontId="6" fillId="0" borderId="14" xfId="0" applyNumberFormat="1" applyFont="1" applyBorder="1" applyAlignment="1">
      <alignment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47"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 fontId="4" fillId="9" borderId="51" xfId="0" applyNumberFormat="1" applyFont="1" applyFill="1" applyBorder="1" applyAlignment="1">
      <alignment horizontal="center" vertical="center" wrapText="1"/>
    </xf>
    <xf numFmtId="1" fontId="4" fillId="9" borderId="52" xfId="0" applyNumberFormat="1" applyFont="1" applyFill="1" applyBorder="1" applyAlignment="1">
      <alignment horizontal="center" vertical="center" wrapText="1"/>
    </xf>
    <xf numFmtId="0" fontId="5" fillId="8" borderId="19" xfId="0" applyFont="1" applyFill="1" applyBorder="1" applyAlignment="1">
      <alignment horizontal="center" vertical="center" textRotation="90" wrapText="1"/>
    </xf>
    <xf numFmtId="0" fontId="5" fillId="8" borderId="22" xfId="0" applyFont="1" applyFill="1" applyBorder="1" applyAlignment="1">
      <alignment horizontal="center" vertical="center" textRotation="90" wrapText="1"/>
    </xf>
    <xf numFmtId="0" fontId="5" fillId="8" borderId="11" xfId="0" applyFont="1" applyFill="1" applyBorder="1" applyAlignment="1">
      <alignment horizontal="center" vertical="center" textRotation="90" wrapText="1"/>
    </xf>
    <xf numFmtId="3" fontId="4" fillId="9" borderId="53" xfId="0" applyNumberFormat="1" applyFont="1" applyFill="1" applyBorder="1" applyAlignment="1">
      <alignment horizontal="center" vertical="center" wrapText="1"/>
    </xf>
    <xf numFmtId="3" fontId="4" fillId="9" borderId="54" xfId="0" applyNumberFormat="1" applyFont="1" applyFill="1" applyBorder="1" applyAlignment="1">
      <alignment horizontal="center" vertical="center" wrapText="1"/>
    </xf>
    <xf numFmtId="3" fontId="4" fillId="9" borderId="48" xfId="0" applyNumberFormat="1" applyFont="1" applyFill="1" applyBorder="1" applyAlignment="1">
      <alignment horizontal="center" vertical="center" wrapText="1"/>
    </xf>
    <xf numFmtId="0" fontId="4" fillId="9" borderId="2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0" xfId="0" applyFont="1" applyBorder="1" applyAlignment="1">
      <alignment horizontal="left" vertical="center"/>
    </xf>
    <xf numFmtId="0" fontId="3" fillId="0" borderId="18" xfId="0" applyFont="1" applyBorder="1" applyAlignment="1">
      <alignment horizontal="center" vertical="center" wrapText="1"/>
    </xf>
    <xf numFmtId="9" fontId="3" fillId="0" borderId="10" xfId="77" applyFont="1" applyBorder="1" applyAlignment="1">
      <alignment horizontal="center" vertical="center" wrapText="1"/>
    </xf>
    <xf numFmtId="165" fontId="4" fillId="9" borderId="14" xfId="0" applyNumberFormat="1" applyFont="1" applyFill="1" applyBorder="1" applyAlignment="1">
      <alignment horizontal="center" vertical="center" wrapText="1"/>
    </xf>
    <xf numFmtId="165" fontId="4" fillId="9" borderId="15" xfId="0" applyNumberFormat="1" applyFont="1" applyFill="1" applyBorder="1" applyAlignment="1">
      <alignment horizontal="center" vertical="center" wrapText="1"/>
    </xf>
    <xf numFmtId="165" fontId="4" fillId="9" borderId="24" xfId="0" applyNumberFormat="1" applyFont="1" applyFill="1" applyBorder="1" applyAlignment="1">
      <alignment horizontal="center" vertical="center" wrapText="1"/>
    </xf>
    <xf numFmtId="168" fontId="4" fillId="9" borderId="19" xfId="0" applyNumberFormat="1" applyFont="1" applyFill="1" applyBorder="1" applyAlignment="1">
      <alignment horizontal="center" vertical="center" wrapText="1"/>
    </xf>
    <xf numFmtId="168" fontId="4" fillId="9" borderId="22" xfId="0" applyNumberFormat="1" applyFont="1" applyFill="1" applyBorder="1" applyAlignment="1">
      <alignment horizontal="center" vertical="center" wrapText="1"/>
    </xf>
    <xf numFmtId="167" fontId="4" fillId="9" borderId="19" xfId="62" applyNumberFormat="1" applyFont="1" applyFill="1" applyBorder="1" applyAlignment="1">
      <alignment horizontal="center" vertical="center" wrapText="1"/>
    </xf>
    <xf numFmtId="167" fontId="4" fillId="9" borderId="22" xfId="62" applyNumberFormat="1"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19" xfId="0" applyFont="1" applyFill="1" applyBorder="1" applyAlignment="1">
      <alignment horizontal="justify" vertical="center" wrapText="1"/>
    </xf>
    <xf numFmtId="0" fontId="4" fillId="9" borderId="22" xfId="0" applyFont="1" applyFill="1" applyBorder="1" applyAlignment="1">
      <alignment horizontal="justify" vertical="center" wrapText="1"/>
    </xf>
    <xf numFmtId="0" fontId="4" fillId="9" borderId="14" xfId="0" applyFont="1" applyFill="1" applyBorder="1" applyAlignment="1">
      <alignment horizontal="justify" vertical="center" wrapText="1"/>
    </xf>
    <xf numFmtId="0" fontId="4" fillId="9" borderId="15" xfId="0" applyFont="1" applyFill="1" applyBorder="1" applyAlignment="1">
      <alignment horizontal="justify" vertical="center" wrapText="1"/>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1" fontId="6" fillId="4" borderId="10" xfId="0" applyNumberFormat="1" applyFont="1" applyFill="1" applyBorder="1" applyAlignment="1">
      <alignment horizontal="center" vertical="center" wrapText="1"/>
    </xf>
    <xf numFmtId="43" fontId="3" fillId="0" borderId="10" xfId="49" applyFont="1" applyBorder="1" applyAlignment="1">
      <alignment horizontal="justify" vertical="center" wrapText="1"/>
    </xf>
    <xf numFmtId="170" fontId="3" fillId="0" borderId="10" xfId="59" applyNumberFormat="1" applyFont="1" applyBorder="1" applyAlignment="1">
      <alignment horizontal="center" vertical="center" wrapText="1"/>
    </xf>
    <xf numFmtId="169" fontId="3" fillId="0" borderId="10" xfId="49" applyNumberFormat="1" applyFont="1" applyFill="1" applyBorder="1" applyAlignment="1">
      <alignment horizontal="right"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64" fontId="3" fillId="0" borderId="14" xfId="0" applyNumberFormat="1"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protection locked="0"/>
    </xf>
    <xf numFmtId="164" fontId="3" fillId="0" borderId="24" xfId="0" applyNumberFormat="1" applyFont="1" applyBorder="1" applyAlignment="1" applyProtection="1">
      <alignment horizontal="center" vertical="center" wrapText="1"/>
      <protection locked="0"/>
    </xf>
    <xf numFmtId="3" fontId="3" fillId="0" borderId="53" xfId="0" applyNumberFormat="1" applyFont="1" applyBorder="1" applyAlignment="1">
      <alignment horizontal="center" vertical="center" wrapText="1"/>
    </xf>
    <xf numFmtId="3" fontId="3" fillId="0" borderId="54" xfId="0" applyNumberFormat="1" applyFont="1" applyBorder="1" applyAlignment="1">
      <alignment horizontal="center" vertical="center" wrapText="1"/>
    </xf>
    <xf numFmtId="3" fontId="3" fillId="0" borderId="48" xfId="0" applyNumberFormat="1" applyFont="1" applyBorder="1" applyAlignment="1">
      <alignment horizontal="center" vertical="center" wrapText="1"/>
    </xf>
    <xf numFmtId="0" fontId="3" fillId="4" borderId="0" xfId="0" applyFont="1" applyFill="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15" xfId="0" applyFont="1" applyBorder="1" applyAlignment="1">
      <alignment horizontal="center" vertical="center" wrapText="1"/>
    </xf>
    <xf numFmtId="0" fontId="3" fillId="0" borderId="14" xfId="0" applyFont="1" applyBorder="1" applyAlignment="1">
      <alignment horizontal="justify" vertical="center" wrapText="1"/>
    </xf>
    <xf numFmtId="43" fontId="3" fillId="0" borderId="14" xfId="49" applyFont="1" applyBorder="1" applyAlignment="1">
      <alignment horizontal="justify" vertical="center" wrapText="1"/>
    </xf>
    <xf numFmtId="0" fontId="3" fillId="4" borderId="23" xfId="0" applyFont="1" applyFill="1" applyBorder="1" applyAlignment="1">
      <alignment horizontal="center" vertical="center" wrapText="1"/>
    </xf>
    <xf numFmtId="1" fontId="6" fillId="4" borderId="14" xfId="0" applyNumberFormat="1" applyFont="1" applyFill="1" applyBorder="1" applyAlignment="1">
      <alignment horizontal="center" vertical="center" wrapText="1"/>
    </xf>
    <xf numFmtId="1" fontId="6" fillId="4" borderId="15" xfId="0" applyNumberFormat="1" applyFont="1" applyFill="1" applyBorder="1" applyAlignment="1">
      <alignment horizontal="center" vertical="center" wrapText="1"/>
    </xf>
    <xf numFmtId="170" fontId="3" fillId="0" borderId="14" xfId="59" applyNumberFormat="1" applyFont="1" applyBorder="1" applyAlignment="1">
      <alignment horizontal="center" vertical="center" wrapText="1"/>
    </xf>
    <xf numFmtId="170" fontId="3" fillId="0" borderId="15" xfId="59" applyNumberFormat="1" applyFont="1" applyBorder="1" applyAlignment="1">
      <alignment horizontal="center" vertical="center" wrapText="1"/>
    </xf>
    <xf numFmtId="0" fontId="4" fillId="0" borderId="0" xfId="0" applyFont="1" applyAlignment="1">
      <alignment horizontal="center" vertical="center"/>
    </xf>
    <xf numFmtId="165" fontId="4" fillId="0" borderId="0" xfId="0" applyNumberFormat="1" applyFont="1" applyAlignment="1">
      <alignment horizontal="justify" vertical="center"/>
    </xf>
    <xf numFmtId="0" fontId="4" fillId="0" borderId="0" xfId="0" applyFont="1" applyAlignment="1">
      <alignment horizontal="justify"/>
    </xf>
    <xf numFmtId="0" fontId="3" fillId="0" borderId="0" xfId="0" applyFont="1" applyAlignment="1">
      <alignment horizontal="justify"/>
    </xf>
    <xf numFmtId="164" fontId="3" fillId="0" borderId="55" xfId="0" applyNumberFormat="1" applyFont="1" applyBorder="1" applyAlignment="1">
      <alignment horizontal="center" vertical="center" wrapText="1"/>
    </xf>
    <xf numFmtId="164" fontId="3" fillId="0" borderId="55" xfId="0" applyNumberFormat="1" applyFont="1" applyBorder="1" applyAlignment="1" applyProtection="1">
      <alignment horizontal="center" vertical="center" wrapText="1"/>
      <protection locked="0"/>
    </xf>
    <xf numFmtId="3" fontId="3" fillId="0" borderId="58" xfId="0" applyNumberFormat="1" applyFont="1" applyBorder="1" applyAlignment="1">
      <alignment horizontal="center" vertical="center" wrapText="1"/>
    </xf>
    <xf numFmtId="9" fontId="3" fillId="0" borderId="14" xfId="77" applyFont="1" applyBorder="1" applyAlignment="1">
      <alignment horizontal="center" vertical="center" wrapText="1"/>
    </xf>
    <xf numFmtId="0" fontId="1" fillId="0" borderId="0" xfId="0" applyFont="1" applyAlignment="1">
      <alignment horizontal="center"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9" borderId="3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4" xfId="0" applyFont="1" applyFill="1" applyBorder="1" applyAlignment="1">
      <alignment horizontal="center" vertical="center" textRotation="90" wrapText="1"/>
    </xf>
    <xf numFmtId="0" fontId="10" fillId="8" borderId="24" xfId="0" applyFont="1" applyFill="1" applyBorder="1" applyAlignment="1">
      <alignment horizontal="center" vertical="center" textRotation="90" wrapText="1"/>
    </xf>
    <xf numFmtId="3" fontId="4" fillId="9" borderId="25" xfId="0" applyNumberFormat="1"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9" borderId="22" xfId="0" applyFont="1" applyFill="1" applyBorder="1" applyAlignment="1">
      <alignment horizontal="center" vertical="center" wrapText="1"/>
    </xf>
    <xf numFmtId="3" fontId="10" fillId="8" borderId="16" xfId="0" applyNumberFormat="1" applyFont="1" applyFill="1" applyBorder="1" applyAlignment="1">
      <alignment horizontal="center" vertical="center" wrapText="1"/>
    </xf>
    <xf numFmtId="3" fontId="10" fillId="8" borderId="17" xfId="0" applyNumberFormat="1" applyFont="1" applyFill="1" applyBorder="1" applyAlignment="1">
      <alignment horizontal="center" vertical="center" wrapText="1"/>
    </xf>
    <xf numFmtId="0" fontId="10" fillId="8" borderId="16" xfId="0" applyFont="1" applyFill="1" applyBorder="1" applyAlignment="1">
      <alignment horizontal="center" vertical="center"/>
    </xf>
    <xf numFmtId="0" fontId="10" fillId="8" borderId="17" xfId="0" applyFont="1" applyFill="1" applyBorder="1" applyAlignment="1">
      <alignment horizontal="center" vertical="center"/>
    </xf>
    <xf numFmtId="0" fontId="3" fillId="4" borderId="20" xfId="0" applyFont="1" applyFill="1" applyBorder="1" applyAlignment="1">
      <alignment horizontal="justify" vertical="center" wrapText="1"/>
    </xf>
    <xf numFmtId="0" fontId="3" fillId="4" borderId="21" xfId="0" applyFont="1" applyFill="1" applyBorder="1" applyAlignment="1">
      <alignment horizontal="justify" vertical="center" wrapText="1"/>
    </xf>
    <xf numFmtId="0" fontId="3" fillId="4" borderId="1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4"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3" fillId="4" borderId="14"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1" fillId="0" borderId="10" xfId="0" applyFont="1" applyBorder="1" applyAlignment="1">
      <alignment horizontal="center" vertical="center"/>
    </xf>
    <xf numFmtId="49" fontId="3" fillId="0" borderId="15"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9" fontId="3" fillId="0" borderId="14" xfId="81" applyFont="1" applyBorder="1" applyAlignment="1">
      <alignment horizontal="center" vertical="center" wrapText="1"/>
    </xf>
    <xf numFmtId="9" fontId="3" fillId="0" borderId="15" xfId="81" applyFont="1" applyBorder="1" applyAlignment="1">
      <alignment horizontal="center" vertical="center" wrapText="1"/>
    </xf>
    <xf numFmtId="9" fontId="3" fillId="0" borderId="24" xfId="81" applyFont="1" applyBorder="1" applyAlignment="1">
      <alignment horizontal="center" vertical="center" wrapText="1"/>
    </xf>
    <xf numFmtId="43" fontId="3" fillId="4" borderId="14" xfId="55" applyFont="1" applyFill="1" applyBorder="1" applyAlignment="1">
      <alignment horizontal="justify" vertical="center" wrapText="1"/>
    </xf>
    <xf numFmtId="43" fontId="3" fillId="4" borderId="15" xfId="55" applyFont="1" applyFill="1" applyBorder="1" applyAlignment="1">
      <alignment horizontal="justify" vertical="center" wrapText="1"/>
    </xf>
    <xf numFmtId="43" fontId="3" fillId="4" borderId="24" xfId="55" applyFont="1" applyFill="1" applyBorder="1" applyAlignment="1">
      <alignment horizontal="justify" vertical="center" wrapText="1"/>
    </xf>
    <xf numFmtId="3" fontId="3" fillId="4" borderId="14" xfId="0" applyNumberFormat="1" applyFont="1" applyFill="1" applyBorder="1" applyAlignment="1">
      <alignment horizontal="justify" vertical="center" wrapText="1"/>
    </xf>
    <xf numFmtId="3" fontId="3" fillId="4" borderId="15" xfId="0" applyNumberFormat="1" applyFont="1" applyFill="1" applyBorder="1" applyAlignment="1">
      <alignment horizontal="justify" vertical="center" wrapText="1"/>
    </xf>
    <xf numFmtId="3" fontId="3" fillId="4" borderId="24" xfId="0" applyNumberFormat="1" applyFont="1" applyFill="1" applyBorder="1" applyAlignment="1">
      <alignment horizontal="justify" vertical="center" wrapText="1"/>
    </xf>
    <xf numFmtId="3" fontId="3" fillId="4" borderId="25" xfId="0" applyNumberFormat="1" applyFont="1" applyFill="1" applyBorder="1" applyAlignment="1">
      <alignment horizontal="justify" vertical="center" wrapText="1"/>
    </xf>
    <xf numFmtId="0" fontId="3" fillId="4" borderId="0" xfId="0" applyFont="1" applyFill="1" applyAlignment="1">
      <alignment horizontal="justify" vertical="center" wrapText="1"/>
    </xf>
    <xf numFmtId="0" fontId="3" fillId="4" borderId="23" xfId="0" applyFont="1" applyFill="1" applyBorder="1" applyAlignment="1">
      <alignment horizontal="justify" vertical="center" wrapText="1"/>
    </xf>
    <xf numFmtId="0" fontId="3" fillId="0" borderId="15" xfId="0" applyFont="1" applyBorder="1" applyAlignment="1">
      <alignment horizontal="left" vertical="center" wrapText="1"/>
    </xf>
    <xf numFmtId="43" fontId="3" fillId="0" borderId="14" xfId="55" applyFont="1" applyBorder="1" applyAlignment="1">
      <alignment horizontal="center" vertical="center" wrapText="1"/>
    </xf>
    <xf numFmtId="43" fontId="3" fillId="0" borderId="15" xfId="55" applyFont="1" applyBorder="1" applyAlignment="1">
      <alignment horizontal="center" vertical="center" wrapText="1"/>
    </xf>
    <xf numFmtId="43" fontId="3" fillId="0" borderId="24" xfId="55"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3" fillId="4" borderId="10" xfId="0" applyFont="1" applyFill="1" applyBorder="1" applyAlignment="1">
      <alignment horizontal="justify"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9" fontId="3" fillId="0" borderId="10" xfId="81" applyFont="1" applyBorder="1" applyAlignment="1">
      <alignment horizontal="center" vertical="center" wrapText="1"/>
    </xf>
    <xf numFmtId="43" fontId="3" fillId="4" borderId="10" xfId="55"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1" xfId="0" applyFont="1" applyBorder="1" applyAlignment="1">
      <alignment horizontal="justify" vertical="center" wrapText="1"/>
    </xf>
    <xf numFmtId="1" fontId="3" fillId="0" borderId="14" xfId="0" applyNumberFormat="1" applyFont="1" applyBorder="1" applyAlignment="1">
      <alignment horizontal="center" vertical="center" wrapText="1"/>
    </xf>
    <xf numFmtId="9" fontId="3" fillId="4" borderId="10" xfId="81" applyFont="1" applyFill="1" applyBorder="1" applyAlignment="1">
      <alignment horizontal="center" vertical="center" wrapText="1"/>
    </xf>
    <xf numFmtId="43" fontId="3" fillId="4" borderId="15" xfId="55" applyFont="1" applyFill="1" applyBorder="1" applyAlignment="1">
      <alignment horizontal="center" vertical="center" wrapText="1"/>
    </xf>
    <xf numFmtId="43" fontId="3" fillId="4" borderId="24" xfId="55" applyFont="1" applyFill="1" applyBorder="1" applyAlignment="1">
      <alignment horizontal="center" vertical="center" wrapText="1"/>
    </xf>
    <xf numFmtId="43" fontId="3" fillId="4" borderId="14" xfId="55" applyFont="1" applyFill="1" applyBorder="1" applyAlignment="1">
      <alignment horizontal="center" vertical="center" wrapText="1"/>
    </xf>
    <xf numFmtId="9" fontId="3" fillId="4" borderId="14" xfId="81" applyFont="1" applyFill="1" applyBorder="1" applyAlignment="1">
      <alignment horizontal="center" vertical="center" wrapText="1"/>
    </xf>
    <xf numFmtId="9" fontId="3" fillId="4" borderId="15" xfId="81" applyFont="1" applyFill="1" applyBorder="1" applyAlignment="1">
      <alignment horizontal="center" vertical="center" wrapText="1"/>
    </xf>
    <xf numFmtId="9" fontId="3" fillId="4" borderId="24" xfId="81" applyFont="1" applyFill="1" applyBorder="1" applyAlignment="1">
      <alignment horizontal="center" vertical="center" wrapText="1"/>
    </xf>
    <xf numFmtId="3" fontId="3" fillId="0" borderId="14" xfId="0" applyNumberFormat="1" applyFont="1" applyBorder="1" applyAlignment="1">
      <alignment horizontal="justify" vertical="center" wrapText="1"/>
    </xf>
    <xf numFmtId="3" fontId="3" fillId="0" borderId="15" xfId="0" applyNumberFormat="1" applyFont="1" applyBorder="1" applyAlignment="1">
      <alignment horizontal="justify" vertical="center" wrapText="1"/>
    </xf>
    <xf numFmtId="3" fontId="3" fillId="0" borderId="24" xfId="0" applyNumberFormat="1" applyFont="1" applyBorder="1" applyAlignment="1">
      <alignment horizontal="justify" vertical="center" wrapText="1"/>
    </xf>
    <xf numFmtId="0" fontId="3" fillId="4" borderId="12"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3" fontId="3" fillId="0" borderId="19" xfId="0" applyNumberFormat="1" applyFont="1" applyBorder="1" applyAlignment="1">
      <alignment horizontal="justify" vertical="center" wrapText="1"/>
    </xf>
    <xf numFmtId="3" fontId="3" fillId="0" borderId="22" xfId="0" applyNumberFormat="1" applyFont="1" applyBorder="1" applyAlignment="1">
      <alignment horizontal="justify" vertical="center" wrapText="1"/>
    </xf>
    <xf numFmtId="3" fontId="3" fillId="0" borderId="11" xfId="0" applyNumberFormat="1" applyFont="1" applyBorder="1" applyAlignment="1">
      <alignment horizontal="justify" vertical="center" wrapText="1"/>
    </xf>
    <xf numFmtId="0" fontId="6" fillId="4" borderId="3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9" borderId="17" xfId="0" applyFont="1" applyFill="1" applyBorder="1" applyAlignment="1">
      <alignment horizontal="justify" vertical="center"/>
    </xf>
    <xf numFmtId="0" fontId="6" fillId="4" borderId="10"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6" fillId="4" borderId="21"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0" xfId="0" applyFont="1" applyFill="1" applyAlignment="1">
      <alignment horizontal="justify" vertical="center" wrapText="1"/>
    </xf>
    <xf numFmtId="0" fontId="6" fillId="4" borderId="23" xfId="0" applyFont="1" applyFill="1" applyBorder="1" applyAlignment="1">
      <alignment horizontal="justify" vertical="center" wrapText="1"/>
    </xf>
    <xf numFmtId="0" fontId="6" fillId="4" borderId="14" xfId="0" applyFont="1" applyFill="1" applyBorder="1" applyAlignment="1">
      <alignment horizontal="justify" vertical="center" wrapText="1"/>
    </xf>
    <xf numFmtId="0" fontId="6" fillId="4" borderId="15" xfId="0" applyFont="1" applyFill="1" applyBorder="1" applyAlignment="1">
      <alignment horizontal="justify"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3" fontId="3" fillId="0" borderId="21" xfId="73" applyNumberFormat="1" applyFont="1" applyBorder="1" applyAlignment="1">
      <alignment horizontal="center" vertical="center"/>
      <protection/>
    </xf>
    <xf numFmtId="3" fontId="3" fillId="0" borderId="23" xfId="73" applyNumberFormat="1" applyFont="1" applyBorder="1" applyAlignment="1">
      <alignment horizontal="center" vertical="center"/>
      <protection/>
    </xf>
    <xf numFmtId="3" fontId="3" fillId="0" borderId="14" xfId="73" applyNumberFormat="1" applyFont="1" applyBorder="1" applyAlignment="1">
      <alignment horizontal="center" vertical="center"/>
      <protection/>
    </xf>
    <xf numFmtId="3" fontId="3" fillId="0" borderId="15" xfId="73" applyNumberFormat="1" applyFont="1" applyBorder="1" applyAlignment="1">
      <alignment horizontal="center" vertical="center"/>
      <protection/>
    </xf>
    <xf numFmtId="172" fontId="6" fillId="4" borderId="15" xfId="0" applyNumberFormat="1" applyFont="1" applyFill="1" applyBorder="1" applyAlignment="1">
      <alignment horizontal="center" vertical="center" wrapText="1"/>
    </xf>
    <xf numFmtId="0" fontId="6" fillId="4" borderId="0" xfId="0" applyFont="1" applyFill="1" applyAlignment="1">
      <alignment horizontal="center" vertical="center" wrapText="1"/>
    </xf>
    <xf numFmtId="9" fontId="6" fillId="4" borderId="14" xfId="81" applyFont="1" applyFill="1" applyBorder="1" applyAlignment="1">
      <alignment horizontal="center" vertical="center" wrapText="1"/>
    </xf>
    <xf numFmtId="9" fontId="6" fillId="4" borderId="15" xfId="81" applyFont="1" applyFill="1" applyBorder="1" applyAlignment="1">
      <alignment horizontal="center" vertical="center" wrapText="1"/>
    </xf>
    <xf numFmtId="43" fontId="6" fillId="4" borderId="14" xfId="54" applyFont="1" applyFill="1" applyBorder="1" applyAlignment="1">
      <alignment horizontal="center" vertical="center" wrapText="1"/>
    </xf>
    <xf numFmtId="43" fontId="6" fillId="4" borderId="15" xfId="54" applyFont="1" applyFill="1" applyBorder="1" applyAlignment="1">
      <alignment horizontal="center" vertical="center" wrapText="1"/>
    </xf>
    <xf numFmtId="0" fontId="6" fillId="4" borderId="16" xfId="0" applyFont="1" applyFill="1" applyBorder="1" applyAlignment="1">
      <alignment horizontal="justify" vertical="center" wrapText="1"/>
    </xf>
    <xf numFmtId="0" fontId="11" fillId="0" borderId="14" xfId="0" applyFont="1" applyBorder="1" applyAlignment="1">
      <alignment horizontal="justify" vertical="center" wrapText="1"/>
    </xf>
    <xf numFmtId="0" fontId="11" fillId="0" borderId="15" xfId="0" applyFont="1" applyBorder="1" applyAlignment="1">
      <alignment horizontal="justify" vertical="center" wrapText="1"/>
    </xf>
    <xf numFmtId="3" fontId="6" fillId="4" borderId="53" xfId="0" applyNumberFormat="1" applyFont="1" applyFill="1" applyBorder="1" applyAlignment="1">
      <alignment horizontal="justify" vertical="center" wrapText="1"/>
    </xf>
    <xf numFmtId="3" fontId="6" fillId="4" borderId="54" xfId="0" applyNumberFormat="1" applyFont="1" applyFill="1" applyBorder="1" applyAlignment="1">
      <alignment horizontal="justify" vertical="center" wrapText="1"/>
    </xf>
    <xf numFmtId="0" fontId="6" fillId="4" borderId="20" xfId="0" applyFont="1" applyFill="1" applyBorder="1" applyAlignment="1">
      <alignment horizontal="center" vertical="center" wrapText="1"/>
    </xf>
    <xf numFmtId="172" fontId="6" fillId="4" borderId="14" xfId="0" applyNumberFormat="1" applyFont="1" applyFill="1" applyBorder="1" applyAlignment="1">
      <alignment horizontal="center" vertical="center" wrapText="1"/>
    </xf>
    <xf numFmtId="0" fontId="6" fillId="4" borderId="0"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4" borderId="24"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4" xfId="0" applyFont="1" applyFill="1" applyBorder="1" applyAlignment="1">
      <alignment horizontal="center" vertical="center"/>
    </xf>
    <xf numFmtId="3" fontId="6" fillId="0" borderId="14"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10" fontId="6" fillId="4" borderId="14" xfId="81" applyNumberFormat="1" applyFont="1" applyFill="1" applyBorder="1" applyAlignment="1">
      <alignment horizontal="center" vertical="center" wrapText="1"/>
    </xf>
    <xf numFmtId="10" fontId="6" fillId="4" borderId="15" xfId="81" applyNumberFormat="1" applyFont="1" applyFill="1" applyBorder="1" applyAlignment="1">
      <alignment horizontal="center" vertical="center" wrapText="1"/>
    </xf>
    <xf numFmtId="10" fontId="6" fillId="4" borderId="24" xfId="81" applyNumberFormat="1" applyFont="1" applyFill="1" applyBorder="1" applyAlignment="1">
      <alignment horizontal="center" vertical="center" wrapText="1"/>
    </xf>
    <xf numFmtId="3" fontId="6" fillId="4" borderId="23"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0" fontId="6" fillId="4" borderId="10" xfId="0" applyFont="1" applyFill="1" applyBorder="1" applyAlignment="1">
      <alignment horizontal="left" vertical="center" wrapText="1"/>
    </xf>
    <xf numFmtId="43" fontId="6" fillId="0" borderId="10" xfId="54" applyFont="1" applyFill="1" applyBorder="1" applyAlignment="1">
      <alignment horizontal="center" vertical="center" wrapText="1"/>
    </xf>
    <xf numFmtId="3" fontId="6" fillId="0" borderId="14" xfId="0" applyNumberFormat="1" applyFont="1" applyBorder="1" applyAlignment="1">
      <alignment horizontal="justify" vertical="center" wrapText="1"/>
    </xf>
    <xf numFmtId="3" fontId="6" fillId="0" borderId="15" xfId="0" applyNumberFormat="1" applyFont="1" applyBorder="1" applyAlignment="1">
      <alignment horizontal="justify" vertical="center" wrapText="1"/>
    </xf>
    <xf numFmtId="1" fontId="6" fillId="0" borderId="53" xfId="0" applyNumberFormat="1" applyFont="1" applyBorder="1" applyAlignment="1">
      <alignment horizontal="justify" vertical="center" wrapText="1"/>
    </xf>
    <xf numFmtId="1" fontId="6" fillId="0" borderId="54" xfId="0" applyNumberFormat="1" applyFont="1" applyBorder="1" applyAlignment="1">
      <alignment horizontal="justify" vertical="center" wrapText="1"/>
    </xf>
    <xf numFmtId="9" fontId="6" fillId="4" borderId="24" xfId="81" applyFont="1" applyFill="1" applyBorder="1" applyAlignment="1">
      <alignment horizontal="center" vertical="center" wrapText="1"/>
    </xf>
    <xf numFmtId="43" fontId="6" fillId="4" borderId="24" xfId="54"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43" fontId="6" fillId="0" borderId="14" xfId="54" applyFont="1" applyFill="1" applyBorder="1" applyAlignment="1">
      <alignment horizontal="center" vertical="center" wrapText="1"/>
    </xf>
    <xf numFmtId="3" fontId="6" fillId="0" borderId="24" xfId="0" applyNumberFormat="1" applyFont="1" applyBorder="1" applyAlignment="1">
      <alignment horizontal="justify" vertical="center" wrapText="1"/>
    </xf>
    <xf numFmtId="1" fontId="6" fillId="0" borderId="48" xfId="0" applyNumberFormat="1" applyFont="1" applyBorder="1" applyAlignment="1">
      <alignment horizontal="justify" vertical="center" wrapText="1"/>
    </xf>
    <xf numFmtId="0" fontId="1" fillId="0" borderId="5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1" fontId="4" fillId="9" borderId="39" xfId="0" applyNumberFormat="1" applyFont="1" applyFill="1" applyBorder="1" applyAlignment="1">
      <alignment horizontal="center" vertical="center" wrapText="1"/>
    </xf>
    <xf numFmtId="3" fontId="3" fillId="0" borderId="14" xfId="70" applyNumberFormat="1" applyFont="1" applyBorder="1" applyAlignment="1">
      <alignment horizontal="center" vertical="center" wrapText="1"/>
      <protection/>
    </xf>
    <xf numFmtId="3" fontId="3" fillId="0" borderId="15" xfId="70" applyNumberFormat="1" applyFont="1" applyBorder="1" applyAlignment="1">
      <alignment horizontal="center" vertical="center" wrapText="1"/>
      <protection/>
    </xf>
    <xf numFmtId="3" fontId="3" fillId="0" borderId="24" xfId="70" applyNumberFormat="1" applyFont="1" applyBorder="1" applyAlignment="1">
      <alignment horizontal="center" vertical="center" wrapText="1"/>
      <protection/>
    </xf>
    <xf numFmtId="3" fontId="3" fillId="4" borderId="14" xfId="70" applyNumberFormat="1" applyFont="1" applyFill="1" applyBorder="1" applyAlignment="1">
      <alignment horizontal="center" vertical="center" wrapText="1"/>
      <protection/>
    </xf>
    <xf numFmtId="3" fontId="3" fillId="4" borderId="15" xfId="70" applyNumberFormat="1" applyFont="1" applyFill="1" applyBorder="1" applyAlignment="1">
      <alignment horizontal="center" vertical="center" wrapText="1"/>
      <protection/>
    </xf>
    <xf numFmtId="3" fontId="3" fillId="4" borderId="24" xfId="70" applyNumberFormat="1" applyFont="1" applyFill="1" applyBorder="1" applyAlignment="1">
      <alignment horizontal="center" vertical="center" wrapText="1"/>
      <protection/>
    </xf>
    <xf numFmtId="3" fontId="11" fillId="0" borderId="21" xfId="0" applyNumberFormat="1" applyFont="1" applyBorder="1" applyAlignment="1">
      <alignment horizontal="center" vertical="center"/>
    </xf>
    <xf numFmtId="3" fontId="11" fillId="0" borderId="23"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21" xfId="0" applyNumberFormat="1" applyFont="1" applyFill="1" applyBorder="1" applyAlignment="1">
      <alignment horizontal="center" vertical="center"/>
    </xf>
    <xf numFmtId="3" fontId="11" fillId="0" borderId="23"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166" fontId="4" fillId="9" borderId="19" xfId="0" applyNumberFormat="1" applyFont="1" applyFill="1" applyBorder="1" applyAlignment="1">
      <alignment horizontal="center" vertical="center" wrapText="1"/>
    </xf>
    <xf numFmtId="166" fontId="4" fillId="9" borderId="11" xfId="0" applyNumberFormat="1" applyFont="1" applyFill="1" applyBorder="1" applyAlignment="1">
      <alignment horizontal="center" vertical="center" wrapText="1"/>
    </xf>
    <xf numFmtId="3" fontId="4" fillId="9" borderId="10" xfId="0" applyNumberFormat="1" applyFont="1" applyFill="1" applyBorder="1" applyAlignment="1">
      <alignment horizontal="center" vertical="center" wrapText="1"/>
    </xf>
    <xf numFmtId="1" fontId="4" fillId="4" borderId="51" xfId="70" applyNumberFormat="1" applyFont="1" applyFill="1" applyBorder="1" applyAlignment="1">
      <alignment horizontal="center" vertical="center" wrapText="1"/>
      <protection/>
    </xf>
    <xf numFmtId="1" fontId="4" fillId="4" borderId="52" xfId="70" applyNumberFormat="1" applyFont="1" applyFill="1" applyBorder="1" applyAlignment="1">
      <alignment horizontal="center" vertical="center" wrapText="1"/>
      <protection/>
    </xf>
    <xf numFmtId="1" fontId="4" fillId="4" borderId="19" xfId="70" applyNumberFormat="1" applyFont="1" applyFill="1" applyBorder="1" applyAlignment="1">
      <alignment horizontal="center" vertical="center" wrapText="1"/>
      <protection/>
    </xf>
    <xf numFmtId="1" fontId="4" fillId="4" borderId="21" xfId="70" applyNumberFormat="1" applyFont="1" applyFill="1" applyBorder="1" applyAlignment="1">
      <alignment horizontal="center" vertical="center" wrapText="1"/>
      <protection/>
    </xf>
    <xf numFmtId="1" fontId="4" fillId="4" borderId="22" xfId="70" applyNumberFormat="1" applyFont="1" applyFill="1" applyBorder="1" applyAlignment="1">
      <alignment horizontal="center" vertical="center" wrapText="1"/>
      <protection/>
    </xf>
    <xf numFmtId="1" fontId="4" fillId="4" borderId="23" xfId="70" applyNumberFormat="1" applyFont="1" applyFill="1" applyBorder="1" applyAlignment="1">
      <alignment horizontal="center" vertical="center" wrapText="1"/>
      <protection/>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2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49" fontId="3" fillId="0" borderId="21" xfId="70" applyNumberFormat="1" applyFont="1" applyBorder="1" applyAlignment="1">
      <alignment horizontal="center" vertical="center" wrapText="1"/>
      <protection/>
    </xf>
    <xf numFmtId="49" fontId="3" fillId="0" borderId="23" xfId="70" applyNumberFormat="1" applyFont="1" applyBorder="1" applyAlignment="1">
      <alignment horizontal="center" vertical="center" wrapText="1"/>
      <protection/>
    </xf>
    <xf numFmtId="174" fontId="3" fillId="4" borderId="19" xfId="70" applyFont="1" applyFill="1" applyBorder="1" applyAlignment="1">
      <alignment horizontal="justify" vertical="center" wrapText="1"/>
      <protection/>
    </xf>
    <xf numFmtId="174" fontId="3" fillId="4" borderId="22" xfId="70" applyFont="1" applyFill="1" applyBorder="1" applyAlignment="1">
      <alignment horizontal="justify" vertical="center" wrapText="1"/>
      <protection/>
    </xf>
    <xf numFmtId="43" fontId="3" fillId="4" borderId="14" xfId="54" applyFont="1" applyFill="1" applyBorder="1" applyAlignment="1">
      <alignment horizontal="center" vertical="center" wrapText="1"/>
    </xf>
    <xf numFmtId="43" fontId="3" fillId="4" borderId="15" xfId="54" applyFont="1" applyFill="1" applyBorder="1" applyAlignment="1">
      <alignment horizontal="center" vertical="center" wrapText="1"/>
    </xf>
    <xf numFmtId="43" fontId="3" fillId="4" borderId="24" xfId="54" applyFont="1" applyFill="1" applyBorder="1" applyAlignment="1">
      <alignment horizontal="center" vertical="center" wrapText="1"/>
    </xf>
    <xf numFmtId="1" fontId="4" fillId="9" borderId="10" xfId="0" applyNumberFormat="1" applyFont="1" applyFill="1" applyBorder="1" applyAlignment="1">
      <alignment horizontal="center" vertical="center" wrapText="1"/>
    </xf>
    <xf numFmtId="3" fontId="10" fillId="8" borderId="10" xfId="0" applyNumberFormat="1"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0" xfId="0" applyFont="1" applyFill="1" applyBorder="1" applyAlignment="1">
      <alignment horizontal="center" vertical="center"/>
    </xf>
    <xf numFmtId="168" fontId="4" fillId="9" borderId="10" xfId="0" applyNumberFormat="1" applyFont="1" applyFill="1" applyBorder="1" applyAlignment="1">
      <alignment horizontal="center" vertical="center" wrapText="1"/>
    </xf>
    <xf numFmtId="165" fontId="4" fillId="9" borderId="10" xfId="0" applyNumberFormat="1" applyFont="1" applyFill="1" applyBorder="1" applyAlignment="1">
      <alignment horizontal="center" vertical="center" wrapText="1"/>
    </xf>
    <xf numFmtId="14" fontId="3" fillId="0" borderId="14" xfId="0" applyNumberFormat="1" applyFont="1" applyBorder="1" applyAlignment="1">
      <alignment horizontal="center" vertical="center"/>
    </xf>
    <xf numFmtId="14" fontId="3" fillId="0" borderId="15" xfId="0" applyNumberFormat="1" applyFont="1" applyBorder="1" applyAlignment="1">
      <alignment horizontal="center" vertical="center"/>
    </xf>
    <xf numFmtId="14" fontId="3" fillId="0" borderId="24" xfId="0" applyNumberFormat="1" applyFont="1" applyBorder="1" applyAlignment="1">
      <alignment horizontal="center" vertical="center"/>
    </xf>
    <xf numFmtId="0" fontId="11" fillId="0" borderId="10" xfId="0" applyFont="1" applyBorder="1" applyAlignment="1">
      <alignment horizontal="justify" vertical="center" wrapText="1"/>
    </xf>
    <xf numFmtId="3" fontId="3" fillId="4" borderId="10" xfId="70" applyNumberFormat="1" applyFont="1" applyFill="1" applyBorder="1" applyAlignment="1">
      <alignment horizontal="center" vertical="center" wrapText="1"/>
      <protection/>
    </xf>
    <xf numFmtId="174" fontId="3" fillId="4" borderId="10" xfId="70" applyFont="1" applyFill="1" applyBorder="1" applyAlignment="1">
      <alignment horizontal="justify" vertical="center" wrapText="1"/>
      <protection/>
    </xf>
    <xf numFmtId="174" fontId="3" fillId="0" borderId="10" xfId="70" applyFont="1" applyBorder="1" applyAlignment="1">
      <alignment horizontal="justify" vertical="center" wrapText="1"/>
      <protection/>
    </xf>
    <xf numFmtId="3" fontId="3" fillId="4" borderId="10" xfId="70" applyNumberFormat="1" applyFont="1" applyFill="1" applyBorder="1" applyAlignment="1">
      <alignment horizontal="center" vertical="center"/>
      <protection/>
    </xf>
    <xf numFmtId="9" fontId="6" fillId="4" borderId="10" xfId="81" applyFont="1" applyFill="1" applyBorder="1" applyAlignment="1">
      <alignment horizontal="center" vertical="center" wrapText="1"/>
    </xf>
    <xf numFmtId="174" fontId="3" fillId="4" borderId="14" xfId="70" applyFont="1" applyFill="1" applyBorder="1" applyAlignment="1">
      <alignment horizontal="center" vertical="center" wrapText="1"/>
      <protection/>
    </xf>
    <xf numFmtId="174" fontId="3" fillId="4" borderId="15" xfId="70" applyFont="1" applyFill="1" applyBorder="1" applyAlignment="1">
      <alignment horizontal="center" vertical="center" wrapText="1"/>
      <protection/>
    </xf>
    <xf numFmtId="174" fontId="3" fillId="4" borderId="24" xfId="70" applyFont="1" applyFill="1" applyBorder="1" applyAlignment="1">
      <alignment horizontal="center" vertical="center" wrapText="1"/>
      <protection/>
    </xf>
    <xf numFmtId="174" fontId="3" fillId="0" borderId="14" xfId="70" applyFont="1" applyBorder="1" applyAlignment="1">
      <alignment horizontal="center" vertical="center" wrapText="1"/>
      <protection/>
    </xf>
    <xf numFmtId="174" fontId="3" fillId="0" borderId="15" xfId="70" applyFont="1" applyBorder="1" applyAlignment="1">
      <alignment horizontal="center" vertical="center" wrapText="1"/>
      <protection/>
    </xf>
    <xf numFmtId="174" fontId="3" fillId="0" borderId="24" xfId="70" applyFont="1" applyBorder="1" applyAlignment="1">
      <alignment horizontal="center" vertical="center" wrapText="1"/>
      <protection/>
    </xf>
    <xf numFmtId="3" fontId="3" fillId="0" borderId="14" xfId="70" applyNumberFormat="1" applyFont="1" applyBorder="1" applyAlignment="1">
      <alignment horizontal="center" vertical="center"/>
      <protection/>
    </xf>
    <xf numFmtId="3" fontId="3" fillId="0" borderId="15" xfId="70" applyNumberFormat="1" applyFont="1" applyBorder="1" applyAlignment="1">
      <alignment horizontal="center" vertical="center"/>
      <protection/>
    </xf>
    <xf numFmtId="3" fontId="3" fillId="0" borderId="24" xfId="70" applyNumberFormat="1" applyFont="1" applyBorder="1" applyAlignment="1">
      <alignment horizontal="center" vertical="center"/>
      <protection/>
    </xf>
    <xf numFmtId="3" fontId="3" fillId="0" borderId="10" xfId="70" applyNumberFormat="1" applyFont="1" applyBorder="1" applyAlignment="1">
      <alignment horizontal="center" vertical="center"/>
      <protection/>
    </xf>
    <xf numFmtId="166" fontId="3" fillId="0" borderId="14" xfId="0" applyNumberFormat="1" applyFont="1" applyBorder="1" applyAlignment="1">
      <alignment horizontal="justify" vertical="center" wrapText="1"/>
    </xf>
    <xf numFmtId="0" fontId="11" fillId="0" borderId="24" xfId="0" applyFont="1" applyBorder="1" applyAlignment="1">
      <alignment horizontal="justify" vertical="center" wrapText="1"/>
    </xf>
    <xf numFmtId="1" fontId="6" fillId="0" borderId="10" xfId="46" applyNumberFormat="1" applyFont="1" applyBorder="1" applyAlignment="1">
      <alignment horizontal="center" vertical="center" wrapText="1"/>
      <protection/>
    </xf>
    <xf numFmtId="1" fontId="3" fillId="0" borderId="10" xfId="70" applyNumberFormat="1" applyFont="1" applyBorder="1" applyAlignment="1">
      <alignment horizontal="center" vertical="center"/>
      <protection/>
    </xf>
    <xf numFmtId="9" fontId="6" fillId="0" borderId="10" xfId="81" applyFont="1" applyBorder="1" applyAlignment="1">
      <alignment horizontal="center" vertical="center" wrapText="1"/>
    </xf>
    <xf numFmtId="174" fontId="3" fillId="0" borderId="10" xfId="70" applyFont="1" applyBorder="1" applyAlignment="1">
      <alignment horizontal="justify" vertical="center" wrapText="1"/>
      <protection/>
    </xf>
    <xf numFmtId="41" fontId="3" fillId="0" borderId="10" xfId="54" applyNumberFormat="1" applyFont="1" applyBorder="1" applyAlignment="1">
      <alignment horizontal="center" vertical="center" wrapText="1"/>
    </xf>
    <xf numFmtId="3" fontId="3" fillId="0" borderId="21" xfId="0" applyNumberFormat="1" applyFont="1" applyBorder="1" applyAlignment="1">
      <alignment vertical="center" wrapText="1"/>
    </xf>
    <xf numFmtId="3" fontId="3" fillId="0" borderId="23" xfId="0" applyNumberFormat="1" applyFont="1" applyBorder="1" applyAlignment="1">
      <alignment vertical="center" wrapText="1"/>
    </xf>
    <xf numFmtId="3" fontId="3" fillId="0" borderId="13" xfId="0" applyNumberFormat="1" applyFont="1" applyBorder="1" applyAlignment="1">
      <alignment vertical="center" wrapText="1"/>
    </xf>
    <xf numFmtId="166" fontId="3" fillId="0" borderId="14" xfId="0" applyNumberFormat="1" applyFont="1" applyBorder="1" applyAlignment="1">
      <alignment horizontal="center" vertical="center"/>
    </xf>
    <xf numFmtId="166" fontId="3" fillId="0" borderId="15" xfId="0" applyNumberFormat="1" applyFont="1" applyBorder="1" applyAlignment="1">
      <alignment horizontal="center" vertical="center"/>
    </xf>
    <xf numFmtId="166" fontId="3" fillId="0" borderId="24" xfId="0" applyNumberFormat="1" applyFont="1" applyBorder="1" applyAlignment="1">
      <alignment horizontal="center" vertical="center"/>
    </xf>
    <xf numFmtId="49" fontId="3" fillId="0" borderId="15" xfId="70" applyNumberFormat="1" applyFont="1" applyBorder="1" applyAlignment="1">
      <alignment horizontal="center" vertical="center" wrapText="1"/>
      <protection/>
    </xf>
    <xf numFmtId="174" fontId="3" fillId="0" borderId="19" xfId="70" applyFont="1" applyBorder="1" applyAlignment="1">
      <alignment horizontal="justify" vertical="center" wrapText="1"/>
      <protection/>
    </xf>
    <xf numFmtId="174" fontId="3" fillId="0" borderId="22" xfId="70" applyFont="1" applyBorder="1" applyAlignment="1">
      <alignment horizontal="justify" vertical="center" wrapText="1"/>
      <protection/>
    </xf>
    <xf numFmtId="43" fontId="3" fillId="0" borderId="14" xfId="54" applyFont="1" applyBorder="1" applyAlignment="1">
      <alignment horizontal="center" vertical="center" wrapText="1"/>
    </xf>
    <xf numFmtId="43" fontId="3" fillId="0" borderId="15" xfId="54" applyFont="1" applyBorder="1" applyAlignment="1">
      <alignment horizontal="center" vertical="center" wrapText="1"/>
    </xf>
    <xf numFmtId="43" fontId="3" fillId="0" borderId="24" xfId="54"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174" fontId="3" fillId="0" borderId="23" xfId="70" applyFont="1" applyBorder="1" applyAlignment="1">
      <alignment horizontal="justify" vertical="center" wrapText="1"/>
      <protection/>
    </xf>
    <xf numFmtId="174" fontId="3" fillId="0" borderId="23" xfId="70" applyFont="1" applyBorder="1" applyAlignment="1">
      <alignment horizontal="justify" vertical="center"/>
      <protection/>
    </xf>
    <xf numFmtId="3" fontId="3" fillId="0" borderId="10" xfId="70" applyNumberFormat="1" applyFont="1" applyFill="1" applyBorder="1" applyAlignment="1">
      <alignment horizontal="center" vertical="center"/>
      <protection/>
    </xf>
    <xf numFmtId="41" fontId="3" fillId="0" borderId="24" xfId="54" applyNumberFormat="1" applyFont="1" applyBorder="1" applyAlignment="1">
      <alignment vertical="center" wrapText="1"/>
    </xf>
    <xf numFmtId="41" fontId="11" fillId="0" borderId="10" xfId="54" applyNumberFormat="1" applyFont="1" applyBorder="1" applyAlignment="1">
      <alignment vertical="center" wrapText="1"/>
    </xf>
    <xf numFmtId="41" fontId="3" fillId="0" borderId="10" xfId="54" applyNumberFormat="1" applyFont="1" applyBorder="1" applyAlignment="1">
      <alignment vertical="center" wrapText="1"/>
    </xf>
    <xf numFmtId="174" fontId="3" fillId="0" borderId="14" xfId="70" applyFont="1" applyBorder="1" applyAlignment="1">
      <alignment horizontal="justify" vertical="center" wrapText="1"/>
      <protection/>
    </xf>
    <xf numFmtId="174" fontId="3" fillId="0" borderId="24" xfId="70" applyFont="1" applyBorder="1" applyAlignment="1">
      <alignment horizontal="justify" vertical="center" wrapText="1"/>
      <protection/>
    </xf>
    <xf numFmtId="9" fontId="11" fillId="0" borderId="10" xfId="81" applyFont="1" applyBorder="1" applyAlignment="1">
      <alignment horizontal="center" vertical="center" wrapText="1"/>
    </xf>
    <xf numFmtId="49" fontId="3" fillId="0" borderId="13" xfId="70" applyNumberFormat="1" applyFont="1" applyBorder="1" applyAlignment="1">
      <alignment horizontal="center" vertical="center" wrapText="1"/>
      <protection/>
    </xf>
    <xf numFmtId="174" fontId="3" fillId="0" borderId="11" xfId="70" applyFont="1" applyBorder="1" applyAlignment="1">
      <alignment horizontal="justify" vertical="center" wrapText="1"/>
      <protection/>
    </xf>
    <xf numFmtId="1" fontId="4" fillId="4" borderId="20" xfId="70" applyNumberFormat="1" applyFont="1" applyFill="1" applyBorder="1" applyAlignment="1">
      <alignment horizontal="center" vertical="center" wrapText="1"/>
      <protection/>
    </xf>
    <xf numFmtId="1" fontId="4" fillId="4" borderId="0" xfId="70" applyNumberFormat="1" applyFont="1" applyFill="1" applyAlignment="1">
      <alignment horizontal="center" vertical="center" wrapText="1"/>
      <protection/>
    </xf>
    <xf numFmtId="1" fontId="4" fillId="4" borderId="11" xfId="70" applyNumberFormat="1" applyFont="1" applyFill="1" applyBorder="1" applyAlignment="1">
      <alignment horizontal="center" vertical="center" wrapText="1"/>
      <protection/>
    </xf>
    <xf numFmtId="1" fontId="4" fillId="4" borderId="12" xfId="70" applyNumberFormat="1" applyFont="1" applyFill="1" applyBorder="1" applyAlignment="1">
      <alignment horizontal="center" vertical="center" wrapText="1"/>
      <protection/>
    </xf>
    <xf numFmtId="1" fontId="4" fillId="4" borderId="13" xfId="70" applyNumberFormat="1" applyFont="1" applyFill="1" applyBorder="1" applyAlignment="1">
      <alignment horizontal="center" vertical="center" wrapText="1"/>
      <protection/>
    </xf>
    <xf numFmtId="1" fontId="6" fillId="0" borderId="10" xfId="46" applyNumberFormat="1" applyFont="1" applyFill="1" applyBorder="1" applyAlignment="1">
      <alignment horizontal="center" vertical="center" wrapText="1"/>
      <protection/>
    </xf>
    <xf numFmtId="174" fontId="3" fillId="0" borderId="13" xfId="70" applyFont="1" applyBorder="1" applyAlignment="1">
      <alignment horizontal="justify" vertical="center" wrapText="1"/>
      <protection/>
    </xf>
    <xf numFmtId="3" fontId="3" fillId="0" borderId="10" xfId="70" applyNumberFormat="1" applyFont="1" applyFill="1" applyBorder="1" applyAlignment="1">
      <alignment horizontal="center" vertical="center" wrapText="1"/>
      <protection/>
    </xf>
    <xf numFmtId="174" fontId="3" fillId="0" borderId="14" xfId="70" applyFont="1" applyBorder="1" applyAlignment="1">
      <alignment horizontal="justify" vertical="center" wrapText="1"/>
      <protection/>
    </xf>
    <xf numFmtId="174" fontId="3" fillId="0" borderId="24" xfId="70" applyFont="1" applyBorder="1" applyAlignment="1">
      <alignment horizontal="justify" vertical="center" wrapText="1"/>
      <protection/>
    </xf>
    <xf numFmtId="3" fontId="3" fillId="0" borderId="16" xfId="70" applyNumberFormat="1" applyFont="1" applyFill="1" applyBorder="1" applyAlignment="1">
      <alignment horizontal="center" vertical="center" wrapText="1"/>
      <protection/>
    </xf>
    <xf numFmtId="0" fontId="11" fillId="0" borderId="16" xfId="0" applyFont="1" applyFill="1" applyBorder="1" applyAlignment="1">
      <alignment horizontal="center" vertical="center" wrapText="1"/>
    </xf>
    <xf numFmtId="174" fontId="3" fillId="0" borderId="18" xfId="70" applyFont="1" applyBorder="1" applyAlignment="1">
      <alignment horizontal="justify" vertical="center" wrapText="1"/>
      <protection/>
    </xf>
    <xf numFmtId="0" fontId="11" fillId="0" borderId="18" xfId="0" applyFont="1" applyBorder="1" applyAlignment="1">
      <alignment horizontal="justify" vertical="center" wrapText="1"/>
    </xf>
    <xf numFmtId="1" fontId="6" fillId="0" borderId="14" xfId="46" applyNumberFormat="1" applyFont="1" applyFill="1" applyBorder="1" applyAlignment="1">
      <alignment horizontal="center" vertical="center" wrapText="1"/>
      <protection/>
    </xf>
    <xf numFmtId="1" fontId="6" fillId="0" borderId="15" xfId="46" applyNumberFormat="1" applyFont="1" applyFill="1" applyBorder="1" applyAlignment="1">
      <alignment horizontal="center" vertical="center" wrapText="1"/>
      <protection/>
    </xf>
    <xf numFmtId="174" fontId="3" fillId="0" borderId="15" xfId="70" applyFont="1" applyBorder="1" applyAlignment="1">
      <alignment horizontal="justify" vertical="center" wrapText="1"/>
      <protection/>
    </xf>
    <xf numFmtId="166" fontId="3" fillId="0" borderId="10" xfId="0" applyNumberFormat="1" applyFont="1" applyBorder="1" applyAlignment="1">
      <alignment horizontal="justify" vertical="center" wrapText="1"/>
    </xf>
    <xf numFmtId="3" fontId="3" fillId="0" borderId="19" xfId="0" applyNumberFormat="1" applyFont="1" applyBorder="1" applyAlignment="1">
      <alignment vertical="center"/>
    </xf>
    <xf numFmtId="3" fontId="3" fillId="0" borderId="22" xfId="0" applyNumberFormat="1" applyFont="1" applyBorder="1" applyAlignment="1">
      <alignment vertical="center"/>
    </xf>
    <xf numFmtId="3" fontId="11" fillId="0" borderId="22" xfId="0" applyNumberFormat="1" applyFont="1" applyBorder="1" applyAlignment="1">
      <alignment vertical="center"/>
    </xf>
    <xf numFmtId="3" fontId="11" fillId="0" borderId="11" xfId="0" applyNumberFormat="1" applyFont="1" applyBorder="1" applyAlignment="1">
      <alignment vertical="center"/>
    </xf>
    <xf numFmtId="3" fontId="6" fillId="0" borderId="19" xfId="0" applyNumberFormat="1" applyFont="1" applyFill="1" applyBorder="1" applyAlignment="1">
      <alignment vertical="center"/>
    </xf>
    <xf numFmtId="3" fontId="6" fillId="0" borderId="22" xfId="0" applyNumberFormat="1" applyFont="1" applyFill="1" applyBorder="1" applyAlignment="1">
      <alignment vertical="center"/>
    </xf>
    <xf numFmtId="3" fontId="14" fillId="0" borderId="22" xfId="0" applyNumberFormat="1" applyFont="1" applyFill="1" applyBorder="1" applyAlignment="1">
      <alignment vertical="center"/>
    </xf>
    <xf numFmtId="3" fontId="14" fillId="0" borderId="11" xfId="0" applyNumberFormat="1" applyFont="1" applyFill="1" applyBorder="1" applyAlignment="1">
      <alignment vertical="center"/>
    </xf>
    <xf numFmtId="3" fontId="3" fillId="0" borderId="16" xfId="70" applyNumberFormat="1" applyFont="1" applyBorder="1" applyAlignment="1">
      <alignment horizontal="center" vertical="center" wrapText="1"/>
      <protection/>
    </xf>
    <xf numFmtId="174" fontId="3" fillId="0" borderId="10" xfId="70" applyFont="1" applyBorder="1" applyAlignment="1">
      <alignment horizontal="center" vertical="center" wrapText="1"/>
      <protection/>
    </xf>
    <xf numFmtId="174" fontId="3" fillId="0" borderId="10" xfId="70" applyFont="1" applyBorder="1" applyAlignment="1">
      <alignment horizontal="center" vertical="center"/>
      <protection/>
    </xf>
    <xf numFmtId="3" fontId="3" fillId="0" borderId="19" xfId="0" applyNumberFormat="1" applyFont="1" applyBorder="1" applyAlignment="1">
      <alignment horizontal="center" vertical="center"/>
    </xf>
    <xf numFmtId="3" fontId="11" fillId="0" borderId="22" xfId="0" applyNumberFormat="1" applyFont="1" applyBorder="1" applyAlignment="1">
      <alignment horizontal="center" vertical="center"/>
    </xf>
    <xf numFmtId="3" fontId="3" fillId="0" borderId="20" xfId="0" applyNumberFormat="1" applyFont="1" applyBorder="1" applyAlignment="1">
      <alignment vertical="center"/>
    </xf>
    <xf numFmtId="3" fontId="3"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12" xfId="0" applyNumberFormat="1" applyFont="1" applyBorder="1" applyAlignment="1">
      <alignment vertical="center"/>
    </xf>
    <xf numFmtId="41" fontId="3" fillId="0" borderId="14" xfId="54" applyNumberFormat="1" applyFont="1" applyBorder="1" applyAlignment="1">
      <alignment horizontal="center" vertical="center" wrapText="1"/>
    </xf>
    <xf numFmtId="41" fontId="3" fillId="0" borderId="24" xfId="54" applyNumberFormat="1" applyFont="1" applyBorder="1" applyAlignment="1">
      <alignment horizontal="center" vertical="center" wrapText="1"/>
    </xf>
    <xf numFmtId="9" fontId="3" fillId="0" borderId="14" xfId="81" applyFont="1" applyBorder="1" applyAlignment="1">
      <alignment horizontal="center" vertical="center"/>
    </xf>
    <xf numFmtId="9" fontId="3" fillId="0" borderId="15" xfId="81" applyFont="1" applyBorder="1" applyAlignment="1">
      <alignment horizontal="center" vertical="center"/>
    </xf>
    <xf numFmtId="43" fontId="3" fillId="0" borderId="14" xfId="54" applyFont="1" applyBorder="1" applyAlignment="1">
      <alignment horizontal="center" vertical="center"/>
    </xf>
    <xf numFmtId="43" fontId="3" fillId="0" borderId="15" xfId="54" applyFont="1" applyBorder="1" applyAlignment="1">
      <alignment horizontal="center" vertical="center"/>
    </xf>
    <xf numFmtId="43" fontId="3" fillId="0" borderId="24" xfId="54" applyFont="1" applyBorder="1" applyAlignment="1">
      <alignment horizontal="center" vertical="center"/>
    </xf>
    <xf numFmtId="3" fontId="3" fillId="0" borderId="21" xfId="70" applyNumberFormat="1" applyFont="1" applyBorder="1" applyAlignment="1">
      <alignment horizontal="center" vertical="center" wrapText="1"/>
      <protection/>
    </xf>
    <xf numFmtId="3" fontId="3" fillId="0" borderId="23" xfId="70" applyNumberFormat="1" applyFont="1" applyBorder="1" applyAlignment="1">
      <alignment horizontal="center" vertical="center" wrapText="1"/>
      <protection/>
    </xf>
    <xf numFmtId="9" fontId="3" fillId="0" borderId="10" xfId="81" applyFont="1" applyBorder="1" applyAlignment="1">
      <alignment horizontal="center" vertical="center"/>
    </xf>
    <xf numFmtId="49" fontId="3" fillId="0" borderId="14" xfId="70" applyNumberFormat="1" applyFont="1" applyBorder="1" applyAlignment="1">
      <alignment horizontal="center" vertical="center" wrapText="1"/>
      <protection/>
    </xf>
    <xf numFmtId="9" fontId="3" fillId="0" borderId="24" xfId="81" applyFont="1" applyBorder="1" applyAlignment="1">
      <alignment horizontal="center" vertical="center"/>
    </xf>
    <xf numFmtId="3" fontId="6" fillId="0" borderId="19" xfId="0" applyNumberFormat="1" applyFont="1" applyFill="1" applyBorder="1" applyAlignment="1">
      <alignment horizontal="center" vertical="center"/>
    </xf>
    <xf numFmtId="3" fontId="14" fillId="0" borderId="22" xfId="0" applyNumberFormat="1" applyFont="1" applyFill="1" applyBorder="1" applyAlignment="1">
      <alignment horizontal="center" vertical="center"/>
    </xf>
    <xf numFmtId="174" fontId="3" fillId="0" borderId="15" xfId="70" applyFont="1" applyBorder="1" applyAlignment="1">
      <alignment horizontal="center" vertical="center"/>
      <protection/>
    </xf>
    <xf numFmtId="174" fontId="3" fillId="4" borderId="14" xfId="70" applyFont="1" applyFill="1" applyBorder="1" applyAlignment="1">
      <alignment horizontal="justify" vertical="center" wrapText="1"/>
      <protection/>
    </xf>
    <xf numFmtId="49" fontId="3" fillId="0" borderId="22" xfId="70" applyNumberFormat="1" applyFont="1" applyBorder="1" applyAlignment="1">
      <alignment horizontal="center" vertical="center" wrapText="1"/>
      <protection/>
    </xf>
    <xf numFmtId="3" fontId="3" fillId="0" borderId="16" xfId="70" applyNumberFormat="1" applyFont="1" applyFill="1" applyBorder="1" applyAlignment="1">
      <alignment horizontal="center" vertical="center"/>
      <protection/>
    </xf>
    <xf numFmtId="3" fontId="3" fillId="0" borderId="22" xfId="70" applyNumberFormat="1" applyFont="1" applyBorder="1" applyAlignment="1">
      <alignment horizontal="center" vertical="center" wrapText="1"/>
      <protection/>
    </xf>
    <xf numFmtId="3" fontId="3" fillId="0" borderId="22" xfId="70" applyNumberFormat="1" applyFont="1" applyBorder="1" applyAlignment="1">
      <alignment horizontal="center" vertical="center"/>
      <protection/>
    </xf>
    <xf numFmtId="3" fontId="3" fillId="0" borderId="10" xfId="0" applyNumberFormat="1" applyFont="1" applyBorder="1" applyAlignment="1">
      <alignment vertical="center"/>
    </xf>
    <xf numFmtId="3" fontId="11" fillId="0" borderId="10" xfId="0" applyNumberFormat="1" applyFont="1" applyBorder="1" applyAlignment="1">
      <alignment vertical="center"/>
    </xf>
    <xf numFmtId="43" fontId="3" fillId="0" borderId="10" xfId="54" applyFont="1" applyBorder="1" applyAlignment="1">
      <alignment horizontal="center" vertical="center"/>
    </xf>
    <xf numFmtId="41" fontId="3" fillId="4" borderId="14" xfId="54" applyNumberFormat="1" applyFont="1" applyFill="1" applyBorder="1" applyAlignment="1">
      <alignment horizontal="center" vertical="center"/>
    </xf>
    <xf numFmtId="41" fontId="3" fillId="4" borderId="24" xfId="54" applyNumberFormat="1" applyFont="1" applyFill="1" applyBorder="1" applyAlignment="1">
      <alignment horizontal="center" vertical="center"/>
    </xf>
    <xf numFmtId="0" fontId="3" fillId="0" borderId="23" xfId="70" applyNumberFormat="1" applyFont="1" applyBorder="1" applyAlignment="1">
      <alignment horizontal="justify" vertical="center" wrapText="1"/>
      <protection/>
    </xf>
    <xf numFmtId="3" fontId="3" fillId="0" borderId="14" xfId="0" applyNumberFormat="1" applyFont="1" applyBorder="1" applyAlignment="1">
      <alignment vertical="center"/>
    </xf>
    <xf numFmtId="3" fontId="3" fillId="0" borderId="15" xfId="0" applyNumberFormat="1" applyFont="1" applyBorder="1" applyAlignment="1">
      <alignment vertical="center"/>
    </xf>
    <xf numFmtId="3" fontId="3" fillId="0" borderId="14" xfId="0" applyNumberFormat="1" applyFont="1" applyFill="1" applyBorder="1" applyAlignment="1">
      <alignment vertical="center"/>
    </xf>
    <xf numFmtId="3" fontId="3" fillId="0" borderId="15" xfId="0" applyNumberFormat="1" applyFont="1" applyFill="1" applyBorder="1" applyAlignment="1">
      <alignment vertical="center"/>
    </xf>
    <xf numFmtId="9" fontId="3" fillId="0" borderId="10" xfId="70" applyNumberFormat="1" applyFont="1" applyBorder="1" applyAlignment="1">
      <alignment horizontal="justify" vertical="center" wrapText="1"/>
      <protection/>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Alignment="1">
      <alignment horizontal="center"/>
    </xf>
    <xf numFmtId="0" fontId="3" fillId="0" borderId="23" xfId="0" applyFont="1" applyBorder="1" applyAlignment="1">
      <alignment horizontal="center"/>
    </xf>
    <xf numFmtId="174" fontId="3" fillId="0" borderId="18" xfId="70" applyFont="1" applyBorder="1" applyAlignment="1">
      <alignment horizontal="justify" vertical="center" wrapText="1" shrinkToFit="1"/>
      <protection/>
    </xf>
    <xf numFmtId="9" fontId="3" fillId="4" borderId="10" xfId="81" applyFont="1" applyFill="1" applyBorder="1" applyAlignment="1">
      <alignment horizontal="center" vertical="center"/>
    </xf>
    <xf numFmtId="43" fontId="3" fillId="4" borderId="10" xfId="54" applyFont="1" applyFill="1" applyBorder="1" applyAlignment="1">
      <alignment horizontal="center" vertical="center"/>
    </xf>
    <xf numFmtId="9" fontId="3" fillId="0" borderId="10" xfId="77" applyFont="1" applyBorder="1" applyAlignment="1">
      <alignment horizontal="center" vertical="center"/>
    </xf>
    <xf numFmtId="3" fontId="3"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174" fontId="3" fillId="4" borderId="23" xfId="70" applyFont="1" applyFill="1" applyBorder="1" applyAlignment="1">
      <alignment horizontal="justify" vertical="center" wrapText="1"/>
      <protection/>
    </xf>
    <xf numFmtId="174" fontId="3" fillId="4" borderId="23" xfId="70" applyFont="1" applyFill="1" applyBorder="1" applyAlignment="1">
      <alignment horizontal="justify" vertical="center"/>
      <protection/>
    </xf>
    <xf numFmtId="3" fontId="3" fillId="4" borderId="22" xfId="70" applyNumberFormat="1" applyFont="1" applyFill="1" applyBorder="1" applyAlignment="1">
      <alignment horizontal="center" vertical="center" wrapText="1"/>
      <protection/>
    </xf>
    <xf numFmtId="3" fontId="3" fillId="4" borderId="22" xfId="70" applyNumberFormat="1" applyFont="1" applyFill="1" applyBorder="1" applyAlignment="1">
      <alignment horizontal="center" vertical="center"/>
      <protection/>
    </xf>
    <xf numFmtId="3" fontId="3" fillId="0" borderId="11" xfId="70" applyNumberFormat="1" applyFont="1" applyFill="1" applyBorder="1" applyAlignment="1">
      <alignment horizontal="center" vertical="center"/>
      <protection/>
    </xf>
    <xf numFmtId="1" fontId="3" fillId="0" borderId="39" xfId="0" applyNumberFormat="1" applyFont="1" applyBorder="1" applyAlignment="1">
      <alignment horizontal="center"/>
    </xf>
    <xf numFmtId="0" fontId="11" fillId="0" borderId="10" xfId="0" applyFont="1" applyBorder="1" applyAlignment="1">
      <alignment/>
    </xf>
    <xf numFmtId="1" fontId="3" fillId="0" borderId="51" xfId="0" applyNumberFormat="1" applyFont="1" applyBorder="1" applyAlignment="1">
      <alignment horizontal="center"/>
    </xf>
    <xf numFmtId="0" fontId="11" fillId="0" borderId="14" xfId="0" applyFont="1" applyBorder="1" applyAlignment="1">
      <alignment/>
    </xf>
    <xf numFmtId="1" fontId="3" fillId="0" borderId="19" xfId="70" applyNumberFormat="1" applyFont="1" applyBorder="1" applyAlignment="1">
      <alignment horizontal="center" vertical="center"/>
      <protection/>
    </xf>
    <xf numFmtId="1" fontId="3" fillId="0" borderId="20" xfId="70" applyNumberFormat="1" applyFont="1" applyBorder="1" applyAlignment="1">
      <alignment horizontal="center" vertical="center"/>
      <protection/>
    </xf>
    <xf numFmtId="1" fontId="3" fillId="0" borderId="21" xfId="70" applyNumberFormat="1" applyFont="1" applyBorder="1" applyAlignment="1">
      <alignment horizontal="center" vertical="center"/>
      <protection/>
    </xf>
    <xf numFmtId="1" fontId="3" fillId="0" borderId="22" xfId="70" applyNumberFormat="1" applyFont="1" applyBorder="1" applyAlignment="1">
      <alignment horizontal="center" vertical="center"/>
      <protection/>
    </xf>
    <xf numFmtId="1" fontId="3" fillId="0" borderId="0" xfId="70" applyNumberFormat="1" applyFont="1" applyAlignment="1">
      <alignment horizontal="center" vertical="center"/>
      <protection/>
    </xf>
    <xf numFmtId="174" fontId="3" fillId="4" borderId="15" xfId="70" applyFont="1" applyFill="1" applyBorder="1" applyAlignment="1">
      <alignment horizontal="justify" vertical="center" wrapText="1"/>
      <protection/>
    </xf>
    <xf numFmtId="3" fontId="3" fillId="4" borderId="15" xfId="70" applyNumberFormat="1" applyFont="1" applyFill="1" applyBorder="1" applyAlignment="1">
      <alignment horizontal="center" vertical="center"/>
      <protection/>
    </xf>
    <xf numFmtId="174" fontId="3" fillId="4" borderId="15" xfId="70" applyFont="1" applyFill="1" applyBorder="1" applyAlignment="1">
      <alignment horizontal="justify" vertical="center"/>
      <protection/>
    </xf>
    <xf numFmtId="0" fontId="3" fillId="0" borderId="10"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9" fontId="3" fillId="4" borderId="15" xfId="81" applyFont="1" applyFill="1" applyBorder="1" applyAlignment="1">
      <alignment horizontal="center" vertical="center"/>
    </xf>
    <xf numFmtId="43" fontId="3" fillId="4" borderId="15" xfId="54" applyFont="1" applyFill="1" applyBorder="1" applyAlignment="1">
      <alignment horizontal="center" vertical="center"/>
    </xf>
    <xf numFmtId="1" fontId="3" fillId="0" borderId="15" xfId="70" applyNumberFormat="1" applyFont="1" applyBorder="1" applyAlignment="1">
      <alignment horizontal="center" vertical="center"/>
      <protection/>
    </xf>
    <xf numFmtId="166" fontId="6" fillId="0" borderId="14" xfId="0" applyNumberFormat="1" applyFont="1" applyBorder="1" applyAlignment="1">
      <alignment horizontal="center" vertical="center"/>
    </xf>
    <xf numFmtId="166" fontId="6" fillId="0" borderId="15" xfId="0" applyNumberFormat="1" applyFont="1" applyBorder="1" applyAlignment="1">
      <alignment horizontal="center" vertical="center"/>
    </xf>
    <xf numFmtId="166" fontId="6" fillId="0" borderId="55" xfId="0" applyNumberFormat="1" applyFont="1" applyBorder="1" applyAlignment="1">
      <alignment horizontal="center" vertical="center"/>
    </xf>
    <xf numFmtId="0" fontId="3" fillId="0" borderId="10" xfId="0" applyFont="1" applyBorder="1" applyAlignment="1">
      <alignment horizontal="right" vertical="center"/>
    </xf>
    <xf numFmtId="0" fontId="11" fillId="0" borderId="10" xfId="0" applyFont="1" applyBorder="1" applyAlignment="1">
      <alignment horizontal="right" vertical="center"/>
    </xf>
    <xf numFmtId="0" fontId="11" fillId="0" borderId="14" xfId="0" applyFont="1" applyBorder="1" applyAlignment="1">
      <alignment horizontal="right" vertical="center"/>
    </xf>
    <xf numFmtId="0" fontId="4" fillId="0" borderId="16" xfId="0" applyFont="1" applyBorder="1" applyAlignment="1">
      <alignment horizontal="center" vertical="center"/>
    </xf>
    <xf numFmtId="0" fontId="4" fillId="9" borderId="20" xfId="0" applyFont="1" applyFill="1" applyBorder="1" applyAlignment="1">
      <alignment horizontal="center" vertical="center" wrapText="1"/>
    </xf>
    <xf numFmtId="0" fontId="4" fillId="9" borderId="0" xfId="0" applyFont="1" applyFill="1" applyAlignment="1">
      <alignment horizontal="center" vertical="center" wrapText="1"/>
    </xf>
    <xf numFmtId="2" fontId="4" fillId="9" borderId="10" xfId="0" applyNumberFormat="1" applyFont="1" applyFill="1" applyBorder="1" applyAlignment="1">
      <alignment horizontal="center" vertical="center" wrapText="1"/>
    </xf>
    <xf numFmtId="164" fontId="4" fillId="9" borderId="19" xfId="0" applyNumberFormat="1" applyFont="1" applyFill="1" applyBorder="1" applyAlignment="1">
      <alignment horizontal="center" vertical="center" wrapText="1"/>
    </xf>
    <xf numFmtId="164" fontId="4" fillId="9" borderId="21" xfId="0" applyNumberFormat="1" applyFont="1" applyFill="1" applyBorder="1" applyAlignment="1">
      <alignment horizontal="center" vertical="center" wrapText="1"/>
    </xf>
    <xf numFmtId="164" fontId="4" fillId="9" borderId="11" xfId="0" applyNumberFormat="1" applyFont="1" applyFill="1" applyBorder="1" applyAlignment="1">
      <alignment horizontal="center" vertical="center" wrapText="1"/>
    </xf>
    <xf numFmtId="164" fontId="4" fillId="9" borderId="13" xfId="0" applyNumberFormat="1" applyFont="1" applyFill="1" applyBorder="1" applyAlignment="1">
      <alignment horizontal="center" vertical="center" wrapText="1"/>
    </xf>
    <xf numFmtId="41" fontId="4" fillId="9" borderId="14" xfId="52" applyFont="1" applyFill="1" applyBorder="1" applyAlignment="1">
      <alignment horizontal="center" vertical="center" wrapText="1"/>
    </xf>
    <xf numFmtId="41" fontId="4" fillId="9" borderId="15" xfId="52" applyFont="1" applyFill="1" applyBorder="1" applyAlignment="1">
      <alignment horizontal="center" vertical="center" wrapText="1"/>
    </xf>
    <xf numFmtId="41" fontId="4" fillId="9" borderId="24" xfId="52" applyFont="1" applyFill="1" applyBorder="1" applyAlignment="1">
      <alignment horizontal="center" vertical="center" wrapText="1"/>
    </xf>
    <xf numFmtId="9" fontId="3" fillId="4" borderId="14" xfId="0" applyNumberFormat="1" applyFont="1" applyFill="1" applyBorder="1" applyAlignment="1">
      <alignment horizontal="center" vertical="center" wrapText="1"/>
    </xf>
    <xf numFmtId="9" fontId="3" fillId="4" borderId="24" xfId="0" applyNumberFormat="1" applyFont="1" applyFill="1" applyBorder="1" applyAlignment="1">
      <alignment horizontal="center" vertical="center" wrapText="1"/>
    </xf>
    <xf numFmtId="43" fontId="3" fillId="4" borderId="14" xfId="54" applyFont="1" applyFill="1" applyBorder="1" applyAlignment="1">
      <alignment horizontal="right" vertical="center" wrapText="1"/>
    </xf>
    <xf numFmtId="43" fontId="3" fillId="4" borderId="24" xfId="54" applyFont="1" applyFill="1" applyBorder="1" applyAlignment="1">
      <alignment horizontal="right" vertical="center" wrapText="1"/>
    </xf>
    <xf numFmtId="0" fontId="4" fillId="10" borderId="17"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9" borderId="16" xfId="0" applyFont="1" applyFill="1" applyBorder="1" applyAlignment="1">
      <alignment horizontal="left" vertical="center" wrapText="1"/>
    </xf>
    <xf numFmtId="0" fontId="4" fillId="19" borderId="17" xfId="0" applyFont="1" applyFill="1" applyBorder="1" applyAlignment="1">
      <alignment horizontal="left" vertical="center" wrapText="1"/>
    </xf>
    <xf numFmtId="0" fontId="4" fillId="19" borderId="17" xfId="0" applyFont="1" applyFill="1" applyBorder="1" applyAlignment="1">
      <alignment horizontal="center" vertical="center" wrapText="1"/>
    </xf>
    <xf numFmtId="0" fontId="4" fillId="19" borderId="35" xfId="0" applyFont="1" applyFill="1" applyBorder="1" applyAlignment="1">
      <alignment horizontal="center" vertical="center" wrapText="1"/>
    </xf>
    <xf numFmtId="0" fontId="4" fillId="12" borderId="16" xfId="0" applyFont="1" applyFill="1" applyBorder="1" applyAlignment="1">
      <alignment horizontal="left" vertical="center" wrapText="1"/>
    </xf>
    <xf numFmtId="0" fontId="4" fillId="12" borderId="17" xfId="0" applyFont="1" applyFill="1" applyBorder="1" applyAlignment="1">
      <alignment horizontal="left" vertical="center" wrapText="1"/>
    </xf>
    <xf numFmtId="0" fontId="3" fillId="12" borderId="17" xfId="0" applyFont="1" applyFill="1" applyBorder="1" applyAlignment="1">
      <alignment horizontal="center" vertical="center" wrapText="1"/>
    </xf>
    <xf numFmtId="0" fontId="3" fillId="12" borderId="35" xfId="0" applyFont="1" applyFill="1" applyBorder="1" applyAlignment="1">
      <alignment horizontal="center" vertical="center" wrapText="1"/>
    </xf>
    <xf numFmtId="0" fontId="3" fillId="4" borderId="19" xfId="0" applyFont="1" applyFill="1" applyBorder="1" applyAlignment="1">
      <alignment horizontal="center" vertical="center" textRotation="90" wrapText="1"/>
    </xf>
    <xf numFmtId="0" fontId="3" fillId="4" borderId="21" xfId="0" applyFont="1" applyFill="1" applyBorder="1" applyAlignment="1">
      <alignment horizontal="center" vertical="center" textRotation="90" wrapText="1"/>
    </xf>
    <xf numFmtId="0" fontId="3" fillId="4" borderId="22" xfId="0" applyFont="1" applyFill="1" applyBorder="1" applyAlignment="1">
      <alignment horizontal="center" vertical="center" textRotation="90" wrapText="1"/>
    </xf>
    <xf numFmtId="0" fontId="3" fillId="4" borderId="23"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4" borderId="13" xfId="0" applyFont="1" applyFill="1" applyBorder="1" applyAlignment="1">
      <alignment horizontal="center" vertical="center" textRotation="90" wrapText="1"/>
    </xf>
    <xf numFmtId="193" fontId="3" fillId="4" borderId="14" xfId="0" applyNumberFormat="1" applyFont="1" applyFill="1" applyBorder="1" applyAlignment="1">
      <alignment horizontal="center" vertical="center" wrapText="1"/>
    </xf>
    <xf numFmtId="193" fontId="3" fillId="4" borderId="24"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3" fontId="3" fillId="4" borderId="24" xfId="0" applyNumberFormat="1" applyFont="1" applyFill="1" applyBorder="1" applyAlignment="1">
      <alignment horizontal="center" vertical="center" wrapText="1"/>
    </xf>
    <xf numFmtId="0" fontId="3" fillId="4" borderId="19" xfId="0" applyFont="1" applyFill="1" applyBorder="1" applyAlignment="1">
      <alignment horizontal="justify" vertical="center" wrapText="1"/>
    </xf>
    <xf numFmtId="0" fontId="3" fillId="4" borderId="11" xfId="0" applyFont="1" applyFill="1" applyBorder="1" applyAlignment="1">
      <alignment horizontal="justify" vertical="center" wrapText="1"/>
    </xf>
    <xf numFmtId="43" fontId="6" fillId="4" borderId="10" xfId="54" applyFont="1" applyFill="1" applyBorder="1" applyAlignment="1">
      <alignment horizontal="right" vertical="center" wrapText="1"/>
    </xf>
    <xf numFmtId="14" fontId="3" fillId="4" borderId="14" xfId="0" applyNumberFormat="1" applyFont="1" applyFill="1" applyBorder="1" applyAlignment="1">
      <alignment horizontal="center" vertical="center"/>
    </xf>
    <xf numFmtId="14" fontId="3" fillId="4" borderId="24" xfId="0" applyNumberFormat="1" applyFont="1" applyFill="1" applyBorder="1" applyAlignment="1">
      <alignment horizontal="center" vertical="center"/>
    </xf>
    <xf numFmtId="0" fontId="3" fillId="4" borderId="14"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53" xfId="0" applyFont="1" applyFill="1" applyBorder="1" applyAlignment="1">
      <alignment horizontal="center" vertical="center" wrapText="1"/>
    </xf>
    <xf numFmtId="0" fontId="3" fillId="4" borderId="48" xfId="0" applyFont="1" applyFill="1" applyBorder="1" applyAlignment="1">
      <alignment horizontal="center" vertical="center"/>
    </xf>
    <xf numFmtId="193" fontId="3" fillId="4" borderId="15" xfId="0" applyNumberFormat="1" applyFont="1" applyFill="1" applyBorder="1" applyAlignment="1">
      <alignment horizontal="center" vertical="center" wrapText="1"/>
    </xf>
    <xf numFmtId="193" fontId="6" fillId="4" borderId="14" xfId="0" applyNumberFormat="1" applyFont="1" applyFill="1" applyBorder="1" applyAlignment="1">
      <alignment horizontal="center" vertical="center" wrapText="1"/>
    </xf>
    <xf numFmtId="193" fontId="6" fillId="4" borderId="15" xfId="0" applyNumberFormat="1" applyFont="1" applyFill="1" applyBorder="1" applyAlignment="1">
      <alignment horizontal="center" vertical="center" wrapText="1"/>
    </xf>
    <xf numFmtId="193" fontId="6" fillId="4" borderId="24"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4" borderId="24" xfId="0" applyNumberFormat="1" applyFont="1" applyFill="1" applyBorder="1" applyAlignment="1">
      <alignment horizontal="center" vertical="center" wrapText="1"/>
    </xf>
    <xf numFmtId="43" fontId="3" fillId="4" borderId="15" xfId="54" applyFont="1" applyFill="1" applyBorder="1" applyAlignment="1">
      <alignment horizontal="right" vertical="center" wrapText="1"/>
    </xf>
    <xf numFmtId="43" fontId="3" fillId="4" borderId="10" xfId="54" applyFont="1" applyFill="1" applyBorder="1" applyAlignment="1">
      <alignment horizontal="right" vertical="center" wrapText="1"/>
    </xf>
    <xf numFmtId="1" fontId="3" fillId="4" borderId="23" xfId="0" applyNumberFormat="1" applyFont="1" applyFill="1" applyBorder="1" applyAlignment="1">
      <alignment horizontal="center" vertical="center" wrapText="1"/>
    </xf>
    <xf numFmtId="1" fontId="3" fillId="4" borderId="21" xfId="51" applyNumberFormat="1" applyFont="1" applyFill="1" applyBorder="1" applyAlignment="1">
      <alignment horizontal="center" vertical="center" wrapText="1"/>
    </xf>
    <xf numFmtId="1" fontId="3" fillId="4" borderId="13" xfId="51" applyNumberFormat="1" applyFont="1" applyFill="1" applyBorder="1" applyAlignment="1">
      <alignment horizontal="center" vertical="center" wrapText="1"/>
    </xf>
    <xf numFmtId="14" fontId="6" fillId="4" borderId="14" xfId="0" applyNumberFormat="1" applyFont="1" applyFill="1" applyBorder="1" applyAlignment="1">
      <alignment horizontal="center" vertical="center"/>
    </xf>
    <xf numFmtId="14" fontId="6" fillId="4" borderId="15" xfId="0" applyNumberFormat="1" applyFont="1" applyFill="1" applyBorder="1" applyAlignment="1">
      <alignment horizontal="center" vertical="center"/>
    </xf>
    <xf numFmtId="14" fontId="6" fillId="4" borderId="24" xfId="0" applyNumberFormat="1" applyFont="1" applyFill="1" applyBorder="1" applyAlignment="1">
      <alignment horizontal="center" vertical="center"/>
    </xf>
    <xf numFmtId="0" fontId="6" fillId="4" borderId="53"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48" xfId="0" applyFont="1" applyFill="1" applyBorder="1" applyAlignment="1">
      <alignment horizontal="center" vertical="center" wrapText="1"/>
    </xf>
    <xf numFmtId="9" fontId="3" fillId="4" borderId="15" xfId="0" applyNumberFormat="1" applyFont="1" applyFill="1" applyBorder="1" applyAlignment="1">
      <alignment horizontal="center" vertical="center" wrapText="1"/>
    </xf>
    <xf numFmtId="3" fontId="12" fillId="4" borderId="14" xfId="0" applyNumberFormat="1" applyFont="1" applyFill="1" applyBorder="1" applyAlignment="1">
      <alignment horizontal="center" vertical="center" wrapText="1"/>
    </xf>
    <xf numFmtId="3" fontId="12" fillId="4" borderId="15" xfId="0" applyNumberFormat="1" applyFont="1" applyFill="1" applyBorder="1" applyAlignment="1">
      <alignment horizontal="center" vertical="center" wrapText="1"/>
    </xf>
    <xf numFmtId="3" fontId="12" fillId="4" borderId="24" xfId="0" applyNumberFormat="1" applyFont="1" applyFill="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24" xfId="0" applyNumberFormat="1" applyFont="1" applyBorder="1" applyAlignment="1">
      <alignment horizontal="center" vertical="center" wrapText="1"/>
    </xf>
    <xf numFmtId="0" fontId="3" fillId="4" borderId="22" xfId="0" applyFont="1" applyFill="1" applyBorder="1" applyAlignment="1">
      <alignment horizontal="justify" vertical="center" wrapText="1"/>
    </xf>
    <xf numFmtId="43" fontId="6" fillId="4" borderId="14" xfId="54" applyFont="1" applyFill="1" applyBorder="1" applyAlignment="1">
      <alignment horizontal="right" vertical="center" wrapText="1"/>
    </xf>
    <xf numFmtId="43" fontId="6" fillId="4" borderId="15" xfId="54" applyFont="1" applyFill="1" applyBorder="1" applyAlignment="1">
      <alignment horizontal="right" vertical="center" wrapText="1"/>
    </xf>
    <xf numFmtId="43" fontId="6" fillId="4" borderId="24" xfId="54" applyFont="1" applyFill="1" applyBorder="1" applyAlignment="1">
      <alignment horizontal="right" vertical="center" wrapText="1"/>
    </xf>
    <xf numFmtId="1" fontId="3" fillId="4" borderId="21"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3" fontId="6" fillId="0" borderId="24" xfId="0" applyNumberFormat="1" applyFont="1" applyBorder="1" applyAlignment="1">
      <alignment horizontal="center" vertical="center" wrapText="1"/>
    </xf>
    <xf numFmtId="0" fontId="4" fillId="4" borderId="0" xfId="0" applyFont="1" applyFill="1" applyAlignment="1">
      <alignment horizontal="center"/>
    </xf>
    <xf numFmtId="0" fontId="3" fillId="4" borderId="0" xfId="0" applyFont="1" applyFill="1" applyAlignment="1">
      <alignment horizontal="center"/>
    </xf>
    <xf numFmtId="0" fontId="6" fillId="4" borderId="21"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1" fontId="5" fillId="9" borderId="51" xfId="0" applyNumberFormat="1" applyFont="1" applyFill="1" applyBorder="1" applyAlignment="1">
      <alignment horizontal="center" vertical="center" wrapText="1"/>
    </xf>
    <xf numFmtId="1" fontId="5" fillId="9" borderId="52" xfId="0" applyNumberFormat="1" applyFont="1" applyFill="1" applyBorder="1" applyAlignment="1">
      <alignment horizontal="center" vertical="center" wrapText="1"/>
    </xf>
    <xf numFmtId="166" fontId="5" fillId="9" borderId="10" xfId="0" applyNumberFormat="1" applyFont="1" applyFill="1" applyBorder="1" applyAlignment="1">
      <alignment horizontal="center" vertical="center" wrapText="1"/>
    </xf>
    <xf numFmtId="3" fontId="5" fillId="9" borderId="53" xfId="0" applyNumberFormat="1" applyFont="1" applyFill="1" applyBorder="1" applyAlignment="1">
      <alignment horizontal="center" vertical="center" wrapText="1"/>
    </xf>
    <xf numFmtId="3" fontId="5" fillId="9" borderId="54" xfId="0" applyNumberFormat="1" applyFont="1" applyFill="1" applyBorder="1" applyAlignment="1">
      <alignment horizontal="center" vertical="center" wrapText="1"/>
    </xf>
    <xf numFmtId="1" fontId="5" fillId="4" borderId="14" xfId="0" applyNumberFormat="1" applyFont="1" applyFill="1" applyBorder="1" applyAlignment="1">
      <alignment horizontal="center" vertical="center" wrapText="1"/>
    </xf>
    <xf numFmtId="1" fontId="5" fillId="4" borderId="15" xfId="0" applyNumberFormat="1" applyFont="1" applyFill="1" applyBorder="1" applyAlignment="1">
      <alignment horizontal="center" vertical="center" wrapText="1"/>
    </xf>
    <xf numFmtId="1" fontId="5" fillId="4" borderId="24" xfId="0" applyNumberFormat="1" applyFont="1" applyFill="1" applyBorder="1" applyAlignment="1">
      <alignment horizontal="center" vertical="center" wrapText="1"/>
    </xf>
    <xf numFmtId="169" fontId="6" fillId="4" borderId="14" xfId="49" applyNumberFormat="1" applyFont="1" applyFill="1" applyBorder="1" applyAlignment="1">
      <alignment horizontal="center" vertical="center" wrapText="1"/>
    </xf>
    <xf numFmtId="169" fontId="6" fillId="4" borderId="15" xfId="49" applyNumberFormat="1" applyFont="1" applyFill="1" applyBorder="1" applyAlignment="1">
      <alignment horizontal="center" vertical="center" wrapText="1"/>
    </xf>
    <xf numFmtId="169" fontId="6" fillId="4" borderId="24" xfId="49" applyNumberFormat="1" applyFont="1" applyFill="1" applyBorder="1" applyAlignment="1">
      <alignment horizontal="center" vertical="center" wrapText="1"/>
    </xf>
    <xf numFmtId="14" fontId="6" fillId="4" borderId="14" xfId="0" applyNumberFormat="1" applyFont="1" applyFill="1" applyBorder="1" applyAlignment="1">
      <alignment horizontal="center" vertical="center" wrapText="1"/>
    </xf>
    <xf numFmtId="14" fontId="6" fillId="4" borderId="15" xfId="0" applyNumberFormat="1" applyFont="1" applyFill="1" applyBorder="1" applyAlignment="1">
      <alignment horizontal="center" vertical="center" wrapText="1"/>
    </xf>
    <xf numFmtId="14" fontId="6" fillId="4" borderId="24" xfId="0" applyNumberFormat="1" applyFont="1" applyFill="1" applyBorder="1" applyAlignment="1">
      <alignment horizontal="center" vertical="center" wrapText="1"/>
    </xf>
    <xf numFmtId="1" fontId="5" fillId="4" borderId="47" xfId="0" applyNumberFormat="1" applyFont="1" applyFill="1" applyBorder="1" applyAlignment="1">
      <alignment horizontal="center" vertical="center" wrapText="1"/>
    </xf>
    <xf numFmtId="1" fontId="5" fillId="4" borderId="20" xfId="0" applyNumberFormat="1" applyFont="1" applyFill="1" applyBorder="1" applyAlignment="1">
      <alignment horizontal="center" vertical="center" wrapText="1"/>
    </xf>
    <xf numFmtId="1" fontId="5" fillId="4" borderId="21" xfId="0" applyNumberFormat="1" applyFont="1" applyFill="1" applyBorder="1" applyAlignment="1">
      <alignment horizontal="center" vertical="center" wrapText="1"/>
    </xf>
    <xf numFmtId="1" fontId="5" fillId="4" borderId="36" xfId="0" applyNumberFormat="1" applyFont="1" applyFill="1" applyBorder="1" applyAlignment="1">
      <alignment horizontal="center" vertical="center" wrapText="1"/>
    </xf>
    <xf numFmtId="1" fontId="5" fillId="4" borderId="0" xfId="0" applyNumberFormat="1" applyFont="1" applyFill="1" applyAlignment="1">
      <alignment horizontal="center" vertical="center" wrapText="1"/>
    </xf>
    <xf numFmtId="1" fontId="5" fillId="4" borderId="23"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2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3" fontId="5" fillId="8" borderId="10" xfId="0" applyNumberFormat="1" applyFont="1" applyFill="1" applyBorder="1" applyAlignment="1">
      <alignment horizontal="center" vertical="center" wrapText="1"/>
    </xf>
    <xf numFmtId="168" fontId="5" fillId="9" borderId="19" xfId="0" applyNumberFormat="1" applyFont="1" applyFill="1" applyBorder="1" applyAlignment="1">
      <alignment horizontal="center" vertical="center" wrapText="1"/>
    </xf>
    <xf numFmtId="168" fontId="5" fillId="9" borderId="22" xfId="0" applyNumberFormat="1" applyFont="1" applyFill="1" applyBorder="1" applyAlignment="1">
      <alignment horizontal="center" vertical="center" wrapText="1"/>
    </xf>
    <xf numFmtId="43" fontId="5" fillId="9" borderId="19" xfId="49" applyFont="1" applyFill="1" applyBorder="1" applyAlignment="1">
      <alignment horizontal="center" vertical="center" wrapText="1"/>
    </xf>
    <xf numFmtId="43" fontId="5" fillId="9" borderId="22" xfId="49" applyFont="1" applyFill="1" applyBorder="1" applyAlignment="1">
      <alignment horizontal="center" vertical="center" wrapText="1"/>
    </xf>
    <xf numFmtId="9" fontId="6" fillId="4" borderId="14" xfId="0" applyNumberFormat="1" applyFont="1" applyFill="1" applyBorder="1" applyAlignment="1">
      <alignment horizontal="center" vertical="center" wrapText="1"/>
    </xf>
    <xf numFmtId="9" fontId="6" fillId="4" borderId="15" xfId="0" applyNumberFormat="1" applyFont="1" applyFill="1" applyBorder="1" applyAlignment="1">
      <alignment horizontal="center" vertical="center" wrapText="1"/>
    </xf>
    <xf numFmtId="43" fontId="6" fillId="0" borderId="14" xfId="49" applyFont="1" applyBorder="1" applyAlignment="1">
      <alignment horizontal="center" vertical="center" wrapText="1"/>
    </xf>
    <xf numFmtId="43" fontId="6" fillId="0" borderId="15" xfId="49" applyFont="1" applyBorder="1" applyAlignment="1">
      <alignment horizontal="center" vertical="center" wrapText="1"/>
    </xf>
    <xf numFmtId="3" fontId="6" fillId="4" borderId="14" xfId="0" applyNumberFormat="1" applyFont="1" applyFill="1" applyBorder="1" applyAlignment="1">
      <alignment horizontal="justify" vertical="center" wrapText="1"/>
    </xf>
    <xf numFmtId="3" fontId="6" fillId="4" borderId="15" xfId="0" applyNumberFormat="1" applyFont="1" applyFill="1" applyBorder="1" applyAlignment="1">
      <alignment horizontal="justify" vertical="center" wrapText="1"/>
    </xf>
    <xf numFmtId="1" fontId="6" fillId="4" borderId="18" xfId="0" applyNumberFormat="1" applyFont="1" applyFill="1" applyBorder="1" applyAlignment="1">
      <alignment horizontal="center" vertical="center" wrapText="1"/>
    </xf>
    <xf numFmtId="1" fontId="6" fillId="4" borderId="2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4" borderId="22" xfId="0" applyFont="1" applyFill="1" applyBorder="1" applyAlignment="1">
      <alignment horizontal="center" vertical="center" wrapText="1"/>
    </xf>
    <xf numFmtId="1" fontId="6" fillId="4" borderId="23" xfId="0" applyNumberFormat="1" applyFont="1" applyFill="1" applyBorder="1" applyAlignment="1">
      <alignment horizontal="center" vertical="center" wrapText="1"/>
    </xf>
    <xf numFmtId="1" fontId="6" fillId="4" borderId="13" xfId="0" applyNumberFormat="1" applyFont="1" applyFill="1" applyBorder="1" applyAlignment="1">
      <alignment horizontal="center" vertical="center" wrapText="1"/>
    </xf>
    <xf numFmtId="43" fontId="6" fillId="0" borderId="10" xfId="49" applyFont="1" applyBorder="1" applyAlignment="1">
      <alignment horizontal="center" vertical="center" wrapText="1"/>
    </xf>
    <xf numFmtId="43" fontId="6" fillId="0" borderId="10" xfId="49" applyFont="1" applyBorder="1" applyAlignment="1">
      <alignment horizontal="center" vertical="center"/>
    </xf>
    <xf numFmtId="169" fontId="6" fillId="0" borderId="14" xfId="49" applyNumberFormat="1" applyFont="1" applyBorder="1" applyAlignment="1">
      <alignment horizontal="center" vertical="center" wrapText="1"/>
    </xf>
    <xf numFmtId="169" fontId="6" fillId="0" borderId="15" xfId="49" applyNumberFormat="1" applyFont="1" applyBorder="1" applyAlignment="1">
      <alignment horizontal="center" vertical="center" wrapText="1"/>
    </xf>
    <xf numFmtId="169" fontId="6" fillId="0" borderId="24" xfId="49" applyNumberFormat="1" applyFont="1" applyBorder="1" applyAlignment="1">
      <alignment horizontal="center" vertical="center" wrapText="1"/>
    </xf>
    <xf numFmtId="0" fontId="6" fillId="4" borderId="11" xfId="0" applyFont="1" applyFill="1" applyBorder="1" applyAlignment="1">
      <alignment horizontal="justify" vertical="center" wrapText="1"/>
    </xf>
    <xf numFmtId="3" fontId="6" fillId="4" borderId="24" xfId="0" applyNumberFormat="1" applyFont="1" applyFill="1" applyBorder="1" applyAlignment="1">
      <alignment horizontal="justify" vertical="center" wrapText="1"/>
    </xf>
    <xf numFmtId="43" fontId="6" fillId="0" borderId="24" xfId="49" applyFont="1" applyBorder="1" applyAlignment="1">
      <alignment horizontal="center" vertical="center" wrapText="1"/>
    </xf>
    <xf numFmtId="3" fontId="6" fillId="4" borderId="48" xfId="0" applyNumberFormat="1" applyFont="1" applyFill="1" applyBorder="1" applyAlignment="1">
      <alignment horizontal="justify" vertical="center" wrapText="1"/>
    </xf>
    <xf numFmtId="0" fontId="5" fillId="4" borderId="1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43" fontId="6" fillId="0" borderId="10" xfId="49" applyFont="1" applyFill="1" applyBorder="1" applyAlignment="1">
      <alignment horizontal="center" vertical="center" wrapText="1"/>
    </xf>
    <xf numFmtId="9" fontId="6" fillId="4" borderId="10" xfId="0" applyNumberFormat="1" applyFont="1" applyFill="1" applyBorder="1" applyAlignment="1">
      <alignment horizontal="center" vertical="center" wrapText="1"/>
    </xf>
    <xf numFmtId="3" fontId="6" fillId="4" borderId="10" xfId="0" applyNumberFormat="1" applyFont="1" applyFill="1" applyBorder="1" applyAlignment="1">
      <alignment horizontal="justify" vertical="center" wrapText="1"/>
    </xf>
    <xf numFmtId="1" fontId="5" fillId="0" borderId="1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169" fontId="6" fillId="0" borderId="15" xfId="49" applyNumberFormat="1" applyFont="1" applyFill="1" applyBorder="1" applyAlignment="1">
      <alignment horizontal="center" vertical="center" wrapText="1"/>
    </xf>
    <xf numFmtId="169" fontId="6" fillId="0" borderId="24" xfId="49" applyNumberFormat="1" applyFont="1" applyFill="1" applyBorder="1" applyAlignment="1">
      <alignment horizontal="center" vertical="center" wrapText="1"/>
    </xf>
    <xf numFmtId="43" fontId="6" fillId="0" borderId="14" xfId="49" applyFont="1" applyFill="1" applyBorder="1" applyAlignment="1">
      <alignment horizontal="center" vertical="center" wrapText="1"/>
    </xf>
    <xf numFmtId="3" fontId="6" fillId="4" borderId="16" xfId="0" applyNumberFormat="1" applyFont="1" applyFill="1" applyBorder="1" applyAlignment="1">
      <alignment horizontal="justify" vertical="center" wrapText="1"/>
    </xf>
    <xf numFmtId="9" fontId="6" fillId="4" borderId="24" xfId="0" applyNumberFormat="1" applyFont="1" applyFill="1" applyBorder="1" applyAlignment="1">
      <alignment horizontal="center" vertical="center" wrapText="1"/>
    </xf>
    <xf numFmtId="0" fontId="6" fillId="4" borderId="19" xfId="0" applyFont="1" applyFill="1" applyBorder="1" applyAlignment="1">
      <alignment horizontal="center"/>
    </xf>
    <xf numFmtId="0" fontId="6" fillId="4" borderId="20" xfId="0" applyFont="1" applyFill="1" applyBorder="1" applyAlignment="1">
      <alignment horizontal="center"/>
    </xf>
    <xf numFmtId="0" fontId="6" fillId="4" borderId="21" xfId="0" applyFont="1" applyFill="1" applyBorder="1" applyAlignment="1">
      <alignment horizontal="center"/>
    </xf>
    <xf numFmtId="0" fontId="6" fillId="4" borderId="22" xfId="0" applyFont="1" applyFill="1" applyBorder="1" applyAlignment="1">
      <alignment horizontal="center"/>
    </xf>
    <xf numFmtId="0" fontId="6" fillId="4" borderId="0" xfId="0" applyFont="1" applyFill="1" applyAlignment="1">
      <alignment horizontal="center"/>
    </xf>
    <xf numFmtId="0" fontId="6" fillId="4" borderId="23" xfId="0" applyFont="1" applyFill="1" applyBorder="1" applyAlignment="1">
      <alignment horizontal="center"/>
    </xf>
    <xf numFmtId="43" fontId="6" fillId="4" borderId="14" xfId="49" applyFont="1" applyFill="1" applyBorder="1" applyAlignment="1">
      <alignment horizontal="center" vertical="center" wrapText="1"/>
    </xf>
    <xf numFmtId="43" fontId="6" fillId="4" borderId="15" xfId="49" applyFont="1" applyFill="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0" xfId="0" applyFont="1" applyAlignment="1">
      <alignment horizontal="center"/>
    </xf>
    <xf numFmtId="0" fontId="6" fillId="0" borderId="23"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43" fontId="6" fillId="4" borderId="10" xfId="49" applyFont="1" applyFill="1" applyBorder="1" applyAlignment="1">
      <alignment horizontal="center" vertical="center" wrapText="1"/>
    </xf>
    <xf numFmtId="1" fontId="6" fillId="4" borderId="24"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0" borderId="0" xfId="0" applyFont="1" applyAlignment="1">
      <alignment horizontal="left"/>
    </xf>
    <xf numFmtId="169" fontId="6" fillId="4" borderId="21" xfId="49" applyNumberFormat="1" applyFont="1" applyFill="1" applyBorder="1" applyAlignment="1">
      <alignment horizontal="center" vertical="center" wrapText="1"/>
    </xf>
    <xf numFmtId="169" fontId="6" fillId="4" borderId="23" xfId="49" applyNumberFormat="1" applyFont="1" applyFill="1" applyBorder="1" applyAlignment="1">
      <alignment horizontal="center" vertical="center" wrapText="1"/>
    </xf>
    <xf numFmtId="169" fontId="6" fillId="0" borderId="21" xfId="0" applyNumberFormat="1" applyFont="1" applyBorder="1" applyAlignment="1">
      <alignment horizontal="center" vertical="center"/>
    </xf>
    <xf numFmtId="169" fontId="6" fillId="0" borderId="23" xfId="0" applyNumberFormat="1" applyFont="1" applyBorder="1" applyAlignment="1">
      <alignment horizontal="center" vertical="center"/>
    </xf>
    <xf numFmtId="169" fontId="6" fillId="0" borderId="13" xfId="0" applyNumberFormat="1" applyFont="1" applyBorder="1" applyAlignment="1">
      <alignment horizontal="center" vertical="center"/>
    </xf>
    <xf numFmtId="169" fontId="6" fillId="0" borderId="14" xfId="0" applyNumberFormat="1" applyFont="1" applyBorder="1" applyAlignment="1">
      <alignment horizontal="center" vertical="center"/>
    </xf>
    <xf numFmtId="169" fontId="6" fillId="0" borderId="15" xfId="0" applyNumberFormat="1" applyFont="1" applyBorder="1" applyAlignment="1">
      <alignment horizontal="center" vertical="center"/>
    </xf>
    <xf numFmtId="169" fontId="6" fillId="0" borderId="24" xfId="0" applyNumberFormat="1" applyFont="1" applyBorder="1" applyAlignment="1">
      <alignment horizontal="center" vertical="center"/>
    </xf>
    <xf numFmtId="166" fontId="4" fillId="9" borderId="10" xfId="0" applyNumberFormat="1" applyFont="1" applyFill="1" applyBorder="1" applyAlignment="1">
      <alignment horizontal="center" vertical="center" wrapText="1"/>
    </xf>
    <xf numFmtId="0" fontId="4" fillId="9" borderId="10" xfId="0" applyFont="1" applyFill="1" applyBorder="1" applyAlignment="1">
      <alignment horizontal="justify" vertical="center" wrapText="1"/>
    </xf>
    <xf numFmtId="1" fontId="4" fillId="0" borderId="10" xfId="0" applyNumberFormat="1" applyFont="1" applyBorder="1" applyAlignment="1">
      <alignment horizontal="center" vertical="center" textRotation="180" wrapText="1"/>
    </xf>
    <xf numFmtId="0" fontId="3" fillId="0" borderId="10" xfId="0" applyFont="1" applyBorder="1" applyAlignment="1">
      <alignment horizontal="center" vertical="center"/>
    </xf>
    <xf numFmtId="166" fontId="3" fillId="0" borderId="10"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1" fontId="3" fillId="0" borderId="10" xfId="0" applyNumberFormat="1" applyFont="1" applyBorder="1" applyAlignment="1">
      <alignment horizontal="center" vertical="center" textRotation="180" wrapText="1"/>
    </xf>
    <xf numFmtId="1" fontId="3" fillId="0" borderId="14" xfId="0" applyNumberFormat="1" applyFont="1" applyBorder="1" applyAlignment="1">
      <alignment horizontal="center" vertical="center" textRotation="180" wrapText="1"/>
    </xf>
    <xf numFmtId="1" fontId="3" fillId="0" borderId="15" xfId="0" applyNumberFormat="1" applyFont="1" applyBorder="1" applyAlignment="1">
      <alignment horizontal="center" vertical="center" textRotation="180" wrapText="1"/>
    </xf>
    <xf numFmtId="1" fontId="3" fillId="0" borderId="24" xfId="0" applyNumberFormat="1" applyFont="1" applyBorder="1" applyAlignment="1">
      <alignment horizontal="center" vertical="center" textRotation="180"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0" fontId="3" fillId="0" borderId="14" xfId="77" applyNumberFormat="1" applyFont="1" applyBorder="1" applyAlignment="1">
      <alignment horizontal="center" vertical="center" wrapText="1"/>
    </xf>
    <xf numFmtId="10" fontId="3" fillId="0" borderId="24" xfId="77" applyNumberFormat="1" applyFont="1" applyBorder="1" applyAlignment="1">
      <alignment horizontal="center" vertical="center" wrapText="1"/>
    </xf>
    <xf numFmtId="43" fontId="3" fillId="0" borderId="10" xfId="49" applyFont="1" applyBorder="1" applyAlignment="1">
      <alignment vertical="center" wrapText="1"/>
    </xf>
    <xf numFmtId="0" fontId="6" fillId="4" borderId="21" xfId="61" applyNumberFormat="1" applyFont="1" applyFill="1" applyBorder="1" applyAlignment="1">
      <alignment horizontal="center" vertical="center"/>
    </xf>
    <xf numFmtId="0" fontId="6" fillId="4" borderId="13" xfId="61" applyNumberFormat="1" applyFont="1" applyFill="1" applyBorder="1" applyAlignment="1">
      <alignment horizontal="center" vertical="center"/>
    </xf>
    <xf numFmtId="0" fontId="6" fillId="4" borderId="14" xfId="61" applyNumberFormat="1" applyFont="1" applyFill="1" applyBorder="1" applyAlignment="1">
      <alignment horizontal="center" vertical="center"/>
    </xf>
    <xf numFmtId="0" fontId="6" fillId="4" borderId="24" xfId="61"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169" fontId="3" fillId="0" borderId="14" xfId="61" applyNumberFormat="1" applyFont="1" applyBorder="1" applyAlignment="1">
      <alignment horizontal="center" vertical="center"/>
    </xf>
    <xf numFmtId="169" fontId="3" fillId="0" borderId="24" xfId="61" applyNumberFormat="1" applyFont="1" applyBorder="1" applyAlignment="1">
      <alignment horizontal="center" vertic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0" fontId="3" fillId="4" borderId="23"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0" borderId="10" xfId="0" applyFont="1" applyBorder="1" applyAlignment="1">
      <alignment horizontal="center"/>
    </xf>
    <xf numFmtId="0" fontId="3" fillId="4" borderId="13" xfId="0"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1" fontId="3" fillId="4" borderId="24" xfId="0" applyNumberFormat="1" applyFont="1" applyFill="1" applyBorder="1" applyAlignment="1">
      <alignment horizontal="center" vertical="center" wrapText="1"/>
    </xf>
    <xf numFmtId="43" fontId="3" fillId="0" borderId="10" xfId="49" applyFont="1" applyBorder="1" applyAlignment="1">
      <alignment vertical="center"/>
    </xf>
    <xf numFmtId="166" fontId="3" fillId="0" borderId="10" xfId="0" applyNumberFormat="1" applyFont="1" applyBorder="1" applyAlignment="1">
      <alignment horizontal="center" vertical="center"/>
    </xf>
    <xf numFmtId="0" fontId="3" fillId="0" borderId="25" xfId="0" applyFont="1" applyBorder="1" applyAlignment="1">
      <alignment horizontal="center" vertical="center" wrapText="1"/>
    </xf>
    <xf numFmtId="0" fontId="3" fillId="4" borderId="10" xfId="0" applyFont="1" applyFill="1" applyBorder="1" applyAlignment="1">
      <alignment horizontal="center"/>
    </xf>
    <xf numFmtId="0" fontId="3" fillId="4" borderId="10" xfId="0" applyFont="1" applyFill="1" applyBorder="1" applyAlignment="1">
      <alignment horizontal="center" vertical="center"/>
    </xf>
    <xf numFmtId="169" fontId="3" fillId="0" borderId="10" xfId="61" applyNumberFormat="1" applyFont="1" applyBorder="1" applyAlignment="1">
      <alignment horizontal="center" vertical="center"/>
    </xf>
    <xf numFmtId="169" fontId="6" fillId="0" borderId="10" xfId="0" applyNumberFormat="1" applyFont="1" applyBorder="1" applyAlignment="1">
      <alignment horizontal="center" vertical="center"/>
    </xf>
    <xf numFmtId="169" fontId="6" fillId="0" borderId="18" xfId="0" applyNumberFormat="1" applyFont="1" applyBorder="1" applyAlignment="1">
      <alignment horizontal="center" vertical="center"/>
    </xf>
    <xf numFmtId="1" fontId="3" fillId="4" borderId="15" xfId="0" applyNumberFormat="1" applyFont="1" applyFill="1" applyBorder="1" applyAlignment="1">
      <alignment horizontal="center" vertical="center" wrapText="1"/>
    </xf>
    <xf numFmtId="10" fontId="3" fillId="4" borderId="14" xfId="77" applyNumberFormat="1" applyFont="1" applyFill="1" applyBorder="1" applyAlignment="1">
      <alignment horizontal="center" vertical="center" wrapText="1"/>
    </xf>
    <xf numFmtId="10" fontId="3" fillId="4" borderId="15" xfId="77" applyNumberFormat="1" applyFont="1" applyFill="1" applyBorder="1" applyAlignment="1">
      <alignment horizontal="center" vertical="center" wrapText="1"/>
    </xf>
    <xf numFmtId="10" fontId="3" fillId="4" borderId="24" xfId="77" applyNumberFormat="1" applyFont="1" applyFill="1" applyBorder="1" applyAlignment="1">
      <alignment horizontal="center" vertical="center" wrapText="1"/>
    </xf>
    <xf numFmtId="43" fontId="3" fillId="4" borderId="10" xfId="49" applyFont="1" applyFill="1" applyBorder="1" applyAlignment="1">
      <alignment vertical="center"/>
    </xf>
    <xf numFmtId="170" fontId="3" fillId="0" borderId="18" xfId="0" applyNumberFormat="1" applyFont="1" applyBorder="1" applyAlignment="1">
      <alignment horizontal="center" vertical="center"/>
    </xf>
    <xf numFmtId="170" fontId="3" fillId="0" borderId="10" xfId="0" applyNumberFormat="1" applyFont="1" applyBorder="1" applyAlignment="1">
      <alignment horizontal="center" vertical="center"/>
    </xf>
    <xf numFmtId="10" fontId="3" fillId="4" borderId="10" xfId="77" applyNumberFormat="1" applyFont="1" applyFill="1" applyBorder="1" applyAlignment="1">
      <alignment horizontal="center" vertical="center"/>
    </xf>
    <xf numFmtId="10" fontId="3" fillId="4" borderId="14" xfId="77" applyNumberFormat="1" applyFont="1" applyFill="1" applyBorder="1" applyAlignment="1">
      <alignment horizontal="center" vertical="center"/>
    </xf>
    <xf numFmtId="10" fontId="3" fillId="4" borderId="24" xfId="77" applyNumberFormat="1" applyFont="1" applyFill="1" applyBorder="1" applyAlignment="1">
      <alignment horizontal="center" vertical="center"/>
    </xf>
    <xf numFmtId="0" fontId="3" fillId="0" borderId="15" xfId="0" applyFont="1" applyBorder="1" applyAlignment="1">
      <alignment horizontal="center" vertical="center"/>
    </xf>
    <xf numFmtId="0" fontId="6" fillId="4" borderId="21"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13" xfId="0" applyFont="1" applyFill="1" applyBorder="1" applyAlignment="1">
      <alignment horizontal="center" vertical="center"/>
    </xf>
    <xf numFmtId="3" fontId="3" fillId="0" borderId="25" xfId="0" applyNumberFormat="1" applyFont="1" applyBorder="1" applyAlignment="1">
      <alignment horizontal="justify" vertical="center" wrapText="1"/>
    </xf>
    <xf numFmtId="3" fontId="3" fillId="0" borderId="10" xfId="0" applyNumberFormat="1" applyFont="1" applyBorder="1" applyAlignment="1">
      <alignment horizontal="center" vertical="center"/>
    </xf>
    <xf numFmtId="43" fontId="3" fillId="4" borderId="14" xfId="49" applyFont="1" applyFill="1" applyBorder="1" applyAlignment="1">
      <alignment vertical="center"/>
    </xf>
    <xf numFmtId="43" fontId="3" fillId="4" borderId="15" xfId="49" applyFont="1" applyFill="1" applyBorder="1" applyAlignment="1">
      <alignment vertical="center"/>
    </xf>
    <xf numFmtId="43" fontId="3" fillId="4" borderId="24" xfId="49" applyFont="1" applyFill="1" applyBorder="1" applyAlignment="1">
      <alignment vertical="center"/>
    </xf>
    <xf numFmtId="43" fontId="3" fillId="4" borderId="14" xfId="49" applyFont="1" applyFill="1" applyBorder="1" applyAlignment="1">
      <alignment horizontal="center" vertical="center"/>
    </xf>
    <xf numFmtId="43" fontId="3" fillId="4" borderId="24" xfId="49" applyFont="1" applyFill="1" applyBorder="1" applyAlignment="1">
      <alignment horizontal="center" vertical="center"/>
    </xf>
    <xf numFmtId="1" fontId="3" fillId="4" borderId="10" xfId="0" applyNumberFormat="1" applyFont="1" applyFill="1" applyBorder="1" applyAlignment="1">
      <alignment horizontal="center" vertical="center" wrapText="1"/>
    </xf>
    <xf numFmtId="3" fontId="3" fillId="0" borderId="14"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4" borderId="14" xfId="0" applyNumberFormat="1" applyFont="1" applyFill="1" applyBorder="1" applyAlignment="1">
      <alignment horizontal="center" vertical="center"/>
    </xf>
    <xf numFmtId="3" fontId="3" fillId="4" borderId="24" xfId="0" applyNumberFormat="1" applyFont="1" applyFill="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8" xfId="0" applyFont="1" applyBorder="1" applyAlignment="1">
      <alignment horizontal="center" vertical="center" wrapText="1"/>
    </xf>
    <xf numFmtId="1" fontId="3" fillId="4" borderId="14" xfId="0" applyNumberFormat="1" applyFont="1" applyFill="1" applyBorder="1" applyAlignment="1">
      <alignment horizontal="justify" vertical="center" wrapText="1"/>
    </xf>
    <xf numFmtId="1" fontId="3" fillId="4" borderId="15" xfId="0" applyNumberFormat="1" applyFont="1" applyFill="1" applyBorder="1" applyAlignment="1">
      <alignment horizontal="justify" vertical="center" wrapText="1"/>
    </xf>
    <xf numFmtId="1" fontId="3" fillId="4" borderId="24" xfId="0" applyNumberFormat="1" applyFont="1" applyFill="1" applyBorder="1" applyAlignment="1">
      <alignment horizontal="justify" vertical="center" wrapText="1"/>
    </xf>
    <xf numFmtId="14" fontId="3" fillId="0" borderId="10" xfId="0" applyNumberFormat="1" applyFont="1" applyBorder="1" applyAlignment="1">
      <alignment horizontal="center" vertical="center" wrapText="1"/>
    </xf>
    <xf numFmtId="43" fontId="3" fillId="4" borderId="10" xfId="49" applyFont="1" applyFill="1" applyBorder="1" applyAlignment="1">
      <alignment horizontal="justify" vertical="center"/>
    </xf>
    <xf numFmtId="10" fontId="3" fillId="4" borderId="15" xfId="77" applyNumberFormat="1" applyFont="1" applyFill="1" applyBorder="1" applyAlignment="1">
      <alignment horizontal="center" vertical="center"/>
    </xf>
    <xf numFmtId="0" fontId="3" fillId="4" borderId="10" xfId="0" applyFont="1" applyFill="1" applyBorder="1" applyAlignment="1">
      <alignment horizontal="justify" vertical="center" wrapText="1"/>
    </xf>
    <xf numFmtId="1" fontId="3" fillId="4" borderId="16" xfId="0" applyNumberFormat="1" applyFont="1" applyFill="1" applyBorder="1" applyAlignment="1">
      <alignment horizontal="center" vertical="center" wrapText="1"/>
    </xf>
    <xf numFmtId="0" fontId="3" fillId="0" borderId="12" xfId="0" applyFont="1" applyBorder="1" applyAlignment="1">
      <alignment horizontal="center"/>
    </xf>
    <xf numFmtId="0" fontId="6" fillId="4" borderId="10" xfId="0" applyFont="1" applyFill="1" applyBorder="1" applyAlignment="1">
      <alignment horizontal="center" vertical="center"/>
    </xf>
    <xf numFmtId="0" fontId="4" fillId="0" borderId="19" xfId="0" applyFont="1" applyBorder="1" applyAlignment="1">
      <alignment horizontal="center" vertical="center"/>
    </xf>
    <xf numFmtId="0" fontId="4" fillId="9"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1" xfId="0" applyFont="1" applyFill="1" applyBorder="1" applyAlignment="1">
      <alignment horizontal="center" vertical="center" wrapText="1"/>
    </xf>
    <xf numFmtId="1" fontId="4" fillId="4" borderId="19" xfId="0" applyNumberFormat="1" applyFont="1" applyFill="1" applyBorder="1" applyAlignment="1">
      <alignment horizontal="center" vertical="top"/>
    </xf>
    <xf numFmtId="1" fontId="4" fillId="4" borderId="22" xfId="0" applyNumberFormat="1" applyFont="1" applyFill="1" applyBorder="1" applyAlignment="1">
      <alignment horizontal="center" vertical="top"/>
    </xf>
    <xf numFmtId="1" fontId="4" fillId="4" borderId="11" xfId="0" applyNumberFormat="1" applyFont="1" applyFill="1" applyBorder="1" applyAlignment="1">
      <alignment horizontal="center" vertical="top"/>
    </xf>
    <xf numFmtId="1" fontId="4" fillId="4" borderId="16"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xf>
    <xf numFmtId="9" fontId="3" fillId="4" borderId="10" xfId="79"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3" fontId="3" fillId="4" borderId="10" xfId="0" applyNumberFormat="1" applyFont="1" applyFill="1" applyBorder="1" applyAlignment="1">
      <alignment horizontal="justify" vertical="center" wrapText="1"/>
    </xf>
    <xf numFmtId="1" fontId="4" fillId="4" borderId="19" xfId="0" applyNumberFormat="1" applyFont="1" applyFill="1" applyBorder="1" applyAlignment="1">
      <alignment horizontal="center" vertical="center"/>
    </xf>
    <xf numFmtId="1" fontId="4" fillId="4" borderId="22" xfId="0" applyNumberFormat="1" applyFont="1" applyFill="1" applyBorder="1" applyAlignment="1">
      <alignment horizontal="center" vertical="center"/>
    </xf>
    <xf numFmtId="1" fontId="4" fillId="4" borderId="38" xfId="0" applyNumberFormat="1" applyFont="1" applyFill="1" applyBorder="1" applyAlignment="1">
      <alignment horizontal="center" vertical="center"/>
    </xf>
    <xf numFmtId="1" fontId="4" fillId="4" borderId="21" xfId="0" applyNumberFormat="1" applyFont="1" applyFill="1" applyBorder="1" applyAlignment="1">
      <alignment horizontal="center" vertical="center"/>
    </xf>
    <xf numFmtId="1" fontId="4" fillId="4" borderId="23" xfId="0" applyNumberFormat="1" applyFont="1" applyFill="1" applyBorder="1" applyAlignment="1">
      <alignment horizontal="center" vertical="center"/>
    </xf>
    <xf numFmtId="1" fontId="4" fillId="4" borderId="62" xfId="0" applyNumberFormat="1" applyFont="1" applyFill="1" applyBorder="1" applyAlignment="1">
      <alignment horizontal="center" vertical="center"/>
    </xf>
    <xf numFmtId="1" fontId="4" fillId="12" borderId="17" xfId="0" applyNumberFormat="1" applyFont="1" applyFill="1" applyBorder="1" applyAlignment="1">
      <alignment horizontal="left" vertical="center" wrapText="1"/>
    </xf>
    <xf numFmtId="1" fontId="4" fillId="12" borderId="10" xfId="0" applyNumberFormat="1" applyFont="1" applyFill="1" applyBorder="1" applyAlignment="1">
      <alignment horizontal="left" vertical="center" wrapText="1"/>
    </xf>
    <xf numFmtId="3" fontId="3" fillId="0" borderId="15" xfId="0" applyNumberFormat="1" applyFont="1" applyBorder="1" applyAlignment="1">
      <alignment horizontal="center" vertical="center"/>
    </xf>
    <xf numFmtId="166" fontId="3" fillId="4"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3" fillId="4" borderId="55"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26" xfId="0" applyFont="1" applyBorder="1" applyAlignment="1">
      <alignment horizontal="center" vertical="center"/>
    </xf>
    <xf numFmtId="169" fontId="6" fillId="4" borderId="10" xfId="0" applyNumberFormat="1" applyFont="1" applyFill="1" applyBorder="1" applyAlignment="1">
      <alignment horizontal="center" vertical="center"/>
    </xf>
    <xf numFmtId="169" fontId="6" fillId="4" borderId="14" xfId="0" applyNumberFormat="1" applyFont="1" applyFill="1" applyBorder="1" applyAlignment="1">
      <alignment horizontal="center" vertical="center"/>
    </xf>
    <xf numFmtId="14" fontId="3" fillId="4" borderId="10" xfId="0" applyNumberFormat="1" applyFont="1" applyFill="1" applyBorder="1" applyAlignment="1">
      <alignment horizontal="center" vertical="center"/>
    </xf>
    <xf numFmtId="14" fontId="3" fillId="4" borderId="15"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xf>
    <xf numFmtId="49" fontId="6" fillId="4" borderId="14"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9" fontId="3" fillId="4" borderId="14" xfId="79" applyFont="1" applyFill="1" applyBorder="1" applyAlignment="1">
      <alignment horizontal="center" vertical="center" wrapText="1"/>
    </xf>
    <xf numFmtId="9" fontId="3" fillId="4" borderId="15" xfId="79" applyFont="1" applyFill="1" applyBorder="1" applyAlignment="1">
      <alignment horizontal="center" vertical="center" wrapText="1"/>
    </xf>
    <xf numFmtId="0" fontId="3" fillId="4" borderId="10" xfId="0" applyFont="1" applyFill="1" applyBorder="1" applyAlignment="1">
      <alignment horizontal="justify" vertical="center" wrapText="1"/>
    </xf>
    <xf numFmtId="1" fontId="3" fillId="4" borderId="55" xfId="0" applyNumberFormat="1" applyFont="1" applyFill="1" applyBorder="1" applyAlignment="1">
      <alignment horizontal="center" vertical="center" wrapText="1"/>
    </xf>
    <xf numFmtId="1" fontId="4" fillId="9" borderId="14" xfId="0" applyNumberFormat="1" applyFont="1" applyFill="1" applyBorder="1" applyAlignment="1">
      <alignment horizontal="center" vertical="center" wrapText="1"/>
    </xf>
    <xf numFmtId="1" fontId="4" fillId="9" borderId="15" xfId="0" applyNumberFormat="1" applyFont="1" applyFill="1" applyBorder="1" applyAlignment="1">
      <alignment horizontal="center" vertical="center" wrapText="1"/>
    </xf>
    <xf numFmtId="168" fontId="4" fillId="9" borderId="14" xfId="0" applyNumberFormat="1" applyFont="1" applyFill="1" applyBorder="1" applyAlignment="1">
      <alignment horizontal="center" vertical="center" wrapText="1"/>
    </xf>
    <xf numFmtId="168" fontId="4" fillId="9" borderId="15" xfId="0" applyNumberFormat="1" applyFont="1" applyFill="1" applyBorder="1" applyAlignment="1">
      <alignment horizontal="center" vertical="center" wrapText="1"/>
    </xf>
    <xf numFmtId="164" fontId="17" fillId="9" borderId="19" xfId="0" applyNumberFormat="1" applyFont="1" applyFill="1" applyBorder="1" applyAlignment="1">
      <alignment horizontal="center" vertical="center" wrapText="1"/>
    </xf>
    <xf numFmtId="164" fontId="17" fillId="9" borderId="11" xfId="0" applyNumberFormat="1" applyFont="1" applyFill="1" applyBorder="1" applyAlignment="1">
      <alignment horizontal="center" vertical="center" wrapText="1"/>
    </xf>
    <xf numFmtId="3" fontId="4" fillId="9" borderId="14" xfId="0" applyNumberFormat="1" applyFont="1" applyFill="1" applyBorder="1" applyAlignment="1">
      <alignment horizontal="center" vertical="center" wrapText="1"/>
    </xf>
    <xf numFmtId="3" fontId="4" fillId="9" borderId="24" xfId="0" applyNumberFormat="1" applyFont="1" applyFill="1" applyBorder="1" applyAlignment="1">
      <alignment horizontal="center" vertical="center" wrapText="1"/>
    </xf>
    <xf numFmtId="0" fontId="10" fillId="8" borderId="19" xfId="0" applyFont="1" applyFill="1" applyBorder="1" applyAlignment="1">
      <alignment horizontal="center" vertical="center" textRotation="90" wrapText="1"/>
    </xf>
    <xf numFmtId="0" fontId="10" fillId="8" borderId="11" xfId="0" applyFont="1" applyFill="1" applyBorder="1" applyAlignment="1">
      <alignment horizontal="center" vertical="center" textRotation="90" wrapText="1"/>
    </xf>
    <xf numFmtId="174" fontId="17" fillId="9" borderId="16" xfId="72" applyFont="1" applyFill="1" applyBorder="1" applyAlignment="1">
      <alignment horizontal="center" vertical="center"/>
      <protection/>
    </xf>
    <xf numFmtId="174" fontId="17" fillId="9" borderId="17" xfId="72" applyFont="1" applyFill="1" applyBorder="1" applyAlignment="1">
      <alignment horizontal="center" vertical="center"/>
      <protection/>
    </xf>
    <xf numFmtId="174" fontId="17" fillId="9" borderId="18" xfId="72" applyFont="1" applyFill="1" applyBorder="1" applyAlignment="1">
      <alignment horizontal="center" vertical="center"/>
      <protection/>
    </xf>
    <xf numFmtId="188" fontId="3" fillId="4" borderId="14" xfId="0" applyNumberFormat="1" applyFont="1" applyFill="1" applyBorder="1" applyAlignment="1">
      <alignment horizontal="center" vertical="center" wrapText="1"/>
    </xf>
    <xf numFmtId="188" fontId="3" fillId="4" borderId="24" xfId="0" applyNumberFormat="1" applyFont="1" applyFill="1" applyBorder="1" applyAlignment="1">
      <alignment horizontal="center" vertical="center" wrapText="1"/>
    </xf>
    <xf numFmtId="188" fontId="3" fillId="4" borderId="14" xfId="0" applyNumberFormat="1" applyFont="1" applyFill="1" applyBorder="1" applyAlignment="1">
      <alignment horizontal="center" vertical="center"/>
    </xf>
    <xf numFmtId="188" fontId="3" fillId="4" borderId="15" xfId="0" applyNumberFormat="1" applyFont="1" applyFill="1" applyBorder="1" applyAlignment="1">
      <alignment horizontal="center" vertical="center"/>
    </xf>
    <xf numFmtId="188" fontId="3" fillId="4" borderId="24" xfId="0" applyNumberFormat="1" applyFont="1" applyFill="1" applyBorder="1" applyAlignment="1">
      <alignment horizontal="center" vertical="center"/>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43" fontId="6" fillId="0" borderId="15" xfId="54" applyFont="1" applyBorder="1" applyAlignment="1">
      <alignment horizontal="center" vertical="center"/>
    </xf>
    <xf numFmtId="9" fontId="6" fillId="0" borderId="15" xfId="0" applyNumberFormat="1" applyFont="1" applyBorder="1" applyAlignment="1">
      <alignment horizontal="center" vertical="center"/>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0" borderId="15" xfId="0" applyFont="1" applyBorder="1" applyAlignment="1">
      <alignment horizontal="justify" vertical="center"/>
    </xf>
    <xf numFmtId="0" fontId="3" fillId="0" borderId="24" xfId="0" applyFont="1" applyBorder="1" applyAlignment="1">
      <alignment horizontal="justify" vertical="center"/>
    </xf>
    <xf numFmtId="14" fontId="6" fillId="0" borderId="15" xfId="0" applyNumberFormat="1" applyFont="1" applyBorder="1" applyAlignment="1">
      <alignment horizontal="center" vertical="center"/>
    </xf>
    <xf numFmtId="1" fontId="6" fillId="4" borderId="19" xfId="0" applyNumberFormat="1" applyFont="1" applyFill="1" applyBorder="1" applyAlignment="1">
      <alignment horizontal="center" vertical="center" wrapText="1"/>
    </xf>
    <xf numFmtId="1" fontId="6" fillId="4" borderId="22" xfId="0" applyNumberFormat="1" applyFont="1" applyFill="1" applyBorder="1" applyAlignment="1">
      <alignment horizontal="center" vertical="center" wrapText="1"/>
    </xf>
    <xf numFmtId="1" fontId="6" fillId="4" borderId="11" xfId="0" applyNumberFormat="1" applyFont="1" applyFill="1" applyBorder="1" applyAlignment="1">
      <alignment horizontal="center" vertical="center" wrapText="1"/>
    </xf>
    <xf numFmtId="43" fontId="6" fillId="0" borderId="24" xfId="54" applyFont="1" applyFill="1" applyBorder="1" applyAlignment="1">
      <alignment horizontal="center" vertical="center" wrapText="1"/>
    </xf>
    <xf numFmtId="43" fontId="6" fillId="0" borderId="14" xfId="54" applyFont="1" applyFill="1" applyBorder="1" applyAlignment="1">
      <alignment horizontal="center" vertical="center"/>
    </xf>
    <xf numFmtId="43" fontId="6" fillId="0" borderId="15" xfId="54" applyFont="1" applyFill="1" applyBorder="1" applyAlignment="1">
      <alignment horizontal="center" vertical="center"/>
    </xf>
    <xf numFmtId="43" fontId="6" fillId="0" borderId="24" xfId="54" applyFont="1" applyFill="1" applyBorder="1" applyAlignment="1">
      <alignment horizontal="center" vertical="center"/>
    </xf>
    <xf numFmtId="43" fontId="6" fillId="4" borderId="14" xfId="54" applyFont="1" applyFill="1" applyBorder="1" applyAlignment="1">
      <alignment horizontal="center" vertical="center"/>
    </xf>
    <xf numFmtId="43" fontId="6" fillId="4" borderId="15" xfId="54" applyFont="1" applyFill="1" applyBorder="1" applyAlignment="1">
      <alignment horizontal="center" vertical="center"/>
    </xf>
    <xf numFmtId="43" fontId="6" fillId="4" borderId="24" xfId="54" applyFont="1" applyFill="1" applyBorder="1" applyAlignment="1">
      <alignment horizontal="center" vertical="center"/>
    </xf>
    <xf numFmtId="0" fontId="3" fillId="4" borderId="15" xfId="0" applyFont="1" applyFill="1" applyBorder="1" applyAlignment="1">
      <alignment horizontal="center" vertical="center"/>
    </xf>
    <xf numFmtId="2" fontId="3" fillId="4" borderId="14" xfId="81" applyNumberFormat="1" applyFont="1" applyFill="1" applyBorder="1" applyAlignment="1">
      <alignment horizontal="center" vertical="center"/>
    </xf>
    <xf numFmtId="2" fontId="3" fillId="4" borderId="15" xfId="81" applyNumberFormat="1" applyFont="1" applyFill="1" applyBorder="1" applyAlignment="1">
      <alignment horizontal="center" vertical="center"/>
    </xf>
    <xf numFmtId="43" fontId="6" fillId="0" borderId="24" xfId="54" applyFont="1" applyBorder="1" applyAlignment="1">
      <alignment horizontal="center" vertical="center"/>
    </xf>
    <xf numFmtId="9" fontId="6" fillId="0" borderId="24" xfId="0" applyNumberFormat="1" applyFont="1" applyBorder="1" applyAlignment="1">
      <alignment horizontal="center" vertical="center"/>
    </xf>
    <xf numFmtId="9" fontId="6" fillId="4" borderId="14" xfId="0" applyNumberFormat="1" applyFont="1" applyFill="1" applyBorder="1" applyAlignment="1">
      <alignment horizontal="center" vertical="center"/>
    </xf>
    <xf numFmtId="9" fontId="6" fillId="4" borderId="15"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10" fontId="3" fillId="0" borderId="14" xfId="81" applyNumberFormat="1" applyFont="1" applyBorder="1" applyAlignment="1">
      <alignment horizontal="center" vertical="center"/>
    </xf>
    <xf numFmtId="10" fontId="3" fillId="0" borderId="24" xfId="81" applyNumberFormat="1" applyFont="1" applyBorder="1" applyAlignment="1">
      <alignment horizontal="center" vertical="center"/>
    </xf>
    <xf numFmtId="10" fontId="3" fillId="0" borderId="15" xfId="81" applyNumberFormat="1" applyFont="1" applyBorder="1" applyAlignment="1">
      <alignment horizontal="center" vertical="center"/>
    </xf>
    <xf numFmtId="10" fontId="6" fillId="0" borderId="14" xfId="81" applyNumberFormat="1" applyFont="1" applyBorder="1" applyAlignment="1">
      <alignment horizontal="center" vertical="center"/>
    </xf>
    <xf numFmtId="10" fontId="6" fillId="0" borderId="24" xfId="81" applyNumberFormat="1" applyFont="1" applyBorder="1" applyAlignment="1">
      <alignment horizontal="center" vertical="center"/>
    </xf>
    <xf numFmtId="43" fontId="6" fillId="0" borderId="14" xfId="54" applyFont="1" applyBorder="1" applyAlignment="1">
      <alignment horizontal="center" vertical="center"/>
    </xf>
    <xf numFmtId="9" fontId="6" fillId="0" borderId="14" xfId="0" applyNumberFormat="1" applyFont="1" applyBorder="1" applyAlignment="1">
      <alignment horizontal="center" vertical="center"/>
    </xf>
    <xf numFmtId="1" fontId="3" fillId="4" borderId="15" xfId="0" applyNumberFormat="1" applyFont="1" applyFill="1" applyBorder="1" applyAlignment="1">
      <alignment horizontal="center" vertical="center"/>
    </xf>
    <xf numFmtId="0" fontId="14" fillId="0" borderId="15" xfId="0" applyFont="1" applyBorder="1" applyAlignment="1">
      <alignment horizontal="center" vertical="center"/>
    </xf>
    <xf numFmtId="1" fontId="14" fillId="0" borderId="15" xfId="0" applyNumberFormat="1" applyFont="1" applyBorder="1" applyAlignment="1">
      <alignment horizontal="center" vertical="center"/>
    </xf>
    <xf numFmtId="43" fontId="14" fillId="0" borderId="15" xfId="54" applyFont="1" applyBorder="1" applyAlignment="1">
      <alignment horizontal="center" vertical="center"/>
    </xf>
    <xf numFmtId="1" fontId="6" fillId="4" borderId="15" xfId="0" applyNumberFormat="1" applyFont="1" applyFill="1" applyBorder="1" applyAlignment="1">
      <alignment horizontal="center" vertical="center"/>
    </xf>
    <xf numFmtId="0" fontId="3" fillId="0" borderId="0" xfId="0" applyFont="1" applyAlignment="1">
      <alignment horizontal="center" vertical="center" wrapText="1"/>
    </xf>
    <xf numFmtId="10" fontId="11" fillId="0" borderId="14" xfId="0" applyNumberFormat="1" applyFont="1" applyBorder="1" applyAlignment="1">
      <alignment horizontal="center" vertical="center"/>
    </xf>
    <xf numFmtId="10" fontId="11" fillId="0" borderId="24" xfId="0" applyNumberFormat="1" applyFont="1" applyBorder="1" applyAlignment="1">
      <alignment horizontal="center" vertical="center"/>
    </xf>
    <xf numFmtId="9" fontId="14" fillId="0" borderId="15" xfId="0" applyNumberFormat="1" applyFont="1" applyBorder="1" applyAlignment="1">
      <alignment horizontal="center" vertical="center"/>
    </xf>
    <xf numFmtId="1" fontId="14" fillId="0" borderId="15" xfId="0" applyNumberFormat="1" applyFont="1" applyBorder="1" applyAlignment="1">
      <alignment horizontal="center" vertical="center" wrapText="1"/>
    </xf>
    <xf numFmtId="14" fontId="14" fillId="0" borderId="15" xfId="0" applyNumberFormat="1" applyFont="1" applyBorder="1" applyAlignment="1">
      <alignment horizontal="center" vertical="center"/>
    </xf>
    <xf numFmtId="1" fontId="6" fillId="4" borderId="14" xfId="0" applyNumberFormat="1" applyFont="1" applyFill="1" applyBorder="1" applyAlignment="1">
      <alignment horizontal="center" vertical="center"/>
    </xf>
    <xf numFmtId="1" fontId="6" fillId="4" borderId="24" xfId="0" applyNumberFormat="1" applyFont="1" applyFill="1" applyBorder="1" applyAlignment="1">
      <alignment horizontal="center" vertical="center"/>
    </xf>
    <xf numFmtId="1" fontId="6" fillId="4" borderId="10" xfId="0" applyNumberFormat="1" applyFont="1" applyFill="1" applyBorder="1" applyAlignment="1">
      <alignment horizontal="center" vertical="center"/>
    </xf>
    <xf numFmtId="14" fontId="14" fillId="0" borderId="14" xfId="0" applyNumberFormat="1" applyFont="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24" xfId="0" applyNumberFormat="1" applyFont="1" applyBorder="1" applyAlignment="1">
      <alignment horizontal="center" vertical="center" wrapText="1"/>
    </xf>
    <xf numFmtId="14" fontId="6" fillId="4" borderId="10" xfId="0" applyNumberFormat="1" applyFont="1" applyFill="1" applyBorder="1" applyAlignment="1">
      <alignment horizontal="center" vertical="center"/>
    </xf>
    <xf numFmtId="0" fontId="14" fillId="0" borderId="10" xfId="0" applyFont="1" applyBorder="1" applyAlignment="1">
      <alignment horizontal="center" vertical="center" wrapText="1"/>
    </xf>
    <xf numFmtId="43" fontId="6" fillId="4" borderId="10" xfId="54" applyFont="1" applyFill="1" applyBorder="1" applyAlignment="1">
      <alignment horizontal="center" vertical="center"/>
    </xf>
    <xf numFmtId="9" fontId="6" fillId="4" borderId="10" xfId="0" applyNumberFormat="1" applyFont="1" applyFill="1" applyBorder="1" applyAlignment="1">
      <alignment horizontal="center" vertical="center"/>
    </xf>
    <xf numFmtId="0" fontId="14" fillId="0" borderId="24"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14" xfId="0" applyFont="1" applyBorder="1" applyAlignment="1">
      <alignment horizontal="justify" vertical="center" wrapText="1"/>
    </xf>
    <xf numFmtId="1"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3" fillId="0" borderId="10" xfId="0" applyFont="1" applyBorder="1" applyAlignment="1">
      <alignment horizontal="left" vertical="center" wrapText="1"/>
    </xf>
    <xf numFmtId="9" fontId="14" fillId="0" borderId="14" xfId="0" applyNumberFormat="1" applyFont="1" applyBorder="1" applyAlignment="1">
      <alignment horizontal="center" vertical="center"/>
    </xf>
    <xf numFmtId="9" fontId="14" fillId="0" borderId="24" xfId="0" applyNumberFormat="1" applyFont="1" applyBorder="1" applyAlignment="1">
      <alignment horizontal="center" vertical="center"/>
    </xf>
    <xf numFmtId="43" fontId="3" fillId="0" borderId="16" xfId="54" applyFont="1" applyBorder="1" applyAlignment="1">
      <alignment horizontal="center" vertical="center"/>
    </xf>
    <xf numFmtId="14" fontId="14" fillId="0" borderId="10" xfId="0" applyNumberFormat="1" applyFont="1" applyBorder="1" applyAlignment="1">
      <alignment horizontal="center" vertical="center"/>
    </xf>
    <xf numFmtId="9" fontId="3" fillId="4" borderId="14" xfId="81" applyFont="1" applyFill="1" applyBorder="1" applyAlignment="1">
      <alignment horizontal="center" vertical="center"/>
    </xf>
    <xf numFmtId="9" fontId="3" fillId="4" borderId="24" xfId="81" applyFont="1" applyFill="1" applyBorder="1" applyAlignment="1">
      <alignment horizontal="center" vertical="center"/>
    </xf>
    <xf numFmtId="43" fontId="14" fillId="0" borderId="10" xfId="54" applyFont="1" applyBorder="1" applyAlignment="1">
      <alignment horizontal="center" vertical="center"/>
    </xf>
    <xf numFmtId="9" fontId="14" fillId="0" borderId="10" xfId="0" applyNumberFormat="1" applyFont="1" applyBorder="1" applyAlignment="1">
      <alignment horizontal="center" vertical="center"/>
    </xf>
    <xf numFmtId="9" fontId="6" fillId="4" borderId="15" xfId="81" applyFont="1" applyFill="1" applyBorder="1" applyAlignment="1">
      <alignment horizontal="center" vertical="center"/>
    </xf>
    <xf numFmtId="9" fontId="6" fillId="4" borderId="24" xfId="81" applyFont="1" applyFill="1" applyBorder="1" applyAlignment="1">
      <alignment horizontal="center" vertical="center"/>
    </xf>
    <xf numFmtId="1" fontId="4" fillId="4" borderId="16" xfId="0" applyNumberFormat="1" applyFont="1" applyFill="1" applyBorder="1" applyAlignment="1">
      <alignment horizontal="center" vertical="center"/>
    </xf>
    <xf numFmtId="1" fontId="4" fillId="4" borderId="17" xfId="0" applyNumberFormat="1" applyFont="1" applyFill="1" applyBorder="1" applyAlignment="1">
      <alignment horizontal="center" vertical="center"/>
    </xf>
    <xf numFmtId="0" fontId="4" fillId="0" borderId="0" xfId="0" applyFont="1" applyAlignment="1">
      <alignment horizontal="left" wrapText="1"/>
    </xf>
    <xf numFmtId="14" fontId="14" fillId="0" borderId="14"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xf>
    <xf numFmtId="0" fontId="4" fillId="9" borderId="14"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5" fillId="8" borderId="14" xfId="0" applyFont="1" applyFill="1" applyBorder="1" applyAlignment="1">
      <alignment horizontal="center" vertical="center" textRotation="90" wrapText="1"/>
    </xf>
    <xf numFmtId="0" fontId="5" fillId="8" borderId="24" xfId="0" applyFont="1" applyFill="1" applyBorder="1" applyAlignment="1">
      <alignment horizontal="center" vertical="center" textRotation="90" wrapText="1"/>
    </xf>
    <xf numFmtId="164" fontId="4" fillId="9" borderId="10" xfId="0" applyNumberFormat="1" applyFont="1" applyFill="1" applyBorder="1" applyAlignment="1">
      <alignment horizontal="center" vertical="center" wrapText="1"/>
    </xf>
    <xf numFmtId="164" fontId="4" fillId="9" borderId="19" xfId="0" applyNumberFormat="1" applyFont="1" applyFill="1" applyBorder="1" applyAlignment="1">
      <alignment horizontal="center" vertical="center" wrapText="1"/>
    </xf>
    <xf numFmtId="164" fontId="4" fillId="9" borderId="11" xfId="0" applyNumberFormat="1" applyFont="1" applyFill="1" applyBorder="1" applyAlignment="1">
      <alignment horizontal="center" vertical="center" wrapText="1"/>
    </xf>
    <xf numFmtId="3" fontId="4" fillId="9" borderId="14" xfId="0" applyNumberFormat="1" applyFont="1" applyFill="1" applyBorder="1" applyAlignment="1">
      <alignment horizontal="center" vertical="center" wrapText="1"/>
    </xf>
    <xf numFmtId="3" fontId="4" fillId="9" borderId="24"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14"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24" xfId="0" applyFont="1" applyFill="1" applyBorder="1" applyAlignment="1">
      <alignment horizontal="justify" vertical="center" wrapText="1"/>
    </xf>
    <xf numFmtId="176" fontId="3" fillId="4" borderId="14" xfId="0" applyNumberFormat="1" applyFont="1" applyFill="1" applyBorder="1" applyAlignment="1">
      <alignment horizontal="center" vertical="center" wrapText="1"/>
    </xf>
    <xf numFmtId="176" fontId="3" fillId="4" borderId="15" xfId="0" applyNumberFormat="1" applyFont="1" applyFill="1" applyBorder="1" applyAlignment="1">
      <alignment horizontal="center" vertical="center" wrapText="1"/>
    </xf>
    <xf numFmtId="176" fontId="3" fillId="4" borderId="24" xfId="0" applyNumberFormat="1" applyFont="1" applyFill="1" applyBorder="1" applyAlignment="1">
      <alignment horizontal="center" vertical="center" wrapText="1"/>
    </xf>
    <xf numFmtId="165" fontId="4" fillId="9" borderId="14" xfId="0" applyNumberFormat="1" applyFont="1" applyFill="1" applyBorder="1" applyAlignment="1">
      <alignment horizontal="center" vertical="center" wrapText="1"/>
    </xf>
    <xf numFmtId="165" fontId="4" fillId="9" borderId="24" xfId="0" applyNumberFormat="1" applyFont="1" applyFill="1" applyBorder="1" applyAlignment="1">
      <alignment horizontal="center" vertical="center" wrapText="1"/>
    </xf>
    <xf numFmtId="165" fontId="4" fillId="9" borderId="19" xfId="0" applyNumberFormat="1" applyFont="1" applyFill="1" applyBorder="1" applyAlignment="1">
      <alignment horizontal="center" vertical="center" wrapText="1"/>
    </xf>
    <xf numFmtId="165" fontId="4" fillId="9" borderId="11" xfId="0" applyNumberFormat="1"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4" xfId="60" applyNumberFormat="1" applyFont="1" applyFill="1" applyBorder="1" applyAlignment="1">
      <alignment horizontal="center" vertical="center"/>
    </xf>
    <xf numFmtId="0" fontId="3" fillId="4" borderId="15" xfId="60" applyNumberFormat="1" applyFont="1" applyFill="1" applyBorder="1" applyAlignment="1">
      <alignment horizontal="center" vertical="center"/>
    </xf>
    <xf numFmtId="0" fontId="3" fillId="4" borderId="24" xfId="60" applyNumberFormat="1" applyFont="1" applyFill="1" applyBorder="1" applyAlignment="1">
      <alignment horizontal="center" vertical="center"/>
    </xf>
    <xf numFmtId="0" fontId="6" fillId="0" borderId="23" xfId="0" applyFont="1" applyBorder="1" applyAlignment="1">
      <alignment horizontal="center" vertical="center" wrapText="1"/>
    </xf>
    <xf numFmtId="1" fontId="6" fillId="4" borderId="24" xfId="80" applyNumberFormat="1" applyFont="1" applyFill="1" applyBorder="1" applyAlignment="1">
      <alignment horizontal="center" vertical="center" wrapText="1"/>
    </xf>
    <xf numFmtId="1" fontId="6" fillId="4" borderId="14" xfId="80" applyNumberFormat="1" applyFont="1" applyFill="1" applyBorder="1" applyAlignment="1">
      <alignment horizontal="center" vertical="center" wrapText="1"/>
    </xf>
    <xf numFmtId="177" fontId="3" fillId="0" borderId="15" xfId="0" applyNumberFormat="1" applyFont="1" applyBorder="1" applyAlignment="1">
      <alignment horizontal="center" vertical="center" wrapText="1"/>
    </xf>
    <xf numFmtId="0" fontId="3" fillId="4" borderId="23" xfId="0" applyFont="1" applyFill="1" applyBorder="1" applyAlignment="1">
      <alignment horizontal="center" vertical="center"/>
    </xf>
    <xf numFmtId="0" fontId="3" fillId="4" borderId="13" xfId="0" applyFont="1" applyFill="1" applyBorder="1" applyAlignment="1">
      <alignment horizontal="center" vertical="center"/>
    </xf>
    <xf numFmtId="14" fontId="3" fillId="0" borderId="13" xfId="0" applyNumberFormat="1" applyFont="1" applyBorder="1" applyAlignment="1">
      <alignment horizontal="center" vertical="center"/>
    </xf>
    <xf numFmtId="14" fontId="3" fillId="0" borderId="18" xfId="0" applyNumberFormat="1" applyFont="1" applyBorder="1" applyAlignment="1">
      <alignment horizontal="center" vertical="center"/>
    </xf>
    <xf numFmtId="14" fontId="3" fillId="0" borderId="10" xfId="0" applyNumberFormat="1" applyFont="1" applyBorder="1" applyAlignment="1">
      <alignment horizontal="center" vertical="center"/>
    </xf>
    <xf numFmtId="177" fontId="3" fillId="0" borderId="14" xfId="0" applyNumberFormat="1" applyFont="1" applyBorder="1" applyAlignment="1">
      <alignment horizontal="center" vertical="center" wrapText="1"/>
    </xf>
    <xf numFmtId="177" fontId="3" fillId="0" borderId="24" xfId="0" applyNumberFormat="1" applyFont="1" applyBorder="1" applyAlignment="1">
      <alignment horizontal="center" vertical="center" wrapText="1"/>
    </xf>
    <xf numFmtId="43" fontId="3" fillId="4" borderId="24" xfId="56" applyFont="1" applyFill="1" applyBorder="1" applyAlignment="1">
      <alignment horizontal="center" vertical="center"/>
    </xf>
    <xf numFmtId="43" fontId="3" fillId="4" borderId="10" xfId="56" applyFont="1" applyFill="1" applyBorder="1" applyAlignment="1">
      <alignment horizontal="center" vertical="center"/>
    </xf>
    <xf numFmtId="0" fontId="3" fillId="0" borderId="21"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3" xfId="0" applyFont="1" applyBorder="1" applyAlignment="1">
      <alignment horizontal="justify" vertical="center" wrapText="1"/>
    </xf>
    <xf numFmtId="0" fontId="3" fillId="4" borderId="20" xfId="0" applyFont="1" applyFill="1" applyBorder="1" applyAlignment="1">
      <alignment horizontal="justify" vertical="center" wrapText="1"/>
    </xf>
    <xf numFmtId="0" fontId="3" fillId="4" borderId="0" xfId="0" applyFont="1" applyFill="1" applyAlignment="1">
      <alignment horizontal="justify" vertical="center" wrapText="1"/>
    </xf>
    <xf numFmtId="0" fontId="3" fillId="4" borderId="12" xfId="0" applyFont="1" applyFill="1" applyBorder="1" applyAlignment="1">
      <alignment horizontal="justify" vertical="center" wrapText="1"/>
    </xf>
    <xf numFmtId="178" fontId="3" fillId="0" borderId="15" xfId="0" applyNumberFormat="1" applyFont="1" applyBorder="1" applyAlignment="1">
      <alignment horizontal="center" vertical="center"/>
    </xf>
    <xf numFmtId="43" fontId="3" fillId="4" borderId="14" xfId="56" applyFont="1" applyFill="1" applyBorder="1" applyAlignment="1">
      <alignment horizontal="center" vertical="center"/>
    </xf>
    <xf numFmtId="178" fontId="3" fillId="0" borderId="22"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24" xfId="0" applyNumberFormat="1" applyFont="1" applyBorder="1" applyAlignment="1">
      <alignment horizontal="center" vertical="center"/>
    </xf>
    <xf numFmtId="178" fontId="3" fillId="0" borderId="21" xfId="0" applyNumberFormat="1" applyFont="1" applyBorder="1" applyAlignment="1">
      <alignment horizontal="center" vertical="center" wrapText="1"/>
    </xf>
    <xf numFmtId="178" fontId="3" fillId="0" borderId="23" xfId="0" applyNumberFormat="1" applyFont="1" applyBorder="1" applyAlignment="1">
      <alignment horizontal="center" vertical="center"/>
    </xf>
    <xf numFmtId="178" fontId="3" fillId="0" borderId="13" xfId="0" applyNumberFormat="1" applyFont="1" applyBorder="1" applyAlignment="1">
      <alignment horizontal="center" vertical="center"/>
    </xf>
    <xf numFmtId="169" fontId="3" fillId="4" borderId="10" xfId="60" applyNumberFormat="1" applyFont="1" applyFill="1" applyBorder="1" applyAlignment="1">
      <alignment horizontal="center" vertical="center"/>
    </xf>
    <xf numFmtId="1" fontId="3" fillId="4" borderId="10" xfId="0" applyNumberFormat="1" applyFont="1" applyFill="1" applyBorder="1" applyAlignment="1">
      <alignment horizontal="center" vertical="center"/>
    </xf>
    <xf numFmtId="0" fontId="3" fillId="0" borderId="21"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3" xfId="0" applyFont="1" applyBorder="1" applyAlignment="1">
      <alignment horizontal="justify" vertical="center" wrapText="1"/>
    </xf>
    <xf numFmtId="169" fontId="3" fillId="4" borderId="14" xfId="0" applyNumberFormat="1" applyFont="1" applyFill="1" applyBorder="1" applyAlignment="1">
      <alignment horizontal="center" vertical="center"/>
    </xf>
    <xf numFmtId="0" fontId="3" fillId="4" borderId="16" xfId="0" applyFont="1" applyFill="1" applyBorder="1" applyAlignment="1">
      <alignment horizontal="center" vertical="center"/>
    </xf>
    <xf numFmtId="0" fontId="3" fillId="4" borderId="16" xfId="0" applyFont="1" applyFill="1" applyBorder="1" applyAlignment="1">
      <alignment horizontal="justify" vertical="center" wrapText="1"/>
    </xf>
    <xf numFmtId="0" fontId="3" fillId="4" borderId="10" xfId="0" applyFont="1" applyFill="1" applyBorder="1" applyAlignment="1">
      <alignment horizontal="justify" vertical="center" wrapText="1"/>
    </xf>
    <xf numFmtId="10" fontId="3" fillId="0" borderId="14" xfId="77" applyNumberFormat="1" applyFont="1" applyBorder="1" applyAlignment="1">
      <alignment horizontal="center" vertical="center"/>
    </xf>
    <xf numFmtId="10" fontId="3" fillId="0" borderId="15" xfId="77" applyNumberFormat="1" applyFont="1" applyBorder="1" applyAlignment="1">
      <alignment horizontal="center" vertical="center"/>
    </xf>
    <xf numFmtId="10" fontId="3" fillId="0" borderId="24" xfId="77" applyNumberFormat="1" applyFont="1" applyBorder="1" applyAlignment="1">
      <alignment horizontal="center" vertical="center"/>
    </xf>
    <xf numFmtId="10" fontId="3" fillId="4" borderId="14" xfId="81" applyNumberFormat="1" applyFont="1" applyFill="1" applyBorder="1" applyAlignment="1">
      <alignment horizontal="center" vertical="center"/>
    </xf>
    <xf numFmtId="10" fontId="3" fillId="4" borderId="15" xfId="81" applyNumberFormat="1" applyFont="1" applyFill="1" applyBorder="1" applyAlignment="1">
      <alignment horizontal="center" vertical="center"/>
    </xf>
    <xf numFmtId="10" fontId="3" fillId="4" borderId="24" xfId="81" applyNumberFormat="1" applyFont="1" applyFill="1" applyBorder="1" applyAlignment="1">
      <alignment horizontal="center" vertical="center"/>
    </xf>
    <xf numFmtId="177" fontId="3" fillId="4" borderId="15"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xf>
    <xf numFmtId="1" fontId="3" fillId="4" borderId="24" xfId="0" applyNumberFormat="1" applyFont="1" applyFill="1" applyBorder="1" applyAlignment="1">
      <alignment horizontal="center" vertical="center"/>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177" fontId="3" fillId="4" borderId="14" xfId="0" applyNumberFormat="1" applyFont="1" applyFill="1" applyBorder="1" applyAlignment="1">
      <alignment horizontal="center" vertical="center" wrapText="1"/>
    </xf>
    <xf numFmtId="180" fontId="3" fillId="0" borderId="14" xfId="51" applyNumberFormat="1" applyFont="1" applyBorder="1" applyAlignment="1">
      <alignment horizontal="justify" vertical="center" wrapText="1"/>
    </xf>
    <xf numFmtId="180" fontId="3" fillId="0" borderId="15" xfId="51" applyNumberFormat="1" applyFont="1" applyBorder="1" applyAlignment="1">
      <alignment horizontal="justify" vertical="center" wrapText="1"/>
    </xf>
    <xf numFmtId="180" fontId="3" fillId="0" borderId="24" xfId="51" applyNumberFormat="1" applyFont="1" applyBorder="1" applyAlignment="1">
      <alignment horizontal="justify"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xf>
    <xf numFmtId="1" fontId="3" fillId="0" borderId="1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6" fillId="4" borderId="14" xfId="69" applyNumberFormat="1" applyFont="1" applyFill="1" applyBorder="1" applyAlignment="1">
      <alignment horizontal="center" vertical="center" wrapText="1"/>
      <protection/>
    </xf>
    <xf numFmtId="49" fontId="6" fillId="4" borderId="15" xfId="69" applyNumberFormat="1" applyFont="1" applyFill="1" applyBorder="1" applyAlignment="1">
      <alignment horizontal="center" vertical="center" wrapText="1"/>
      <protection/>
    </xf>
    <xf numFmtId="49" fontId="6" fillId="4" borderId="24" xfId="69" applyNumberFormat="1" applyFont="1" applyFill="1" applyBorder="1" applyAlignment="1">
      <alignment horizontal="center" vertical="center" wrapText="1"/>
      <protection/>
    </xf>
    <xf numFmtId="177" fontId="3" fillId="4" borderId="10" xfId="66" applyNumberFormat="1" applyFont="1" applyFill="1" applyBorder="1" applyAlignment="1">
      <alignment horizontal="center" vertical="center"/>
    </xf>
    <xf numFmtId="177" fontId="3" fillId="4" borderId="14" xfId="66" applyNumberFormat="1" applyFont="1" applyFill="1" applyBorder="1" applyAlignment="1">
      <alignment horizontal="center" vertical="center"/>
    </xf>
    <xf numFmtId="43" fontId="3" fillId="4" borderId="15" xfId="56" applyFont="1" applyFill="1" applyBorder="1" applyAlignment="1">
      <alignment horizontal="center" vertical="center"/>
    </xf>
    <xf numFmtId="43" fontId="6" fillId="4" borderId="14" xfId="55" applyFont="1" applyFill="1" applyBorder="1" applyAlignment="1">
      <alignment horizontal="justify" vertical="center" wrapText="1"/>
    </xf>
    <xf numFmtId="43" fontId="6" fillId="4" borderId="15" xfId="55" applyFont="1" applyFill="1" applyBorder="1" applyAlignment="1">
      <alignment horizontal="justify" vertical="center" wrapText="1"/>
    </xf>
    <xf numFmtId="14" fontId="3" fillId="0" borderId="19" xfId="0" applyNumberFormat="1" applyFont="1" applyBorder="1" applyAlignment="1">
      <alignment horizontal="center" vertical="center"/>
    </xf>
    <xf numFmtId="14" fontId="3" fillId="0" borderId="22" xfId="0" applyNumberFormat="1" applyFont="1" applyBorder="1" applyAlignment="1">
      <alignment horizontal="center" vertical="center"/>
    </xf>
    <xf numFmtId="0" fontId="3" fillId="0" borderId="18" xfId="0" applyFont="1" applyBorder="1" applyAlignment="1">
      <alignment horizontal="center" vertical="center" wrapText="1"/>
    </xf>
    <xf numFmtId="177" fontId="3" fillId="4" borderId="14" xfId="0" applyNumberFormat="1" applyFont="1" applyFill="1" applyBorder="1" applyAlignment="1">
      <alignment horizontal="center" vertical="center"/>
    </xf>
    <xf numFmtId="49" fontId="3" fillId="0" borderId="21"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43" fontId="6" fillId="0" borderId="24" xfId="56" applyFont="1" applyBorder="1" applyAlignment="1">
      <alignment horizontal="center" vertical="center"/>
    </xf>
    <xf numFmtId="43" fontId="6" fillId="0" borderId="10" xfId="56" applyFont="1" applyBorder="1" applyAlignment="1">
      <alignment horizontal="center" vertical="center"/>
    </xf>
    <xf numFmtId="1" fontId="3" fillId="4" borderId="10" xfId="82" applyNumberFormat="1" applyFont="1" applyFill="1" applyBorder="1" applyAlignment="1">
      <alignment horizontal="center" vertical="center" wrapText="1"/>
    </xf>
    <xf numFmtId="177" fontId="3" fillId="4" borderId="24" xfId="0" applyNumberFormat="1"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169" fontId="3" fillId="0" borderId="14" xfId="0" applyNumberFormat="1" applyFont="1" applyBorder="1" applyAlignment="1">
      <alignment horizontal="center" vertical="center"/>
    </xf>
    <xf numFmtId="169" fontId="3" fillId="0" borderId="21" xfId="0" applyNumberFormat="1" applyFont="1" applyBorder="1" applyAlignment="1">
      <alignment horizontal="center" vertical="center" wrapText="1"/>
    </xf>
    <xf numFmtId="169" fontId="3" fillId="0" borderId="23" xfId="0" applyNumberFormat="1" applyFont="1" applyBorder="1" applyAlignment="1">
      <alignment horizontal="center" vertical="center"/>
    </xf>
    <xf numFmtId="169" fontId="3" fillId="0" borderId="13" xfId="0" applyNumberFormat="1" applyFont="1" applyBorder="1" applyAlignment="1">
      <alignment horizontal="center" vertical="center"/>
    </xf>
    <xf numFmtId="169" fontId="3" fillId="0" borderId="15" xfId="60" applyNumberFormat="1" applyFont="1" applyBorder="1" applyAlignment="1">
      <alignment vertical="center"/>
    </xf>
    <xf numFmtId="169" fontId="3" fillId="0" borderId="24" xfId="60" applyNumberFormat="1" applyFont="1" applyBorder="1" applyAlignment="1">
      <alignment vertical="center"/>
    </xf>
    <xf numFmtId="3" fontId="4" fillId="0" borderId="14" xfId="0" applyNumberFormat="1" applyFont="1" applyBorder="1" applyAlignment="1">
      <alignment horizontal="center" vertical="center"/>
    </xf>
    <xf numFmtId="3" fontId="4" fillId="0" borderId="24" xfId="0" applyNumberFormat="1" applyFont="1" applyBorder="1" applyAlignment="1">
      <alignment horizontal="center" vertical="center"/>
    </xf>
    <xf numFmtId="169" fontId="4" fillId="0" borderId="14" xfId="60" applyNumberFormat="1" applyFont="1" applyBorder="1" applyAlignment="1">
      <alignment horizontal="center" vertical="center"/>
    </xf>
    <xf numFmtId="169" fontId="4" fillId="0" borderId="24" xfId="60" applyNumberFormat="1" applyFont="1" applyBorder="1" applyAlignment="1">
      <alignment horizontal="center" vertical="center"/>
    </xf>
    <xf numFmtId="169" fontId="3" fillId="0" borderId="14" xfId="60" applyNumberFormat="1" applyFont="1" applyBorder="1" applyAlignment="1">
      <alignment horizontal="center" vertical="center"/>
    </xf>
    <xf numFmtId="169" fontId="3" fillId="0" borderId="24" xfId="60" applyNumberFormat="1" applyFont="1" applyBorder="1" applyAlignment="1">
      <alignment horizontal="center" vertical="center"/>
    </xf>
    <xf numFmtId="0" fontId="3" fillId="0" borderId="21" xfId="0" applyFont="1" applyBorder="1" applyAlignment="1">
      <alignment horizontal="center" vertical="center" wrapText="1"/>
    </xf>
    <xf numFmtId="0" fontId="6" fillId="0" borderId="10" xfId="69" applyFont="1" applyBorder="1" applyAlignment="1">
      <alignment horizontal="justify" vertical="center" wrapText="1"/>
      <protection/>
    </xf>
    <xf numFmtId="169" fontId="3" fillId="0" borderId="13" xfId="0" applyNumberFormat="1" applyFont="1" applyBorder="1" applyAlignment="1">
      <alignment horizontal="center" vertical="center" wrapText="1"/>
    </xf>
    <xf numFmtId="0" fontId="6" fillId="0" borderId="14" xfId="69" applyFont="1" applyBorder="1" applyAlignment="1">
      <alignment horizontal="justify" vertical="center" wrapText="1"/>
      <protection/>
    </xf>
    <xf numFmtId="0" fontId="6" fillId="0" borderId="15" xfId="69" applyFont="1" applyBorder="1" applyAlignment="1">
      <alignment horizontal="justify" vertical="center" wrapText="1"/>
      <protection/>
    </xf>
    <xf numFmtId="0" fontId="6" fillId="0" borderId="24" xfId="69" applyFont="1" applyBorder="1" applyAlignment="1">
      <alignment horizontal="justify" vertical="center" wrapText="1"/>
      <protection/>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1" fontId="3" fillId="4" borderId="10" xfId="80" applyNumberFormat="1" applyFont="1" applyFill="1" applyBorder="1" applyAlignment="1">
      <alignment horizontal="center" vertical="center" wrapText="1"/>
    </xf>
    <xf numFmtId="3" fontId="6" fillId="0" borderId="15" xfId="0" applyNumberFormat="1" applyFont="1" applyBorder="1" applyAlignment="1">
      <alignment horizontal="center" vertical="center"/>
    </xf>
    <xf numFmtId="3" fontId="6" fillId="0" borderId="24" xfId="0" applyNumberFormat="1" applyFont="1" applyBorder="1" applyAlignment="1">
      <alignment horizontal="center" vertical="center"/>
    </xf>
    <xf numFmtId="169" fontId="3" fillId="0" borderId="19" xfId="0" applyNumberFormat="1" applyFont="1" applyBorder="1" applyAlignment="1">
      <alignment horizontal="center" vertical="center"/>
    </xf>
    <xf numFmtId="169" fontId="3" fillId="0" borderId="22" xfId="0" applyNumberFormat="1" applyFont="1" applyBorder="1" applyAlignment="1">
      <alignment horizontal="center" vertical="center"/>
    </xf>
    <xf numFmtId="169" fontId="3" fillId="0" borderId="11" xfId="0" applyNumberFormat="1" applyFont="1" applyBorder="1" applyAlignment="1">
      <alignment horizontal="center" vertical="center"/>
    </xf>
    <xf numFmtId="169" fontId="3" fillId="0" borderId="15" xfId="0" applyNumberFormat="1" applyFont="1" applyBorder="1" applyAlignment="1">
      <alignment horizontal="center" vertical="center"/>
    </xf>
    <xf numFmtId="169" fontId="3" fillId="0" borderId="24" xfId="0" applyNumberFormat="1" applyFont="1" applyBorder="1" applyAlignment="1">
      <alignment horizontal="center" vertical="center"/>
    </xf>
    <xf numFmtId="169" fontId="3" fillId="0" borderId="23" xfId="0" applyNumberFormat="1" applyFont="1" applyBorder="1" applyAlignment="1">
      <alignment horizontal="center" vertical="center" wrapText="1"/>
    </xf>
    <xf numFmtId="169" fontId="6" fillId="0" borderId="14" xfId="60" applyNumberFormat="1" applyFont="1" applyBorder="1" applyAlignment="1">
      <alignment horizontal="center" vertical="center"/>
    </xf>
    <xf numFmtId="169" fontId="6" fillId="0" borderId="15" xfId="60" applyNumberFormat="1" applyFont="1" applyBorder="1" applyAlignment="1">
      <alignment horizontal="center" vertical="center"/>
    </xf>
    <xf numFmtId="169" fontId="6" fillId="0" borderId="24" xfId="60" applyNumberFormat="1" applyFont="1" applyBorder="1" applyAlignment="1">
      <alignment horizontal="center" vertical="center"/>
    </xf>
    <xf numFmtId="169" fontId="3" fillId="4" borderId="14" xfId="60" applyNumberFormat="1" applyFont="1" applyFill="1" applyBorder="1" applyAlignment="1">
      <alignment horizontal="center" vertical="center"/>
    </xf>
    <xf numFmtId="169" fontId="3" fillId="4" borderId="15" xfId="60" applyNumberFormat="1" applyFont="1" applyFill="1" applyBorder="1" applyAlignment="1">
      <alignment horizontal="center" vertical="center"/>
    </xf>
    <xf numFmtId="169" fontId="3" fillId="4" borderId="24" xfId="60" applyNumberFormat="1" applyFont="1" applyFill="1" applyBorder="1" applyAlignment="1">
      <alignment horizontal="center" vertical="center"/>
    </xf>
    <xf numFmtId="3" fontId="3" fillId="0" borderId="22"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21" xfId="0" applyNumberFormat="1" applyFont="1" applyBorder="1" applyAlignment="1">
      <alignment horizontal="center" vertical="center" wrapText="1"/>
    </xf>
    <xf numFmtId="3" fontId="3" fillId="0" borderId="23" xfId="0" applyNumberFormat="1" applyFont="1" applyBorder="1" applyAlignment="1">
      <alignment horizontal="center" vertical="center"/>
    </xf>
    <xf numFmtId="3" fontId="3" fillId="0" borderId="13" xfId="0" applyNumberFormat="1" applyFont="1" applyBorder="1" applyAlignment="1">
      <alignment horizontal="center" vertical="center"/>
    </xf>
    <xf numFmtId="14" fontId="12" fillId="0" borderId="14" xfId="0" applyNumberFormat="1" applyFont="1" applyBorder="1" applyAlignment="1">
      <alignment horizontal="center" vertical="center"/>
    </xf>
    <xf numFmtId="14" fontId="12" fillId="0" borderId="15"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xf>
    <xf numFmtId="0" fontId="12" fillId="0" borderId="15" xfId="0" applyFont="1" applyBorder="1" applyAlignment="1">
      <alignment horizontal="center"/>
    </xf>
    <xf numFmtId="0" fontId="3" fillId="0" borderId="55" xfId="0" applyFont="1" applyBorder="1" applyAlignment="1">
      <alignment horizontal="center" vertical="center"/>
    </xf>
    <xf numFmtId="0" fontId="3" fillId="0" borderId="4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6" fillId="0" borderId="0" xfId="0" applyFont="1" applyAlignment="1">
      <alignment horizontal="left" wrapText="1"/>
    </xf>
    <xf numFmtId="0" fontId="4" fillId="0" borderId="20" xfId="0" applyFont="1" applyBorder="1" applyAlignment="1">
      <alignment horizontal="justify" vertical="center"/>
    </xf>
    <xf numFmtId="0" fontId="4" fillId="0" borderId="0" xfId="0" applyFont="1" applyAlignment="1">
      <alignment horizontal="justify" wrapText="1"/>
    </xf>
    <xf numFmtId="0" fontId="6" fillId="0" borderId="0" xfId="0" applyNumberFormat="1" applyFont="1" applyAlignment="1">
      <alignment horizontal="left" wrapText="1"/>
    </xf>
    <xf numFmtId="0" fontId="12" fillId="0" borderId="19" xfId="0" applyFont="1" applyBorder="1" applyAlignment="1">
      <alignment horizontal="center"/>
    </xf>
    <xf numFmtId="0" fontId="12" fillId="0" borderId="22" xfId="0" applyFont="1" applyBorder="1" applyAlignment="1">
      <alignment horizontal="center"/>
    </xf>
    <xf numFmtId="0" fontId="6" fillId="0" borderId="55" xfId="0" applyFont="1" applyBorder="1" applyAlignment="1">
      <alignment horizontal="center" vertical="center"/>
    </xf>
    <xf numFmtId="43" fontId="3" fillId="0" borderId="14" xfId="56" applyFont="1" applyBorder="1" applyAlignment="1">
      <alignment horizontal="center" vertical="center"/>
    </xf>
    <xf numFmtId="43" fontId="3" fillId="0" borderId="15" xfId="56" applyFont="1" applyBorder="1" applyAlignment="1">
      <alignment horizontal="center" vertical="center"/>
    </xf>
    <xf numFmtId="1" fontId="3" fillId="0" borderId="19"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166" fontId="3" fillId="4" borderId="14" xfId="0" applyNumberFormat="1" applyFont="1" applyFill="1" applyBorder="1" applyAlignment="1">
      <alignment horizontal="center" vertical="center" wrapText="1"/>
    </xf>
    <xf numFmtId="166" fontId="3" fillId="4" borderId="15" xfId="0" applyNumberFormat="1" applyFont="1" applyFill="1" applyBorder="1" applyAlignment="1">
      <alignment horizontal="center" vertical="center" wrapText="1"/>
    </xf>
    <xf numFmtId="3" fontId="3" fillId="4" borderId="53" xfId="0" applyNumberFormat="1" applyFont="1" applyFill="1" applyBorder="1" applyAlignment="1">
      <alignment horizontal="justify" vertical="center" wrapText="1"/>
    </xf>
    <xf numFmtId="3" fontId="3" fillId="4" borderId="54" xfId="0" applyNumberFormat="1" applyFont="1" applyFill="1" applyBorder="1" applyAlignment="1">
      <alignment horizontal="justify" vertical="center" wrapText="1"/>
    </xf>
    <xf numFmtId="3" fontId="3" fillId="4" borderId="15" xfId="0" applyNumberFormat="1" applyFont="1" applyFill="1" applyBorder="1" applyAlignment="1">
      <alignment horizontal="center" vertical="center" wrapText="1"/>
    </xf>
    <xf numFmtId="3" fontId="6" fillId="4" borderId="55" xfId="0" applyNumberFormat="1" applyFont="1" applyFill="1" applyBorder="1" applyAlignment="1">
      <alignment horizontal="center" vertical="center" wrapText="1"/>
    </xf>
    <xf numFmtId="3" fontId="3" fillId="4" borderId="55" xfId="0" applyNumberFormat="1" applyFont="1" applyFill="1" applyBorder="1" applyAlignment="1">
      <alignment horizontal="center" vertical="center" wrapText="1"/>
    </xf>
    <xf numFmtId="0" fontId="4" fillId="9" borderId="10" xfId="0" applyFont="1" applyFill="1" applyBorder="1" applyAlignment="1">
      <alignment horizontal="center" vertical="center" wrapText="1"/>
    </xf>
    <xf numFmtId="9" fontId="3" fillId="4" borderId="14" xfId="52" applyNumberFormat="1" applyFont="1" applyFill="1" applyBorder="1" applyAlignment="1">
      <alignment horizontal="center" vertical="center" wrapText="1"/>
    </xf>
    <xf numFmtId="41" fontId="3" fillId="4" borderId="15" xfId="52"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1" xfId="0" applyFont="1" applyFill="1" applyBorder="1" applyAlignment="1">
      <alignment horizontal="center" vertical="center" wrapText="1"/>
    </xf>
    <xf numFmtId="1" fontId="4" fillId="13" borderId="10" xfId="0" applyNumberFormat="1" applyFont="1" applyFill="1" applyBorder="1" applyAlignment="1">
      <alignment horizontal="left" vertical="center"/>
    </xf>
    <xf numFmtId="0" fontId="4" fillId="9" borderId="18" xfId="0" applyFont="1" applyFill="1" applyBorder="1" applyAlignment="1">
      <alignment horizontal="left" vertical="center"/>
    </xf>
    <xf numFmtId="0" fontId="4" fillId="9" borderId="10" xfId="0" applyFont="1" applyFill="1" applyBorder="1" applyAlignment="1">
      <alignment horizontal="left" vertical="center"/>
    </xf>
    <xf numFmtId="0" fontId="4" fillId="9" borderId="22"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39" xfId="0" applyFont="1" applyFill="1" applyBorder="1" applyAlignment="1">
      <alignment horizontal="center" vertical="center" wrapText="1"/>
    </xf>
    <xf numFmtId="3" fontId="4" fillId="9" borderId="25" xfId="0" applyNumberFormat="1" applyFont="1" applyFill="1" applyBorder="1" applyAlignment="1">
      <alignment horizontal="center" vertical="center" wrapText="1"/>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3" fillId="0" borderId="47" xfId="75" applyFont="1" applyBorder="1" applyAlignment="1">
      <alignment horizontal="center"/>
      <protection/>
    </xf>
    <xf numFmtId="0" fontId="3" fillId="0" borderId="20" xfId="75" applyFont="1" applyBorder="1" applyAlignment="1">
      <alignment horizontal="center"/>
      <protection/>
    </xf>
    <xf numFmtId="0" fontId="3" fillId="0" borderId="21" xfId="75" applyFont="1" applyBorder="1" applyAlignment="1">
      <alignment horizontal="center"/>
      <protection/>
    </xf>
    <xf numFmtId="0" fontId="3" fillId="4" borderId="14" xfId="75" applyFont="1" applyFill="1" applyBorder="1" applyAlignment="1">
      <alignment horizontal="center" vertical="center" wrapText="1"/>
      <protection/>
    </xf>
    <xf numFmtId="0" fontId="3" fillId="4" borderId="15" xfId="75" applyFont="1" applyFill="1" applyBorder="1" applyAlignment="1">
      <alignment horizontal="center" vertical="center" wrapText="1"/>
      <protection/>
    </xf>
    <xf numFmtId="0" fontId="3" fillId="4" borderId="24" xfId="75" applyFont="1" applyFill="1" applyBorder="1" applyAlignment="1">
      <alignment horizontal="center" vertical="center" wrapText="1"/>
      <protection/>
    </xf>
    <xf numFmtId="0" fontId="3" fillId="0" borderId="14" xfId="75" applyFont="1" applyFill="1" applyBorder="1" applyAlignment="1">
      <alignment horizontal="justify" vertical="center" wrapText="1"/>
      <protection/>
    </xf>
    <xf numFmtId="0" fontId="3" fillId="0" borderId="15" xfId="75" applyFont="1" applyFill="1" applyBorder="1" applyAlignment="1">
      <alignment horizontal="justify" vertical="center" wrapText="1"/>
      <protection/>
    </xf>
    <xf numFmtId="0" fontId="3" fillId="0" borderId="24" xfId="75" applyFont="1" applyFill="1" applyBorder="1" applyAlignment="1">
      <alignment horizontal="justify" vertical="center" wrapText="1"/>
      <protection/>
    </xf>
    <xf numFmtId="0" fontId="17" fillId="9" borderId="11" xfId="0" applyFont="1" applyFill="1" applyBorder="1" applyAlignment="1">
      <alignment horizontal="center" vertical="center" wrapText="1"/>
    </xf>
    <xf numFmtId="0" fontId="3" fillId="4" borderId="14" xfId="54" applyNumberFormat="1" applyFont="1" applyFill="1" applyBorder="1" applyAlignment="1">
      <alignment horizontal="center" vertical="center" wrapText="1"/>
    </xf>
    <xf numFmtId="0" fontId="3" fillId="4" borderId="15" xfId="54" applyNumberFormat="1" applyFont="1" applyFill="1" applyBorder="1" applyAlignment="1">
      <alignment horizontal="center" vertical="center" wrapText="1"/>
    </xf>
    <xf numFmtId="0" fontId="3" fillId="4" borderId="24" xfId="54" applyNumberFormat="1" applyFont="1" applyFill="1" applyBorder="1" applyAlignment="1">
      <alignment horizontal="center" vertical="center" wrapText="1"/>
    </xf>
    <xf numFmtId="0" fontId="3" fillId="0" borderId="14" xfId="54" applyNumberFormat="1" applyFont="1" applyBorder="1" applyAlignment="1">
      <alignment horizontal="center" vertical="center" wrapText="1"/>
    </xf>
    <xf numFmtId="0" fontId="3" fillId="0" borderId="15" xfId="54" applyNumberFormat="1" applyFont="1" applyBorder="1" applyAlignment="1">
      <alignment horizontal="center" vertical="center" wrapText="1"/>
    </xf>
    <xf numFmtId="0" fontId="3" fillId="0" borderId="24" xfId="54" applyNumberFormat="1" applyFont="1" applyBorder="1" applyAlignment="1">
      <alignment horizontal="center" vertical="center" wrapText="1"/>
    </xf>
    <xf numFmtId="0" fontId="3" fillId="4" borderId="14" xfId="75" applyFont="1" applyFill="1" applyBorder="1" applyAlignment="1">
      <alignment horizontal="justify" vertical="center" wrapText="1"/>
      <protection/>
    </xf>
    <xf numFmtId="0" fontId="3" fillId="4" borderId="15" xfId="75" applyFont="1" applyFill="1" applyBorder="1" applyAlignment="1">
      <alignment horizontal="justify" vertical="center" wrapText="1"/>
      <protection/>
    </xf>
    <xf numFmtId="0" fontId="3" fillId="4" borderId="24" xfId="75" applyFont="1" applyFill="1" applyBorder="1" applyAlignment="1">
      <alignment horizontal="justify" vertical="center" wrapText="1"/>
      <protection/>
    </xf>
    <xf numFmtId="0" fontId="3" fillId="4" borderId="14" xfId="75" applyFont="1" applyFill="1" applyBorder="1" applyAlignment="1">
      <alignment horizontal="left" vertical="center" wrapText="1"/>
      <protection/>
    </xf>
    <xf numFmtId="0" fontId="3" fillId="4" borderId="15" xfId="75" applyFont="1" applyFill="1" applyBorder="1" applyAlignment="1">
      <alignment horizontal="left" vertical="center" wrapText="1"/>
      <protection/>
    </xf>
    <xf numFmtId="0" fontId="3" fillId="4" borderId="24" xfId="75" applyFont="1" applyFill="1" applyBorder="1" applyAlignment="1">
      <alignment horizontal="left" vertical="center" wrapText="1"/>
      <protection/>
    </xf>
    <xf numFmtId="164" fontId="3" fillId="4" borderId="14" xfId="75" applyNumberFormat="1" applyFont="1" applyFill="1" applyBorder="1" applyAlignment="1">
      <alignment horizontal="center" vertical="center" wrapText="1"/>
      <protection/>
    </xf>
    <xf numFmtId="164" fontId="3" fillId="4" borderId="15" xfId="75" applyNumberFormat="1" applyFont="1" applyFill="1" applyBorder="1" applyAlignment="1">
      <alignment horizontal="center" vertical="center" wrapText="1"/>
      <protection/>
    </xf>
    <xf numFmtId="164" fontId="3" fillId="4" borderId="24" xfId="75" applyNumberFormat="1" applyFont="1" applyFill="1" applyBorder="1" applyAlignment="1">
      <alignment horizontal="center" vertical="center" wrapText="1"/>
      <protection/>
    </xf>
    <xf numFmtId="3" fontId="3" fillId="4" borderId="53" xfId="75" applyNumberFormat="1" applyFont="1" applyFill="1" applyBorder="1" applyAlignment="1">
      <alignment horizontal="center" vertical="center" wrapText="1"/>
      <protection/>
    </xf>
    <xf numFmtId="3" fontId="3" fillId="4" borderId="54" xfId="75" applyNumberFormat="1" applyFont="1" applyFill="1" applyBorder="1" applyAlignment="1">
      <alignment horizontal="center" vertical="center" wrapText="1"/>
      <protection/>
    </xf>
    <xf numFmtId="3" fontId="3" fillId="4" borderId="48" xfId="75" applyNumberFormat="1" applyFont="1" applyFill="1" applyBorder="1" applyAlignment="1">
      <alignment horizontal="center" vertical="center" wrapText="1"/>
      <protection/>
    </xf>
    <xf numFmtId="0" fontId="3" fillId="4" borderId="10" xfId="75" applyFont="1" applyFill="1" applyBorder="1" applyAlignment="1">
      <alignment horizontal="center" vertical="center" wrapText="1"/>
      <protection/>
    </xf>
    <xf numFmtId="169" fontId="3" fillId="0" borderId="14" xfId="54" applyNumberFormat="1" applyFont="1" applyBorder="1" applyAlignment="1">
      <alignment horizontal="center" vertical="center" wrapText="1"/>
    </xf>
    <xf numFmtId="169" fontId="3" fillId="0" borderId="15" xfId="54" applyNumberFormat="1" applyFont="1" applyBorder="1" applyAlignment="1">
      <alignment horizontal="center" vertical="center" wrapText="1"/>
    </xf>
    <xf numFmtId="169" fontId="3" fillId="0" borderId="24" xfId="54" applyNumberFormat="1" applyFont="1" applyBorder="1" applyAlignment="1">
      <alignment horizontal="center" vertical="center" wrapText="1"/>
    </xf>
    <xf numFmtId="1" fontId="3" fillId="4" borderId="21" xfId="75" applyNumberFormat="1" applyFont="1" applyFill="1" applyBorder="1" applyAlignment="1">
      <alignment horizontal="center" vertical="center" wrapText="1"/>
      <protection/>
    </xf>
    <xf numFmtId="1" fontId="3" fillId="4" borderId="23" xfId="75" applyNumberFormat="1" applyFont="1" applyFill="1" applyBorder="1" applyAlignment="1">
      <alignment horizontal="center" vertical="center" wrapText="1"/>
      <protection/>
    </xf>
    <xf numFmtId="1" fontId="3" fillId="4" borderId="13" xfId="75" applyNumberFormat="1" applyFont="1" applyFill="1" applyBorder="1" applyAlignment="1">
      <alignment horizontal="center" vertical="center" wrapText="1"/>
      <protection/>
    </xf>
    <xf numFmtId="0" fontId="3" fillId="0" borderId="19" xfId="54" applyNumberFormat="1" applyFont="1" applyBorder="1" applyAlignment="1">
      <alignment horizontal="center" vertical="center"/>
    </xf>
    <xf numFmtId="0" fontId="3" fillId="0" borderId="22" xfId="54" applyNumberFormat="1" applyFont="1" applyBorder="1" applyAlignment="1">
      <alignment horizontal="center" vertical="center"/>
    </xf>
    <xf numFmtId="0" fontId="3" fillId="0" borderId="11" xfId="54" applyNumberFormat="1" applyFont="1" applyBorder="1" applyAlignment="1">
      <alignment horizontal="center" vertical="center"/>
    </xf>
    <xf numFmtId="0" fontId="3" fillId="0" borderId="10" xfId="54" applyNumberFormat="1" applyFont="1" applyBorder="1" applyAlignment="1">
      <alignment horizontal="center" vertical="center"/>
    </xf>
    <xf numFmtId="0" fontId="3" fillId="0" borderId="14" xfId="54" applyNumberFormat="1" applyFont="1" applyBorder="1" applyAlignment="1">
      <alignment horizontal="center" vertical="center"/>
    </xf>
    <xf numFmtId="0" fontId="3" fillId="0" borderId="15" xfId="54" applyNumberFormat="1" applyFont="1" applyBorder="1" applyAlignment="1">
      <alignment horizontal="center" vertical="center"/>
    </xf>
    <xf numFmtId="0" fontId="3" fillId="0" borderId="24" xfId="54" applyNumberFormat="1" applyFont="1" applyBorder="1" applyAlignment="1">
      <alignment horizontal="center" vertical="center"/>
    </xf>
    <xf numFmtId="1" fontId="3" fillId="4" borderId="14" xfId="75" applyNumberFormat="1" applyFont="1" applyFill="1" applyBorder="1" applyAlignment="1">
      <alignment horizontal="center" vertical="center" wrapText="1"/>
      <protection/>
    </xf>
    <xf numFmtId="1" fontId="3" fillId="4" borderId="15" xfId="75" applyNumberFormat="1" applyFont="1" applyFill="1" applyBorder="1" applyAlignment="1">
      <alignment horizontal="center" vertical="center" wrapText="1"/>
      <protection/>
    </xf>
    <xf numFmtId="1" fontId="3" fillId="4" borderId="24" xfId="75" applyNumberFormat="1" applyFont="1" applyFill="1" applyBorder="1" applyAlignment="1">
      <alignment horizontal="center" vertical="center" wrapText="1"/>
      <protection/>
    </xf>
    <xf numFmtId="0" fontId="6" fillId="0" borderId="14" xfId="54" applyNumberFormat="1" applyFont="1" applyBorder="1" applyAlignment="1">
      <alignment horizontal="center" vertical="center" wrapText="1"/>
    </xf>
    <xf numFmtId="0" fontId="6" fillId="0" borderId="15" xfId="54" applyNumberFormat="1" applyFont="1" applyBorder="1" applyAlignment="1">
      <alignment horizontal="center" vertical="center" wrapText="1"/>
    </xf>
    <xf numFmtId="0" fontId="6" fillId="0" borderId="24" xfId="54" applyNumberFormat="1" applyFont="1" applyBorder="1" applyAlignment="1">
      <alignment horizontal="center" vertical="center" wrapText="1"/>
    </xf>
    <xf numFmtId="0" fontId="6" fillId="4" borderId="14" xfId="75" applyFont="1" applyFill="1" applyBorder="1" applyAlignment="1">
      <alignment horizontal="center" vertical="center" wrapText="1"/>
      <protection/>
    </xf>
    <xf numFmtId="0" fontId="6" fillId="4" borderId="15" xfId="75" applyFont="1" applyFill="1" applyBorder="1" applyAlignment="1">
      <alignment horizontal="center" vertical="center" wrapText="1"/>
      <protection/>
    </xf>
    <xf numFmtId="0" fontId="6" fillId="4" borderId="24" xfId="75" applyFont="1" applyFill="1" applyBorder="1" applyAlignment="1">
      <alignment horizontal="center" vertical="center" wrapText="1"/>
      <protection/>
    </xf>
    <xf numFmtId="37" fontId="6" fillId="0" borderId="14" xfId="54" applyNumberFormat="1" applyFont="1" applyBorder="1" applyAlignment="1">
      <alignment horizontal="center" vertical="center" wrapText="1"/>
    </xf>
    <xf numFmtId="37" fontId="6" fillId="0" borderId="15" xfId="54" applyNumberFormat="1" applyFont="1" applyBorder="1" applyAlignment="1">
      <alignment horizontal="center" vertical="center" wrapText="1"/>
    </xf>
    <xf numFmtId="37" fontId="6" fillId="0" borderId="24" xfId="54" applyNumberFormat="1" applyFont="1" applyBorder="1" applyAlignment="1">
      <alignment horizontal="center" vertical="center" wrapText="1"/>
    </xf>
    <xf numFmtId="0" fontId="6" fillId="4" borderId="14" xfId="75" applyFont="1" applyFill="1" applyBorder="1" applyAlignment="1">
      <alignment horizontal="justify" vertical="center" wrapText="1"/>
      <protection/>
    </xf>
    <xf numFmtId="0" fontId="6" fillId="4" borderId="15" xfId="75" applyFont="1" applyFill="1" applyBorder="1" applyAlignment="1">
      <alignment horizontal="justify" vertical="center" wrapText="1"/>
      <protection/>
    </xf>
    <xf numFmtId="0" fontId="6" fillId="4" borderId="24" xfId="75" applyFont="1" applyFill="1" applyBorder="1" applyAlignment="1">
      <alignment horizontal="justify" vertical="center" wrapText="1"/>
      <protection/>
    </xf>
    <xf numFmtId="37" fontId="3" fillId="0" borderId="14" xfId="54" applyNumberFormat="1" applyFont="1" applyBorder="1" applyAlignment="1">
      <alignment horizontal="center" vertical="center" wrapText="1"/>
    </xf>
    <xf numFmtId="37" fontId="3" fillId="0" borderId="15" xfId="54" applyNumberFormat="1" applyFont="1" applyBorder="1" applyAlignment="1">
      <alignment horizontal="center" vertical="center" wrapText="1"/>
    </xf>
    <xf numFmtId="37" fontId="3" fillId="0" borderId="24" xfId="54" applyNumberFormat="1" applyFont="1" applyBorder="1" applyAlignment="1">
      <alignment horizontal="center" vertical="center" wrapText="1"/>
    </xf>
    <xf numFmtId="1" fontId="6" fillId="4" borderId="14" xfId="75" applyNumberFormat="1" applyFont="1" applyFill="1" applyBorder="1" applyAlignment="1">
      <alignment horizontal="center" vertical="center" wrapText="1"/>
      <protection/>
    </xf>
    <xf numFmtId="1" fontId="6" fillId="4" borderId="15" xfId="75" applyNumberFormat="1" applyFont="1" applyFill="1" applyBorder="1" applyAlignment="1">
      <alignment horizontal="center" vertical="center" wrapText="1"/>
      <protection/>
    </xf>
    <xf numFmtId="1" fontId="6" fillId="4" borderId="24" xfId="75" applyNumberFormat="1" applyFont="1" applyFill="1" applyBorder="1" applyAlignment="1">
      <alignment horizontal="center" vertical="center" wrapText="1"/>
      <protection/>
    </xf>
    <xf numFmtId="164" fontId="6" fillId="4" borderId="14" xfId="75" applyNumberFormat="1" applyFont="1" applyFill="1" applyBorder="1" applyAlignment="1">
      <alignment horizontal="center" vertical="center" wrapText="1"/>
      <protection/>
    </xf>
    <xf numFmtId="164" fontId="6" fillId="4" borderId="15" xfId="75" applyNumberFormat="1" applyFont="1" applyFill="1" applyBorder="1" applyAlignment="1">
      <alignment horizontal="center" vertical="center" wrapText="1"/>
      <protection/>
    </xf>
    <xf numFmtId="164" fontId="6" fillId="4" borderId="24" xfId="75" applyNumberFormat="1" applyFont="1" applyFill="1" applyBorder="1" applyAlignment="1">
      <alignment horizontal="center" vertical="center" wrapText="1"/>
      <protection/>
    </xf>
    <xf numFmtId="3" fontId="6" fillId="4" borderId="53" xfId="75" applyNumberFormat="1" applyFont="1" applyFill="1" applyBorder="1" applyAlignment="1">
      <alignment horizontal="center" vertical="center" wrapText="1"/>
      <protection/>
    </xf>
    <xf numFmtId="3" fontId="6" fillId="4" borderId="54" xfId="75" applyNumberFormat="1" applyFont="1" applyFill="1" applyBorder="1" applyAlignment="1">
      <alignment horizontal="center" vertical="center" wrapText="1"/>
      <protection/>
    </xf>
    <xf numFmtId="3" fontId="6" fillId="4" borderId="48" xfId="75" applyNumberFormat="1" applyFont="1" applyFill="1" applyBorder="1" applyAlignment="1">
      <alignment horizontal="center" vertical="center" wrapText="1"/>
      <protection/>
    </xf>
    <xf numFmtId="0" fontId="3" fillId="4" borderId="10" xfId="75" applyFont="1" applyFill="1" applyBorder="1" applyAlignment="1">
      <alignment horizontal="left" vertical="center" wrapText="1"/>
      <protection/>
    </xf>
    <xf numFmtId="0" fontId="3" fillId="0" borderId="14" xfId="75" applyFont="1" applyBorder="1" applyAlignment="1">
      <alignment horizontal="justify" vertical="center" wrapText="1"/>
      <protection/>
    </xf>
    <xf numFmtId="0" fontId="3" fillId="0" borderId="15" xfId="75" applyFont="1" applyBorder="1" applyAlignment="1">
      <alignment horizontal="justify" vertical="center" wrapText="1"/>
      <protection/>
    </xf>
    <xf numFmtId="1" fontId="3" fillId="0" borderId="14" xfId="75" applyNumberFormat="1" applyFont="1" applyBorder="1" applyAlignment="1">
      <alignment horizontal="center" vertical="center" wrapText="1"/>
      <protection/>
    </xf>
    <xf numFmtId="1" fontId="3" fillId="0" borderId="15" xfId="75" applyNumberFormat="1" applyFont="1" applyBorder="1" applyAlignment="1">
      <alignment horizontal="center" vertical="center" wrapText="1"/>
      <protection/>
    </xf>
    <xf numFmtId="1" fontId="3" fillId="0" borderId="24" xfId="75" applyNumberFormat="1" applyFont="1" applyBorder="1" applyAlignment="1">
      <alignment horizontal="center" vertical="center" wrapText="1"/>
      <protection/>
    </xf>
    <xf numFmtId="0" fontId="3" fillId="0" borderId="14" xfId="75" applyFont="1" applyBorder="1" applyAlignment="1">
      <alignment horizontal="center" vertical="center" wrapText="1"/>
      <protection/>
    </xf>
    <xf numFmtId="0" fontId="3" fillId="0" borderId="15" xfId="75" applyFont="1" applyBorder="1" applyAlignment="1">
      <alignment horizontal="center" vertical="center" wrapText="1"/>
      <protection/>
    </xf>
    <xf numFmtId="0" fontId="3" fillId="0" borderId="24" xfId="75" applyFont="1" applyBorder="1" applyAlignment="1">
      <alignment horizontal="center" vertical="center" wrapText="1"/>
      <protection/>
    </xf>
    <xf numFmtId="0" fontId="3" fillId="0" borderId="24" xfId="75" applyFont="1" applyBorder="1" applyAlignment="1">
      <alignment horizontal="justify" vertical="center" wrapText="1"/>
      <protection/>
    </xf>
    <xf numFmtId="3" fontId="3" fillId="0" borderId="53" xfId="75" applyNumberFormat="1" applyFont="1" applyBorder="1" applyAlignment="1">
      <alignment horizontal="center" vertical="center" wrapText="1"/>
      <protection/>
    </xf>
    <xf numFmtId="3" fontId="3" fillId="0" borderId="54" xfId="75" applyNumberFormat="1" applyFont="1" applyBorder="1" applyAlignment="1">
      <alignment horizontal="center" vertical="center" wrapText="1"/>
      <protection/>
    </xf>
    <xf numFmtId="3" fontId="3" fillId="0" borderId="48" xfId="75" applyNumberFormat="1" applyFont="1" applyBorder="1" applyAlignment="1">
      <alignment horizontal="center" vertical="center" wrapText="1"/>
      <protection/>
    </xf>
    <xf numFmtId="0" fontId="3" fillId="0" borderId="14" xfId="75" applyFont="1" applyBorder="1" applyAlignment="1">
      <alignment horizontal="left" vertical="center" wrapText="1"/>
      <protection/>
    </xf>
    <xf numFmtId="0" fontId="3" fillId="0" borderId="15" xfId="75" applyFont="1" applyBorder="1" applyAlignment="1">
      <alignment horizontal="left" vertical="center" wrapText="1"/>
      <protection/>
    </xf>
    <xf numFmtId="0" fontId="3" fillId="0" borderId="24" xfId="75" applyFont="1" applyBorder="1" applyAlignment="1">
      <alignment horizontal="left" vertical="center" wrapText="1"/>
      <protection/>
    </xf>
    <xf numFmtId="164" fontId="3" fillId="0" borderId="14" xfId="75" applyNumberFormat="1" applyFont="1" applyBorder="1" applyAlignment="1">
      <alignment horizontal="center" vertical="center" wrapText="1"/>
      <protection/>
    </xf>
    <xf numFmtId="164" fontId="3" fillId="0" borderId="15" xfId="75" applyNumberFormat="1" applyFont="1" applyBorder="1" applyAlignment="1">
      <alignment horizontal="center" vertical="center" wrapText="1"/>
      <protection/>
    </xf>
    <xf numFmtId="0" fontId="3" fillId="0" borderId="10" xfId="75" applyFont="1" applyBorder="1" applyAlignment="1">
      <alignment horizontal="center" vertical="center" wrapText="1"/>
      <protection/>
    </xf>
    <xf numFmtId="169" fontId="3" fillId="0" borderId="14" xfId="54" applyNumberFormat="1" applyFont="1" applyBorder="1" applyAlignment="1">
      <alignment vertical="center" wrapText="1"/>
    </xf>
    <xf numFmtId="169" fontId="3" fillId="0" borderId="15" xfId="54" applyNumberFormat="1" applyFont="1" applyBorder="1" applyAlignment="1">
      <alignment vertical="center" wrapText="1"/>
    </xf>
    <xf numFmtId="169" fontId="3" fillId="0" borderId="24" xfId="54" applyNumberFormat="1" applyFont="1" applyBorder="1" applyAlignment="1">
      <alignment vertical="center" wrapText="1"/>
    </xf>
    <xf numFmtId="164" fontId="3" fillId="0" borderId="10" xfId="75" applyNumberFormat="1" applyFont="1" applyBorder="1" applyAlignment="1">
      <alignment horizontal="center" vertical="center" wrapText="1"/>
      <protection/>
    </xf>
    <xf numFmtId="187" fontId="3" fillId="4" borderId="14" xfId="75" applyNumberFormat="1" applyFont="1" applyFill="1" applyBorder="1" applyAlignment="1">
      <alignment horizontal="center" vertical="center" wrapText="1"/>
      <protection/>
    </xf>
    <xf numFmtId="187" fontId="3" fillId="4" borderId="15" xfId="75" applyNumberFormat="1" applyFont="1" applyFill="1" applyBorder="1" applyAlignment="1">
      <alignment horizontal="center" vertical="center" wrapText="1"/>
      <protection/>
    </xf>
    <xf numFmtId="187" fontId="3" fillId="4" borderId="24" xfId="75" applyNumberFormat="1" applyFont="1" applyFill="1" applyBorder="1" applyAlignment="1">
      <alignment horizontal="center" vertical="center" wrapText="1"/>
      <protection/>
    </xf>
    <xf numFmtId="1" fontId="3" fillId="4" borderId="53" xfId="75" applyNumberFormat="1" applyFont="1" applyFill="1" applyBorder="1" applyAlignment="1">
      <alignment horizontal="center" vertical="center" wrapText="1"/>
      <protection/>
    </xf>
    <xf numFmtId="1" fontId="3" fillId="4" borderId="54" xfId="75" applyNumberFormat="1" applyFont="1" applyFill="1" applyBorder="1" applyAlignment="1">
      <alignment horizontal="center" vertical="center" wrapText="1"/>
      <protection/>
    </xf>
    <xf numFmtId="1" fontId="3" fillId="4" borderId="48" xfId="75" applyNumberFormat="1" applyFont="1" applyFill="1" applyBorder="1" applyAlignment="1">
      <alignment horizontal="center" vertical="center" wrapText="1"/>
      <protection/>
    </xf>
    <xf numFmtId="164" fontId="3" fillId="4" borderId="10" xfId="75" applyNumberFormat="1" applyFont="1" applyFill="1" applyBorder="1" applyAlignment="1">
      <alignment horizontal="center" vertical="center" wrapText="1"/>
      <protection/>
    </xf>
    <xf numFmtId="49" fontId="3" fillId="0" borderId="14" xfId="47" applyNumberFormat="1" applyFont="1" applyBorder="1" applyAlignment="1">
      <alignment horizontal="justify" vertical="center" wrapText="1"/>
      <protection/>
    </xf>
    <xf numFmtId="49" fontId="3" fillId="0" borderId="24" xfId="47" applyNumberFormat="1" applyFont="1" applyBorder="1" applyAlignment="1">
      <alignment horizontal="justify" vertical="center" wrapText="1"/>
      <protection/>
    </xf>
    <xf numFmtId="0" fontId="4" fillId="0" borderId="19" xfId="75" applyFont="1" applyBorder="1" applyAlignment="1">
      <alignment horizontal="center" vertical="center" wrapText="1"/>
      <protection/>
    </xf>
    <xf numFmtId="0" fontId="4" fillId="0" borderId="20" xfId="75" applyFont="1" applyBorder="1" applyAlignment="1">
      <alignment horizontal="center" vertical="center" wrapText="1"/>
      <protection/>
    </xf>
    <xf numFmtId="0" fontId="4" fillId="0" borderId="22" xfId="75" applyFont="1" applyBorder="1" applyAlignment="1">
      <alignment horizontal="center" vertical="center" wrapText="1"/>
      <protection/>
    </xf>
    <xf numFmtId="0" fontId="4" fillId="0" borderId="0" xfId="75" applyFont="1" applyAlignment="1">
      <alignment horizontal="center" vertical="center" wrapText="1"/>
      <protection/>
    </xf>
    <xf numFmtId="0" fontId="4" fillId="0" borderId="11" xfId="75" applyFont="1" applyBorder="1" applyAlignment="1">
      <alignment horizontal="center" vertical="center" wrapText="1"/>
      <protection/>
    </xf>
    <xf numFmtId="0" fontId="4" fillId="0" borderId="12" xfId="75" applyFont="1" applyBorder="1" applyAlignment="1">
      <alignment horizontal="center" vertical="center" wrapText="1"/>
      <protection/>
    </xf>
    <xf numFmtId="0" fontId="3" fillId="4" borderId="20" xfId="75" applyFont="1" applyFill="1" applyBorder="1" applyAlignment="1">
      <alignment horizontal="center" vertical="center" wrapText="1"/>
      <protection/>
    </xf>
    <xf numFmtId="0" fontId="3" fillId="4" borderId="12" xfId="75" applyFont="1" applyFill="1" applyBorder="1" applyAlignment="1">
      <alignment horizontal="center" vertical="center" wrapText="1"/>
      <protection/>
    </xf>
    <xf numFmtId="0" fontId="3" fillId="4" borderId="10" xfId="54" applyNumberFormat="1" applyFont="1" applyFill="1" applyBorder="1" applyAlignment="1">
      <alignment horizontal="center" vertical="center" wrapText="1"/>
    </xf>
    <xf numFmtId="1" fontId="3" fillId="4" borderId="10" xfId="75" applyNumberFormat="1" applyFont="1" applyFill="1" applyBorder="1" applyAlignment="1" quotePrefix="1">
      <alignment horizontal="center" vertical="center" wrapText="1"/>
      <protection/>
    </xf>
    <xf numFmtId="0" fontId="3" fillId="4" borderId="14" xfId="75" applyFont="1" applyFill="1" applyBorder="1" applyAlignment="1">
      <alignment horizontal="center" vertical="center"/>
      <protection/>
    </xf>
    <xf numFmtId="0" fontId="3" fillId="4" borderId="15" xfId="75" applyFont="1" applyFill="1" applyBorder="1" applyAlignment="1">
      <alignment horizontal="center" vertical="center"/>
      <protection/>
    </xf>
    <xf numFmtId="1" fontId="3" fillId="4" borderId="14" xfId="75" applyNumberFormat="1" applyFont="1" applyFill="1" applyBorder="1" applyAlignment="1" quotePrefix="1">
      <alignment horizontal="center" vertical="center" wrapText="1"/>
      <protection/>
    </xf>
    <xf numFmtId="1" fontId="3" fillId="4" borderId="15" xfId="75" applyNumberFormat="1" applyFont="1" applyFill="1" applyBorder="1" applyAlignment="1" quotePrefix="1">
      <alignment horizontal="center" vertical="center" wrapText="1"/>
      <protection/>
    </xf>
    <xf numFmtId="1" fontId="3" fillId="4" borderId="24" xfId="75" applyNumberFormat="1" applyFont="1" applyFill="1" applyBorder="1" applyAlignment="1" quotePrefix="1">
      <alignment horizontal="center" vertical="center" wrapText="1"/>
      <protection/>
    </xf>
    <xf numFmtId="0" fontId="3" fillId="4" borderId="21" xfId="75" applyFont="1" applyFill="1" applyBorder="1" applyAlignment="1">
      <alignment horizontal="left" vertical="center" wrapText="1"/>
      <protection/>
    </xf>
    <xf numFmtId="0" fontId="3" fillId="4" borderId="13" xfId="75" applyFont="1" applyFill="1" applyBorder="1" applyAlignment="1">
      <alignment horizontal="left" vertical="center" wrapText="1"/>
      <protection/>
    </xf>
    <xf numFmtId="10" fontId="3" fillId="4" borderId="10" xfId="81" applyNumberFormat="1" applyFont="1" applyFill="1" applyBorder="1" applyAlignment="1">
      <alignment horizontal="center" vertical="center" wrapText="1"/>
    </xf>
    <xf numFmtId="43" fontId="3" fillId="4" borderId="10" xfId="54" applyFont="1" applyFill="1" applyBorder="1" applyAlignment="1">
      <alignment horizontal="center" vertical="center" wrapText="1"/>
    </xf>
    <xf numFmtId="0" fontId="3" fillId="4" borderId="18" xfId="75" applyFont="1" applyFill="1" applyBorder="1" applyAlignment="1">
      <alignment horizontal="justify" vertical="center" wrapText="1"/>
      <protection/>
    </xf>
    <xf numFmtId="0" fontId="3" fillId="0" borderId="10" xfId="54" applyNumberFormat="1" applyFont="1" applyBorder="1" applyAlignment="1">
      <alignment horizontal="center" vertical="center" wrapText="1"/>
    </xf>
    <xf numFmtId="169" fontId="4" fillId="10" borderId="17" xfId="54" applyNumberFormat="1" applyFont="1" applyFill="1" applyBorder="1" applyAlignment="1">
      <alignment horizontal="center" vertical="center" textRotation="180" wrapText="1"/>
    </xf>
    <xf numFmtId="169" fontId="4" fillId="10" borderId="16" xfId="54" applyNumberFormat="1" applyFont="1" applyFill="1" applyBorder="1" applyAlignment="1">
      <alignment horizontal="center" vertical="center" textRotation="180" wrapText="1"/>
    </xf>
    <xf numFmtId="1" fontId="3" fillId="0" borderId="14" xfId="54" applyNumberFormat="1" applyFont="1" applyBorder="1" applyAlignment="1">
      <alignment horizontal="center" vertical="center" wrapText="1"/>
    </xf>
    <xf numFmtId="1" fontId="3" fillId="0" borderId="15" xfId="54" applyNumberFormat="1" applyFont="1" applyBorder="1" applyAlignment="1">
      <alignment horizontal="center" vertical="center" wrapText="1"/>
    </xf>
    <xf numFmtId="14" fontId="3" fillId="0" borderId="14" xfId="54" applyNumberFormat="1" applyFont="1" applyBorder="1" applyAlignment="1">
      <alignment horizontal="center" vertical="center" wrapText="1"/>
    </xf>
    <xf numFmtId="0" fontId="3" fillId="0" borderId="53" xfId="54" applyNumberFormat="1" applyFont="1" applyBorder="1" applyAlignment="1">
      <alignment horizontal="center" vertical="center" wrapText="1"/>
    </xf>
    <xf numFmtId="0" fontId="3" fillId="0" borderId="54" xfId="54" applyNumberFormat="1" applyFont="1" applyBorder="1" applyAlignment="1">
      <alignment horizontal="center" vertical="center" wrapText="1"/>
    </xf>
    <xf numFmtId="0" fontId="3" fillId="0" borderId="48" xfId="54" applyNumberFormat="1" applyFont="1" applyBorder="1" applyAlignment="1">
      <alignment horizontal="center" vertical="center" wrapText="1"/>
    </xf>
    <xf numFmtId="1" fontId="3" fillId="4" borderId="14" xfId="75" applyNumberFormat="1" applyFont="1" applyFill="1" applyBorder="1" applyAlignment="1">
      <alignment horizontal="center" vertical="center"/>
      <protection/>
    </xf>
    <xf numFmtId="1" fontId="3" fillId="4" borderId="15" xfId="75" applyNumberFormat="1" applyFont="1" applyFill="1" applyBorder="1" applyAlignment="1">
      <alignment horizontal="center" vertical="center"/>
      <protection/>
    </xf>
    <xf numFmtId="14" fontId="6" fillId="0" borderId="10" xfId="54" applyNumberFormat="1" applyFont="1" applyBorder="1" applyAlignment="1">
      <alignment horizontal="center" vertical="center" wrapText="1"/>
    </xf>
    <xf numFmtId="0" fontId="3" fillId="0" borderId="26" xfId="75" applyFont="1" applyBorder="1" applyAlignment="1">
      <alignment horizontal="center"/>
      <protection/>
    </xf>
    <xf numFmtId="0" fontId="3" fillId="0" borderId="27" xfId="75" applyFont="1" applyBorder="1" applyAlignment="1">
      <alignment horizontal="center"/>
      <protection/>
    </xf>
    <xf numFmtId="0" fontId="3" fillId="0" borderId="28" xfId="75" applyFont="1" applyBorder="1" applyAlignment="1">
      <alignment horizontal="center"/>
      <protection/>
    </xf>
    <xf numFmtId="0" fontId="3" fillId="0" borderId="10" xfId="75" applyFont="1" applyBorder="1" applyAlignment="1">
      <alignment horizontal="justify" vertical="center" wrapText="1"/>
      <protection/>
    </xf>
    <xf numFmtId="1" fontId="3" fillId="4" borderId="10" xfId="75" applyNumberFormat="1" applyFont="1" applyFill="1" applyBorder="1" applyAlignment="1">
      <alignment horizontal="center" vertical="center" wrapText="1"/>
      <protection/>
    </xf>
    <xf numFmtId="0" fontId="3" fillId="4" borderId="0" xfId="75" applyFont="1" applyFill="1" applyAlignment="1">
      <alignment horizontal="center" vertical="center" wrapText="1"/>
      <protection/>
    </xf>
    <xf numFmtId="3" fontId="3" fillId="4" borderId="58" xfId="75" applyNumberFormat="1" applyFont="1" applyFill="1" applyBorder="1" applyAlignment="1">
      <alignment horizontal="center" vertical="center" wrapText="1"/>
      <protection/>
    </xf>
    <xf numFmtId="1" fontId="29" fillId="4" borderId="14" xfId="0" applyNumberFormat="1" applyFont="1" applyFill="1" applyBorder="1" applyAlignment="1">
      <alignment horizontal="center" vertical="center" wrapText="1"/>
    </xf>
    <xf numFmtId="1" fontId="29" fillId="4" borderId="15" xfId="0" applyNumberFormat="1" applyFont="1" applyFill="1" applyBorder="1" applyAlignment="1">
      <alignment horizontal="center" vertical="center" wrapText="1"/>
    </xf>
    <xf numFmtId="1" fontId="29" fillId="4" borderId="24" xfId="0" applyNumberFormat="1" applyFont="1" applyFill="1" applyBorder="1" applyAlignment="1">
      <alignment horizontal="center" vertical="center" wrapText="1"/>
    </xf>
    <xf numFmtId="166" fontId="29" fillId="4" borderId="14" xfId="0" applyNumberFormat="1" applyFont="1" applyFill="1" applyBorder="1" applyAlignment="1">
      <alignment horizontal="center" vertical="center" wrapText="1"/>
    </xf>
    <xf numFmtId="166" fontId="29" fillId="4" borderId="15" xfId="0" applyNumberFormat="1" applyFont="1" applyFill="1" applyBorder="1" applyAlignment="1">
      <alignment horizontal="center" vertical="center" wrapText="1"/>
    </xf>
    <xf numFmtId="166" fontId="29" fillId="4" borderId="24" xfId="0" applyNumberFormat="1" applyFont="1" applyFill="1" applyBorder="1" applyAlignment="1">
      <alignment horizontal="center" vertical="center" wrapText="1"/>
    </xf>
    <xf numFmtId="3" fontId="29" fillId="4" borderId="14" xfId="0" applyNumberFormat="1" applyFont="1" applyFill="1" applyBorder="1" applyAlignment="1">
      <alignment horizontal="justify" vertical="center" wrapText="1"/>
    </xf>
    <xf numFmtId="3" fontId="29" fillId="4" borderId="15" xfId="0" applyNumberFormat="1" applyFont="1" applyFill="1" applyBorder="1" applyAlignment="1">
      <alignment horizontal="justify" vertical="center" wrapText="1"/>
    </xf>
    <xf numFmtId="3" fontId="29" fillId="4" borderId="24" xfId="0" applyNumberFormat="1" applyFont="1" applyFill="1" applyBorder="1" applyAlignment="1">
      <alignment horizontal="justify" vertical="center" wrapText="1"/>
    </xf>
    <xf numFmtId="0" fontId="29" fillId="4" borderId="0" xfId="0" applyFont="1" applyFill="1" applyAlignment="1">
      <alignment horizontal="center" vertical="center" wrapText="1"/>
    </xf>
    <xf numFmtId="0" fontId="29" fillId="4" borderId="14" xfId="0" applyFont="1" applyFill="1" applyBorder="1" applyAlignment="1">
      <alignment horizontal="justify" vertical="center" wrapText="1"/>
    </xf>
    <xf numFmtId="0" fontId="29" fillId="4" borderId="24" xfId="0" applyFont="1" applyFill="1" applyBorder="1" applyAlignment="1">
      <alignment horizontal="justify" vertical="center" wrapText="1"/>
    </xf>
    <xf numFmtId="165" fontId="29" fillId="4" borderId="14" xfId="0" applyNumberFormat="1" applyFont="1" applyFill="1" applyBorder="1" applyAlignment="1">
      <alignment horizontal="center" vertical="center" wrapText="1"/>
    </xf>
    <xf numFmtId="165" fontId="29" fillId="4" borderId="15" xfId="0" applyNumberFormat="1" applyFont="1" applyFill="1" applyBorder="1" applyAlignment="1">
      <alignment horizontal="center" vertical="center" wrapText="1"/>
    </xf>
    <xf numFmtId="165" fontId="29" fillId="4" borderId="24" xfId="0" applyNumberFormat="1" applyFont="1" applyFill="1" applyBorder="1" applyAlignment="1">
      <alignment horizontal="center" vertical="center" wrapText="1"/>
    </xf>
    <xf numFmtId="0" fontId="29" fillId="4" borderId="15" xfId="0" applyFont="1" applyFill="1" applyBorder="1" applyAlignment="1">
      <alignment horizontal="justify" vertical="center" wrapText="1"/>
    </xf>
    <xf numFmtId="0" fontId="29" fillId="4" borderId="14"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10" xfId="0" applyFont="1" applyFill="1" applyBorder="1" applyAlignment="1">
      <alignment horizontal="justify" vertical="center" wrapText="1"/>
    </xf>
    <xf numFmtId="0" fontId="29" fillId="0" borderId="10" xfId="0" applyFont="1" applyBorder="1" applyAlignment="1">
      <alignment horizontal="justify" vertical="center" wrapText="1"/>
    </xf>
    <xf numFmtId="0" fontId="29" fillId="4" borderId="15" xfId="0" applyFont="1" applyFill="1" applyBorder="1" applyAlignment="1">
      <alignment horizontal="center" vertical="center" wrapText="1"/>
    </xf>
    <xf numFmtId="0" fontId="29" fillId="0" borderId="10" xfId="0" applyFont="1" applyBorder="1" applyAlignment="1">
      <alignment horizontal="center" vertical="center" wrapText="1"/>
    </xf>
    <xf numFmtId="1" fontId="29" fillId="4" borderId="10" xfId="0" applyNumberFormat="1" applyFont="1" applyFill="1" applyBorder="1" applyAlignment="1">
      <alignment horizontal="center" vertical="center" wrapText="1"/>
    </xf>
    <xf numFmtId="165" fontId="29" fillId="4" borderId="10" xfId="0" applyNumberFormat="1" applyFont="1" applyFill="1" applyBorder="1" applyAlignment="1">
      <alignment horizontal="center" vertical="center" wrapText="1"/>
    </xf>
    <xf numFmtId="166" fontId="29" fillId="4" borderId="10" xfId="0" applyNumberFormat="1" applyFont="1" applyFill="1" applyBorder="1" applyAlignment="1">
      <alignment horizontal="center" vertical="center" wrapText="1"/>
    </xf>
    <xf numFmtId="3" fontId="29" fillId="4" borderId="10" xfId="0" applyNumberFormat="1" applyFont="1" applyFill="1" applyBorder="1" applyAlignment="1">
      <alignment horizontal="justify" vertical="center" wrapText="1"/>
    </xf>
    <xf numFmtId="0" fontId="29" fillId="0" borderId="14" xfId="0" applyFont="1" applyBorder="1" applyAlignment="1">
      <alignment horizontal="justify" vertical="center" wrapText="1"/>
    </xf>
    <xf numFmtId="0" fontId="29" fillId="0" borderId="24" xfId="0" applyFont="1" applyBorder="1" applyAlignment="1">
      <alignment horizontal="justify" vertical="center" wrapText="1"/>
    </xf>
    <xf numFmtId="0" fontId="24" fillId="4" borderId="14" xfId="0" applyFont="1" applyFill="1" applyBorder="1" applyAlignment="1">
      <alignment horizontal="justify" vertical="center"/>
    </xf>
    <xf numFmtId="0" fontId="24" fillId="4" borderId="24" xfId="0" applyFont="1" applyFill="1" applyBorder="1" applyAlignment="1">
      <alignment horizontal="justify" vertical="center"/>
    </xf>
    <xf numFmtId="166" fontId="29" fillId="4" borderId="14" xfId="0" applyNumberFormat="1" applyFont="1" applyFill="1" applyBorder="1" applyAlignment="1">
      <alignment horizontal="justify" vertical="center" wrapText="1"/>
    </xf>
    <xf numFmtId="166" fontId="29" fillId="4" borderId="15" xfId="0" applyNumberFormat="1" applyFont="1" applyFill="1" applyBorder="1" applyAlignment="1">
      <alignment horizontal="justify" vertical="center" wrapText="1"/>
    </xf>
    <xf numFmtId="166" fontId="29" fillId="4" borderId="24" xfId="0" applyNumberFormat="1" applyFont="1" applyFill="1" applyBorder="1" applyAlignment="1">
      <alignment horizontal="justify" vertical="center" wrapText="1"/>
    </xf>
    <xf numFmtId="0" fontId="29" fillId="0" borderId="15" xfId="0" applyFont="1" applyBorder="1" applyAlignment="1">
      <alignment horizontal="justify" vertical="center" wrapText="1"/>
    </xf>
    <xf numFmtId="0" fontId="24" fillId="4" borderId="15" xfId="0" applyFont="1" applyFill="1" applyBorder="1" applyAlignment="1">
      <alignment horizontal="justify" vertical="center"/>
    </xf>
    <xf numFmtId="0" fontId="29" fillId="0" borderId="14" xfId="0" applyFont="1" applyBorder="1" applyAlignment="1">
      <alignment horizontal="justify" vertical="top" wrapText="1"/>
    </xf>
    <xf numFmtId="0" fontId="29" fillId="0" borderId="15" xfId="0" applyFont="1" applyBorder="1" applyAlignment="1">
      <alignment horizontal="justify" vertical="top"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9" fontId="29" fillId="4" borderId="14" xfId="0" applyNumberFormat="1" applyFont="1" applyFill="1" applyBorder="1" applyAlignment="1">
      <alignment horizontal="center" vertical="center" wrapText="1"/>
    </xf>
    <xf numFmtId="9" fontId="29" fillId="4" borderId="24" xfId="0" applyNumberFormat="1"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14" xfId="0" applyFont="1" applyFill="1" applyBorder="1" applyAlignment="1">
      <alignment horizontal="justify" vertical="top" wrapText="1"/>
    </xf>
    <xf numFmtId="0" fontId="29" fillId="4" borderId="24" xfId="0" applyFont="1" applyFill="1" applyBorder="1" applyAlignment="1">
      <alignment horizontal="justify" vertical="top"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3" xfId="0" applyFont="1" applyBorder="1" applyAlignment="1">
      <alignment horizontal="center" vertical="center"/>
    </xf>
    <xf numFmtId="3" fontId="4" fillId="9" borderId="10" xfId="0" applyNumberFormat="1" applyFont="1" applyFill="1" applyBorder="1" applyAlignment="1">
      <alignment horizontal="justify" vertical="center" wrapText="1"/>
    </xf>
    <xf numFmtId="0" fontId="5" fillId="19" borderId="17" xfId="0" applyFont="1" applyFill="1" applyBorder="1" applyAlignment="1">
      <alignment horizontal="left" vertical="center" wrapText="1"/>
    </xf>
    <xf numFmtId="0" fontId="5" fillId="19" borderId="20"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5" fillId="10" borderId="17" xfId="0" applyFont="1" applyFill="1" applyBorder="1" applyAlignment="1">
      <alignment horizontal="left" vertical="center" wrapText="1"/>
    </xf>
    <xf numFmtId="0" fontId="5" fillId="10" borderId="20" xfId="0" applyFont="1" applyFill="1" applyBorder="1" applyAlignment="1">
      <alignment horizontal="left" vertical="center" wrapText="1"/>
    </xf>
    <xf numFmtId="41" fontId="6" fillId="4" borderId="14" xfId="52" applyFont="1" applyFill="1" applyBorder="1" applyAlignment="1">
      <alignment horizontal="center" vertical="center" wrapText="1"/>
    </xf>
    <xf numFmtId="41" fontId="6" fillId="4" borderId="15" xfId="52" applyFont="1" applyFill="1" applyBorder="1" applyAlignment="1">
      <alignment horizontal="center" vertical="center" wrapText="1"/>
    </xf>
    <xf numFmtId="49" fontId="6" fillId="4" borderId="15" xfId="0" applyNumberFormat="1" applyFont="1" applyFill="1" applyBorder="1" applyAlignment="1">
      <alignment horizontal="center" vertical="center"/>
    </xf>
    <xf numFmtId="14" fontId="6" fillId="0" borderId="14"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41" fontId="6" fillId="0" borderId="14" xfId="52" applyFont="1" applyBorder="1" applyAlignment="1">
      <alignment horizontal="center" vertical="center" wrapText="1"/>
    </xf>
    <xf numFmtId="41" fontId="6" fillId="0" borderId="15" xfId="52" applyFont="1" applyBorder="1" applyAlignment="1">
      <alignment horizontal="center" vertical="center" wrapText="1"/>
    </xf>
    <xf numFmtId="9" fontId="6" fillId="0" borderId="14" xfId="77" applyFont="1" applyBorder="1" applyAlignment="1">
      <alignment horizontal="center" vertical="center" wrapText="1"/>
    </xf>
    <xf numFmtId="9" fontId="6" fillId="0" borderId="15" xfId="77" applyFont="1" applyBorder="1" applyAlignment="1">
      <alignment horizontal="center" vertical="center" wrapText="1"/>
    </xf>
    <xf numFmtId="0" fontId="4" fillId="9" borderId="51"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13" xfId="0" applyFont="1" applyFill="1" applyBorder="1" applyAlignment="1">
      <alignment horizontal="center" vertical="center" wrapText="1"/>
    </xf>
    <xf numFmtId="3" fontId="4" fillId="9" borderId="53" xfId="0" applyNumberFormat="1" applyFont="1" applyFill="1" applyBorder="1" applyAlignment="1">
      <alignment horizontal="center" vertical="center" wrapText="1"/>
    </xf>
    <xf numFmtId="3" fontId="4" fillId="9" borderId="48" xfId="0" applyNumberFormat="1" applyFont="1" applyFill="1" applyBorder="1" applyAlignment="1">
      <alignment horizontal="center" vertical="center" wrapText="1"/>
    </xf>
    <xf numFmtId="3" fontId="5" fillId="8" borderId="18" xfId="0" applyNumberFormat="1"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8" xfId="0" applyFont="1" applyFill="1" applyBorder="1" applyAlignment="1">
      <alignment horizontal="center" vertical="center"/>
    </xf>
    <xf numFmtId="164" fontId="4" fillId="9" borderId="14" xfId="0" applyNumberFormat="1" applyFont="1" applyFill="1" applyBorder="1" applyAlignment="1">
      <alignment horizontal="center" vertical="center" wrapText="1"/>
    </xf>
    <xf numFmtId="164" fontId="4" fillId="9" borderId="24" xfId="0" applyNumberFormat="1" applyFont="1" applyFill="1" applyBorder="1" applyAlignment="1">
      <alignment horizontal="center" vertical="center" wrapText="1"/>
    </xf>
    <xf numFmtId="192" fontId="3" fillId="4" borderId="22" xfId="0" applyNumberFormat="1" applyFont="1" applyFill="1" applyBorder="1" applyAlignment="1">
      <alignment horizontal="center" vertical="center" wrapText="1"/>
    </xf>
    <xf numFmtId="3" fontId="3" fillId="0" borderId="55" xfId="0" applyNumberFormat="1" applyFont="1" applyBorder="1" applyAlignment="1">
      <alignment horizontal="center" vertical="center"/>
    </xf>
    <xf numFmtId="1" fontId="3" fillId="0" borderId="15" xfId="0" applyNumberFormat="1" applyFont="1" applyBorder="1" applyAlignment="1">
      <alignment horizontal="center" vertical="center"/>
    </xf>
    <xf numFmtId="1" fontId="3" fillId="0" borderId="55" xfId="0" applyNumberFormat="1" applyFont="1" applyBorder="1" applyAlignment="1">
      <alignment horizontal="center" vertical="center"/>
    </xf>
    <xf numFmtId="2" fontId="3" fillId="0" borderId="14"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188" fontId="6" fillId="4" borderId="14" xfId="81" applyNumberFormat="1" applyFont="1" applyFill="1" applyBorder="1" applyAlignment="1">
      <alignment horizontal="center" vertical="center" wrapText="1"/>
    </xf>
    <xf numFmtId="188" fontId="6" fillId="4" borderId="24" xfId="81" applyNumberFormat="1"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3" fontId="3" fillId="4" borderId="54" xfId="0" applyNumberFormat="1" applyFont="1" applyFill="1" applyBorder="1" applyAlignment="1">
      <alignment horizontal="center" vertical="center" wrapText="1"/>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 Built-in Normal 2" xfId="47"/>
    <cellStyle name="Incorrecto" xfId="48"/>
    <cellStyle name="Comma" xfId="49"/>
    <cellStyle name="Comma [0]" xfId="50"/>
    <cellStyle name="Millares [0] 2" xfId="51"/>
    <cellStyle name="Millares [0] 3" xfId="52"/>
    <cellStyle name="Millares 2" xfId="53"/>
    <cellStyle name="Millares 2 2" xfId="54"/>
    <cellStyle name="Millares 2 2 2" xfId="55"/>
    <cellStyle name="Millares 2 3" xfId="56"/>
    <cellStyle name="Millares 3" xfId="57"/>
    <cellStyle name="Millares 3 2" xfId="58"/>
    <cellStyle name="Millares 3 3" xfId="59"/>
    <cellStyle name="Millares 4" xfId="60"/>
    <cellStyle name="Millares 4 2" xfId="61"/>
    <cellStyle name="Currency" xfId="62"/>
    <cellStyle name="Currency [0]" xfId="63"/>
    <cellStyle name="Moneda [0] 2 3" xfId="64"/>
    <cellStyle name="Moneda [0] 3" xfId="65"/>
    <cellStyle name="Moneda 2" xfId="66"/>
    <cellStyle name="Neutral" xfId="67"/>
    <cellStyle name="Normal 2" xfId="68"/>
    <cellStyle name="Normal 2 2" xfId="69"/>
    <cellStyle name="Normal 2 2 2" xfId="70"/>
    <cellStyle name="Normal 2 2 2 2" xfId="71"/>
    <cellStyle name="Normal 2 3" xfId="72"/>
    <cellStyle name="Normal 3" xfId="73"/>
    <cellStyle name="Normal 4" xfId="74"/>
    <cellStyle name="Normal 7" xfId="75"/>
    <cellStyle name="Notas" xfId="76"/>
    <cellStyle name="Percent" xfId="77"/>
    <cellStyle name="Porcentaje 2" xfId="78"/>
    <cellStyle name="Porcentaje 2 2" xfId="79"/>
    <cellStyle name="Porcentaje 2 2 2" xfId="80"/>
    <cellStyle name="Porcentaje 2 3" xfId="81"/>
    <cellStyle name="Porcentual 2"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85725</xdr:rowOff>
    </xdr:from>
    <xdr:to>
      <xdr:col>2</xdr:col>
      <xdr:colOff>171450</xdr:colOff>
      <xdr:row>0</xdr:row>
      <xdr:rowOff>85725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485775" y="85725"/>
          <a:ext cx="8286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914400</xdr:colOff>
      <xdr:row>4</xdr:row>
      <xdr:rowOff>190500</xdr:rowOff>
    </xdr:to>
    <xdr:pic>
      <xdr:nvPicPr>
        <xdr:cNvPr id="1" name="Imagen 2" descr="C:\Users\AUXPLANEACION03\Desktop\Gobernacion_del_quindio.jpg"/>
        <xdr:cNvPicPr preferRelativeResize="1">
          <a:picLocks noChangeAspect="1"/>
        </xdr:cNvPicPr>
      </xdr:nvPicPr>
      <xdr:blipFill>
        <a:blip r:embed="rId1"/>
        <a:stretch>
          <a:fillRect/>
        </a:stretch>
      </xdr:blipFill>
      <xdr:spPr>
        <a:xfrm>
          <a:off x="971550" y="0"/>
          <a:ext cx="9144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1152525</xdr:colOff>
      <xdr:row>3</xdr:row>
      <xdr:rowOff>57150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962025" y="0"/>
          <a:ext cx="11525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190500</xdr:rowOff>
    </xdr:from>
    <xdr:to>
      <xdr:col>2</xdr:col>
      <xdr:colOff>104775</xdr:colOff>
      <xdr:row>0</xdr:row>
      <xdr:rowOff>200025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028700" y="190500"/>
          <a:ext cx="647700" cy="0"/>
        </a:xfrm>
        <a:prstGeom prst="rect">
          <a:avLst/>
        </a:prstGeom>
        <a:noFill/>
        <a:ln w="9525" cmpd="sng">
          <a:noFill/>
        </a:ln>
      </xdr:spPr>
    </xdr:pic>
    <xdr:clientData/>
  </xdr:twoCellAnchor>
  <xdr:twoCellAnchor editAs="oneCell">
    <xdr:from>
      <xdr:col>1</xdr:col>
      <xdr:colOff>28575</xdr:colOff>
      <xdr:row>0</xdr:row>
      <xdr:rowOff>190500</xdr:rowOff>
    </xdr:from>
    <xdr:to>
      <xdr:col>2</xdr:col>
      <xdr:colOff>95250</xdr:colOff>
      <xdr:row>0</xdr:row>
      <xdr:rowOff>200025</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1028700" y="190500"/>
          <a:ext cx="638175" cy="0"/>
        </a:xfrm>
        <a:prstGeom prst="rect">
          <a:avLst/>
        </a:prstGeom>
        <a:noFill/>
        <a:ln w="9525" cmpd="sng">
          <a:noFill/>
        </a:ln>
      </xdr:spPr>
    </xdr:pic>
    <xdr:clientData/>
  </xdr:twoCellAnchor>
  <xdr:twoCellAnchor editAs="oneCell">
    <xdr:from>
      <xdr:col>1</xdr:col>
      <xdr:colOff>28575</xdr:colOff>
      <xdr:row>0</xdr:row>
      <xdr:rowOff>190500</xdr:rowOff>
    </xdr:from>
    <xdr:to>
      <xdr:col>2</xdr:col>
      <xdr:colOff>104775</xdr:colOff>
      <xdr:row>0</xdr:row>
      <xdr:rowOff>200025</xdr:rowOff>
    </xdr:to>
    <xdr:pic>
      <xdr:nvPicPr>
        <xdr:cNvPr id="3" name="Imagen 3" descr="C:\Users\AUXPLANEACION03\Desktop\Gobernacion_del_quindio.jpg"/>
        <xdr:cNvPicPr preferRelativeResize="1">
          <a:picLocks noChangeAspect="1"/>
        </xdr:cNvPicPr>
      </xdr:nvPicPr>
      <xdr:blipFill>
        <a:blip r:embed="rId1"/>
        <a:stretch>
          <a:fillRect/>
        </a:stretch>
      </xdr:blipFill>
      <xdr:spPr>
        <a:xfrm>
          <a:off x="1028700" y="190500"/>
          <a:ext cx="647700" cy="0"/>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447675</xdr:colOff>
      <xdr:row>4</xdr:row>
      <xdr:rowOff>257175</xdr:rowOff>
    </xdr:to>
    <xdr:pic>
      <xdr:nvPicPr>
        <xdr:cNvPr id="4" name="Imagen 4" descr="C:\Users\AUXPLANEACION03\Desktop\Gobernacion_del_quindio.jpg"/>
        <xdr:cNvPicPr preferRelativeResize="1">
          <a:picLocks noChangeAspect="1"/>
        </xdr:cNvPicPr>
      </xdr:nvPicPr>
      <xdr:blipFill>
        <a:blip r:embed="rId1"/>
        <a:stretch>
          <a:fillRect/>
        </a:stretch>
      </xdr:blipFill>
      <xdr:spPr>
        <a:xfrm>
          <a:off x="1028700" y="180975"/>
          <a:ext cx="99060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0</xdr:rowOff>
    </xdr:from>
    <xdr:to>
      <xdr:col>1</xdr:col>
      <xdr:colOff>47625</xdr:colOff>
      <xdr:row>2</xdr:row>
      <xdr:rowOff>161925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361950" y="0"/>
          <a:ext cx="5429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180975</xdr:rowOff>
    </xdr:from>
    <xdr:to>
      <xdr:col>2</xdr:col>
      <xdr:colOff>704850</xdr:colOff>
      <xdr:row>4</xdr:row>
      <xdr:rowOff>57150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1152525" y="180975"/>
          <a:ext cx="990600" cy="9239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704850</xdr:colOff>
      <xdr:row>4</xdr:row>
      <xdr:rowOff>57150</xdr:rowOff>
    </xdr:to>
    <xdr:pic>
      <xdr:nvPicPr>
        <xdr:cNvPr id="2" name="Imagen 2" descr="C:\Users\AUXPLANEACION03\Desktop\Gobernacion_del_quindio.jpg"/>
        <xdr:cNvPicPr preferRelativeResize="1">
          <a:picLocks noChangeAspect="1"/>
        </xdr:cNvPicPr>
      </xdr:nvPicPr>
      <xdr:blipFill>
        <a:blip r:embed="rId1"/>
        <a:stretch>
          <a:fillRect/>
        </a:stretch>
      </xdr:blipFill>
      <xdr:spPr>
        <a:xfrm>
          <a:off x="1152525" y="180975"/>
          <a:ext cx="990600" cy="9239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704850</xdr:colOff>
      <xdr:row>4</xdr:row>
      <xdr:rowOff>57150</xdr:rowOff>
    </xdr:to>
    <xdr:pic>
      <xdr:nvPicPr>
        <xdr:cNvPr id="3" name="Imagen 3" descr="C:\Users\AUXPLANEACION03\Desktop\Gobernacion_del_quindio.jpg"/>
        <xdr:cNvPicPr preferRelativeResize="1">
          <a:picLocks noChangeAspect="1"/>
        </xdr:cNvPicPr>
      </xdr:nvPicPr>
      <xdr:blipFill>
        <a:blip r:embed="rId1"/>
        <a:stretch>
          <a:fillRect/>
        </a:stretch>
      </xdr:blipFill>
      <xdr:spPr>
        <a:xfrm>
          <a:off x="1152525" y="180975"/>
          <a:ext cx="990600"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IEGO%20RAMIREZ\Dropbox\Edades_Simples_1985-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upos de edad"/>
      <sheetName val="Edades simples Total"/>
      <sheetName val="Mpios creados &gt; 1985"/>
      <sheetName val="Hoja1"/>
    </sheetNames>
    <sheetDataSet>
      <sheetData sheetId="3">
        <row r="12">
          <cell r="D12">
            <v>2635.2</v>
          </cell>
          <cell r="E12">
            <v>2764.8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60" zoomScaleNormal="60" zoomScalePageLayoutView="0" workbookViewId="0" topLeftCell="A1">
      <selection activeCell="L12" sqref="L12:L13"/>
    </sheetView>
  </sheetViews>
  <sheetFormatPr defaultColWidth="11.421875" defaultRowHeight="15"/>
  <cols>
    <col min="1" max="1" width="13.28125" style="2" customWidth="1"/>
    <col min="2" max="2" width="6.00390625" style="2" customWidth="1"/>
    <col min="3" max="3" width="15.57421875" style="2" customWidth="1"/>
    <col min="4" max="4" width="14.140625" style="2" customWidth="1"/>
    <col min="5" max="5" width="7.421875" style="2" customWidth="1"/>
    <col min="6" max="6" width="12.28125" style="2" customWidth="1"/>
    <col min="7" max="7" width="13.00390625" style="2" customWidth="1"/>
    <col min="8" max="8" width="23.7109375" style="2" customWidth="1"/>
    <col min="9" max="9" width="0.9921875" style="2" customWidth="1"/>
    <col min="10" max="10" width="14.7109375" style="125" customWidth="1"/>
    <col min="11" max="11" width="29.00390625" style="125" customWidth="1"/>
    <col min="12" max="12" width="21.8515625" style="125" customWidth="1"/>
    <col min="13" max="13" width="23.8515625" style="125" customWidth="1"/>
    <col min="14" max="14" width="34.28125" style="125" customWidth="1"/>
    <col min="15" max="15" width="23.00390625" style="125" customWidth="1"/>
    <col min="16" max="16" width="30.28125" style="125" customWidth="1"/>
    <col min="17" max="17" width="18.421875" style="126" customWidth="1"/>
    <col min="18" max="18" width="29.00390625" style="125" customWidth="1"/>
    <col min="19" max="19" width="38.57421875" style="125" customWidth="1"/>
    <col min="20" max="20" width="30.8515625" style="125" customWidth="1"/>
    <col min="21" max="21" width="34.57421875" style="125" customWidth="1"/>
    <col min="22" max="22" width="27.57421875" style="2" customWidth="1"/>
    <col min="23" max="23" width="16.7109375" style="2" bestFit="1" customWidth="1"/>
    <col min="24" max="24" width="34.7109375" style="2" customWidth="1"/>
    <col min="25" max="40" width="11.00390625" style="2" customWidth="1"/>
    <col min="41" max="42" width="23.28125" style="2" customWidth="1"/>
    <col min="43" max="43" width="28.00390625" style="2" customWidth="1"/>
    <col min="44" max="16384" width="11.421875" style="2" customWidth="1"/>
  </cols>
  <sheetData>
    <row r="1" spans="1:43" ht="15" customHeight="1">
      <c r="A1" s="2059" t="s">
        <v>0</v>
      </c>
      <c r="B1" s="2059"/>
      <c r="C1" s="2059"/>
      <c r="D1" s="2059"/>
      <c r="E1" s="2059"/>
      <c r="F1" s="2059"/>
      <c r="G1" s="2059"/>
      <c r="H1" s="2059"/>
      <c r="I1" s="2059"/>
      <c r="J1" s="2059"/>
      <c r="K1" s="2059"/>
      <c r="L1" s="2059"/>
      <c r="M1" s="2059"/>
      <c r="N1" s="2059"/>
      <c r="O1" s="2059"/>
      <c r="P1" s="2059"/>
      <c r="Q1" s="2059"/>
      <c r="R1" s="2059"/>
      <c r="S1" s="2059"/>
      <c r="T1" s="2059"/>
      <c r="U1" s="2059"/>
      <c r="V1" s="2059"/>
      <c r="W1" s="2059"/>
      <c r="X1" s="2059"/>
      <c r="Y1" s="2059"/>
      <c r="Z1" s="2059"/>
      <c r="AA1" s="2059"/>
      <c r="AB1" s="2059"/>
      <c r="AC1" s="2059"/>
      <c r="AD1" s="2059"/>
      <c r="AE1" s="2059"/>
      <c r="AF1" s="2059"/>
      <c r="AG1" s="2059"/>
      <c r="AH1" s="2059"/>
      <c r="AI1" s="2059"/>
      <c r="AJ1" s="2059"/>
      <c r="AK1" s="2059"/>
      <c r="AL1" s="2059"/>
      <c r="AM1" s="2059"/>
      <c r="AN1" s="2059"/>
      <c r="AO1" s="2060"/>
      <c r="AP1" s="1" t="s">
        <v>1</v>
      </c>
      <c r="AQ1" s="1" t="s">
        <v>2</v>
      </c>
    </row>
    <row r="2" spans="1:43" ht="15" customHeight="1">
      <c r="A2" s="2059"/>
      <c r="B2" s="2059"/>
      <c r="C2" s="2059"/>
      <c r="D2" s="2059"/>
      <c r="E2" s="2059"/>
      <c r="F2" s="2059"/>
      <c r="G2" s="2059"/>
      <c r="H2" s="2059"/>
      <c r="I2" s="2059"/>
      <c r="J2" s="2059"/>
      <c r="K2" s="2059"/>
      <c r="L2" s="2059"/>
      <c r="M2" s="2059"/>
      <c r="N2" s="2059"/>
      <c r="O2" s="2059"/>
      <c r="P2" s="2059"/>
      <c r="Q2" s="2059"/>
      <c r="R2" s="2059"/>
      <c r="S2" s="2059"/>
      <c r="T2" s="2059"/>
      <c r="U2" s="2059"/>
      <c r="V2" s="2059"/>
      <c r="W2" s="2059"/>
      <c r="X2" s="2059"/>
      <c r="Y2" s="2059"/>
      <c r="Z2" s="2059"/>
      <c r="AA2" s="2059"/>
      <c r="AB2" s="2059"/>
      <c r="AC2" s="2059"/>
      <c r="AD2" s="2059"/>
      <c r="AE2" s="2059"/>
      <c r="AF2" s="2059"/>
      <c r="AG2" s="2059"/>
      <c r="AH2" s="2059"/>
      <c r="AI2" s="2059"/>
      <c r="AJ2" s="2059"/>
      <c r="AK2" s="2059"/>
      <c r="AL2" s="2059"/>
      <c r="AM2" s="2059"/>
      <c r="AN2" s="2059"/>
      <c r="AO2" s="2060"/>
      <c r="AP2" s="3" t="s">
        <v>3</v>
      </c>
      <c r="AQ2" s="4" t="s">
        <v>4</v>
      </c>
    </row>
    <row r="3" spans="1:43" ht="15" customHeight="1">
      <c r="A3" s="2059"/>
      <c r="B3" s="2059"/>
      <c r="C3" s="2059"/>
      <c r="D3" s="2059"/>
      <c r="E3" s="2059"/>
      <c r="F3" s="2059"/>
      <c r="G3" s="2059"/>
      <c r="H3" s="2059"/>
      <c r="I3" s="2059"/>
      <c r="J3" s="2059"/>
      <c r="K3" s="2059"/>
      <c r="L3" s="2059"/>
      <c r="M3" s="2059"/>
      <c r="N3" s="2059"/>
      <c r="O3" s="2059"/>
      <c r="P3" s="2059"/>
      <c r="Q3" s="2059"/>
      <c r="R3" s="2059"/>
      <c r="S3" s="2059"/>
      <c r="T3" s="2059"/>
      <c r="U3" s="2059"/>
      <c r="V3" s="2059"/>
      <c r="W3" s="2059"/>
      <c r="X3" s="2059"/>
      <c r="Y3" s="2059"/>
      <c r="Z3" s="2059"/>
      <c r="AA3" s="2059"/>
      <c r="AB3" s="2059"/>
      <c r="AC3" s="2059"/>
      <c r="AD3" s="2059"/>
      <c r="AE3" s="2059"/>
      <c r="AF3" s="2059"/>
      <c r="AG3" s="2059"/>
      <c r="AH3" s="2059"/>
      <c r="AI3" s="2059"/>
      <c r="AJ3" s="2059"/>
      <c r="AK3" s="2059"/>
      <c r="AL3" s="2059"/>
      <c r="AM3" s="2059"/>
      <c r="AN3" s="2059"/>
      <c r="AO3" s="2060"/>
      <c r="AP3" s="1" t="s">
        <v>5</v>
      </c>
      <c r="AQ3" s="5" t="s">
        <v>6</v>
      </c>
    </row>
    <row r="4" spans="1:43" ht="15" customHeight="1">
      <c r="A4" s="2061"/>
      <c r="B4" s="2061"/>
      <c r="C4" s="2061"/>
      <c r="D4" s="2061"/>
      <c r="E4" s="2061"/>
      <c r="F4" s="2061"/>
      <c r="G4" s="2061"/>
      <c r="H4" s="2061"/>
      <c r="I4" s="2061"/>
      <c r="J4" s="2061"/>
      <c r="K4" s="2061"/>
      <c r="L4" s="2061"/>
      <c r="M4" s="2061"/>
      <c r="N4" s="2061"/>
      <c r="O4" s="2061"/>
      <c r="P4" s="2061"/>
      <c r="Q4" s="2061"/>
      <c r="R4" s="2061"/>
      <c r="S4" s="2061"/>
      <c r="T4" s="2061"/>
      <c r="U4" s="2061"/>
      <c r="V4" s="2061"/>
      <c r="W4" s="2061"/>
      <c r="X4" s="2061"/>
      <c r="Y4" s="2061"/>
      <c r="Z4" s="2061"/>
      <c r="AA4" s="2061"/>
      <c r="AB4" s="2061"/>
      <c r="AC4" s="2061"/>
      <c r="AD4" s="2061"/>
      <c r="AE4" s="2061"/>
      <c r="AF4" s="2061"/>
      <c r="AG4" s="2061"/>
      <c r="AH4" s="2061"/>
      <c r="AI4" s="2061"/>
      <c r="AJ4" s="2061"/>
      <c r="AK4" s="2061"/>
      <c r="AL4" s="2061"/>
      <c r="AM4" s="2061"/>
      <c r="AN4" s="2061"/>
      <c r="AO4" s="2062"/>
      <c r="AP4" s="1" t="s">
        <v>7</v>
      </c>
      <c r="AQ4" s="6" t="s">
        <v>8</v>
      </c>
    </row>
    <row r="5" spans="1:43" ht="15.75">
      <c r="A5" s="2063" t="s">
        <v>9</v>
      </c>
      <c r="B5" s="2063"/>
      <c r="C5" s="2063"/>
      <c r="D5" s="2063"/>
      <c r="E5" s="2063"/>
      <c r="F5" s="2063"/>
      <c r="G5" s="2063"/>
      <c r="H5" s="2063"/>
      <c r="I5" s="2063"/>
      <c r="J5" s="2063"/>
      <c r="K5" s="2063"/>
      <c r="L5" s="2063"/>
      <c r="M5" s="2063"/>
      <c r="N5" s="2065" t="s">
        <v>10</v>
      </c>
      <c r="O5" s="2065"/>
      <c r="P5" s="2065"/>
      <c r="Q5" s="2065"/>
      <c r="R5" s="2065"/>
      <c r="S5" s="2065"/>
      <c r="T5" s="2065"/>
      <c r="U5" s="2065"/>
      <c r="V5" s="2065"/>
      <c r="W5" s="2065"/>
      <c r="X5" s="2065"/>
      <c r="Y5" s="2065"/>
      <c r="Z5" s="2065"/>
      <c r="AA5" s="2065"/>
      <c r="AB5" s="2065"/>
      <c r="AC5" s="2065"/>
      <c r="AD5" s="2065"/>
      <c r="AE5" s="2065"/>
      <c r="AF5" s="2065"/>
      <c r="AG5" s="2065"/>
      <c r="AH5" s="2065"/>
      <c r="AI5" s="2065"/>
      <c r="AJ5" s="2065"/>
      <c r="AK5" s="2065"/>
      <c r="AL5" s="2065"/>
      <c r="AM5" s="2065"/>
      <c r="AN5" s="2065"/>
      <c r="AO5" s="2065"/>
      <c r="AP5" s="2065"/>
      <c r="AQ5" s="2065"/>
    </row>
    <row r="6" spans="1:43" ht="15.75">
      <c r="A6" s="2064"/>
      <c r="B6" s="2064"/>
      <c r="C6" s="2064"/>
      <c r="D6" s="2064"/>
      <c r="E6" s="2064"/>
      <c r="F6" s="2064"/>
      <c r="G6" s="2064"/>
      <c r="H6" s="2064"/>
      <c r="I6" s="2064"/>
      <c r="J6" s="2064"/>
      <c r="K6" s="2064"/>
      <c r="L6" s="2064"/>
      <c r="M6" s="2064"/>
      <c r="N6" s="7"/>
      <c r="O6" s="8"/>
      <c r="P6" s="8"/>
      <c r="Q6" s="9"/>
      <c r="R6" s="8"/>
      <c r="S6" s="8"/>
      <c r="T6" s="8"/>
      <c r="U6" s="8"/>
      <c r="V6" s="10"/>
      <c r="W6" s="10"/>
      <c r="X6" s="10"/>
      <c r="Y6" s="2066" t="s">
        <v>11</v>
      </c>
      <c r="Z6" s="2064"/>
      <c r="AA6" s="2064"/>
      <c r="AB6" s="2064"/>
      <c r="AC6" s="2064"/>
      <c r="AD6" s="2064"/>
      <c r="AE6" s="2064"/>
      <c r="AF6" s="2064"/>
      <c r="AG6" s="2064"/>
      <c r="AH6" s="2064"/>
      <c r="AI6" s="2064"/>
      <c r="AJ6" s="2064"/>
      <c r="AK6" s="2064"/>
      <c r="AL6" s="2064"/>
      <c r="AM6" s="2067"/>
      <c r="AN6" s="11"/>
      <c r="AO6" s="10"/>
      <c r="AP6" s="10"/>
      <c r="AQ6" s="12"/>
    </row>
    <row r="7" spans="1:43" ht="15.75">
      <c r="A7" s="2068" t="s">
        <v>12</v>
      </c>
      <c r="B7" s="2070" t="s">
        <v>13</v>
      </c>
      <c r="C7" s="2071"/>
      <c r="D7" s="2071" t="s">
        <v>12</v>
      </c>
      <c r="E7" s="2070" t="s">
        <v>14</v>
      </c>
      <c r="F7" s="2071"/>
      <c r="G7" s="2071" t="s">
        <v>12</v>
      </c>
      <c r="H7" s="2070" t="s">
        <v>15</v>
      </c>
      <c r="I7" s="2071"/>
      <c r="J7" s="2071" t="s">
        <v>12</v>
      </c>
      <c r="K7" s="2070" t="s">
        <v>16</v>
      </c>
      <c r="L7" s="2081" t="s">
        <v>17</v>
      </c>
      <c r="M7" s="2070" t="s">
        <v>18</v>
      </c>
      <c r="N7" s="2081" t="s">
        <v>19</v>
      </c>
      <c r="O7" s="2081" t="s">
        <v>20</v>
      </c>
      <c r="P7" s="2081" t="s">
        <v>10</v>
      </c>
      <c r="Q7" s="2089" t="s">
        <v>21</v>
      </c>
      <c r="R7" s="2091" t="s">
        <v>22</v>
      </c>
      <c r="S7" s="2081" t="s">
        <v>23</v>
      </c>
      <c r="T7" s="2081" t="s">
        <v>24</v>
      </c>
      <c r="U7" s="2081" t="s">
        <v>25</v>
      </c>
      <c r="V7" s="2080" t="s">
        <v>22</v>
      </c>
      <c r="W7" s="13"/>
      <c r="X7" s="2081" t="s">
        <v>26</v>
      </c>
      <c r="Y7" s="2083" t="s">
        <v>27</v>
      </c>
      <c r="Z7" s="2084"/>
      <c r="AA7" s="2085" t="s">
        <v>28</v>
      </c>
      <c r="AB7" s="2086"/>
      <c r="AC7" s="2086"/>
      <c r="AD7" s="2086"/>
      <c r="AE7" s="2087" t="s">
        <v>29</v>
      </c>
      <c r="AF7" s="2088"/>
      <c r="AG7" s="2088"/>
      <c r="AH7" s="2088"/>
      <c r="AI7" s="2088"/>
      <c r="AJ7" s="2088"/>
      <c r="AK7" s="2085" t="s">
        <v>30</v>
      </c>
      <c r="AL7" s="2086"/>
      <c r="AM7" s="2086"/>
      <c r="AN7" s="2074" t="s">
        <v>31</v>
      </c>
      <c r="AO7" s="2076" t="s">
        <v>32</v>
      </c>
      <c r="AP7" s="2076" t="s">
        <v>33</v>
      </c>
      <c r="AQ7" s="2078" t="s">
        <v>34</v>
      </c>
    </row>
    <row r="8" spans="1:43" ht="128.25" customHeight="1">
      <c r="A8" s="2069"/>
      <c r="B8" s="2072"/>
      <c r="C8" s="2073"/>
      <c r="D8" s="2073"/>
      <c r="E8" s="2072"/>
      <c r="F8" s="2073"/>
      <c r="G8" s="2073"/>
      <c r="H8" s="2072"/>
      <c r="I8" s="2073"/>
      <c r="J8" s="2073"/>
      <c r="K8" s="2072"/>
      <c r="L8" s="2082"/>
      <c r="M8" s="2097"/>
      <c r="N8" s="2082"/>
      <c r="O8" s="2082"/>
      <c r="P8" s="2082"/>
      <c r="Q8" s="2090"/>
      <c r="R8" s="2092"/>
      <c r="S8" s="2082"/>
      <c r="T8" s="2082"/>
      <c r="U8" s="2082"/>
      <c r="V8" s="2080"/>
      <c r="W8" s="14" t="s">
        <v>12</v>
      </c>
      <c r="X8" s="2082"/>
      <c r="Y8" s="15" t="s">
        <v>35</v>
      </c>
      <c r="Z8" s="16" t="s">
        <v>36</v>
      </c>
      <c r="AA8" s="15" t="s">
        <v>37</v>
      </c>
      <c r="AB8" s="15" t="s">
        <v>38</v>
      </c>
      <c r="AC8" s="15" t="s">
        <v>39</v>
      </c>
      <c r="AD8" s="15" t="s">
        <v>40</v>
      </c>
      <c r="AE8" s="15" t="s">
        <v>41</v>
      </c>
      <c r="AF8" s="15" t="s">
        <v>42</v>
      </c>
      <c r="AG8" s="15" t="s">
        <v>43</v>
      </c>
      <c r="AH8" s="15" t="s">
        <v>44</v>
      </c>
      <c r="AI8" s="15" t="s">
        <v>45</v>
      </c>
      <c r="AJ8" s="15" t="s">
        <v>46</v>
      </c>
      <c r="AK8" s="15" t="s">
        <v>47</v>
      </c>
      <c r="AL8" s="15" t="s">
        <v>48</v>
      </c>
      <c r="AM8" s="15" t="s">
        <v>49</v>
      </c>
      <c r="AN8" s="2075"/>
      <c r="AO8" s="2077"/>
      <c r="AP8" s="2077"/>
      <c r="AQ8" s="2079"/>
    </row>
    <row r="9" spans="1:43" ht="15.75">
      <c r="A9" s="17">
        <v>5</v>
      </c>
      <c r="B9" s="18" t="s">
        <v>52</v>
      </c>
      <c r="C9" s="18"/>
      <c r="D9" s="18"/>
      <c r="E9" s="18"/>
      <c r="F9" s="18"/>
      <c r="G9" s="18"/>
      <c r="H9" s="18"/>
      <c r="I9" s="18"/>
      <c r="J9" s="19"/>
      <c r="K9" s="19"/>
      <c r="L9" s="19"/>
      <c r="M9" s="19"/>
      <c r="N9" s="19"/>
      <c r="O9" s="19"/>
      <c r="P9" s="19"/>
      <c r="Q9" s="20"/>
      <c r="R9" s="21"/>
      <c r="S9" s="19"/>
      <c r="T9" s="19"/>
      <c r="U9" s="19"/>
      <c r="V9" s="22"/>
      <c r="W9" s="23"/>
      <c r="X9" s="24"/>
      <c r="Y9" s="18"/>
      <c r="Z9" s="18"/>
      <c r="AA9" s="18"/>
      <c r="AB9" s="18"/>
      <c r="AC9" s="18"/>
      <c r="AD9" s="18"/>
      <c r="AE9" s="18"/>
      <c r="AF9" s="18"/>
      <c r="AG9" s="18"/>
      <c r="AH9" s="18"/>
      <c r="AI9" s="18"/>
      <c r="AJ9" s="18"/>
      <c r="AK9" s="18"/>
      <c r="AL9" s="18"/>
      <c r="AM9" s="18"/>
      <c r="AN9" s="18"/>
      <c r="AO9" s="25"/>
      <c r="AP9" s="25"/>
      <c r="AQ9" s="26"/>
    </row>
    <row r="10" spans="1:43" ht="15.75">
      <c r="A10" s="27"/>
      <c r="B10" s="28"/>
      <c r="C10" s="29"/>
      <c r="D10" s="30">
        <v>28</v>
      </c>
      <c r="E10" s="31" t="s">
        <v>53</v>
      </c>
      <c r="F10" s="31"/>
      <c r="G10" s="31"/>
      <c r="H10" s="31"/>
      <c r="I10" s="31"/>
      <c r="J10" s="32"/>
      <c r="K10" s="32"/>
      <c r="L10" s="32"/>
      <c r="M10" s="32"/>
      <c r="N10" s="32"/>
      <c r="O10" s="32"/>
      <c r="P10" s="32"/>
      <c r="Q10" s="33"/>
      <c r="R10" s="34"/>
      <c r="S10" s="32"/>
      <c r="T10" s="32"/>
      <c r="U10" s="32"/>
      <c r="V10" s="35"/>
      <c r="W10" s="36"/>
      <c r="X10" s="37"/>
      <c r="Y10" s="31"/>
      <c r="Z10" s="31"/>
      <c r="AA10" s="31"/>
      <c r="AB10" s="31"/>
      <c r="AC10" s="31"/>
      <c r="AD10" s="31"/>
      <c r="AE10" s="31"/>
      <c r="AF10" s="31"/>
      <c r="AG10" s="31"/>
      <c r="AH10" s="31"/>
      <c r="AI10" s="31"/>
      <c r="AJ10" s="31"/>
      <c r="AK10" s="31"/>
      <c r="AL10" s="31"/>
      <c r="AM10" s="31"/>
      <c r="AN10" s="31"/>
      <c r="AO10" s="38"/>
      <c r="AP10" s="38"/>
      <c r="AQ10" s="39"/>
    </row>
    <row r="11" spans="1:43" ht="15.75">
      <c r="A11" s="40"/>
      <c r="B11" s="41"/>
      <c r="C11" s="42"/>
      <c r="D11" s="43"/>
      <c r="E11" s="44"/>
      <c r="F11" s="45"/>
      <c r="G11" s="46">
        <v>89</v>
      </c>
      <c r="H11" s="47" t="s">
        <v>54</v>
      </c>
      <c r="I11" s="47"/>
      <c r="J11" s="48"/>
      <c r="K11" s="48"/>
      <c r="L11" s="48"/>
      <c r="M11" s="48"/>
      <c r="N11" s="48"/>
      <c r="O11" s="48"/>
      <c r="P11" s="48"/>
      <c r="Q11" s="49"/>
      <c r="R11" s="50"/>
      <c r="S11" s="48"/>
      <c r="T11" s="48"/>
      <c r="U11" s="48"/>
      <c r="V11" s="51"/>
      <c r="W11" s="52"/>
      <c r="X11" s="53"/>
      <c r="Y11" s="47"/>
      <c r="Z11" s="47"/>
      <c r="AA11" s="47"/>
      <c r="AB11" s="47"/>
      <c r="AC11" s="47"/>
      <c r="AD11" s="47"/>
      <c r="AE11" s="47"/>
      <c r="AF11" s="47"/>
      <c r="AG11" s="47"/>
      <c r="AH11" s="47"/>
      <c r="AI11" s="47"/>
      <c r="AJ11" s="47"/>
      <c r="AK11" s="47"/>
      <c r="AL11" s="47"/>
      <c r="AM11" s="47"/>
      <c r="AN11" s="47"/>
      <c r="AO11" s="54"/>
      <c r="AP11" s="54"/>
      <c r="AQ11" s="55"/>
    </row>
    <row r="12" spans="1:43" ht="75" customHeight="1">
      <c r="A12" s="40"/>
      <c r="B12" s="41"/>
      <c r="C12" s="42"/>
      <c r="D12" s="56"/>
      <c r="E12" s="57"/>
      <c r="F12" s="58"/>
      <c r="G12" s="59"/>
      <c r="H12" s="60"/>
      <c r="I12" s="61"/>
      <c r="J12" s="2093">
        <v>282</v>
      </c>
      <c r="K12" s="2095" t="s">
        <v>55</v>
      </c>
      <c r="L12" s="2095" t="s">
        <v>56</v>
      </c>
      <c r="M12" s="2093">
        <v>2</v>
      </c>
      <c r="N12" s="2093" t="s">
        <v>57</v>
      </c>
      <c r="O12" s="2093" t="s">
        <v>58</v>
      </c>
      <c r="P12" s="2098" t="s">
        <v>59</v>
      </c>
      <c r="Q12" s="2100">
        <f>+(V12+V13)/R12</f>
        <v>1</v>
      </c>
      <c r="R12" s="2102">
        <f>V12+V13</f>
        <v>110000000</v>
      </c>
      <c r="S12" s="2104" t="s">
        <v>60</v>
      </c>
      <c r="T12" s="2104" t="s">
        <v>61</v>
      </c>
      <c r="U12" s="62" t="s">
        <v>62</v>
      </c>
      <c r="V12" s="63">
        <v>75000000</v>
      </c>
      <c r="W12" s="2115" t="s">
        <v>63</v>
      </c>
      <c r="X12" s="64" t="s">
        <v>64</v>
      </c>
      <c r="Y12" s="2111">
        <v>292684</v>
      </c>
      <c r="Z12" s="2111">
        <v>282326</v>
      </c>
      <c r="AA12" s="2111">
        <v>135912</v>
      </c>
      <c r="AB12" s="2111">
        <v>45122</v>
      </c>
      <c r="AC12" s="2111">
        <v>307101</v>
      </c>
      <c r="AD12" s="2111">
        <v>86875</v>
      </c>
      <c r="AE12" s="2111">
        <v>2145</v>
      </c>
      <c r="AF12" s="2111">
        <v>12718</v>
      </c>
      <c r="AG12" s="2111">
        <v>26</v>
      </c>
      <c r="AH12" s="2111">
        <v>37</v>
      </c>
      <c r="AI12" s="2111">
        <v>0</v>
      </c>
      <c r="AJ12" s="2111">
        <v>0</v>
      </c>
      <c r="AK12" s="2111">
        <v>53164</v>
      </c>
      <c r="AL12" s="2111">
        <v>16982</v>
      </c>
      <c r="AM12" s="2111">
        <v>60013</v>
      </c>
      <c r="AN12" s="2111">
        <v>575010</v>
      </c>
      <c r="AO12" s="2113">
        <v>43101</v>
      </c>
      <c r="AP12" s="2113">
        <v>43465</v>
      </c>
      <c r="AQ12" s="2106" t="s">
        <v>65</v>
      </c>
    </row>
    <row r="13" spans="1:43" ht="75" customHeight="1">
      <c r="A13" s="40"/>
      <c r="B13" s="41"/>
      <c r="C13" s="42"/>
      <c r="D13" s="56"/>
      <c r="E13" s="57"/>
      <c r="F13" s="58"/>
      <c r="G13" s="65"/>
      <c r="H13" s="66"/>
      <c r="I13" s="67"/>
      <c r="J13" s="2094"/>
      <c r="K13" s="2096"/>
      <c r="L13" s="2096"/>
      <c r="M13" s="2094"/>
      <c r="N13" s="2094"/>
      <c r="O13" s="2094"/>
      <c r="P13" s="2099"/>
      <c r="Q13" s="2101"/>
      <c r="R13" s="2103"/>
      <c r="S13" s="2105"/>
      <c r="T13" s="2105"/>
      <c r="U13" s="62" t="s">
        <v>66</v>
      </c>
      <c r="V13" s="63">
        <v>35000000</v>
      </c>
      <c r="W13" s="2116"/>
      <c r="X13" s="68" t="s">
        <v>67</v>
      </c>
      <c r="Y13" s="2112"/>
      <c r="Z13" s="2112"/>
      <c r="AA13" s="2112"/>
      <c r="AB13" s="2112"/>
      <c r="AC13" s="2112"/>
      <c r="AD13" s="2112"/>
      <c r="AE13" s="2112"/>
      <c r="AF13" s="2112"/>
      <c r="AG13" s="2112"/>
      <c r="AH13" s="2112"/>
      <c r="AI13" s="2112"/>
      <c r="AJ13" s="2112"/>
      <c r="AK13" s="2112"/>
      <c r="AL13" s="2112"/>
      <c r="AM13" s="2112"/>
      <c r="AN13" s="2112"/>
      <c r="AO13" s="2114"/>
      <c r="AP13" s="2114"/>
      <c r="AQ13" s="2107"/>
    </row>
    <row r="14" spans="1:43" ht="112.5" customHeight="1">
      <c r="A14" s="40"/>
      <c r="B14" s="41"/>
      <c r="C14" s="42"/>
      <c r="D14" s="56"/>
      <c r="E14" s="57"/>
      <c r="F14" s="58"/>
      <c r="G14" s="65"/>
      <c r="H14" s="66"/>
      <c r="I14" s="67"/>
      <c r="J14" s="2108">
        <v>283</v>
      </c>
      <c r="K14" s="2109" t="s">
        <v>68</v>
      </c>
      <c r="L14" s="2109" t="s">
        <v>69</v>
      </c>
      <c r="M14" s="2108">
        <v>1</v>
      </c>
      <c r="N14" s="2109" t="s">
        <v>70</v>
      </c>
      <c r="O14" s="2108" t="s">
        <v>71</v>
      </c>
      <c r="P14" s="2109" t="s">
        <v>72</v>
      </c>
      <c r="Q14" s="2110">
        <f>+(V14+V15+V16)/R14</f>
        <v>1</v>
      </c>
      <c r="R14" s="2118">
        <f>SUM(V14:V16)</f>
        <v>85000000</v>
      </c>
      <c r="S14" s="2109" t="s">
        <v>73</v>
      </c>
      <c r="T14" s="69" t="s">
        <v>74</v>
      </c>
      <c r="U14" s="62" t="s">
        <v>75</v>
      </c>
      <c r="V14" s="70">
        <v>82350000</v>
      </c>
      <c r="W14" s="71" t="s">
        <v>63</v>
      </c>
      <c r="X14" s="72" t="s">
        <v>76</v>
      </c>
      <c r="Y14" s="2117">
        <v>850</v>
      </c>
      <c r="Z14" s="2117">
        <v>550</v>
      </c>
      <c r="AA14" s="2117">
        <v>400</v>
      </c>
      <c r="AB14" s="2117">
        <v>0</v>
      </c>
      <c r="AC14" s="2117">
        <v>950</v>
      </c>
      <c r="AD14" s="2117">
        <v>50</v>
      </c>
      <c r="AE14" s="2117">
        <v>0</v>
      </c>
      <c r="AF14" s="2117">
        <v>30</v>
      </c>
      <c r="AG14" s="2117">
        <v>0</v>
      </c>
      <c r="AH14" s="2117">
        <v>0</v>
      </c>
      <c r="AI14" s="2117">
        <v>0</v>
      </c>
      <c r="AJ14" s="2117">
        <v>0</v>
      </c>
      <c r="AK14" s="2117">
        <v>0</v>
      </c>
      <c r="AL14" s="2117">
        <v>0</v>
      </c>
      <c r="AM14" s="2117">
        <v>0</v>
      </c>
      <c r="AN14" s="2117">
        <v>1400</v>
      </c>
      <c r="AO14" s="2120">
        <v>43101</v>
      </c>
      <c r="AP14" s="2120">
        <v>43465</v>
      </c>
      <c r="AQ14" s="2121" t="s">
        <v>77</v>
      </c>
    </row>
    <row r="15" spans="1:43" ht="97.5" customHeight="1">
      <c r="A15" s="40"/>
      <c r="B15" s="41"/>
      <c r="C15" s="42"/>
      <c r="D15" s="56"/>
      <c r="E15" s="57"/>
      <c r="F15" s="58"/>
      <c r="G15" s="65"/>
      <c r="H15" s="66"/>
      <c r="I15" s="67"/>
      <c r="J15" s="2108"/>
      <c r="K15" s="2109"/>
      <c r="L15" s="2109"/>
      <c r="M15" s="2108"/>
      <c r="N15" s="2109"/>
      <c r="O15" s="2108"/>
      <c r="P15" s="2109"/>
      <c r="Q15" s="2110"/>
      <c r="R15" s="2118"/>
      <c r="S15" s="2109"/>
      <c r="T15" s="62" t="s">
        <v>78</v>
      </c>
      <c r="U15" s="62" t="s">
        <v>79</v>
      </c>
      <c r="V15" s="70">
        <v>900000</v>
      </c>
      <c r="W15" s="71">
        <v>20</v>
      </c>
      <c r="X15" s="72" t="s">
        <v>80</v>
      </c>
      <c r="Y15" s="2117"/>
      <c r="Z15" s="2117"/>
      <c r="AA15" s="2117"/>
      <c r="AB15" s="2117"/>
      <c r="AC15" s="2117"/>
      <c r="AD15" s="2117"/>
      <c r="AE15" s="2117"/>
      <c r="AF15" s="2117"/>
      <c r="AG15" s="2117"/>
      <c r="AH15" s="2117"/>
      <c r="AI15" s="2117"/>
      <c r="AJ15" s="2117"/>
      <c r="AK15" s="2117"/>
      <c r="AL15" s="2117"/>
      <c r="AM15" s="2117"/>
      <c r="AN15" s="2117"/>
      <c r="AO15" s="2120"/>
      <c r="AP15" s="2120"/>
      <c r="AQ15" s="2121"/>
    </row>
    <row r="16" spans="1:43" ht="99" customHeight="1">
      <c r="A16" s="40"/>
      <c r="B16" s="41"/>
      <c r="C16" s="42"/>
      <c r="D16" s="56"/>
      <c r="E16" s="57"/>
      <c r="F16" s="58"/>
      <c r="G16" s="65"/>
      <c r="H16" s="66"/>
      <c r="I16" s="67"/>
      <c r="J16" s="2108"/>
      <c r="K16" s="2109"/>
      <c r="L16" s="2109"/>
      <c r="M16" s="2108"/>
      <c r="N16" s="2109"/>
      <c r="O16" s="2108"/>
      <c r="P16" s="2109"/>
      <c r="Q16" s="2110"/>
      <c r="R16" s="2118"/>
      <c r="S16" s="2109"/>
      <c r="T16" s="62" t="s">
        <v>81</v>
      </c>
      <c r="U16" s="62" t="s">
        <v>82</v>
      </c>
      <c r="V16" s="73">
        <v>1750000</v>
      </c>
      <c r="W16" s="74">
        <v>20</v>
      </c>
      <c r="X16" s="75" t="s">
        <v>80</v>
      </c>
      <c r="Y16" s="2117"/>
      <c r="Z16" s="2117"/>
      <c r="AA16" s="2117"/>
      <c r="AB16" s="2117"/>
      <c r="AC16" s="2117"/>
      <c r="AD16" s="2117"/>
      <c r="AE16" s="2117"/>
      <c r="AF16" s="2117"/>
      <c r="AG16" s="2117"/>
      <c r="AH16" s="2117"/>
      <c r="AI16" s="2117"/>
      <c r="AJ16" s="2117"/>
      <c r="AK16" s="2117"/>
      <c r="AL16" s="2117"/>
      <c r="AM16" s="2117"/>
      <c r="AN16" s="2117"/>
      <c r="AO16" s="2120"/>
      <c r="AP16" s="2120"/>
      <c r="AQ16" s="2121"/>
    </row>
    <row r="17" spans="1:43" ht="141" customHeight="1">
      <c r="A17" s="40"/>
      <c r="B17" s="41"/>
      <c r="C17" s="42"/>
      <c r="D17" s="56"/>
      <c r="E17" s="57"/>
      <c r="F17" s="58"/>
      <c r="G17" s="65"/>
      <c r="H17" s="66"/>
      <c r="I17" s="67"/>
      <c r="J17" s="2122">
        <v>284</v>
      </c>
      <c r="K17" s="2123" t="s">
        <v>83</v>
      </c>
      <c r="L17" s="2109" t="s">
        <v>84</v>
      </c>
      <c r="M17" s="2108">
        <v>1</v>
      </c>
      <c r="N17" s="2109" t="s">
        <v>85</v>
      </c>
      <c r="O17" s="2108" t="s">
        <v>86</v>
      </c>
      <c r="P17" s="2109" t="s">
        <v>87</v>
      </c>
      <c r="Q17" s="2130">
        <f>+(V17+V18)/R17</f>
        <v>1</v>
      </c>
      <c r="R17" s="2131">
        <v>293000000</v>
      </c>
      <c r="S17" s="2109" t="s">
        <v>88</v>
      </c>
      <c r="T17" s="76" t="s">
        <v>60</v>
      </c>
      <c r="U17" s="77" t="s">
        <v>89</v>
      </c>
      <c r="V17" s="63">
        <f>293000000-6000000</f>
        <v>287000000</v>
      </c>
      <c r="W17" s="78" t="s">
        <v>63</v>
      </c>
      <c r="X17" s="79" t="s">
        <v>90</v>
      </c>
      <c r="Y17" s="2119">
        <v>292684</v>
      </c>
      <c r="Z17" s="2117">
        <v>282326</v>
      </c>
      <c r="AA17" s="2117">
        <v>135912</v>
      </c>
      <c r="AB17" s="2117">
        <v>45122</v>
      </c>
      <c r="AC17" s="2117">
        <v>307101</v>
      </c>
      <c r="AD17" s="2117">
        <v>86875</v>
      </c>
      <c r="AE17" s="2117">
        <v>2145</v>
      </c>
      <c r="AF17" s="2117">
        <v>12718</v>
      </c>
      <c r="AG17" s="2117">
        <v>26</v>
      </c>
      <c r="AH17" s="2117">
        <v>37</v>
      </c>
      <c r="AI17" s="2117">
        <v>0</v>
      </c>
      <c r="AJ17" s="2117">
        <v>0</v>
      </c>
      <c r="AK17" s="2117">
        <v>53164</v>
      </c>
      <c r="AL17" s="2117">
        <v>16982</v>
      </c>
      <c r="AM17" s="2117">
        <v>60013</v>
      </c>
      <c r="AN17" s="2117">
        <v>575010</v>
      </c>
      <c r="AO17" s="2120">
        <v>43101</v>
      </c>
      <c r="AP17" s="2120">
        <v>43465</v>
      </c>
      <c r="AQ17" s="2121" t="s">
        <v>91</v>
      </c>
    </row>
    <row r="18" spans="1:43" ht="136.5" customHeight="1">
      <c r="A18" s="40"/>
      <c r="B18" s="41"/>
      <c r="C18" s="42"/>
      <c r="D18" s="56"/>
      <c r="E18" s="57"/>
      <c r="F18" s="58"/>
      <c r="G18" s="65"/>
      <c r="H18" s="66"/>
      <c r="I18" s="67"/>
      <c r="J18" s="2122"/>
      <c r="K18" s="2123"/>
      <c r="L18" s="2109"/>
      <c r="M18" s="2108"/>
      <c r="N18" s="2109"/>
      <c r="O18" s="2108"/>
      <c r="P18" s="2109"/>
      <c r="Q18" s="2130"/>
      <c r="R18" s="2131"/>
      <c r="S18" s="2109"/>
      <c r="T18" s="62" t="s">
        <v>92</v>
      </c>
      <c r="U18" s="77" t="s">
        <v>93</v>
      </c>
      <c r="V18" s="63">
        <f>10000000-4000000</f>
        <v>6000000</v>
      </c>
      <c r="W18" s="78">
        <v>20</v>
      </c>
      <c r="X18" s="79" t="s">
        <v>80</v>
      </c>
      <c r="Y18" s="2119"/>
      <c r="Z18" s="2117"/>
      <c r="AA18" s="2117"/>
      <c r="AB18" s="2117"/>
      <c r="AC18" s="2117"/>
      <c r="AD18" s="2117"/>
      <c r="AE18" s="2117"/>
      <c r="AF18" s="2117"/>
      <c r="AG18" s="2117"/>
      <c r="AH18" s="2117"/>
      <c r="AI18" s="2117"/>
      <c r="AJ18" s="2117"/>
      <c r="AK18" s="2117"/>
      <c r="AL18" s="2117"/>
      <c r="AM18" s="2117"/>
      <c r="AN18" s="2117"/>
      <c r="AO18" s="2120"/>
      <c r="AP18" s="2120"/>
      <c r="AQ18" s="2121"/>
    </row>
    <row r="19" spans="1:43" ht="136.5" customHeight="1">
      <c r="A19" s="40"/>
      <c r="B19" s="41"/>
      <c r="C19" s="42"/>
      <c r="D19" s="56"/>
      <c r="E19" s="57"/>
      <c r="F19" s="58"/>
      <c r="G19" s="65"/>
      <c r="H19" s="66"/>
      <c r="I19" s="67"/>
      <c r="J19" s="2124">
        <v>285</v>
      </c>
      <c r="K19" s="2098" t="s">
        <v>94</v>
      </c>
      <c r="L19" s="62" t="s">
        <v>95</v>
      </c>
      <c r="M19" s="2093">
        <v>1</v>
      </c>
      <c r="N19" s="2093" t="s">
        <v>96</v>
      </c>
      <c r="O19" s="2093" t="s">
        <v>97</v>
      </c>
      <c r="P19" s="2095" t="s">
        <v>98</v>
      </c>
      <c r="Q19" s="2133">
        <v>1</v>
      </c>
      <c r="R19" s="2102">
        <v>255000000</v>
      </c>
      <c r="S19" s="2098" t="s">
        <v>99</v>
      </c>
      <c r="T19" s="2098" t="s">
        <v>100</v>
      </c>
      <c r="U19" s="77" t="s">
        <v>93</v>
      </c>
      <c r="V19" s="63">
        <v>45000000</v>
      </c>
      <c r="W19" s="2115" t="s">
        <v>101</v>
      </c>
      <c r="X19" s="2093" t="s">
        <v>102</v>
      </c>
      <c r="Y19" s="2111">
        <v>292684</v>
      </c>
      <c r="Z19" s="2111">
        <v>282326</v>
      </c>
      <c r="AA19" s="2111">
        <v>135912</v>
      </c>
      <c r="AB19" s="2111">
        <v>45122</v>
      </c>
      <c r="AC19" s="2111">
        <v>307101</v>
      </c>
      <c r="AD19" s="2111">
        <v>86875</v>
      </c>
      <c r="AE19" s="2111">
        <v>2145</v>
      </c>
      <c r="AF19" s="2111">
        <v>12718</v>
      </c>
      <c r="AG19" s="2111">
        <v>26</v>
      </c>
      <c r="AH19" s="2111">
        <v>37</v>
      </c>
      <c r="AI19" s="2111">
        <v>0</v>
      </c>
      <c r="AJ19" s="2111">
        <v>0</v>
      </c>
      <c r="AK19" s="2111">
        <v>53164</v>
      </c>
      <c r="AL19" s="2111">
        <v>16982</v>
      </c>
      <c r="AM19" s="2111">
        <v>60013</v>
      </c>
      <c r="AN19" s="2111">
        <v>575010</v>
      </c>
      <c r="AO19" s="2150">
        <v>43101</v>
      </c>
      <c r="AP19" s="2150">
        <v>43465</v>
      </c>
      <c r="AQ19" s="2138" t="s">
        <v>91</v>
      </c>
    </row>
    <row r="20" spans="1:43" ht="136.5" customHeight="1">
      <c r="A20" s="40"/>
      <c r="B20" s="41"/>
      <c r="C20" s="42"/>
      <c r="D20" s="56"/>
      <c r="E20" s="57"/>
      <c r="F20" s="58"/>
      <c r="G20" s="65"/>
      <c r="H20" s="66"/>
      <c r="I20" s="67"/>
      <c r="J20" s="2125"/>
      <c r="K20" s="2127"/>
      <c r="L20" s="62" t="s">
        <v>95</v>
      </c>
      <c r="M20" s="2128"/>
      <c r="N20" s="2128"/>
      <c r="O20" s="2128"/>
      <c r="P20" s="2129"/>
      <c r="Q20" s="2134"/>
      <c r="R20" s="2136"/>
      <c r="S20" s="2127"/>
      <c r="T20" s="2127"/>
      <c r="U20" s="77" t="s">
        <v>103</v>
      </c>
      <c r="V20" s="63">
        <v>67945334</v>
      </c>
      <c r="W20" s="2137"/>
      <c r="X20" s="2128"/>
      <c r="Y20" s="2132"/>
      <c r="Z20" s="2132"/>
      <c r="AA20" s="2132"/>
      <c r="AB20" s="2132"/>
      <c r="AC20" s="2132"/>
      <c r="AD20" s="2132"/>
      <c r="AE20" s="2132"/>
      <c r="AF20" s="2132"/>
      <c r="AG20" s="2132"/>
      <c r="AH20" s="2132"/>
      <c r="AI20" s="2132"/>
      <c r="AJ20" s="2132"/>
      <c r="AK20" s="2132"/>
      <c r="AL20" s="2132"/>
      <c r="AM20" s="2132"/>
      <c r="AN20" s="2132"/>
      <c r="AO20" s="2151"/>
      <c r="AP20" s="2151"/>
      <c r="AQ20" s="2139"/>
    </row>
    <row r="21" spans="1:43" ht="70.5" customHeight="1">
      <c r="A21" s="40"/>
      <c r="B21" s="41"/>
      <c r="C21" s="42"/>
      <c r="D21" s="56"/>
      <c r="E21" s="57"/>
      <c r="F21" s="58"/>
      <c r="G21" s="65"/>
      <c r="H21" s="66"/>
      <c r="I21" s="67"/>
      <c r="J21" s="2126"/>
      <c r="K21" s="2099"/>
      <c r="L21" s="62" t="s">
        <v>95</v>
      </c>
      <c r="M21" s="2094"/>
      <c r="N21" s="2094"/>
      <c r="O21" s="2094"/>
      <c r="P21" s="2096"/>
      <c r="Q21" s="2135"/>
      <c r="R21" s="2103"/>
      <c r="S21" s="2099"/>
      <c r="T21" s="2099"/>
      <c r="U21" s="77" t="s">
        <v>104</v>
      </c>
      <c r="V21" s="70">
        <f>142054666</f>
        <v>142054666</v>
      </c>
      <c r="W21" s="2116"/>
      <c r="X21" s="2094"/>
      <c r="Y21" s="2112"/>
      <c r="Z21" s="2112"/>
      <c r="AA21" s="2112"/>
      <c r="AB21" s="2112"/>
      <c r="AC21" s="2112"/>
      <c r="AD21" s="2112"/>
      <c r="AE21" s="2112"/>
      <c r="AF21" s="2112"/>
      <c r="AG21" s="2112"/>
      <c r="AH21" s="2112"/>
      <c r="AI21" s="2112"/>
      <c r="AJ21" s="2112"/>
      <c r="AK21" s="2112"/>
      <c r="AL21" s="2112"/>
      <c r="AM21" s="2112"/>
      <c r="AN21" s="2112"/>
      <c r="AO21" s="2152"/>
      <c r="AP21" s="2152"/>
      <c r="AQ21" s="2140"/>
    </row>
    <row r="22" spans="1:43" ht="105">
      <c r="A22" s="40"/>
      <c r="B22" s="41"/>
      <c r="C22" s="42"/>
      <c r="D22" s="56"/>
      <c r="E22" s="57"/>
      <c r="F22" s="58"/>
      <c r="G22" s="65"/>
      <c r="H22" s="66"/>
      <c r="I22" s="67"/>
      <c r="J22" s="80">
        <v>280</v>
      </c>
      <c r="K22" s="77" t="s">
        <v>105</v>
      </c>
      <c r="L22" s="62" t="s">
        <v>106</v>
      </c>
      <c r="M22" s="81">
        <v>1</v>
      </c>
      <c r="N22" s="82"/>
      <c r="O22" s="2141" t="s">
        <v>107</v>
      </c>
      <c r="P22" s="2144" t="s">
        <v>108</v>
      </c>
      <c r="Q22" s="83">
        <f>+(V22)/R22</f>
        <v>0.07621951219512195</v>
      </c>
      <c r="R22" s="2147">
        <f>SUM(V22:V26)</f>
        <v>328000000</v>
      </c>
      <c r="S22" s="2141" t="s">
        <v>109</v>
      </c>
      <c r="T22" s="62" t="s">
        <v>110</v>
      </c>
      <c r="U22" s="62" t="s">
        <v>111</v>
      </c>
      <c r="V22" s="84">
        <v>25000000</v>
      </c>
      <c r="W22" s="85">
        <v>20</v>
      </c>
      <c r="X22" s="86" t="s">
        <v>112</v>
      </c>
      <c r="Y22" s="2119">
        <v>292684</v>
      </c>
      <c r="Z22" s="2117">
        <v>282326</v>
      </c>
      <c r="AA22" s="2119">
        <v>135912</v>
      </c>
      <c r="AB22" s="2119">
        <v>45122</v>
      </c>
      <c r="AC22" s="2119">
        <v>307101</v>
      </c>
      <c r="AD22" s="2119">
        <v>86875</v>
      </c>
      <c r="AE22" s="2119">
        <v>2145</v>
      </c>
      <c r="AF22" s="2119">
        <v>12718</v>
      </c>
      <c r="AG22" s="2119">
        <v>26</v>
      </c>
      <c r="AH22" s="2119">
        <v>37</v>
      </c>
      <c r="AI22" s="2119">
        <v>0</v>
      </c>
      <c r="AJ22" s="2119">
        <v>0</v>
      </c>
      <c r="AK22" s="2119">
        <v>53164</v>
      </c>
      <c r="AL22" s="2119">
        <v>16982</v>
      </c>
      <c r="AM22" s="2119">
        <v>60013</v>
      </c>
      <c r="AN22" s="2119">
        <v>575010</v>
      </c>
      <c r="AO22" s="2113">
        <v>43101</v>
      </c>
      <c r="AP22" s="2113">
        <v>43462</v>
      </c>
      <c r="AQ22" s="87" t="s">
        <v>113</v>
      </c>
    </row>
    <row r="23" spans="1:43" ht="60">
      <c r="A23" s="40"/>
      <c r="B23" s="41"/>
      <c r="C23" s="42"/>
      <c r="D23" s="56"/>
      <c r="E23" s="57"/>
      <c r="F23" s="58"/>
      <c r="G23" s="65"/>
      <c r="H23" s="66"/>
      <c r="I23" s="67"/>
      <c r="J23" s="2122">
        <v>281</v>
      </c>
      <c r="K23" s="2123" t="s">
        <v>114</v>
      </c>
      <c r="L23" s="2109" t="s">
        <v>115</v>
      </c>
      <c r="M23" s="2155">
        <v>1</v>
      </c>
      <c r="N23" s="2142" t="s">
        <v>116</v>
      </c>
      <c r="O23" s="2142"/>
      <c r="P23" s="2145"/>
      <c r="Q23" s="2156">
        <f>+(V23+V24)/R22</f>
        <v>0.40853658536585363</v>
      </c>
      <c r="R23" s="2148"/>
      <c r="S23" s="2142"/>
      <c r="T23" s="2109" t="s">
        <v>117</v>
      </c>
      <c r="U23" s="62" t="s">
        <v>118</v>
      </c>
      <c r="V23" s="88">
        <v>84000000</v>
      </c>
      <c r="W23" s="85">
        <v>20</v>
      </c>
      <c r="X23" s="86" t="s">
        <v>112</v>
      </c>
      <c r="Y23" s="2119"/>
      <c r="Z23" s="2117"/>
      <c r="AA23" s="2119"/>
      <c r="AB23" s="2119"/>
      <c r="AC23" s="2119"/>
      <c r="AD23" s="2119"/>
      <c r="AE23" s="2119"/>
      <c r="AF23" s="2119"/>
      <c r="AG23" s="2119"/>
      <c r="AH23" s="2119"/>
      <c r="AI23" s="2119"/>
      <c r="AJ23" s="2119"/>
      <c r="AK23" s="2119"/>
      <c r="AL23" s="2119"/>
      <c r="AM23" s="2119"/>
      <c r="AN23" s="2119"/>
      <c r="AO23" s="2153"/>
      <c r="AP23" s="2153"/>
      <c r="AQ23" s="2121" t="s">
        <v>119</v>
      </c>
    </row>
    <row r="24" spans="1:43" ht="111" customHeight="1">
      <c r="A24" s="40"/>
      <c r="B24" s="41"/>
      <c r="C24" s="42"/>
      <c r="D24" s="56"/>
      <c r="E24" s="57"/>
      <c r="F24" s="58"/>
      <c r="G24" s="65"/>
      <c r="H24" s="66"/>
      <c r="I24" s="67"/>
      <c r="J24" s="2122"/>
      <c r="K24" s="2123"/>
      <c r="L24" s="2109"/>
      <c r="M24" s="2155"/>
      <c r="N24" s="2142"/>
      <c r="O24" s="2142"/>
      <c r="P24" s="2145"/>
      <c r="Q24" s="2157"/>
      <c r="R24" s="2148"/>
      <c r="S24" s="2142"/>
      <c r="T24" s="2109"/>
      <c r="U24" s="89" t="s">
        <v>120</v>
      </c>
      <c r="V24" s="88">
        <v>50000000</v>
      </c>
      <c r="W24" s="85" t="s">
        <v>63</v>
      </c>
      <c r="X24" s="86" t="s">
        <v>121</v>
      </c>
      <c r="Y24" s="2119"/>
      <c r="Z24" s="2117"/>
      <c r="AA24" s="2119"/>
      <c r="AB24" s="2119"/>
      <c r="AC24" s="2119"/>
      <c r="AD24" s="2119"/>
      <c r="AE24" s="2119"/>
      <c r="AF24" s="2119"/>
      <c r="AG24" s="2119"/>
      <c r="AH24" s="2119"/>
      <c r="AI24" s="2119"/>
      <c r="AJ24" s="2119"/>
      <c r="AK24" s="2119"/>
      <c r="AL24" s="2119"/>
      <c r="AM24" s="2119"/>
      <c r="AN24" s="2119"/>
      <c r="AO24" s="2153"/>
      <c r="AP24" s="2153"/>
      <c r="AQ24" s="2121"/>
    </row>
    <row r="25" spans="1:43" ht="84.75" customHeight="1">
      <c r="A25" s="40"/>
      <c r="B25" s="41"/>
      <c r="C25" s="42"/>
      <c r="D25" s="56"/>
      <c r="E25" s="57"/>
      <c r="F25" s="58"/>
      <c r="G25" s="65"/>
      <c r="H25" s="66"/>
      <c r="I25" s="67"/>
      <c r="J25" s="90">
        <v>286</v>
      </c>
      <c r="K25" s="91" t="s">
        <v>122</v>
      </c>
      <c r="L25" s="62" t="s">
        <v>123</v>
      </c>
      <c r="M25" s="81">
        <v>0.98</v>
      </c>
      <c r="N25" s="92"/>
      <c r="O25" s="2142"/>
      <c r="P25" s="2145"/>
      <c r="Q25" s="83">
        <f>+(V25)/R22</f>
        <v>0</v>
      </c>
      <c r="R25" s="2148"/>
      <c r="S25" s="2142"/>
      <c r="T25" s="93" t="s">
        <v>124</v>
      </c>
      <c r="U25" s="94" t="s">
        <v>124</v>
      </c>
      <c r="V25" s="95">
        <f>85000000+80000000-165000000</f>
        <v>0</v>
      </c>
      <c r="W25" s="96" t="s">
        <v>63</v>
      </c>
      <c r="X25" s="64" t="s">
        <v>125</v>
      </c>
      <c r="Y25" s="2119"/>
      <c r="Z25" s="2117"/>
      <c r="AA25" s="2119"/>
      <c r="AB25" s="2119"/>
      <c r="AC25" s="2119"/>
      <c r="AD25" s="2119"/>
      <c r="AE25" s="2119"/>
      <c r="AF25" s="2119"/>
      <c r="AG25" s="2119"/>
      <c r="AH25" s="2119"/>
      <c r="AI25" s="2119"/>
      <c r="AJ25" s="2119"/>
      <c r="AK25" s="2119"/>
      <c r="AL25" s="2119"/>
      <c r="AM25" s="2119"/>
      <c r="AN25" s="2119"/>
      <c r="AO25" s="2153"/>
      <c r="AP25" s="2153"/>
      <c r="AQ25" s="2121" t="s">
        <v>77</v>
      </c>
    </row>
    <row r="26" spans="1:43" ht="75.75" thickBot="1">
      <c r="A26" s="40"/>
      <c r="B26" s="41"/>
      <c r="C26" s="42"/>
      <c r="D26" s="56"/>
      <c r="E26" s="57"/>
      <c r="F26" s="58"/>
      <c r="G26" s="65"/>
      <c r="H26" s="66"/>
      <c r="I26" s="67"/>
      <c r="J26" s="80">
        <v>287</v>
      </c>
      <c r="K26" s="77" t="s">
        <v>126</v>
      </c>
      <c r="L26" s="62" t="s">
        <v>127</v>
      </c>
      <c r="M26" s="81">
        <v>1</v>
      </c>
      <c r="N26" s="92" t="s">
        <v>128</v>
      </c>
      <c r="O26" s="2143"/>
      <c r="P26" s="2146"/>
      <c r="Q26" s="83">
        <f>+V26/R22</f>
        <v>0.5152439024390244</v>
      </c>
      <c r="R26" s="2149"/>
      <c r="S26" s="2143"/>
      <c r="T26" s="62" t="s">
        <v>129</v>
      </c>
      <c r="U26" s="97" t="s">
        <v>130</v>
      </c>
      <c r="V26" s="84">
        <f>109000000+60000000</f>
        <v>169000000</v>
      </c>
      <c r="W26" s="85" t="s">
        <v>63</v>
      </c>
      <c r="X26" s="86" t="s">
        <v>125</v>
      </c>
      <c r="Y26" s="2119"/>
      <c r="Z26" s="2117"/>
      <c r="AA26" s="2119"/>
      <c r="AB26" s="2119"/>
      <c r="AC26" s="2119"/>
      <c r="AD26" s="2119"/>
      <c r="AE26" s="2119"/>
      <c r="AF26" s="2119"/>
      <c r="AG26" s="2119"/>
      <c r="AH26" s="2119"/>
      <c r="AI26" s="2119"/>
      <c r="AJ26" s="2119"/>
      <c r="AK26" s="2119"/>
      <c r="AL26" s="2119"/>
      <c r="AM26" s="2119"/>
      <c r="AN26" s="2119"/>
      <c r="AO26" s="2154"/>
      <c r="AP26" s="2154"/>
      <c r="AQ26" s="2121"/>
    </row>
    <row r="27" spans="1:43" ht="46.5" customHeight="1" thickBot="1">
      <c r="A27" s="98"/>
      <c r="B27" s="99"/>
      <c r="C27" s="99"/>
      <c r="D27" s="99"/>
      <c r="E27" s="99"/>
      <c r="F27" s="99"/>
      <c r="G27" s="99"/>
      <c r="H27" s="99"/>
      <c r="I27" s="99"/>
      <c r="J27" s="100"/>
      <c r="K27" s="101"/>
      <c r="L27" s="102"/>
      <c r="M27" s="103"/>
      <c r="N27" s="101"/>
      <c r="O27" s="102"/>
      <c r="P27" s="102"/>
      <c r="Q27" s="104"/>
      <c r="R27" s="105">
        <f>R22+R19+R17+R14+R12</f>
        <v>1071000000</v>
      </c>
      <c r="S27" s="106"/>
      <c r="T27" s="101"/>
      <c r="U27" s="107"/>
      <c r="V27" s="108">
        <f>SUM(V12:V26)</f>
        <v>1071000000</v>
      </c>
      <c r="W27" s="109"/>
      <c r="X27" s="110"/>
      <c r="Y27" s="111"/>
      <c r="Z27" s="111"/>
      <c r="AA27" s="111"/>
      <c r="AB27" s="111"/>
      <c r="AC27" s="111"/>
      <c r="AD27" s="111"/>
      <c r="AE27" s="110"/>
      <c r="AF27" s="110"/>
      <c r="AG27" s="110"/>
      <c r="AH27" s="110"/>
      <c r="AI27" s="110"/>
      <c r="AJ27" s="110"/>
      <c r="AK27" s="110"/>
      <c r="AL27" s="110"/>
      <c r="AM27" s="110"/>
      <c r="AN27" s="110"/>
      <c r="AO27" s="112"/>
      <c r="AP27" s="112"/>
      <c r="AQ27" s="113"/>
    </row>
    <row r="28" spans="1:43" ht="15">
      <c r="A28" s="114"/>
      <c r="B28" s="114"/>
      <c r="C28" s="114"/>
      <c r="D28" s="114"/>
      <c r="E28" s="114"/>
      <c r="F28" s="114"/>
      <c r="G28" s="114"/>
      <c r="H28" s="114"/>
      <c r="I28" s="114"/>
      <c r="J28" s="115"/>
      <c r="K28" s="116"/>
      <c r="L28" s="115"/>
      <c r="M28" s="115"/>
      <c r="N28" s="115"/>
      <c r="O28" s="115"/>
      <c r="P28" s="116"/>
      <c r="Q28" s="117"/>
      <c r="R28" s="118"/>
      <c r="S28" s="116"/>
      <c r="T28" s="116"/>
      <c r="U28" s="116"/>
      <c r="V28" s="119"/>
      <c r="W28" s="120"/>
      <c r="X28" s="121"/>
      <c r="Y28" s="122"/>
      <c r="Z28" s="122"/>
      <c r="AA28" s="122"/>
      <c r="AB28" s="122"/>
      <c r="AC28" s="122"/>
      <c r="AD28" s="122"/>
      <c r="AE28" s="122"/>
      <c r="AF28" s="122"/>
      <c r="AG28" s="122"/>
      <c r="AH28" s="122"/>
      <c r="AI28" s="122"/>
      <c r="AJ28" s="122"/>
      <c r="AK28" s="122"/>
      <c r="AL28" s="122"/>
      <c r="AM28" s="122"/>
      <c r="AN28" s="122"/>
      <c r="AO28" s="122"/>
      <c r="AP28" s="122"/>
      <c r="AQ28" s="122"/>
    </row>
    <row r="29" spans="1:43" ht="31.5" customHeight="1">
      <c r="A29" s="114"/>
      <c r="B29" s="114"/>
      <c r="C29" s="114"/>
      <c r="D29" s="114"/>
      <c r="E29" s="114"/>
      <c r="F29" s="114"/>
      <c r="G29" s="114"/>
      <c r="H29" s="114"/>
      <c r="I29" s="114"/>
      <c r="J29" s="115"/>
      <c r="K29" s="116"/>
      <c r="L29" s="115"/>
      <c r="M29" s="115"/>
      <c r="N29" s="115"/>
      <c r="O29" s="115"/>
      <c r="P29" s="116"/>
      <c r="Q29" s="117"/>
      <c r="R29" s="123"/>
      <c r="S29" s="116"/>
      <c r="T29" s="116"/>
      <c r="U29" s="116"/>
      <c r="V29" s="122"/>
      <c r="W29" s="120"/>
      <c r="X29" s="121"/>
      <c r="Y29" s="122"/>
      <c r="Z29" s="122"/>
      <c r="AA29" s="122"/>
      <c r="AB29" s="122"/>
      <c r="AC29" s="122"/>
      <c r="AD29" s="122"/>
      <c r="AE29" s="122"/>
      <c r="AF29" s="122"/>
      <c r="AG29" s="122"/>
      <c r="AH29" s="122"/>
      <c r="AI29" s="122"/>
      <c r="AJ29" s="122"/>
      <c r="AK29" s="122"/>
      <c r="AL29" s="122"/>
      <c r="AM29" s="122"/>
      <c r="AN29" s="122"/>
      <c r="AO29" s="122"/>
      <c r="AP29" s="122"/>
      <c r="AQ29" s="122"/>
    </row>
    <row r="30" spans="1:43" ht="26.25" customHeight="1">
      <c r="A30" s="124"/>
      <c r="B30" s="124" t="s">
        <v>131</v>
      </c>
      <c r="C30" s="124"/>
      <c r="D30" s="124"/>
      <c r="E30" s="124"/>
      <c r="F30" s="114"/>
      <c r="G30" s="114"/>
      <c r="H30" s="114"/>
      <c r="I30" s="114"/>
      <c r="J30" s="115"/>
      <c r="K30" s="116"/>
      <c r="L30" s="115"/>
      <c r="M30" s="115"/>
      <c r="N30" s="115"/>
      <c r="O30" s="115"/>
      <c r="P30" s="116"/>
      <c r="Q30" s="117"/>
      <c r="R30" s="123"/>
      <c r="S30" s="116"/>
      <c r="T30" s="116"/>
      <c r="U30" s="116"/>
      <c r="V30" s="122"/>
      <c r="W30" s="120"/>
      <c r="X30" s="121"/>
      <c r="Y30" s="122"/>
      <c r="Z30" s="122"/>
      <c r="AA30" s="122"/>
      <c r="AB30" s="122"/>
      <c r="AC30" s="122"/>
      <c r="AD30" s="122"/>
      <c r="AE30" s="122"/>
      <c r="AF30" s="122"/>
      <c r="AG30" s="122"/>
      <c r="AH30" s="122"/>
      <c r="AI30" s="122"/>
      <c r="AJ30" s="122"/>
      <c r="AK30" s="122"/>
      <c r="AL30" s="122"/>
      <c r="AM30" s="122"/>
      <c r="AN30" s="122"/>
      <c r="AO30" s="122"/>
      <c r="AP30" s="122"/>
      <c r="AQ30" s="122"/>
    </row>
    <row r="31" ht="15" customHeight="1">
      <c r="B31" s="2" t="s">
        <v>132</v>
      </c>
    </row>
    <row r="32" spans="23:40" ht="25.5">
      <c r="W32" s="127"/>
      <c r="X32" s="127"/>
      <c r="Y32" s="127"/>
      <c r="Z32" s="127"/>
      <c r="AA32" s="127"/>
      <c r="AB32" s="127"/>
      <c r="AC32" s="127"/>
      <c r="AD32" s="127"/>
      <c r="AE32" s="127"/>
      <c r="AF32" s="127"/>
      <c r="AG32" s="127"/>
      <c r="AH32" s="127"/>
      <c r="AI32" s="127"/>
      <c r="AJ32" s="127"/>
      <c r="AK32" s="127"/>
      <c r="AL32" s="127"/>
      <c r="AM32" s="127"/>
      <c r="AN32" s="127"/>
    </row>
  </sheetData>
  <sheetProtection password="CBEB" sheet="1" objects="1" scenarios="1"/>
  <mergeCells count="183">
    <mergeCell ref="AQ23:AQ24"/>
    <mergeCell ref="AQ25:AQ26"/>
    <mergeCell ref="AP22:AP26"/>
    <mergeCell ref="J23:J24"/>
    <mergeCell ref="K23:K24"/>
    <mergeCell ref="L23:L24"/>
    <mergeCell ref="M23:M24"/>
    <mergeCell ref="N23:N24"/>
    <mergeCell ref="Q23:Q24"/>
    <mergeCell ref="T23:T24"/>
    <mergeCell ref="AJ22:AJ26"/>
    <mergeCell ref="AK22:AK26"/>
    <mergeCell ref="AL22:AL26"/>
    <mergeCell ref="AM22:AM26"/>
    <mergeCell ref="AN22:AN26"/>
    <mergeCell ref="AO22:AO26"/>
    <mergeCell ref="AD22:AD26"/>
    <mergeCell ref="AE22:AE26"/>
    <mergeCell ref="AF22:AF26"/>
    <mergeCell ref="AG22:AG26"/>
    <mergeCell ref="AH22:AH26"/>
    <mergeCell ref="AI22:AI26"/>
    <mergeCell ref="AQ19:AQ21"/>
    <mergeCell ref="O22:O26"/>
    <mergeCell ref="P22:P26"/>
    <mergeCell ref="R22:R26"/>
    <mergeCell ref="S22:S26"/>
    <mergeCell ref="Y22:Y26"/>
    <mergeCell ref="Z22:Z26"/>
    <mergeCell ref="AA22:AA26"/>
    <mergeCell ref="AB22:AB26"/>
    <mergeCell ref="AC22:AC26"/>
    <mergeCell ref="AK19:AK21"/>
    <mergeCell ref="AL19:AL21"/>
    <mergeCell ref="AM19:AM21"/>
    <mergeCell ref="AN19:AN21"/>
    <mergeCell ref="AO19:AO21"/>
    <mergeCell ref="AP19:AP21"/>
    <mergeCell ref="AE19:AE21"/>
    <mergeCell ref="AF19:AF21"/>
    <mergeCell ref="AG19:AG21"/>
    <mergeCell ref="AH19:AH21"/>
    <mergeCell ref="AI19:AI21"/>
    <mergeCell ref="AJ19:AJ21"/>
    <mergeCell ref="Y19:Y21"/>
    <mergeCell ref="Z19:Z21"/>
    <mergeCell ref="AA19:AA21"/>
    <mergeCell ref="AB19:AB21"/>
    <mergeCell ref="AC19:AC21"/>
    <mergeCell ref="AD19:AD21"/>
    <mergeCell ref="Q19:Q21"/>
    <mergeCell ref="R19:R21"/>
    <mergeCell ref="S19:S21"/>
    <mergeCell ref="T19:T21"/>
    <mergeCell ref="W19:W21"/>
    <mergeCell ref="X19:X21"/>
    <mergeCell ref="AN17:AN18"/>
    <mergeCell ref="AO17:AO18"/>
    <mergeCell ref="AP17:AP18"/>
    <mergeCell ref="AQ17:AQ18"/>
    <mergeCell ref="J19:J21"/>
    <mergeCell ref="K19:K21"/>
    <mergeCell ref="M19:M21"/>
    <mergeCell ref="N19:N21"/>
    <mergeCell ref="O19:O21"/>
    <mergeCell ref="P19:P21"/>
    <mergeCell ref="AH17:AH18"/>
    <mergeCell ref="AI17:AI18"/>
    <mergeCell ref="AJ17:AJ18"/>
    <mergeCell ref="AK17:AK18"/>
    <mergeCell ref="AL17:AL18"/>
    <mergeCell ref="AM17:AM18"/>
    <mergeCell ref="AB17:AB18"/>
    <mergeCell ref="AC17:AC18"/>
    <mergeCell ref="AD17:AD18"/>
    <mergeCell ref="AE17:AE18"/>
    <mergeCell ref="AF17:AF18"/>
    <mergeCell ref="AG17:AG18"/>
    <mergeCell ref="Q17:Q18"/>
    <mergeCell ref="R17:R18"/>
    <mergeCell ref="S17:S18"/>
    <mergeCell ref="Y17:Y18"/>
    <mergeCell ref="Z17:Z18"/>
    <mergeCell ref="AA17:AA18"/>
    <mergeCell ref="AO14:AO16"/>
    <mergeCell ref="AP14:AP16"/>
    <mergeCell ref="AQ14:AQ16"/>
    <mergeCell ref="J17:J18"/>
    <mergeCell ref="K17:K18"/>
    <mergeCell ref="L17:L18"/>
    <mergeCell ref="M17:M18"/>
    <mergeCell ref="N17:N18"/>
    <mergeCell ref="O17:O18"/>
    <mergeCell ref="P17:P18"/>
    <mergeCell ref="AI14:AI16"/>
    <mergeCell ref="AJ14:AJ16"/>
    <mergeCell ref="AK14:AK16"/>
    <mergeCell ref="AL14:AL16"/>
    <mergeCell ref="AM14:AM16"/>
    <mergeCell ref="AN14:AN16"/>
    <mergeCell ref="AC14:AC16"/>
    <mergeCell ref="AD14:AD16"/>
    <mergeCell ref="AE14:AE16"/>
    <mergeCell ref="AF14:AF16"/>
    <mergeCell ref="AG14:AG16"/>
    <mergeCell ref="AH14:AH16"/>
    <mergeCell ref="R14:R16"/>
    <mergeCell ref="S14:S16"/>
    <mergeCell ref="Y14:Y16"/>
    <mergeCell ref="Z14:Z16"/>
    <mergeCell ref="AA14:AA16"/>
    <mergeCell ref="AB14:AB16"/>
    <mergeCell ref="AP12:AP13"/>
    <mergeCell ref="AA12:AA13"/>
    <mergeCell ref="AB12:AB13"/>
    <mergeCell ref="AC12:AC13"/>
    <mergeCell ref="AQ12:AQ13"/>
    <mergeCell ref="J14:J16"/>
    <mergeCell ref="K14:K16"/>
    <mergeCell ref="L14:L16"/>
    <mergeCell ref="M14:M16"/>
    <mergeCell ref="N14:N16"/>
    <mergeCell ref="O14:O16"/>
    <mergeCell ref="P14:P16"/>
    <mergeCell ref="Q14:Q16"/>
    <mergeCell ref="AJ12:AJ13"/>
    <mergeCell ref="AK12:AK13"/>
    <mergeCell ref="AL12:AL13"/>
    <mergeCell ref="AM12:AM13"/>
    <mergeCell ref="AN12:AN13"/>
    <mergeCell ref="AO12:AO13"/>
    <mergeCell ref="AD12:AD13"/>
    <mergeCell ref="AE12:AE13"/>
    <mergeCell ref="AF12:AF13"/>
    <mergeCell ref="AG12:AG13"/>
    <mergeCell ref="AH12:AH13"/>
    <mergeCell ref="AI12:AI13"/>
    <mergeCell ref="W12:W13"/>
    <mergeCell ref="Y12:Y13"/>
    <mergeCell ref="Z12:Z13"/>
    <mergeCell ref="J12:J13"/>
    <mergeCell ref="K12:K13"/>
    <mergeCell ref="L12:L13"/>
    <mergeCell ref="M12:M13"/>
    <mergeCell ref="N12:N13"/>
    <mergeCell ref="T7:T8"/>
    <mergeCell ref="U7:U8"/>
    <mergeCell ref="J7:J8"/>
    <mergeCell ref="K7:K8"/>
    <mergeCell ref="L7:L8"/>
    <mergeCell ref="M7:M8"/>
    <mergeCell ref="N7:N8"/>
    <mergeCell ref="O7:O8"/>
    <mergeCell ref="O12:O13"/>
    <mergeCell ref="P12:P13"/>
    <mergeCell ref="Q12:Q13"/>
    <mergeCell ref="R12:R13"/>
    <mergeCell ref="S12:S13"/>
    <mergeCell ref="T12:T13"/>
    <mergeCell ref="A1:AO4"/>
    <mergeCell ref="A5:M6"/>
    <mergeCell ref="N5:AQ5"/>
    <mergeCell ref="Y6:AM6"/>
    <mergeCell ref="A7:A8"/>
    <mergeCell ref="B7:C8"/>
    <mergeCell ref="D7:D8"/>
    <mergeCell ref="E7:F8"/>
    <mergeCell ref="G7:G8"/>
    <mergeCell ref="H7:I8"/>
    <mergeCell ref="AN7:AN8"/>
    <mergeCell ref="AO7:AO8"/>
    <mergeCell ref="AP7:AP8"/>
    <mergeCell ref="AQ7:AQ8"/>
    <mergeCell ref="V7:V8"/>
    <mergeCell ref="X7:X8"/>
    <mergeCell ref="Y7:Z7"/>
    <mergeCell ref="AA7:AD7"/>
    <mergeCell ref="AE7:AJ7"/>
    <mergeCell ref="AK7:AM7"/>
    <mergeCell ref="P7:P8"/>
    <mergeCell ref="Q7:Q8"/>
    <mergeCell ref="R7:R8"/>
    <mergeCell ref="S7:S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Q103"/>
  <sheetViews>
    <sheetView showGridLines="0" zoomScale="50" zoomScaleNormal="50" zoomScalePageLayoutView="0" workbookViewId="0" topLeftCell="T1">
      <selection activeCell="T6" sqref="T6:T7"/>
    </sheetView>
  </sheetViews>
  <sheetFormatPr defaultColWidth="37.140625" defaultRowHeight="15"/>
  <cols>
    <col min="1" max="1" width="22.28125" style="131" customWidth="1"/>
    <col min="2" max="2" width="11.7109375" style="131" customWidth="1"/>
    <col min="3" max="3" width="13.421875" style="131" customWidth="1"/>
    <col min="4" max="4" width="20.00390625" style="131" customWidth="1"/>
    <col min="5" max="5" width="18.57421875" style="131" customWidth="1"/>
    <col min="6" max="6" width="6.8515625" style="131" customWidth="1"/>
    <col min="7" max="7" width="14.8515625" style="131" customWidth="1"/>
    <col min="8" max="8" width="21.421875" style="131" customWidth="1"/>
    <col min="9" max="9" width="8.57421875" style="131" customWidth="1"/>
    <col min="10" max="10" width="21.7109375" style="131" customWidth="1"/>
    <col min="11" max="11" width="52.28125" style="131" customWidth="1"/>
    <col min="12" max="12" width="37.140625" style="131" customWidth="1"/>
    <col min="13" max="13" width="26.8515625" style="131" customWidth="1"/>
    <col min="14" max="14" width="37.140625" style="231" customWidth="1"/>
    <col min="15" max="24" width="37.140625" style="131" customWidth="1"/>
    <col min="25" max="25" width="14.28125" style="131" customWidth="1"/>
    <col min="26" max="26" width="12.00390625" style="131" customWidth="1"/>
    <col min="27" max="27" width="14.57421875" style="131" customWidth="1"/>
    <col min="28" max="28" width="13.421875" style="131" customWidth="1"/>
    <col min="29" max="29" width="13.140625" style="131" customWidth="1"/>
    <col min="30" max="31" width="12.00390625" style="131" customWidth="1"/>
    <col min="32" max="32" width="13.7109375" style="131" customWidth="1"/>
    <col min="33" max="33" width="13.421875" style="131" customWidth="1"/>
    <col min="34" max="34" width="12.00390625" style="131" customWidth="1"/>
    <col min="35" max="35" width="10.8515625" style="131" customWidth="1"/>
    <col min="36" max="36" width="12.28125" style="131" customWidth="1"/>
    <col min="37" max="37" width="12.8515625" style="131" customWidth="1"/>
    <col min="38" max="38" width="13.7109375" style="131" customWidth="1"/>
    <col min="39" max="39" width="13.140625" style="131" customWidth="1"/>
    <col min="40" max="40" width="12.00390625" style="131" customWidth="1"/>
    <col min="41" max="41" width="28.8515625" style="131" customWidth="1"/>
    <col min="42" max="42" width="26.8515625" style="131" customWidth="1"/>
    <col min="43" max="43" width="27.140625" style="131" customWidth="1"/>
    <col min="44" max="44" width="31.140625" style="131" customWidth="1"/>
    <col min="45" max="45" width="30.8515625" style="131" customWidth="1"/>
    <col min="46" max="46" width="33.421875" style="131" customWidth="1"/>
    <col min="47" max="47" width="28.8515625" style="131" customWidth="1"/>
    <col min="48" max="48" width="23.140625" style="131" customWidth="1"/>
    <col min="49" max="16384" width="37.140625" style="131" customWidth="1"/>
  </cols>
  <sheetData>
    <row r="1" spans="1:49" ht="16.5" customHeight="1">
      <c r="A1" s="2352" t="s">
        <v>2530</v>
      </c>
      <c r="B1" s="2352"/>
      <c r="C1" s="2352"/>
      <c r="D1" s="2352"/>
      <c r="E1" s="2352"/>
      <c r="F1" s="2352"/>
      <c r="G1" s="2352"/>
      <c r="H1" s="2352"/>
      <c r="I1" s="2352"/>
      <c r="J1" s="2352"/>
      <c r="K1" s="2352"/>
      <c r="L1" s="2352"/>
      <c r="M1" s="2352"/>
      <c r="N1" s="2352"/>
      <c r="O1" s="2352"/>
      <c r="P1" s="2352"/>
      <c r="Q1" s="2352"/>
      <c r="R1" s="2352"/>
      <c r="S1" s="2352"/>
      <c r="T1" s="2352"/>
      <c r="U1" s="2352"/>
      <c r="V1" s="2352"/>
      <c r="W1" s="2352"/>
      <c r="X1" s="2352"/>
      <c r="Y1" s="2352"/>
      <c r="Z1" s="2352"/>
      <c r="AA1" s="2352"/>
      <c r="AB1" s="2352"/>
      <c r="AC1" s="2352"/>
      <c r="AD1" s="2352"/>
      <c r="AE1" s="2352"/>
      <c r="AF1" s="2352"/>
      <c r="AG1" s="2352"/>
      <c r="AH1" s="2352"/>
      <c r="AI1" s="2352"/>
      <c r="AJ1" s="2352"/>
      <c r="AK1" s="2352"/>
      <c r="AL1" s="2352"/>
      <c r="AM1" s="2352"/>
      <c r="AN1" s="2352"/>
      <c r="AO1" s="2352"/>
      <c r="AP1" s="2352"/>
      <c r="AQ1" s="2352"/>
      <c r="AR1" s="2352"/>
      <c r="AS1" s="2352"/>
      <c r="AT1" s="2352"/>
      <c r="AU1" s="2352"/>
      <c r="AV1" s="2489"/>
      <c r="AW1" s="242" t="s">
        <v>2</v>
      </c>
    </row>
    <row r="2" spans="1:49" ht="20.25" customHeight="1">
      <c r="A2" s="2352"/>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2"/>
      <c r="AA2" s="2352"/>
      <c r="AB2" s="2352"/>
      <c r="AC2" s="2352"/>
      <c r="AD2" s="2352"/>
      <c r="AE2" s="2352"/>
      <c r="AF2" s="2352"/>
      <c r="AG2" s="2352"/>
      <c r="AH2" s="2352"/>
      <c r="AI2" s="2352"/>
      <c r="AJ2" s="2352"/>
      <c r="AK2" s="2352"/>
      <c r="AL2" s="2352"/>
      <c r="AM2" s="2352"/>
      <c r="AN2" s="2352"/>
      <c r="AO2" s="2352"/>
      <c r="AP2" s="2352"/>
      <c r="AQ2" s="2352"/>
      <c r="AR2" s="2352"/>
      <c r="AS2" s="2352"/>
      <c r="AT2" s="2352"/>
      <c r="AU2" s="2352"/>
      <c r="AV2" s="2489"/>
      <c r="AW2" s="243" t="s">
        <v>1373</v>
      </c>
    </row>
    <row r="3" spans="1:49" ht="19.5" customHeight="1">
      <c r="A3" s="2352"/>
      <c r="B3" s="2352"/>
      <c r="C3" s="2352"/>
      <c r="D3" s="2352"/>
      <c r="E3" s="2352"/>
      <c r="F3" s="2352"/>
      <c r="G3" s="2352"/>
      <c r="H3" s="2352"/>
      <c r="I3" s="2352"/>
      <c r="J3" s="2352"/>
      <c r="K3" s="2352"/>
      <c r="L3" s="2352"/>
      <c r="M3" s="2352"/>
      <c r="N3" s="2352"/>
      <c r="O3" s="2352"/>
      <c r="P3" s="2352"/>
      <c r="Q3" s="2352"/>
      <c r="R3" s="2352"/>
      <c r="S3" s="2352"/>
      <c r="T3" s="2352"/>
      <c r="U3" s="2352"/>
      <c r="V3" s="2352"/>
      <c r="W3" s="2352"/>
      <c r="X3" s="2352"/>
      <c r="Y3" s="2352"/>
      <c r="Z3" s="2352"/>
      <c r="AA3" s="2352"/>
      <c r="AB3" s="2352"/>
      <c r="AC3" s="2352"/>
      <c r="AD3" s="2352"/>
      <c r="AE3" s="2352"/>
      <c r="AF3" s="2352"/>
      <c r="AG3" s="2352"/>
      <c r="AH3" s="2352"/>
      <c r="AI3" s="2352"/>
      <c r="AJ3" s="2352"/>
      <c r="AK3" s="2352"/>
      <c r="AL3" s="2352"/>
      <c r="AM3" s="2352"/>
      <c r="AN3" s="2352"/>
      <c r="AO3" s="2352"/>
      <c r="AP3" s="2352"/>
      <c r="AQ3" s="2352"/>
      <c r="AR3" s="2352"/>
      <c r="AS3" s="2352"/>
      <c r="AT3" s="2352"/>
      <c r="AU3" s="2352"/>
      <c r="AV3" s="2489"/>
      <c r="AW3" s="242" t="s">
        <v>1374</v>
      </c>
    </row>
    <row r="4" spans="1:49" s="247" customFormat="1" ht="24.75" customHeight="1">
      <c r="A4" s="2280"/>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2280"/>
      <c r="AQ4" s="2280"/>
      <c r="AR4" s="2280"/>
      <c r="AS4" s="2280"/>
      <c r="AT4" s="2280"/>
      <c r="AU4" s="2280"/>
      <c r="AV4" s="2490"/>
      <c r="AW4" s="134" t="s">
        <v>1375</v>
      </c>
    </row>
    <row r="5" spans="1:49" ht="33" customHeight="1">
      <c r="A5" s="2285" t="s">
        <v>9</v>
      </c>
      <c r="B5" s="2285"/>
      <c r="C5" s="2285"/>
      <c r="D5" s="2285"/>
      <c r="E5" s="2285"/>
      <c r="F5" s="2285"/>
      <c r="G5" s="2285"/>
      <c r="H5" s="2285"/>
      <c r="I5" s="2285"/>
      <c r="J5" s="2285"/>
      <c r="K5" s="2285"/>
      <c r="L5" s="2285"/>
      <c r="M5" s="2285"/>
      <c r="N5" s="248"/>
      <c r="O5" s="248"/>
      <c r="P5" s="2285" t="s">
        <v>10</v>
      </c>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5"/>
      <c r="AR5" s="2285"/>
      <c r="AS5" s="2285"/>
      <c r="AT5" s="2285"/>
      <c r="AU5" s="2285"/>
      <c r="AV5" s="2285"/>
      <c r="AW5" s="2285"/>
    </row>
    <row r="6" spans="1:69" ht="27.75" customHeight="1">
      <c r="A6" s="3009" t="s">
        <v>12</v>
      </c>
      <c r="B6" s="2312" t="s">
        <v>13</v>
      </c>
      <c r="C6" s="2297"/>
      <c r="D6" s="2271" t="s">
        <v>12</v>
      </c>
      <c r="E6" s="2312" t="s">
        <v>14</v>
      </c>
      <c r="F6" s="2297"/>
      <c r="G6" s="2271" t="s">
        <v>12</v>
      </c>
      <c r="H6" s="2312" t="s">
        <v>15</v>
      </c>
      <c r="I6" s="2297"/>
      <c r="J6" s="2271" t="s">
        <v>12</v>
      </c>
      <c r="K6" s="2271" t="s">
        <v>16</v>
      </c>
      <c r="L6" s="2271" t="s">
        <v>17</v>
      </c>
      <c r="M6" s="2271" t="s">
        <v>18</v>
      </c>
      <c r="N6" s="2271" t="s">
        <v>19</v>
      </c>
      <c r="O6" s="2271" t="s">
        <v>20</v>
      </c>
      <c r="P6" s="2271" t="s">
        <v>10</v>
      </c>
      <c r="Q6" s="3011" t="s">
        <v>21</v>
      </c>
      <c r="R6" s="3011" t="s">
        <v>22</v>
      </c>
      <c r="S6" s="3011" t="s">
        <v>23</v>
      </c>
      <c r="T6" s="3011" t="s">
        <v>24</v>
      </c>
      <c r="U6" s="3011" t="s">
        <v>25</v>
      </c>
      <c r="V6" s="1083" t="s">
        <v>22</v>
      </c>
      <c r="W6" s="1084"/>
      <c r="X6" s="2271" t="s">
        <v>26</v>
      </c>
      <c r="Y6" s="2366" t="s">
        <v>27</v>
      </c>
      <c r="Z6" s="2367"/>
      <c r="AA6" s="2359" t="s">
        <v>28</v>
      </c>
      <c r="AB6" s="2360"/>
      <c r="AC6" s="2360"/>
      <c r="AD6" s="2360"/>
      <c r="AE6" s="2368" t="s">
        <v>29</v>
      </c>
      <c r="AF6" s="2369"/>
      <c r="AG6" s="2369"/>
      <c r="AH6" s="2369"/>
      <c r="AI6" s="2369"/>
      <c r="AJ6" s="2369"/>
      <c r="AK6" s="2359" t="s">
        <v>30</v>
      </c>
      <c r="AL6" s="2360"/>
      <c r="AM6" s="2360"/>
      <c r="AN6" s="3017" t="s">
        <v>31</v>
      </c>
      <c r="AO6" s="3019" t="s">
        <v>1376</v>
      </c>
      <c r="AP6" s="3020"/>
      <c r="AQ6" s="3020"/>
      <c r="AR6" s="3020"/>
      <c r="AS6" s="3020"/>
      <c r="AT6" s="3021"/>
      <c r="AU6" s="3013" t="s">
        <v>32</v>
      </c>
      <c r="AV6" s="3013" t="s">
        <v>33</v>
      </c>
      <c r="AW6" s="3015" t="s">
        <v>34</v>
      </c>
      <c r="AX6" s="130"/>
      <c r="AY6" s="130"/>
      <c r="AZ6" s="130"/>
      <c r="BA6" s="130"/>
      <c r="BB6" s="130"/>
      <c r="BC6" s="130"/>
      <c r="BD6" s="130"/>
      <c r="BE6" s="130"/>
      <c r="BF6" s="130"/>
      <c r="BG6" s="130"/>
      <c r="BH6" s="130"/>
      <c r="BI6" s="130"/>
      <c r="BJ6" s="130"/>
      <c r="BK6" s="130"/>
      <c r="BL6" s="130"/>
      <c r="BM6" s="130"/>
      <c r="BN6" s="130"/>
      <c r="BO6" s="130"/>
      <c r="BP6" s="130"/>
      <c r="BQ6" s="130"/>
    </row>
    <row r="7" spans="1:69" ht="183" customHeight="1">
      <c r="A7" s="3010"/>
      <c r="B7" s="2313"/>
      <c r="C7" s="2274"/>
      <c r="D7" s="2272"/>
      <c r="E7" s="2313"/>
      <c r="F7" s="2274"/>
      <c r="G7" s="2272"/>
      <c r="H7" s="2313"/>
      <c r="I7" s="2274"/>
      <c r="J7" s="2272"/>
      <c r="K7" s="2272"/>
      <c r="L7" s="2272"/>
      <c r="M7" s="2273"/>
      <c r="N7" s="2272"/>
      <c r="O7" s="2272"/>
      <c r="P7" s="2272"/>
      <c r="Q7" s="3012"/>
      <c r="R7" s="3012"/>
      <c r="S7" s="3012"/>
      <c r="T7" s="3012"/>
      <c r="U7" s="3012"/>
      <c r="V7" s="1082" t="s">
        <v>51</v>
      </c>
      <c r="W7" s="1081" t="s">
        <v>12</v>
      </c>
      <c r="X7" s="2272"/>
      <c r="Y7" s="154" t="s">
        <v>35</v>
      </c>
      <c r="Z7" s="155" t="s">
        <v>36</v>
      </c>
      <c r="AA7" s="154" t="s">
        <v>37</v>
      </c>
      <c r="AB7" s="154" t="s">
        <v>137</v>
      </c>
      <c r="AC7" s="154" t="s">
        <v>352</v>
      </c>
      <c r="AD7" s="154" t="s">
        <v>139</v>
      </c>
      <c r="AE7" s="154" t="s">
        <v>41</v>
      </c>
      <c r="AF7" s="154" t="s">
        <v>42</v>
      </c>
      <c r="AG7" s="154" t="s">
        <v>43</v>
      </c>
      <c r="AH7" s="154" t="s">
        <v>44</v>
      </c>
      <c r="AI7" s="154" t="s">
        <v>45</v>
      </c>
      <c r="AJ7" s="154" t="s">
        <v>46</v>
      </c>
      <c r="AK7" s="154" t="s">
        <v>47</v>
      </c>
      <c r="AL7" s="154" t="s">
        <v>48</v>
      </c>
      <c r="AM7" s="154" t="s">
        <v>49</v>
      </c>
      <c r="AN7" s="3018"/>
      <c r="AO7" s="1085" t="s">
        <v>1377</v>
      </c>
      <c r="AP7" s="1086" t="s">
        <v>1378</v>
      </c>
      <c r="AQ7" s="1085" t="s">
        <v>1379</v>
      </c>
      <c r="AR7" s="1087" t="s">
        <v>1380</v>
      </c>
      <c r="AS7" s="1085" t="s">
        <v>1381</v>
      </c>
      <c r="AT7" s="1085" t="s">
        <v>624</v>
      </c>
      <c r="AU7" s="3014"/>
      <c r="AV7" s="3014"/>
      <c r="AW7" s="3016"/>
      <c r="AX7" s="130"/>
      <c r="AY7" s="130"/>
      <c r="AZ7" s="130"/>
      <c r="BA7" s="130"/>
      <c r="BB7" s="130"/>
      <c r="BC7" s="130"/>
      <c r="BD7" s="130"/>
      <c r="BE7" s="130"/>
      <c r="BF7" s="130"/>
      <c r="BG7" s="130"/>
      <c r="BH7" s="130"/>
      <c r="BI7" s="130"/>
      <c r="BJ7" s="130"/>
      <c r="BK7" s="130"/>
      <c r="BL7" s="130"/>
      <c r="BM7" s="130"/>
      <c r="BN7" s="130"/>
      <c r="BO7" s="130"/>
      <c r="BP7" s="130"/>
      <c r="BQ7" s="130"/>
    </row>
    <row r="8" spans="1:49" s="666" customFormat="1" ht="15.75">
      <c r="A8" s="1089">
        <v>3</v>
      </c>
      <c r="B8" s="1090"/>
      <c r="C8" s="1090" t="s">
        <v>625</v>
      </c>
      <c r="D8" s="1090"/>
      <c r="E8" s="1090"/>
      <c r="F8" s="1090"/>
      <c r="G8" s="1090"/>
      <c r="H8" s="1090"/>
      <c r="I8" s="1090"/>
      <c r="J8" s="1090"/>
      <c r="K8" s="255"/>
      <c r="L8" s="255"/>
      <c r="M8" s="1090"/>
      <c r="N8" s="256"/>
      <c r="O8" s="1090"/>
      <c r="P8" s="255"/>
      <c r="Q8" s="1091"/>
      <c r="R8" s="1092"/>
      <c r="S8" s="255"/>
      <c r="T8" s="255"/>
      <c r="U8" s="255"/>
      <c r="V8" s="255"/>
      <c r="W8" s="1090"/>
      <c r="X8" s="1090"/>
      <c r="Y8" s="1090"/>
      <c r="Z8" s="1090"/>
      <c r="AA8" s="1090"/>
      <c r="AB8" s="1090"/>
      <c r="AC8" s="1090"/>
      <c r="AD8" s="1090"/>
      <c r="AE8" s="1090"/>
      <c r="AF8" s="1090"/>
      <c r="AG8" s="1090"/>
      <c r="AH8" s="1093"/>
      <c r="AI8" s="255"/>
      <c r="AJ8" s="1094"/>
      <c r="AK8" s="1094"/>
      <c r="AL8" s="1094"/>
      <c r="AM8" s="1094"/>
      <c r="AN8" s="1094"/>
      <c r="AO8" s="1094"/>
      <c r="AP8" s="1094"/>
      <c r="AQ8" s="1094"/>
      <c r="AR8" s="1094"/>
      <c r="AS8" s="1094"/>
      <c r="AT8" s="1094"/>
      <c r="AU8" s="1094"/>
      <c r="AV8" s="1094"/>
      <c r="AW8" s="1095"/>
    </row>
    <row r="9" spans="1:49" s="666" customFormat="1" ht="15.75">
      <c r="A9" s="1096"/>
      <c r="B9" s="1097"/>
      <c r="C9" s="1098"/>
      <c r="D9" s="1099">
        <v>5</v>
      </c>
      <c r="E9" s="1100" t="s">
        <v>1382</v>
      </c>
      <c r="F9" s="1100"/>
      <c r="G9" s="1100"/>
      <c r="H9" s="1100"/>
      <c r="I9" s="1100"/>
      <c r="J9" s="1100"/>
      <c r="K9" s="267"/>
      <c r="L9" s="267"/>
      <c r="M9" s="1100"/>
      <c r="N9" s="268"/>
      <c r="O9" s="1100"/>
      <c r="P9" s="267"/>
      <c r="Q9" s="1101"/>
      <c r="R9" s="1102"/>
      <c r="S9" s="267"/>
      <c r="T9" s="267"/>
      <c r="U9" s="267"/>
      <c r="V9" s="267"/>
      <c r="W9" s="1100"/>
      <c r="X9" s="1100"/>
      <c r="Y9" s="1100"/>
      <c r="Z9" s="1100"/>
      <c r="AA9" s="1100"/>
      <c r="AB9" s="1100"/>
      <c r="AC9" s="1100"/>
      <c r="AD9" s="1100"/>
      <c r="AE9" s="1100"/>
      <c r="AF9" s="1100"/>
      <c r="AG9" s="1100"/>
      <c r="AH9" s="1103"/>
      <c r="AI9" s="267"/>
      <c r="AJ9" s="1104"/>
      <c r="AK9" s="1104"/>
      <c r="AL9" s="1104"/>
      <c r="AM9" s="1104"/>
      <c r="AN9" s="1104"/>
      <c r="AO9" s="1104"/>
      <c r="AP9" s="1104"/>
      <c r="AQ9" s="1104"/>
      <c r="AR9" s="1104"/>
      <c r="AS9" s="1104"/>
      <c r="AT9" s="1104"/>
      <c r="AU9" s="1104"/>
      <c r="AV9" s="1104"/>
      <c r="AW9" s="1105"/>
    </row>
    <row r="10" spans="1:49" s="666" customFormat="1" ht="15.75">
      <c r="A10" s="1106"/>
      <c r="B10" s="1107"/>
      <c r="C10" s="1107"/>
      <c r="D10" s="1108"/>
      <c r="E10" s="1109"/>
      <c r="F10" s="1110"/>
      <c r="G10" s="1111">
        <v>16</v>
      </c>
      <c r="H10" s="1112" t="s">
        <v>1383</v>
      </c>
      <c r="I10" s="1112"/>
      <c r="J10" s="1112"/>
      <c r="K10" s="505"/>
      <c r="L10" s="505"/>
      <c r="M10" s="1112"/>
      <c r="N10" s="184"/>
      <c r="O10" s="1112"/>
      <c r="P10" s="505"/>
      <c r="Q10" s="1113"/>
      <c r="R10" s="1114"/>
      <c r="S10" s="505"/>
      <c r="T10" s="505"/>
      <c r="U10" s="505"/>
      <c r="V10" s="505"/>
      <c r="W10" s="1112"/>
      <c r="X10" s="1112"/>
      <c r="Y10" s="1112"/>
      <c r="Z10" s="1112"/>
      <c r="AA10" s="1112"/>
      <c r="AB10" s="1112"/>
      <c r="AC10" s="1112"/>
      <c r="AD10" s="1112"/>
      <c r="AE10" s="1115"/>
      <c r="AF10" s="1112"/>
      <c r="AG10" s="1112"/>
      <c r="AH10" s="1116"/>
      <c r="AI10" s="505"/>
      <c r="AJ10" s="1117"/>
      <c r="AK10" s="1117"/>
      <c r="AL10" s="1117"/>
      <c r="AM10" s="1117"/>
      <c r="AN10" s="1117"/>
      <c r="AO10" s="1117"/>
      <c r="AP10" s="1117"/>
      <c r="AQ10" s="1117"/>
      <c r="AR10" s="1117"/>
      <c r="AS10" s="1117"/>
      <c r="AT10" s="1117"/>
      <c r="AU10" s="1117"/>
      <c r="AV10" s="1117"/>
      <c r="AW10" s="1118"/>
    </row>
    <row r="11" spans="1:49" s="666" customFormat="1" ht="37.5" customHeight="1">
      <c r="A11" s="1106"/>
      <c r="B11" s="1107"/>
      <c r="C11" s="1107"/>
      <c r="D11" s="1119"/>
      <c r="E11" s="2056"/>
      <c r="F11" s="1120"/>
      <c r="G11" s="663"/>
      <c r="H11" s="663"/>
      <c r="I11" s="1121"/>
      <c r="J11" s="2336">
        <v>65</v>
      </c>
      <c r="K11" s="2376" t="s">
        <v>1384</v>
      </c>
      <c r="L11" s="2376" t="s">
        <v>1385</v>
      </c>
      <c r="M11" s="2373">
        <v>1</v>
      </c>
      <c r="N11" s="414" t="s">
        <v>1386</v>
      </c>
      <c r="O11" s="2339" t="s">
        <v>1387</v>
      </c>
      <c r="P11" s="3031" t="s">
        <v>1388</v>
      </c>
      <c r="Q11" s="3025">
        <f>SUM(V11)/R11</f>
        <v>0.35597238045313806</v>
      </c>
      <c r="R11" s="2527">
        <f>+V11+V13+V14+V15+V16+V17+V18</f>
        <v>16304275218.24</v>
      </c>
      <c r="S11" s="2376" t="s">
        <v>1389</v>
      </c>
      <c r="T11" s="3034" t="s">
        <v>1390</v>
      </c>
      <c r="U11" s="3034" t="s">
        <v>1391</v>
      </c>
      <c r="V11" s="3041">
        <f>2640000000+1250000000+97827540+1000079557-584035436+1400000000</f>
        <v>5803871661</v>
      </c>
      <c r="W11" s="2414" t="s">
        <v>1392</v>
      </c>
      <c r="X11" s="2299" t="s">
        <v>1393</v>
      </c>
      <c r="Y11" s="2223">
        <v>21554</v>
      </c>
      <c r="Z11" s="2223">
        <v>22392</v>
      </c>
      <c r="AA11" s="2223">
        <v>31677</v>
      </c>
      <c r="AB11" s="2223">
        <v>10302</v>
      </c>
      <c r="AC11" s="2223">
        <v>1874</v>
      </c>
      <c r="AD11" s="2223">
        <v>93</v>
      </c>
      <c r="AE11" s="2223">
        <v>238</v>
      </c>
      <c r="AF11" s="2223">
        <v>245</v>
      </c>
      <c r="AG11" s="2223">
        <v>0</v>
      </c>
      <c r="AH11" s="2223">
        <v>0</v>
      </c>
      <c r="AI11" s="2223">
        <v>0</v>
      </c>
      <c r="AJ11" s="2223">
        <v>0</v>
      </c>
      <c r="AK11" s="2223">
        <v>2629</v>
      </c>
      <c r="AL11" s="2223">
        <v>2665</v>
      </c>
      <c r="AM11" s="2223">
        <v>2683</v>
      </c>
      <c r="AN11" s="2223">
        <v>43946</v>
      </c>
      <c r="AO11" s="2223"/>
      <c r="AP11" s="3029"/>
      <c r="AQ11" s="3029"/>
      <c r="AR11" s="3030"/>
      <c r="AS11" s="2125" t="s">
        <v>1394</v>
      </c>
      <c r="AT11" s="2125" t="s">
        <v>1395</v>
      </c>
      <c r="AU11" s="3036">
        <v>43101</v>
      </c>
      <c r="AV11" s="3036">
        <v>43407</v>
      </c>
      <c r="AW11" s="2125" t="s">
        <v>1396</v>
      </c>
    </row>
    <row r="12" spans="1:49" s="666" customFormat="1" ht="22.5" customHeight="1">
      <c r="A12" s="1106"/>
      <c r="B12" s="1107"/>
      <c r="C12" s="1107"/>
      <c r="D12" s="1119"/>
      <c r="E12" s="2056"/>
      <c r="F12" s="1120"/>
      <c r="G12" s="663"/>
      <c r="H12" s="663"/>
      <c r="I12" s="1121"/>
      <c r="J12" s="2336"/>
      <c r="K12" s="2376"/>
      <c r="L12" s="2376"/>
      <c r="M12" s="2373"/>
      <c r="N12" s="403" t="s">
        <v>1397</v>
      </c>
      <c r="O12" s="2339"/>
      <c r="P12" s="3032"/>
      <c r="Q12" s="3025"/>
      <c r="R12" s="2527"/>
      <c r="S12" s="2376"/>
      <c r="T12" s="3034"/>
      <c r="U12" s="3034"/>
      <c r="V12" s="3042"/>
      <c r="W12" s="2385"/>
      <c r="X12" s="2336"/>
      <c r="Y12" s="2223"/>
      <c r="Z12" s="2223"/>
      <c r="AA12" s="2223"/>
      <c r="AB12" s="2223"/>
      <c r="AC12" s="2223"/>
      <c r="AD12" s="2223"/>
      <c r="AE12" s="2223"/>
      <c r="AF12" s="2223"/>
      <c r="AG12" s="2223"/>
      <c r="AH12" s="2223"/>
      <c r="AI12" s="2223"/>
      <c r="AJ12" s="2223"/>
      <c r="AK12" s="2223"/>
      <c r="AL12" s="2223"/>
      <c r="AM12" s="2223"/>
      <c r="AN12" s="2223"/>
      <c r="AO12" s="2223"/>
      <c r="AP12" s="3029"/>
      <c r="AQ12" s="3029"/>
      <c r="AR12" s="3030"/>
      <c r="AS12" s="2223"/>
      <c r="AT12" s="2223"/>
      <c r="AU12" s="3036"/>
      <c r="AV12" s="2223"/>
      <c r="AW12" s="2125"/>
    </row>
    <row r="13" spans="1:49" s="666" customFormat="1" ht="27.75" customHeight="1">
      <c r="A13" s="1106"/>
      <c r="B13" s="1107"/>
      <c r="C13" s="1107"/>
      <c r="D13" s="1119"/>
      <c r="E13" s="2056"/>
      <c r="F13" s="1120"/>
      <c r="G13" s="663"/>
      <c r="H13" s="663"/>
      <c r="I13" s="1121"/>
      <c r="J13" s="2334"/>
      <c r="K13" s="2377"/>
      <c r="L13" s="2377"/>
      <c r="M13" s="2374"/>
      <c r="N13" s="403" t="s">
        <v>1398</v>
      </c>
      <c r="O13" s="2339"/>
      <c r="P13" s="3032"/>
      <c r="Q13" s="3026"/>
      <c r="R13" s="2527"/>
      <c r="S13" s="2376"/>
      <c r="T13" s="3035"/>
      <c r="U13" s="3035"/>
      <c r="V13" s="3043"/>
      <c r="W13" s="2385"/>
      <c r="X13" s="2336"/>
      <c r="Y13" s="2223"/>
      <c r="Z13" s="2223"/>
      <c r="AA13" s="2223"/>
      <c r="AB13" s="2223"/>
      <c r="AC13" s="2223"/>
      <c r="AD13" s="2223"/>
      <c r="AE13" s="2223"/>
      <c r="AF13" s="2223"/>
      <c r="AG13" s="2223"/>
      <c r="AH13" s="2223"/>
      <c r="AI13" s="2223"/>
      <c r="AJ13" s="2223"/>
      <c r="AK13" s="2223"/>
      <c r="AL13" s="2223"/>
      <c r="AM13" s="2223"/>
      <c r="AN13" s="2223"/>
      <c r="AO13" s="2223"/>
      <c r="AP13" s="3029"/>
      <c r="AQ13" s="3029"/>
      <c r="AR13" s="3030"/>
      <c r="AS13" s="2223"/>
      <c r="AT13" s="2223"/>
      <c r="AU13" s="2223"/>
      <c r="AV13" s="2223"/>
      <c r="AW13" s="2125"/>
    </row>
    <row r="14" spans="1:49" s="666" customFormat="1" ht="48" customHeight="1">
      <c r="A14" s="1106"/>
      <c r="B14" s="1107"/>
      <c r="C14" s="1107"/>
      <c r="D14" s="1119"/>
      <c r="E14" s="2056"/>
      <c r="F14" s="1120"/>
      <c r="G14" s="663"/>
      <c r="H14" s="663"/>
      <c r="I14" s="1121"/>
      <c r="J14" s="2299">
        <v>66</v>
      </c>
      <c r="K14" s="2375" t="s">
        <v>1399</v>
      </c>
      <c r="L14" s="2375" t="s">
        <v>1400</v>
      </c>
      <c r="M14" s="2378">
        <v>1</v>
      </c>
      <c r="N14" s="1122" t="s">
        <v>1401</v>
      </c>
      <c r="O14" s="2339"/>
      <c r="P14" s="3032"/>
      <c r="Q14" s="3024">
        <f>SUM(V14:V16)/R11</f>
        <v>0.5771249216103296</v>
      </c>
      <c r="R14" s="2527"/>
      <c r="S14" s="2376"/>
      <c r="T14" s="2337" t="s">
        <v>1402</v>
      </c>
      <c r="U14" s="3027" t="s">
        <v>1403</v>
      </c>
      <c r="V14" s="3041">
        <f>7780000000+622078305+1977067+35181428+740763200+643761133+30000000-403504909+454906981+709732517-4261550-168602347-1319428267.76</f>
        <v>9122603557.24</v>
      </c>
      <c r="W14" s="2385"/>
      <c r="X14" s="2336"/>
      <c r="Y14" s="2223"/>
      <c r="Z14" s="2223"/>
      <c r="AA14" s="2223"/>
      <c r="AB14" s="2223"/>
      <c r="AC14" s="2223"/>
      <c r="AD14" s="2223"/>
      <c r="AE14" s="2223"/>
      <c r="AF14" s="2223"/>
      <c r="AG14" s="2223"/>
      <c r="AH14" s="2223"/>
      <c r="AI14" s="2223"/>
      <c r="AJ14" s="2223"/>
      <c r="AK14" s="2223"/>
      <c r="AL14" s="2223"/>
      <c r="AM14" s="2223"/>
      <c r="AN14" s="2223"/>
      <c r="AO14" s="2223"/>
      <c r="AP14" s="3029"/>
      <c r="AQ14" s="3029"/>
      <c r="AR14" s="3030"/>
      <c r="AS14" s="2223"/>
      <c r="AT14" s="2223"/>
      <c r="AU14" s="2223"/>
      <c r="AV14" s="2223"/>
      <c r="AW14" s="2125"/>
    </row>
    <row r="15" spans="1:49" s="666" customFormat="1" ht="61.5" customHeight="1">
      <c r="A15" s="1106"/>
      <c r="B15" s="1107"/>
      <c r="C15" s="1107"/>
      <c r="D15" s="1119"/>
      <c r="E15" s="2056"/>
      <c r="F15" s="1120"/>
      <c r="G15" s="663"/>
      <c r="H15" s="663"/>
      <c r="I15" s="1121"/>
      <c r="J15" s="2336"/>
      <c r="K15" s="2376"/>
      <c r="L15" s="2376"/>
      <c r="M15" s="2373"/>
      <c r="N15" s="1122" t="s">
        <v>1404</v>
      </c>
      <c r="O15" s="2339"/>
      <c r="P15" s="3032"/>
      <c r="Q15" s="3025"/>
      <c r="R15" s="2527"/>
      <c r="S15" s="2376"/>
      <c r="T15" s="2318"/>
      <c r="U15" s="3028"/>
      <c r="V15" s="3043"/>
      <c r="W15" s="2385"/>
      <c r="X15" s="2336"/>
      <c r="Y15" s="2223"/>
      <c r="Z15" s="2223"/>
      <c r="AA15" s="2223"/>
      <c r="AB15" s="2223"/>
      <c r="AC15" s="2223"/>
      <c r="AD15" s="2223"/>
      <c r="AE15" s="2223"/>
      <c r="AF15" s="2223"/>
      <c r="AG15" s="2223"/>
      <c r="AH15" s="2223"/>
      <c r="AI15" s="2223"/>
      <c r="AJ15" s="2223"/>
      <c r="AK15" s="2223"/>
      <c r="AL15" s="2223"/>
      <c r="AM15" s="2223"/>
      <c r="AN15" s="2223"/>
      <c r="AO15" s="2223"/>
      <c r="AP15" s="3029"/>
      <c r="AQ15" s="3029"/>
      <c r="AR15" s="3030"/>
      <c r="AS15" s="2223"/>
      <c r="AT15" s="2223"/>
      <c r="AU15" s="2223"/>
      <c r="AV15" s="2223"/>
      <c r="AW15" s="2125"/>
    </row>
    <row r="16" spans="1:49" s="666" customFormat="1" ht="60">
      <c r="A16" s="1106"/>
      <c r="B16" s="1107"/>
      <c r="C16" s="1107"/>
      <c r="D16" s="1119"/>
      <c r="E16" s="2056"/>
      <c r="F16" s="1120"/>
      <c r="G16" s="663"/>
      <c r="H16" s="663"/>
      <c r="I16" s="1121"/>
      <c r="J16" s="2334"/>
      <c r="K16" s="2377"/>
      <c r="L16" s="2377"/>
      <c r="M16" s="2374"/>
      <c r="N16" s="1122" t="s">
        <v>1405</v>
      </c>
      <c r="O16" s="2339"/>
      <c r="P16" s="3032"/>
      <c r="Q16" s="3026"/>
      <c r="R16" s="2527"/>
      <c r="S16" s="2376"/>
      <c r="T16" s="2319"/>
      <c r="U16" s="1123" t="s">
        <v>1406</v>
      </c>
      <c r="V16" s="1124">
        <f>287000000</f>
        <v>287000000</v>
      </c>
      <c r="W16" s="2385"/>
      <c r="X16" s="2336"/>
      <c r="Y16" s="2223"/>
      <c r="Z16" s="2223"/>
      <c r="AA16" s="2223"/>
      <c r="AB16" s="2223"/>
      <c r="AC16" s="2223"/>
      <c r="AD16" s="2223"/>
      <c r="AE16" s="2223"/>
      <c r="AF16" s="2223"/>
      <c r="AG16" s="2223"/>
      <c r="AH16" s="2223"/>
      <c r="AI16" s="2223"/>
      <c r="AJ16" s="2223"/>
      <c r="AK16" s="2223"/>
      <c r="AL16" s="2223"/>
      <c r="AM16" s="2223"/>
      <c r="AN16" s="2223"/>
      <c r="AO16" s="2223"/>
      <c r="AP16" s="3029"/>
      <c r="AQ16" s="3029"/>
      <c r="AR16" s="3030"/>
      <c r="AS16" s="2223"/>
      <c r="AT16" s="2223"/>
      <c r="AU16" s="2223"/>
      <c r="AV16" s="2223"/>
      <c r="AW16" s="2125"/>
    </row>
    <row r="17" spans="1:49" s="1125" customFormat="1" ht="50.25" customHeight="1">
      <c r="A17" s="1106"/>
      <c r="B17" s="1107"/>
      <c r="C17" s="1107"/>
      <c r="D17" s="1119"/>
      <c r="E17" s="2056"/>
      <c r="F17" s="1120"/>
      <c r="G17" s="663"/>
      <c r="H17" s="663"/>
      <c r="I17" s="1121"/>
      <c r="J17" s="2299">
        <v>67</v>
      </c>
      <c r="K17" s="2375" t="s">
        <v>1407</v>
      </c>
      <c r="L17" s="2375" t="s">
        <v>1408</v>
      </c>
      <c r="M17" s="2378">
        <v>1</v>
      </c>
      <c r="N17" s="1122" t="s">
        <v>1409</v>
      </c>
      <c r="O17" s="2339"/>
      <c r="P17" s="3032"/>
      <c r="Q17" s="3022">
        <f>SUM(V17:V18)/R11</f>
        <v>0.06690269793653231</v>
      </c>
      <c r="R17" s="2527"/>
      <c r="S17" s="2376"/>
      <c r="T17" s="2337" t="s">
        <v>1410</v>
      </c>
      <c r="U17" s="2337" t="s">
        <v>1411</v>
      </c>
      <c r="V17" s="2485">
        <v>1090800000</v>
      </c>
      <c r="W17" s="2385"/>
      <c r="X17" s="2336"/>
      <c r="Y17" s="2223"/>
      <c r="Z17" s="2223"/>
      <c r="AA17" s="2223"/>
      <c r="AB17" s="2223"/>
      <c r="AC17" s="2223"/>
      <c r="AD17" s="2223"/>
      <c r="AE17" s="2223"/>
      <c r="AF17" s="2223"/>
      <c r="AG17" s="2223"/>
      <c r="AH17" s="2223"/>
      <c r="AI17" s="2223"/>
      <c r="AJ17" s="2223"/>
      <c r="AK17" s="2223"/>
      <c r="AL17" s="2223"/>
      <c r="AM17" s="2223"/>
      <c r="AN17" s="2223"/>
      <c r="AO17" s="2223"/>
      <c r="AP17" s="3029"/>
      <c r="AQ17" s="3029"/>
      <c r="AR17" s="3030"/>
      <c r="AS17" s="2223"/>
      <c r="AT17" s="2223"/>
      <c r="AU17" s="2223"/>
      <c r="AV17" s="2223"/>
      <c r="AW17" s="2125"/>
    </row>
    <row r="18" spans="1:49" s="666" customFormat="1" ht="50.25" customHeight="1">
      <c r="A18" s="1106"/>
      <c r="B18" s="1107"/>
      <c r="C18" s="1107"/>
      <c r="D18" s="1119"/>
      <c r="E18" s="2056"/>
      <c r="F18" s="1120"/>
      <c r="G18" s="663"/>
      <c r="H18" s="663"/>
      <c r="I18" s="1121"/>
      <c r="J18" s="2336"/>
      <c r="K18" s="2376"/>
      <c r="L18" s="2376"/>
      <c r="M18" s="2373"/>
      <c r="N18" s="1126"/>
      <c r="O18" s="2339"/>
      <c r="P18" s="3033"/>
      <c r="Q18" s="3023"/>
      <c r="R18" s="2527"/>
      <c r="S18" s="2376"/>
      <c r="T18" s="2318"/>
      <c r="U18" s="2318"/>
      <c r="V18" s="3040"/>
      <c r="W18" s="2386"/>
      <c r="X18" s="2334"/>
      <c r="Y18" s="2223"/>
      <c r="Z18" s="2223"/>
      <c r="AA18" s="2223"/>
      <c r="AB18" s="2223"/>
      <c r="AC18" s="2223"/>
      <c r="AD18" s="2223"/>
      <c r="AE18" s="2223"/>
      <c r="AF18" s="2223"/>
      <c r="AG18" s="2223"/>
      <c r="AH18" s="2223"/>
      <c r="AI18" s="2223"/>
      <c r="AJ18" s="2223"/>
      <c r="AK18" s="2223"/>
      <c r="AL18" s="2223"/>
      <c r="AM18" s="2223"/>
      <c r="AN18" s="2223"/>
      <c r="AO18" s="2223"/>
      <c r="AP18" s="3029"/>
      <c r="AQ18" s="3029"/>
      <c r="AR18" s="3030"/>
      <c r="AS18" s="2223"/>
      <c r="AT18" s="2223"/>
      <c r="AU18" s="2223"/>
      <c r="AV18" s="2223"/>
      <c r="AW18" s="2125"/>
    </row>
    <row r="19" spans="1:49" s="666" customFormat="1" ht="15.75">
      <c r="A19" s="1127"/>
      <c r="B19" s="1128"/>
      <c r="C19" s="1128"/>
      <c r="D19" s="1127"/>
      <c r="E19" s="2057"/>
      <c r="F19" s="1129"/>
      <c r="G19" s="1130">
        <v>17</v>
      </c>
      <c r="H19" s="190" t="s">
        <v>1412</v>
      </c>
      <c r="I19" s="190"/>
      <c r="J19" s="182"/>
      <c r="K19" s="505"/>
      <c r="L19" s="505"/>
      <c r="M19" s="182"/>
      <c r="N19" s="1131"/>
      <c r="O19" s="182"/>
      <c r="P19" s="505"/>
      <c r="Q19" s="182"/>
      <c r="R19" s="641"/>
      <c r="S19" s="505"/>
      <c r="T19" s="505"/>
      <c r="U19" s="505"/>
      <c r="V19" s="1132"/>
      <c r="W19" s="182"/>
      <c r="X19" s="182"/>
      <c r="Y19" s="182"/>
      <c r="Z19" s="182"/>
      <c r="AA19" s="182"/>
      <c r="AB19" s="182"/>
      <c r="AC19" s="182"/>
      <c r="AD19" s="182"/>
      <c r="AE19" s="182"/>
      <c r="AF19" s="182"/>
      <c r="AG19" s="182"/>
      <c r="AH19" s="182"/>
      <c r="AI19" s="182"/>
      <c r="AJ19" s="182"/>
      <c r="AK19" s="182"/>
      <c r="AL19" s="182"/>
      <c r="AM19" s="182"/>
      <c r="AN19" s="1117"/>
      <c r="AO19" s="1117"/>
      <c r="AP19" s="1133"/>
      <c r="AQ19" s="1133"/>
      <c r="AR19" s="1134"/>
      <c r="AS19" s="1117"/>
      <c r="AT19" s="1117"/>
      <c r="AU19" s="1117"/>
      <c r="AV19" s="1117"/>
      <c r="AW19" s="1135"/>
    </row>
    <row r="20" spans="1:49" s="666" customFormat="1" ht="75">
      <c r="A20" s="1136"/>
      <c r="B20" s="1137"/>
      <c r="C20" s="1137"/>
      <c r="D20" s="1138"/>
      <c r="E20" s="2058"/>
      <c r="F20" s="1139"/>
      <c r="G20" s="1140"/>
      <c r="H20" s="1141"/>
      <c r="I20" s="1142"/>
      <c r="J20" s="1143">
        <v>68</v>
      </c>
      <c r="K20" s="1144" t="s">
        <v>1413</v>
      </c>
      <c r="L20" s="1144" t="s">
        <v>1414</v>
      </c>
      <c r="M20" s="1145">
        <v>4500</v>
      </c>
      <c r="N20" s="2373" t="s">
        <v>1415</v>
      </c>
      <c r="O20" s="2373" t="s">
        <v>1416</v>
      </c>
      <c r="P20" s="2376" t="s">
        <v>1417</v>
      </c>
      <c r="Q20" s="1146">
        <f>V20/R20*100</f>
        <v>0.5025716707565286</v>
      </c>
      <c r="R20" s="2527">
        <f>+V20+V21+V22+V23+V25+V26</f>
        <v>1432631487</v>
      </c>
      <c r="S20" s="2376" t="s">
        <v>1418</v>
      </c>
      <c r="T20" s="2376" t="s">
        <v>1419</v>
      </c>
      <c r="U20" s="1147" t="s">
        <v>1420</v>
      </c>
      <c r="V20" s="1148">
        <v>7200000</v>
      </c>
      <c r="W20" s="1149"/>
      <c r="X20" s="789"/>
      <c r="Y20" s="2223"/>
      <c r="Z20" s="2223"/>
      <c r="AA20" s="2223"/>
      <c r="AB20" s="2223"/>
      <c r="AC20" s="2223"/>
      <c r="AD20" s="2223">
        <v>93</v>
      </c>
      <c r="AE20" s="2223">
        <v>238</v>
      </c>
      <c r="AF20" s="2223">
        <v>245</v>
      </c>
      <c r="AG20" s="2223">
        <v>0</v>
      </c>
      <c r="AH20" s="2223">
        <v>0</v>
      </c>
      <c r="AI20" s="2223">
        <v>0</v>
      </c>
      <c r="AJ20" s="2223">
        <v>0</v>
      </c>
      <c r="AK20" s="2223">
        <v>2629</v>
      </c>
      <c r="AL20" s="2223">
        <v>2665</v>
      </c>
      <c r="AM20" s="2223">
        <v>2683</v>
      </c>
      <c r="AN20" s="2223">
        <v>14425</v>
      </c>
      <c r="AO20" s="2223"/>
      <c r="AP20" s="3029"/>
      <c r="AQ20" s="3029"/>
      <c r="AR20" s="3030"/>
      <c r="AS20" s="2125" t="s">
        <v>1421</v>
      </c>
      <c r="AT20" s="2125" t="s">
        <v>1422</v>
      </c>
      <c r="AU20" s="3036">
        <v>43101</v>
      </c>
      <c r="AV20" s="3036">
        <v>43343</v>
      </c>
      <c r="AW20" s="2336" t="s">
        <v>1423</v>
      </c>
    </row>
    <row r="21" spans="1:49" s="666" customFormat="1" ht="45">
      <c r="A21" s="1136"/>
      <c r="B21" s="1137"/>
      <c r="C21" s="1137"/>
      <c r="D21" s="1138"/>
      <c r="E21" s="235"/>
      <c r="F21" s="235"/>
      <c r="G21" s="1138"/>
      <c r="H21" s="235"/>
      <c r="I21" s="1139"/>
      <c r="J21" s="1143">
        <v>69</v>
      </c>
      <c r="K21" s="1150" t="s">
        <v>1424</v>
      </c>
      <c r="L21" s="1144" t="s">
        <v>1425</v>
      </c>
      <c r="M21" s="298">
        <v>1</v>
      </c>
      <c r="N21" s="2373"/>
      <c r="O21" s="2373"/>
      <c r="P21" s="2376"/>
      <c r="Q21" s="1151">
        <f>+V21/R20*100</f>
        <v>0.5025716707565286</v>
      </c>
      <c r="R21" s="2527"/>
      <c r="S21" s="2376"/>
      <c r="T21" s="2376"/>
      <c r="U21" s="1147" t="s">
        <v>1426</v>
      </c>
      <c r="V21" s="1152">
        <v>7200000</v>
      </c>
      <c r="W21" s="1153"/>
      <c r="X21" s="792"/>
      <c r="Y21" s="2223"/>
      <c r="Z21" s="2223"/>
      <c r="AA21" s="2223"/>
      <c r="AB21" s="2223"/>
      <c r="AC21" s="2223"/>
      <c r="AD21" s="2223"/>
      <c r="AE21" s="2223"/>
      <c r="AF21" s="2223"/>
      <c r="AG21" s="2223"/>
      <c r="AH21" s="2223"/>
      <c r="AI21" s="2223"/>
      <c r="AJ21" s="2223"/>
      <c r="AK21" s="2223"/>
      <c r="AL21" s="2223"/>
      <c r="AM21" s="2223"/>
      <c r="AN21" s="2223"/>
      <c r="AO21" s="2223"/>
      <c r="AP21" s="3029"/>
      <c r="AQ21" s="3029"/>
      <c r="AR21" s="3030"/>
      <c r="AS21" s="2223"/>
      <c r="AT21" s="2223"/>
      <c r="AU21" s="2223"/>
      <c r="AV21" s="2223"/>
      <c r="AW21" s="2336"/>
    </row>
    <row r="22" spans="1:49" s="666" customFormat="1" ht="45">
      <c r="A22" s="1136"/>
      <c r="B22" s="1137"/>
      <c r="C22" s="1137"/>
      <c r="D22" s="1138"/>
      <c r="E22" s="235"/>
      <c r="F22" s="235"/>
      <c r="G22" s="1138"/>
      <c r="H22" s="235"/>
      <c r="I22" s="1139"/>
      <c r="J22" s="2905">
        <v>70</v>
      </c>
      <c r="K22" s="2375" t="s">
        <v>1427</v>
      </c>
      <c r="L22" s="2405" t="s">
        <v>1428</v>
      </c>
      <c r="M22" s="2734">
        <v>469</v>
      </c>
      <c r="N22" s="2373"/>
      <c r="O22" s="2373"/>
      <c r="P22" s="2376"/>
      <c r="Q22" s="3048">
        <f>+(V22+V23)/R20*100</f>
        <v>1.0051433415130573</v>
      </c>
      <c r="R22" s="2527"/>
      <c r="S22" s="2376"/>
      <c r="T22" s="2376"/>
      <c r="U22" s="1154" t="s">
        <v>1429</v>
      </c>
      <c r="V22" s="1152">
        <v>10000000</v>
      </c>
      <c r="W22" s="1153"/>
      <c r="X22" s="1155"/>
      <c r="Y22" s="2223"/>
      <c r="Z22" s="2223"/>
      <c r="AA22" s="2223"/>
      <c r="AB22" s="2223"/>
      <c r="AC22" s="2223"/>
      <c r="AD22" s="2223"/>
      <c r="AE22" s="2223"/>
      <c r="AF22" s="2223"/>
      <c r="AG22" s="2223"/>
      <c r="AH22" s="2223"/>
      <c r="AI22" s="2223"/>
      <c r="AJ22" s="2223"/>
      <c r="AK22" s="2223"/>
      <c r="AL22" s="2223"/>
      <c r="AM22" s="2223"/>
      <c r="AN22" s="2223"/>
      <c r="AO22" s="2223"/>
      <c r="AP22" s="3029"/>
      <c r="AQ22" s="3029"/>
      <c r="AR22" s="3030"/>
      <c r="AS22" s="2223"/>
      <c r="AT22" s="2223"/>
      <c r="AU22" s="2223"/>
      <c r="AV22" s="2223"/>
      <c r="AW22" s="2336"/>
    </row>
    <row r="23" spans="1:49" s="666" customFormat="1" ht="75">
      <c r="A23" s="1136"/>
      <c r="B23" s="1137"/>
      <c r="C23" s="1137"/>
      <c r="D23" s="1138"/>
      <c r="E23" s="235"/>
      <c r="F23" s="235"/>
      <c r="G23" s="1138"/>
      <c r="H23" s="235"/>
      <c r="I23" s="1139"/>
      <c r="J23" s="2939"/>
      <c r="K23" s="2376"/>
      <c r="L23" s="2405"/>
      <c r="M23" s="3047"/>
      <c r="N23" s="2373"/>
      <c r="O23" s="2373"/>
      <c r="P23" s="2376"/>
      <c r="Q23" s="3049"/>
      <c r="R23" s="2527"/>
      <c r="S23" s="2376"/>
      <c r="T23" s="2376"/>
      <c r="U23" s="201" t="s">
        <v>1430</v>
      </c>
      <c r="V23" s="927">
        <v>4400000</v>
      </c>
      <c r="W23" s="1153">
        <v>20</v>
      </c>
      <c r="X23" s="1155" t="s">
        <v>80</v>
      </c>
      <c r="Y23" s="2223"/>
      <c r="Z23" s="2223"/>
      <c r="AA23" s="2223"/>
      <c r="AB23" s="2223"/>
      <c r="AC23" s="2223"/>
      <c r="AD23" s="2223"/>
      <c r="AE23" s="2223"/>
      <c r="AF23" s="2223"/>
      <c r="AG23" s="2223"/>
      <c r="AH23" s="2223"/>
      <c r="AI23" s="2223"/>
      <c r="AJ23" s="2223"/>
      <c r="AK23" s="2223"/>
      <c r="AL23" s="2223"/>
      <c r="AM23" s="2223"/>
      <c r="AN23" s="2223"/>
      <c r="AO23" s="2223"/>
      <c r="AP23" s="3029"/>
      <c r="AQ23" s="3029"/>
      <c r="AR23" s="3030"/>
      <c r="AS23" s="2223"/>
      <c r="AT23" s="2223"/>
      <c r="AU23" s="2223"/>
      <c r="AV23" s="2223"/>
      <c r="AW23" s="2336"/>
    </row>
    <row r="24" spans="1:49" s="666" customFormat="1" ht="79.5" customHeight="1">
      <c r="A24" s="1136"/>
      <c r="B24" s="1137"/>
      <c r="C24" s="1137"/>
      <c r="D24" s="1138"/>
      <c r="E24" s="235"/>
      <c r="F24" s="235"/>
      <c r="G24" s="1138"/>
      <c r="H24" s="235"/>
      <c r="I24" s="1139"/>
      <c r="J24" s="1143">
        <v>71</v>
      </c>
      <c r="K24" s="1150" t="s">
        <v>1431</v>
      </c>
      <c r="L24" s="1150" t="s">
        <v>1432</v>
      </c>
      <c r="M24" s="1156">
        <v>2469</v>
      </c>
      <c r="N24" s="2373"/>
      <c r="O24" s="2373"/>
      <c r="P24" s="2376"/>
      <c r="Q24" s="1151">
        <f>+V24/R20*100</f>
        <v>0</v>
      </c>
      <c r="R24" s="2527"/>
      <c r="S24" s="2376"/>
      <c r="T24" s="2376"/>
      <c r="U24" s="1154" t="s">
        <v>1433</v>
      </c>
      <c r="V24" s="1124">
        <v>0</v>
      </c>
      <c r="W24" s="1153">
        <v>25</v>
      </c>
      <c r="X24" s="1155" t="s">
        <v>1421</v>
      </c>
      <c r="Y24" s="2223"/>
      <c r="Z24" s="2223"/>
      <c r="AA24" s="2223"/>
      <c r="AB24" s="2223"/>
      <c r="AC24" s="2223"/>
      <c r="AD24" s="2223"/>
      <c r="AE24" s="2223"/>
      <c r="AF24" s="2223"/>
      <c r="AG24" s="2223">
        <v>0</v>
      </c>
      <c r="AH24" s="2223"/>
      <c r="AI24" s="2223"/>
      <c r="AJ24" s="2223"/>
      <c r="AK24" s="2223"/>
      <c r="AL24" s="2223"/>
      <c r="AM24" s="2223"/>
      <c r="AN24" s="2223"/>
      <c r="AO24" s="2223"/>
      <c r="AP24" s="3029"/>
      <c r="AQ24" s="3029"/>
      <c r="AR24" s="3030"/>
      <c r="AS24" s="2223"/>
      <c r="AT24" s="2223"/>
      <c r="AU24" s="2223"/>
      <c r="AV24" s="2223"/>
      <c r="AW24" s="2336"/>
    </row>
    <row r="25" spans="1:49" s="666" customFormat="1" ht="75">
      <c r="A25" s="1136"/>
      <c r="B25" s="1137"/>
      <c r="C25" s="1137"/>
      <c r="D25" s="1138"/>
      <c r="E25" s="235"/>
      <c r="F25" s="235"/>
      <c r="G25" s="1138"/>
      <c r="H25" s="235"/>
      <c r="I25" s="1139"/>
      <c r="J25" s="1143">
        <v>72</v>
      </c>
      <c r="K25" s="1150" t="s">
        <v>1434</v>
      </c>
      <c r="L25" s="1144" t="s">
        <v>1435</v>
      </c>
      <c r="M25" s="1157">
        <v>455</v>
      </c>
      <c r="N25" s="2373"/>
      <c r="O25" s="2373"/>
      <c r="P25" s="2376"/>
      <c r="Q25" s="1151">
        <f>+V25/R20*100</f>
        <v>0.5025716707565286</v>
      </c>
      <c r="R25" s="2527"/>
      <c r="S25" s="2376"/>
      <c r="T25" s="2376"/>
      <c r="U25" s="1154" t="s">
        <v>1436</v>
      </c>
      <c r="V25" s="1124">
        <v>7200000</v>
      </c>
      <c r="W25" s="1153"/>
      <c r="X25" s="1155"/>
      <c r="Y25" s="2223"/>
      <c r="Z25" s="2223"/>
      <c r="AA25" s="2223"/>
      <c r="AB25" s="2223"/>
      <c r="AC25" s="2223"/>
      <c r="AD25" s="2223"/>
      <c r="AE25" s="2223"/>
      <c r="AF25" s="2223"/>
      <c r="AG25" s="2223"/>
      <c r="AH25" s="2223"/>
      <c r="AI25" s="2223"/>
      <c r="AJ25" s="2223"/>
      <c r="AK25" s="2223"/>
      <c r="AL25" s="2223"/>
      <c r="AM25" s="2223"/>
      <c r="AN25" s="2223"/>
      <c r="AO25" s="2223"/>
      <c r="AP25" s="3029"/>
      <c r="AQ25" s="3029"/>
      <c r="AR25" s="3030"/>
      <c r="AS25" s="2223"/>
      <c r="AT25" s="2223"/>
      <c r="AU25" s="2223"/>
      <c r="AV25" s="2223"/>
      <c r="AW25" s="2336"/>
    </row>
    <row r="26" spans="1:49" s="666" customFormat="1" ht="60">
      <c r="A26" s="1136"/>
      <c r="B26" s="1137"/>
      <c r="C26" s="1137"/>
      <c r="D26" s="1138"/>
      <c r="E26" s="235"/>
      <c r="F26" s="235"/>
      <c r="G26" s="1138"/>
      <c r="H26" s="235"/>
      <c r="I26" s="1139"/>
      <c r="J26" s="789">
        <v>73</v>
      </c>
      <c r="K26" s="1158" t="s">
        <v>1437</v>
      </c>
      <c r="L26" s="1158" t="s">
        <v>1438</v>
      </c>
      <c r="M26" s="1149">
        <v>1</v>
      </c>
      <c r="N26" s="2373"/>
      <c r="O26" s="2373"/>
      <c r="P26" s="2376"/>
      <c r="Q26" s="1151">
        <f>+V26/R20*100</f>
        <v>97.48714164621735</v>
      </c>
      <c r="R26" s="2527"/>
      <c r="S26" s="2376"/>
      <c r="T26" s="2376"/>
      <c r="U26" s="1159" t="s">
        <v>1439</v>
      </c>
      <c r="V26" s="1160">
        <f>1500000000-103368513</f>
        <v>1396631487</v>
      </c>
      <c r="W26" s="1161"/>
      <c r="X26" s="1162"/>
      <c r="Y26" s="2224"/>
      <c r="Z26" s="2224"/>
      <c r="AA26" s="2224"/>
      <c r="AB26" s="2224"/>
      <c r="AC26" s="2224"/>
      <c r="AD26" s="2224"/>
      <c r="AE26" s="2224"/>
      <c r="AF26" s="2224"/>
      <c r="AG26" s="2224"/>
      <c r="AH26" s="2224"/>
      <c r="AI26" s="2224"/>
      <c r="AJ26" s="2224"/>
      <c r="AK26" s="2224"/>
      <c r="AL26" s="2224"/>
      <c r="AM26" s="2224"/>
      <c r="AN26" s="2224"/>
      <c r="AO26" s="2224"/>
      <c r="AP26" s="3050"/>
      <c r="AQ26" s="3050"/>
      <c r="AR26" s="3051"/>
      <c r="AS26" s="2224"/>
      <c r="AT26" s="2224"/>
      <c r="AU26" s="2224"/>
      <c r="AV26" s="2224"/>
      <c r="AW26" s="2334"/>
    </row>
    <row r="27" spans="1:49" s="666" customFormat="1" ht="180">
      <c r="A27" s="1136"/>
      <c r="B27" s="1137"/>
      <c r="C27" s="1137"/>
      <c r="D27" s="1163"/>
      <c r="E27" s="1164"/>
      <c r="F27" s="1164"/>
      <c r="G27" s="1163"/>
      <c r="H27" s="1164"/>
      <c r="I27" s="1165"/>
      <c r="J27" s="789">
        <v>74</v>
      </c>
      <c r="K27" s="1158" t="s">
        <v>1440</v>
      </c>
      <c r="L27" s="1158" t="s">
        <v>1441</v>
      </c>
      <c r="M27" s="1149">
        <v>2232</v>
      </c>
      <c r="N27" s="1166" t="s">
        <v>1442</v>
      </c>
      <c r="O27" s="1166" t="s">
        <v>1443</v>
      </c>
      <c r="P27" s="1158" t="s">
        <v>1444</v>
      </c>
      <c r="Q27" s="1167">
        <v>1</v>
      </c>
      <c r="R27" s="1168">
        <f>+V27</f>
        <v>117064364955</v>
      </c>
      <c r="S27" s="1158" t="s">
        <v>1445</v>
      </c>
      <c r="T27" s="1158" t="s">
        <v>1446</v>
      </c>
      <c r="U27" s="1123" t="s">
        <v>1447</v>
      </c>
      <c r="V27" s="1169">
        <f>139223938055+68294779+15000000+12081234431-25599406412-7695976297-147719601-881000000</f>
        <v>117064364955</v>
      </c>
      <c r="W27" s="1170" t="s">
        <v>1448</v>
      </c>
      <c r="X27" s="1166" t="s">
        <v>1449</v>
      </c>
      <c r="Y27" s="1171">
        <v>21554</v>
      </c>
      <c r="Z27" s="1171">
        <v>22392</v>
      </c>
      <c r="AA27" s="1172">
        <v>31677</v>
      </c>
      <c r="AB27" s="1172">
        <v>10302</v>
      </c>
      <c r="AC27" s="1172">
        <v>1874</v>
      </c>
      <c r="AD27" s="1172">
        <v>93</v>
      </c>
      <c r="AE27" s="1172">
        <v>238</v>
      </c>
      <c r="AF27" s="1172">
        <v>245</v>
      </c>
      <c r="AG27" s="1172">
        <v>0</v>
      </c>
      <c r="AH27" s="1172">
        <v>0</v>
      </c>
      <c r="AI27" s="1173">
        <v>0</v>
      </c>
      <c r="AJ27" s="1174">
        <v>0</v>
      </c>
      <c r="AK27" s="1174">
        <v>2629</v>
      </c>
      <c r="AL27" s="1174">
        <v>2665</v>
      </c>
      <c r="AM27" s="1174">
        <v>2683</v>
      </c>
      <c r="AN27" s="1175">
        <v>43946</v>
      </c>
      <c r="AO27" s="1175"/>
      <c r="AP27" s="1176"/>
      <c r="AQ27" s="1176"/>
      <c r="AR27" s="1177"/>
      <c r="AS27" s="1175" t="s">
        <v>1450</v>
      </c>
      <c r="AT27" s="1175"/>
      <c r="AU27" s="1178">
        <v>43101</v>
      </c>
      <c r="AV27" s="1178">
        <v>43465</v>
      </c>
      <c r="AW27" s="1179" t="s">
        <v>1423</v>
      </c>
    </row>
    <row r="28" spans="1:50" s="666" customFormat="1" ht="15.75">
      <c r="A28" s="1127"/>
      <c r="B28" s="1128"/>
      <c r="C28" s="1129"/>
      <c r="D28" s="1180">
        <v>6</v>
      </c>
      <c r="E28" s="1181" t="s">
        <v>1451</v>
      </c>
      <c r="F28" s="1181"/>
      <c r="G28" s="1181"/>
      <c r="H28" s="1181"/>
      <c r="I28" s="1181"/>
      <c r="J28" s="1181"/>
      <c r="K28" s="267"/>
      <c r="L28" s="267"/>
      <c r="M28" s="266"/>
      <c r="N28" s="268"/>
      <c r="O28" s="268"/>
      <c r="P28" s="267"/>
      <c r="Q28" s="1182"/>
      <c r="R28" s="636"/>
      <c r="S28" s="267"/>
      <c r="T28" s="267"/>
      <c r="U28" s="267"/>
      <c r="V28" s="1183"/>
      <c r="W28" s="272"/>
      <c r="X28" s="268"/>
      <c r="Y28" s="268"/>
      <c r="Z28" s="268"/>
      <c r="AA28" s="266"/>
      <c r="AB28" s="266"/>
      <c r="AC28" s="266"/>
      <c r="AD28" s="266"/>
      <c r="AE28" s="266"/>
      <c r="AF28" s="266"/>
      <c r="AG28" s="266"/>
      <c r="AH28" s="1184"/>
      <c r="AI28" s="1184"/>
      <c r="AJ28" s="1104"/>
      <c r="AK28" s="1104"/>
      <c r="AL28" s="1104"/>
      <c r="AM28" s="1104"/>
      <c r="AN28" s="1104"/>
      <c r="AO28" s="1104"/>
      <c r="AP28" s="1185"/>
      <c r="AQ28" s="1185"/>
      <c r="AR28" s="1186"/>
      <c r="AS28" s="1104"/>
      <c r="AT28" s="1104"/>
      <c r="AU28" s="1104"/>
      <c r="AV28" s="1104"/>
      <c r="AW28" s="1187"/>
      <c r="AX28" s="1188"/>
    </row>
    <row r="29" spans="1:50" s="666" customFormat="1" ht="15.75">
      <c r="A29" s="1127"/>
      <c r="B29" s="1189"/>
      <c r="C29" s="1189"/>
      <c r="D29" s="1190"/>
      <c r="E29" s="1191"/>
      <c r="F29" s="1191"/>
      <c r="G29" s="1192">
        <v>19</v>
      </c>
      <c r="H29" s="1112" t="s">
        <v>1452</v>
      </c>
      <c r="I29" s="1112"/>
      <c r="J29" s="1112"/>
      <c r="K29" s="505"/>
      <c r="L29" s="505"/>
      <c r="M29" s="182"/>
      <c r="N29" s="606"/>
      <c r="O29" s="182"/>
      <c r="P29" s="505"/>
      <c r="Q29" s="182"/>
      <c r="R29" s="641"/>
      <c r="S29" s="505"/>
      <c r="T29" s="505"/>
      <c r="U29" s="505"/>
      <c r="V29" s="1193"/>
      <c r="W29" s="182"/>
      <c r="X29" s="182"/>
      <c r="Y29" s="182"/>
      <c r="Z29" s="182"/>
      <c r="AA29" s="182"/>
      <c r="AB29" s="182"/>
      <c r="AC29" s="182"/>
      <c r="AD29" s="182"/>
      <c r="AE29" s="182"/>
      <c r="AF29" s="182"/>
      <c r="AG29" s="182"/>
      <c r="AH29" s="182"/>
      <c r="AI29" s="182"/>
      <c r="AJ29" s="1117"/>
      <c r="AK29" s="1117"/>
      <c r="AL29" s="1117"/>
      <c r="AM29" s="1117"/>
      <c r="AN29" s="1117"/>
      <c r="AO29" s="1117"/>
      <c r="AP29" s="1133"/>
      <c r="AQ29" s="1133"/>
      <c r="AR29" s="1134"/>
      <c r="AS29" s="1117"/>
      <c r="AT29" s="1117"/>
      <c r="AU29" s="1117"/>
      <c r="AV29" s="1117"/>
      <c r="AW29" s="1135"/>
      <c r="AX29" s="1188"/>
    </row>
    <row r="30" spans="1:50" s="666" customFormat="1" ht="75">
      <c r="A30" s="1194"/>
      <c r="B30" s="224"/>
      <c r="C30" s="224"/>
      <c r="D30" s="1195"/>
      <c r="E30" s="1196"/>
      <c r="F30" s="1196"/>
      <c r="G30" s="224"/>
      <c r="H30" s="224"/>
      <c r="I30" s="224"/>
      <c r="J30" s="1197">
        <v>75</v>
      </c>
      <c r="K30" s="1144" t="s">
        <v>1453</v>
      </c>
      <c r="L30" s="1144" t="s">
        <v>1454</v>
      </c>
      <c r="M30" s="1145">
        <v>28</v>
      </c>
      <c r="N30" s="1198"/>
      <c r="O30" s="2373" t="s">
        <v>1455</v>
      </c>
      <c r="P30" s="2376" t="s">
        <v>1456</v>
      </c>
      <c r="Q30" s="1199">
        <v>0</v>
      </c>
      <c r="R30" s="2686">
        <f>+V31+V34</f>
        <v>248165345</v>
      </c>
      <c r="S30" s="2376" t="s">
        <v>1457</v>
      </c>
      <c r="T30" s="1144" t="s">
        <v>1458</v>
      </c>
      <c r="U30" s="1200" t="s">
        <v>1459</v>
      </c>
      <c r="V30" s="1201"/>
      <c r="W30" s="3037" t="s">
        <v>1460</v>
      </c>
      <c r="X30" s="2443" t="s">
        <v>1461</v>
      </c>
      <c r="Y30" s="2466">
        <v>21554</v>
      </c>
      <c r="Z30" s="2466">
        <v>22392</v>
      </c>
      <c r="AA30" s="2466">
        <v>31677</v>
      </c>
      <c r="AB30" s="2466">
        <v>10302</v>
      </c>
      <c r="AC30" s="2466">
        <v>1874</v>
      </c>
      <c r="AD30" s="2466">
        <v>93</v>
      </c>
      <c r="AE30" s="2466">
        <v>238</v>
      </c>
      <c r="AF30" s="2466">
        <v>245</v>
      </c>
      <c r="AG30" s="2466">
        <v>0</v>
      </c>
      <c r="AH30" s="2466">
        <v>0</v>
      </c>
      <c r="AI30" s="2466">
        <v>0</v>
      </c>
      <c r="AJ30" s="2466">
        <v>0</v>
      </c>
      <c r="AK30" s="2466">
        <v>2629</v>
      </c>
      <c r="AL30" s="2466">
        <v>2629</v>
      </c>
      <c r="AM30" s="2466">
        <v>2683</v>
      </c>
      <c r="AN30" s="2466">
        <v>43946</v>
      </c>
      <c r="AO30" s="2466"/>
      <c r="AP30" s="3044"/>
      <c r="AQ30" s="3044"/>
      <c r="AR30" s="3052"/>
      <c r="AS30" s="2443" t="s">
        <v>1461</v>
      </c>
      <c r="AT30" s="2443" t="s">
        <v>1462</v>
      </c>
      <c r="AU30" s="2750">
        <v>43132</v>
      </c>
      <c r="AV30" s="2750">
        <v>43343</v>
      </c>
      <c r="AW30" s="2444" t="s">
        <v>1396</v>
      </c>
      <c r="AX30" s="1188"/>
    </row>
    <row r="31" spans="1:50" s="666" customFormat="1" ht="120">
      <c r="A31" s="1138"/>
      <c r="B31" s="235"/>
      <c r="C31" s="235"/>
      <c r="D31" s="1195"/>
      <c r="E31" s="1196"/>
      <c r="F31" s="1196"/>
      <c r="G31" s="224"/>
      <c r="H31" s="224"/>
      <c r="I31" s="224"/>
      <c r="J31" s="789">
        <v>76</v>
      </c>
      <c r="K31" s="1158" t="s">
        <v>1463</v>
      </c>
      <c r="L31" s="1158" t="s">
        <v>1464</v>
      </c>
      <c r="M31" s="1202">
        <v>1050</v>
      </c>
      <c r="N31" s="2373" t="s">
        <v>1465</v>
      </c>
      <c r="O31" s="2373"/>
      <c r="P31" s="2376"/>
      <c r="Q31" s="1167">
        <f>+V31/R30</f>
        <v>0.9363327703954797</v>
      </c>
      <c r="R31" s="2686"/>
      <c r="S31" s="2376"/>
      <c r="T31" s="1158" t="s">
        <v>1466</v>
      </c>
      <c r="U31" s="1203" t="s">
        <v>1467</v>
      </c>
      <c r="V31" s="1204">
        <f>244825000-12459655</f>
        <v>232365345</v>
      </c>
      <c r="W31" s="3038"/>
      <c r="X31" s="2444"/>
      <c r="Y31" s="2466"/>
      <c r="Z31" s="2466"/>
      <c r="AA31" s="2466"/>
      <c r="AB31" s="2466"/>
      <c r="AC31" s="2466"/>
      <c r="AD31" s="2466"/>
      <c r="AE31" s="2466"/>
      <c r="AF31" s="2466"/>
      <c r="AG31" s="2466"/>
      <c r="AH31" s="2466"/>
      <c r="AI31" s="2466"/>
      <c r="AJ31" s="2466"/>
      <c r="AK31" s="2466"/>
      <c r="AL31" s="2466"/>
      <c r="AM31" s="2466"/>
      <c r="AN31" s="2466"/>
      <c r="AO31" s="2466"/>
      <c r="AP31" s="3045"/>
      <c r="AQ31" s="3045"/>
      <c r="AR31" s="3053"/>
      <c r="AS31" s="2466"/>
      <c r="AT31" s="2466"/>
      <c r="AU31" s="2466"/>
      <c r="AV31" s="2466"/>
      <c r="AW31" s="2444"/>
      <c r="AX31" s="1188"/>
    </row>
    <row r="32" spans="1:50" s="666" customFormat="1" ht="60">
      <c r="A32" s="1138"/>
      <c r="B32" s="235"/>
      <c r="C32" s="235"/>
      <c r="D32" s="1195"/>
      <c r="E32" s="1196"/>
      <c r="F32" s="1196"/>
      <c r="G32" s="224"/>
      <c r="H32" s="224"/>
      <c r="I32" s="224"/>
      <c r="J32" s="1143">
        <v>77</v>
      </c>
      <c r="K32" s="1150" t="s">
        <v>1468</v>
      </c>
      <c r="L32" s="1150" t="s">
        <v>1469</v>
      </c>
      <c r="M32" s="298">
        <v>73</v>
      </c>
      <c r="N32" s="2373"/>
      <c r="O32" s="2373"/>
      <c r="P32" s="2376"/>
      <c r="Q32" s="1205">
        <v>0</v>
      </c>
      <c r="R32" s="2686"/>
      <c r="S32" s="2376"/>
      <c r="T32" s="1150" t="s">
        <v>1470</v>
      </c>
      <c r="U32" s="1154" t="s">
        <v>1471</v>
      </c>
      <c r="V32" s="1206"/>
      <c r="W32" s="3038"/>
      <c r="X32" s="2444"/>
      <c r="Y32" s="2466"/>
      <c r="Z32" s="2466"/>
      <c r="AA32" s="2466"/>
      <c r="AB32" s="2466"/>
      <c r="AC32" s="2466"/>
      <c r="AD32" s="2466"/>
      <c r="AE32" s="2466"/>
      <c r="AF32" s="2466"/>
      <c r="AG32" s="2466"/>
      <c r="AH32" s="2466"/>
      <c r="AI32" s="2466"/>
      <c r="AJ32" s="2466"/>
      <c r="AK32" s="2466"/>
      <c r="AL32" s="2466"/>
      <c r="AM32" s="2466"/>
      <c r="AN32" s="2466"/>
      <c r="AO32" s="2466"/>
      <c r="AP32" s="3045"/>
      <c r="AQ32" s="3045"/>
      <c r="AR32" s="3053"/>
      <c r="AS32" s="2466"/>
      <c r="AT32" s="2466"/>
      <c r="AU32" s="2466"/>
      <c r="AV32" s="2466"/>
      <c r="AW32" s="2444"/>
      <c r="AX32" s="1188"/>
    </row>
    <row r="33" spans="1:50" s="666" customFormat="1" ht="90">
      <c r="A33" s="1138"/>
      <c r="B33" s="235"/>
      <c r="C33" s="235"/>
      <c r="D33" s="1195"/>
      <c r="E33" s="1196"/>
      <c r="F33" s="1196"/>
      <c r="G33" s="224"/>
      <c r="H33" s="224"/>
      <c r="I33" s="224"/>
      <c r="J33" s="1143">
        <v>78</v>
      </c>
      <c r="K33" s="1150" t="s">
        <v>1472</v>
      </c>
      <c r="L33" s="1150" t="s">
        <v>1473</v>
      </c>
      <c r="M33" s="298">
        <v>14</v>
      </c>
      <c r="N33" s="2373"/>
      <c r="O33" s="2373"/>
      <c r="P33" s="2376"/>
      <c r="Q33" s="1205">
        <v>0</v>
      </c>
      <c r="R33" s="2686"/>
      <c r="S33" s="2376"/>
      <c r="T33" s="1150" t="s">
        <v>1474</v>
      </c>
      <c r="U33" s="1154" t="s">
        <v>1475</v>
      </c>
      <c r="V33" s="1206"/>
      <c r="W33" s="3038"/>
      <c r="X33" s="2444"/>
      <c r="Y33" s="2466"/>
      <c r="Z33" s="2466"/>
      <c r="AA33" s="2466"/>
      <c r="AB33" s="2466"/>
      <c r="AC33" s="2466"/>
      <c r="AD33" s="2466"/>
      <c r="AE33" s="2466"/>
      <c r="AF33" s="2466"/>
      <c r="AG33" s="2466"/>
      <c r="AH33" s="2466"/>
      <c r="AI33" s="2466"/>
      <c r="AJ33" s="2466"/>
      <c r="AK33" s="2466"/>
      <c r="AL33" s="2466"/>
      <c r="AM33" s="2466"/>
      <c r="AN33" s="2466"/>
      <c r="AO33" s="2466"/>
      <c r="AP33" s="3045"/>
      <c r="AQ33" s="3045"/>
      <c r="AR33" s="3053"/>
      <c r="AS33" s="2466"/>
      <c r="AT33" s="2466"/>
      <c r="AU33" s="2466"/>
      <c r="AV33" s="2466"/>
      <c r="AW33" s="2444"/>
      <c r="AX33" s="580"/>
    </row>
    <row r="34" spans="1:49" s="666" customFormat="1" ht="75">
      <c r="A34" s="1138"/>
      <c r="B34" s="235"/>
      <c r="C34" s="235"/>
      <c r="D34" s="1195"/>
      <c r="E34" s="1196"/>
      <c r="F34" s="1196"/>
      <c r="G34" s="224"/>
      <c r="H34" s="224"/>
      <c r="I34" s="224"/>
      <c r="J34" s="1143">
        <v>79</v>
      </c>
      <c r="K34" s="1150" t="s">
        <v>1476</v>
      </c>
      <c r="L34" s="1150" t="s">
        <v>1477</v>
      </c>
      <c r="M34" s="298">
        <v>213</v>
      </c>
      <c r="N34" s="2373"/>
      <c r="O34" s="2373"/>
      <c r="P34" s="2376"/>
      <c r="Q34" s="1205">
        <f>+V34/R30</f>
        <v>0.06366722960452033</v>
      </c>
      <c r="R34" s="2686"/>
      <c r="S34" s="2376"/>
      <c r="T34" s="1150" t="s">
        <v>1478</v>
      </c>
      <c r="U34" s="1154" t="s">
        <v>1479</v>
      </c>
      <c r="V34" s="1207">
        <v>15800000</v>
      </c>
      <c r="W34" s="3038"/>
      <c r="X34" s="2444"/>
      <c r="Y34" s="2466"/>
      <c r="Z34" s="2466"/>
      <c r="AA34" s="2466"/>
      <c r="AB34" s="2466"/>
      <c r="AC34" s="2466"/>
      <c r="AD34" s="2466"/>
      <c r="AE34" s="2466"/>
      <c r="AF34" s="2466"/>
      <c r="AG34" s="2466"/>
      <c r="AH34" s="2466"/>
      <c r="AI34" s="2466"/>
      <c r="AJ34" s="2466"/>
      <c r="AK34" s="2466"/>
      <c r="AL34" s="2466"/>
      <c r="AM34" s="2466"/>
      <c r="AN34" s="2466"/>
      <c r="AO34" s="2466"/>
      <c r="AP34" s="3045"/>
      <c r="AQ34" s="3045"/>
      <c r="AR34" s="3053"/>
      <c r="AS34" s="2466"/>
      <c r="AT34" s="2466"/>
      <c r="AU34" s="2466"/>
      <c r="AV34" s="2466"/>
      <c r="AW34" s="2444"/>
    </row>
    <row r="35" spans="1:49" s="666" customFormat="1" ht="60">
      <c r="A35" s="1138"/>
      <c r="B35" s="235"/>
      <c r="C35" s="235"/>
      <c r="D35" s="1195"/>
      <c r="E35" s="1196"/>
      <c r="F35" s="1196"/>
      <c r="G35" s="224"/>
      <c r="H35" s="224"/>
      <c r="I35" s="224"/>
      <c r="J35" s="1143">
        <v>80</v>
      </c>
      <c r="K35" s="1150" t="s">
        <v>1480</v>
      </c>
      <c r="L35" s="1150" t="s">
        <v>1481</v>
      </c>
      <c r="M35" s="298">
        <v>4476</v>
      </c>
      <c r="N35" s="2373"/>
      <c r="O35" s="2373"/>
      <c r="P35" s="2376"/>
      <c r="Q35" s="1205">
        <v>0</v>
      </c>
      <c r="R35" s="2686"/>
      <c r="S35" s="2376"/>
      <c r="T35" s="1150" t="s">
        <v>1482</v>
      </c>
      <c r="U35" s="1154" t="s">
        <v>1483</v>
      </c>
      <c r="V35" s="1206"/>
      <c r="W35" s="3038"/>
      <c r="X35" s="2444"/>
      <c r="Y35" s="2466"/>
      <c r="Z35" s="2466"/>
      <c r="AA35" s="2466"/>
      <c r="AB35" s="2466"/>
      <c r="AC35" s="2466"/>
      <c r="AD35" s="2466"/>
      <c r="AE35" s="2466"/>
      <c r="AF35" s="2466"/>
      <c r="AG35" s="2466"/>
      <c r="AH35" s="2466"/>
      <c r="AI35" s="2466"/>
      <c r="AJ35" s="2466"/>
      <c r="AK35" s="2466"/>
      <c r="AL35" s="2466"/>
      <c r="AM35" s="2466"/>
      <c r="AN35" s="2466"/>
      <c r="AO35" s="2466"/>
      <c r="AP35" s="3045"/>
      <c r="AQ35" s="3045"/>
      <c r="AR35" s="3053"/>
      <c r="AS35" s="2466"/>
      <c r="AT35" s="2466"/>
      <c r="AU35" s="2466"/>
      <c r="AV35" s="2466"/>
      <c r="AW35" s="2444"/>
    </row>
    <row r="36" spans="1:49" s="666" customFormat="1" ht="75">
      <c r="A36" s="1138"/>
      <c r="B36" s="235"/>
      <c r="C36" s="235"/>
      <c r="D36" s="1195"/>
      <c r="E36" s="1196"/>
      <c r="F36" s="1196"/>
      <c r="G36" s="224"/>
      <c r="H36" s="224"/>
      <c r="I36" s="224"/>
      <c r="J36" s="1143">
        <v>81</v>
      </c>
      <c r="K36" s="1150" t="s">
        <v>1484</v>
      </c>
      <c r="L36" s="1150" t="s">
        <v>1485</v>
      </c>
      <c r="M36" s="298">
        <v>32</v>
      </c>
      <c r="N36" s="2373"/>
      <c r="O36" s="2373"/>
      <c r="P36" s="2376"/>
      <c r="Q36" s="1205">
        <v>0</v>
      </c>
      <c r="R36" s="2686"/>
      <c r="S36" s="2376"/>
      <c r="T36" s="1150" t="s">
        <v>1458</v>
      </c>
      <c r="U36" s="1154" t="s">
        <v>1486</v>
      </c>
      <c r="V36" s="1206"/>
      <c r="W36" s="3038"/>
      <c r="X36" s="2444"/>
      <c r="Y36" s="2466"/>
      <c r="Z36" s="2466"/>
      <c r="AA36" s="2466"/>
      <c r="AB36" s="2466"/>
      <c r="AC36" s="2466"/>
      <c r="AD36" s="2466"/>
      <c r="AE36" s="2466"/>
      <c r="AF36" s="2466"/>
      <c r="AG36" s="2466"/>
      <c r="AH36" s="2466"/>
      <c r="AI36" s="2466"/>
      <c r="AJ36" s="2466"/>
      <c r="AK36" s="2466"/>
      <c r="AL36" s="2466"/>
      <c r="AM36" s="2466"/>
      <c r="AN36" s="2466"/>
      <c r="AO36" s="2466"/>
      <c r="AP36" s="3045"/>
      <c r="AQ36" s="3045"/>
      <c r="AR36" s="3053"/>
      <c r="AS36" s="2466"/>
      <c r="AT36" s="2466"/>
      <c r="AU36" s="2466"/>
      <c r="AV36" s="2466"/>
      <c r="AW36" s="2444"/>
    </row>
    <row r="37" spans="1:49" s="666" customFormat="1" ht="75">
      <c r="A37" s="1138"/>
      <c r="B37" s="235"/>
      <c r="C37" s="235"/>
      <c r="D37" s="1195"/>
      <c r="E37" s="1196"/>
      <c r="F37" s="1196"/>
      <c r="G37" s="224"/>
      <c r="H37" s="224"/>
      <c r="I37" s="224"/>
      <c r="J37" s="789">
        <v>82</v>
      </c>
      <c r="K37" s="1158" t="s">
        <v>1487</v>
      </c>
      <c r="L37" s="1158" t="s">
        <v>1488</v>
      </c>
      <c r="M37" s="1202">
        <v>32</v>
      </c>
      <c r="N37" s="2374"/>
      <c r="O37" s="2373"/>
      <c r="P37" s="2376"/>
      <c r="Q37" s="1167">
        <v>0</v>
      </c>
      <c r="R37" s="2686"/>
      <c r="S37" s="2376"/>
      <c r="T37" s="1158" t="s">
        <v>1458</v>
      </c>
      <c r="U37" s="1123" t="s">
        <v>1489</v>
      </c>
      <c r="V37" s="1208"/>
      <c r="W37" s="3039"/>
      <c r="X37" s="2464"/>
      <c r="Y37" s="2466"/>
      <c r="Z37" s="2466"/>
      <c r="AA37" s="2466"/>
      <c r="AB37" s="2466"/>
      <c r="AC37" s="2466"/>
      <c r="AD37" s="2466"/>
      <c r="AE37" s="2466"/>
      <c r="AF37" s="2466"/>
      <c r="AG37" s="2466"/>
      <c r="AH37" s="2466"/>
      <c r="AI37" s="2466"/>
      <c r="AJ37" s="2466"/>
      <c r="AK37" s="2466"/>
      <c r="AL37" s="2466"/>
      <c r="AM37" s="2466"/>
      <c r="AN37" s="2466"/>
      <c r="AO37" s="2466"/>
      <c r="AP37" s="3046"/>
      <c r="AQ37" s="3046"/>
      <c r="AR37" s="3054"/>
      <c r="AS37" s="2467"/>
      <c r="AT37" s="2467"/>
      <c r="AU37" s="2466"/>
      <c r="AV37" s="2466"/>
      <c r="AW37" s="2444"/>
    </row>
    <row r="38" spans="1:49" s="666" customFormat="1" ht="15.75">
      <c r="A38" s="1138"/>
      <c r="B38" s="235"/>
      <c r="C38" s="235"/>
      <c r="D38" s="1138"/>
      <c r="E38" s="1139"/>
      <c r="F38" s="1139"/>
      <c r="G38" s="1192">
        <v>20</v>
      </c>
      <c r="H38" s="1112" t="s">
        <v>1490</v>
      </c>
      <c r="I38" s="1112"/>
      <c r="J38" s="1112"/>
      <c r="K38" s="505"/>
      <c r="L38" s="505"/>
      <c r="M38" s="182"/>
      <c r="N38" s="606"/>
      <c r="O38" s="182"/>
      <c r="P38" s="505"/>
      <c r="Q38" s="182"/>
      <c r="R38" s="641"/>
      <c r="S38" s="505"/>
      <c r="T38" s="505"/>
      <c r="U38" s="505"/>
      <c r="V38" s="1193"/>
      <c r="W38" s="182"/>
      <c r="X38" s="182"/>
      <c r="Y38" s="182"/>
      <c r="Z38" s="182"/>
      <c r="AA38" s="182"/>
      <c r="AB38" s="182"/>
      <c r="AC38" s="182"/>
      <c r="AD38" s="182"/>
      <c r="AE38" s="182"/>
      <c r="AF38" s="182"/>
      <c r="AG38" s="182"/>
      <c r="AH38" s="182"/>
      <c r="AI38" s="182"/>
      <c r="AJ38" s="1117"/>
      <c r="AK38" s="1117"/>
      <c r="AL38" s="1117"/>
      <c r="AM38" s="1117"/>
      <c r="AN38" s="1117"/>
      <c r="AO38" s="1117"/>
      <c r="AP38" s="1133"/>
      <c r="AQ38" s="1133"/>
      <c r="AR38" s="1134"/>
      <c r="AS38" s="1117"/>
      <c r="AT38" s="1117"/>
      <c r="AU38" s="1117"/>
      <c r="AV38" s="1117"/>
      <c r="AW38" s="1135"/>
    </row>
    <row r="39" spans="1:55" s="666" customFormat="1" ht="45">
      <c r="A39" s="520"/>
      <c r="B39" s="130"/>
      <c r="C39" s="130"/>
      <c r="D39" s="1209"/>
      <c r="E39" s="1210"/>
      <c r="F39" s="1210"/>
      <c r="G39" s="2657"/>
      <c r="H39" s="2657"/>
      <c r="I39" s="2658"/>
      <c r="J39" s="792">
        <v>83</v>
      </c>
      <c r="K39" s="1200" t="s">
        <v>1491</v>
      </c>
      <c r="L39" s="1200" t="s">
        <v>1492</v>
      </c>
      <c r="M39" s="1145">
        <v>47</v>
      </c>
      <c r="N39" s="961"/>
      <c r="O39" s="2336" t="s">
        <v>1493</v>
      </c>
      <c r="P39" s="2318" t="s">
        <v>1494</v>
      </c>
      <c r="Q39" s="1211">
        <f>V39/R39</f>
        <v>0.336135459675676</v>
      </c>
      <c r="R39" s="2627">
        <f>SUM(V39:V52)</f>
        <v>333496502</v>
      </c>
      <c r="S39" s="2318" t="s">
        <v>1495</v>
      </c>
      <c r="T39" s="1200" t="s">
        <v>1496</v>
      </c>
      <c r="U39" s="229" t="s">
        <v>1497</v>
      </c>
      <c r="V39" s="1207">
        <v>112100000</v>
      </c>
      <c r="W39" s="2216" t="s">
        <v>1498</v>
      </c>
      <c r="X39" s="2124" t="s">
        <v>1499</v>
      </c>
      <c r="Y39" s="2222">
        <v>21554</v>
      </c>
      <c r="Z39" s="2222">
        <v>22392</v>
      </c>
      <c r="AA39" s="2225">
        <v>31677</v>
      </c>
      <c r="AB39" s="2225">
        <v>10302</v>
      </c>
      <c r="AC39" s="2225">
        <v>1874</v>
      </c>
      <c r="AD39" s="2225">
        <v>93</v>
      </c>
      <c r="AE39" s="2225">
        <v>238</v>
      </c>
      <c r="AF39" s="2225">
        <v>245</v>
      </c>
      <c r="AG39" s="2225"/>
      <c r="AH39" s="2225"/>
      <c r="AI39" s="2225"/>
      <c r="AJ39" s="2225"/>
      <c r="AK39" s="2225"/>
      <c r="AL39" s="2225">
        <v>2665</v>
      </c>
      <c r="AM39" s="2225">
        <v>2683</v>
      </c>
      <c r="AN39" s="2225">
        <v>43946</v>
      </c>
      <c r="AO39" s="1212"/>
      <c r="AP39" s="3063"/>
      <c r="AQ39" s="3063"/>
      <c r="AR39" s="3064"/>
      <c r="AS39" s="2125" t="s">
        <v>1500</v>
      </c>
      <c r="AT39" s="1213" t="s">
        <v>1501</v>
      </c>
      <c r="AU39" s="1214">
        <v>43101</v>
      </c>
      <c r="AV39" s="1214">
        <v>43343</v>
      </c>
      <c r="AW39" s="3055" t="s">
        <v>1396</v>
      </c>
      <c r="AX39" s="1215"/>
      <c r="AY39" s="1215"/>
      <c r="AZ39" s="1215"/>
      <c r="BA39" s="1215"/>
      <c r="BB39" s="1215"/>
      <c r="BC39" s="1215"/>
    </row>
    <row r="40" spans="1:55" s="666" customFormat="1" ht="60">
      <c r="A40" s="520"/>
      <c r="B40" s="130"/>
      <c r="C40" s="130"/>
      <c r="D40" s="1209"/>
      <c r="E40" s="1210"/>
      <c r="F40" s="1210"/>
      <c r="G40" s="2657"/>
      <c r="H40" s="2657"/>
      <c r="I40" s="2658"/>
      <c r="J40" s="1143">
        <v>84</v>
      </c>
      <c r="K40" s="1154" t="s">
        <v>1502</v>
      </c>
      <c r="L40" s="1154" t="s">
        <v>1503</v>
      </c>
      <c r="M40" s="1143">
        <v>26</v>
      </c>
      <c r="N40" s="961"/>
      <c r="O40" s="2336"/>
      <c r="P40" s="2318"/>
      <c r="Q40" s="1216">
        <f>+V40/R39</f>
        <v>0</v>
      </c>
      <c r="R40" s="2627"/>
      <c r="S40" s="2318"/>
      <c r="T40" s="1154" t="s">
        <v>1504</v>
      </c>
      <c r="U40" s="1154" t="s">
        <v>1505</v>
      </c>
      <c r="V40" s="1206"/>
      <c r="W40" s="2268"/>
      <c r="X40" s="2125"/>
      <c r="Y40" s="2223"/>
      <c r="Z40" s="2223"/>
      <c r="AA40" s="2268"/>
      <c r="AB40" s="2268"/>
      <c r="AC40" s="2268"/>
      <c r="AD40" s="2268"/>
      <c r="AE40" s="2268"/>
      <c r="AF40" s="2268"/>
      <c r="AG40" s="2268"/>
      <c r="AH40" s="2268"/>
      <c r="AI40" s="2268"/>
      <c r="AJ40" s="2268"/>
      <c r="AK40" s="2268"/>
      <c r="AL40" s="2268"/>
      <c r="AM40" s="2268"/>
      <c r="AN40" s="2268"/>
      <c r="AO40" s="1212"/>
      <c r="AP40" s="3029"/>
      <c r="AQ40" s="3029"/>
      <c r="AR40" s="3030"/>
      <c r="AS40" s="2223"/>
      <c r="AT40" s="1212"/>
      <c r="AU40" s="1217"/>
      <c r="AV40" s="1217"/>
      <c r="AW40" s="3056"/>
      <c r="AX40" s="1215"/>
      <c r="AY40" s="1215"/>
      <c r="AZ40" s="1215"/>
      <c r="BA40" s="1215"/>
      <c r="BB40" s="1215"/>
      <c r="BC40" s="1215"/>
    </row>
    <row r="41" spans="1:55" s="666" customFormat="1" ht="45">
      <c r="A41" s="520"/>
      <c r="B41" s="130"/>
      <c r="C41" s="130"/>
      <c r="D41" s="1209"/>
      <c r="E41" s="1210"/>
      <c r="F41" s="1210"/>
      <c r="G41" s="2657"/>
      <c r="H41" s="2657"/>
      <c r="I41" s="2658"/>
      <c r="J41" s="1143">
        <v>85</v>
      </c>
      <c r="K41" s="1154" t="s">
        <v>1506</v>
      </c>
      <c r="L41" s="1154" t="s">
        <v>1507</v>
      </c>
      <c r="M41" s="1143">
        <v>26</v>
      </c>
      <c r="N41" s="961"/>
      <c r="O41" s="2336"/>
      <c r="P41" s="2318"/>
      <c r="Q41" s="1216">
        <f>+V41/R39</f>
        <v>0</v>
      </c>
      <c r="R41" s="2627"/>
      <c r="S41" s="2318"/>
      <c r="T41" s="1123" t="s">
        <v>1508</v>
      </c>
      <c r="U41" s="1154" t="s">
        <v>1509</v>
      </c>
      <c r="V41" s="1207">
        <f>16050000-16050000</f>
        <v>0</v>
      </c>
      <c r="W41" s="2268"/>
      <c r="X41" s="2125"/>
      <c r="Y41" s="2223"/>
      <c r="Z41" s="2223"/>
      <c r="AA41" s="2268"/>
      <c r="AB41" s="2268"/>
      <c r="AC41" s="2268"/>
      <c r="AD41" s="2268"/>
      <c r="AE41" s="2268"/>
      <c r="AF41" s="2268"/>
      <c r="AG41" s="2268"/>
      <c r="AH41" s="2268"/>
      <c r="AI41" s="2268"/>
      <c r="AJ41" s="2268"/>
      <c r="AK41" s="2268"/>
      <c r="AL41" s="2268"/>
      <c r="AM41" s="2268"/>
      <c r="AN41" s="2268"/>
      <c r="AO41" s="1212"/>
      <c r="AP41" s="3029"/>
      <c r="AQ41" s="3029"/>
      <c r="AR41" s="3030"/>
      <c r="AS41" s="2223"/>
      <c r="AT41" s="1212"/>
      <c r="AU41" s="1217"/>
      <c r="AV41" s="1217"/>
      <c r="AW41" s="3056"/>
      <c r="AX41" s="1215"/>
      <c r="AY41" s="1215"/>
      <c r="AZ41" s="1215"/>
      <c r="BA41" s="1215"/>
      <c r="BB41" s="1215"/>
      <c r="BC41" s="1215"/>
    </row>
    <row r="42" spans="1:55" s="666" customFormat="1" ht="60">
      <c r="A42" s="520"/>
      <c r="B42" s="130"/>
      <c r="C42" s="130"/>
      <c r="D42" s="1209"/>
      <c r="E42" s="1210"/>
      <c r="F42" s="1210"/>
      <c r="G42" s="2657"/>
      <c r="H42" s="2657"/>
      <c r="I42" s="2658"/>
      <c r="J42" s="1143">
        <v>87</v>
      </c>
      <c r="K42" s="1154" t="s">
        <v>1510</v>
      </c>
      <c r="L42" s="1154" t="s">
        <v>1511</v>
      </c>
      <c r="M42" s="1143">
        <v>30</v>
      </c>
      <c r="N42" s="961"/>
      <c r="O42" s="2336"/>
      <c r="P42" s="2318"/>
      <c r="Q42" s="1216">
        <f>+V42/R39</f>
        <v>0.14992661002483318</v>
      </c>
      <c r="R42" s="2627"/>
      <c r="S42" s="2318"/>
      <c r="T42" s="1154" t="s">
        <v>1512</v>
      </c>
      <c r="U42" s="1154" t="s">
        <v>1513</v>
      </c>
      <c r="V42" s="1207">
        <f>20000000+30000000</f>
        <v>50000000</v>
      </c>
      <c r="W42" s="2268"/>
      <c r="X42" s="2125"/>
      <c r="Y42" s="2223"/>
      <c r="Z42" s="2223"/>
      <c r="AA42" s="2268"/>
      <c r="AB42" s="2268"/>
      <c r="AC42" s="2268"/>
      <c r="AD42" s="2268"/>
      <c r="AE42" s="2268"/>
      <c r="AF42" s="2268"/>
      <c r="AG42" s="2268"/>
      <c r="AH42" s="2268"/>
      <c r="AI42" s="2268"/>
      <c r="AJ42" s="2268"/>
      <c r="AK42" s="2268"/>
      <c r="AL42" s="2268"/>
      <c r="AM42" s="2268"/>
      <c r="AN42" s="2268"/>
      <c r="AO42" s="1212"/>
      <c r="AP42" s="3029"/>
      <c r="AQ42" s="3029"/>
      <c r="AR42" s="3030"/>
      <c r="AS42" s="2223"/>
      <c r="AT42" s="1212"/>
      <c r="AU42" s="1217"/>
      <c r="AV42" s="1217"/>
      <c r="AW42" s="3056"/>
      <c r="AX42" s="1215"/>
      <c r="AY42" s="1215"/>
      <c r="AZ42" s="1215"/>
      <c r="BA42" s="1215"/>
      <c r="BB42" s="1215"/>
      <c r="BC42" s="1215"/>
    </row>
    <row r="43" spans="1:55" s="666" customFormat="1" ht="60">
      <c r="A43" s="520"/>
      <c r="B43" s="130"/>
      <c r="C43" s="130"/>
      <c r="D43" s="1209"/>
      <c r="E43" s="1210"/>
      <c r="F43" s="1210"/>
      <c r="G43" s="2657"/>
      <c r="H43" s="2657"/>
      <c r="I43" s="2658"/>
      <c r="J43" s="2299">
        <v>88</v>
      </c>
      <c r="K43" s="2337" t="s">
        <v>1514</v>
      </c>
      <c r="L43" s="2337" t="s">
        <v>1515</v>
      </c>
      <c r="M43" s="2299">
        <v>34</v>
      </c>
      <c r="N43" s="961"/>
      <c r="O43" s="2336"/>
      <c r="P43" s="2318"/>
      <c r="Q43" s="3058">
        <f>(+V43+V44)/R39</f>
        <v>0.20704864844429463</v>
      </c>
      <c r="R43" s="2627"/>
      <c r="S43" s="2318"/>
      <c r="T43" s="2337" t="s">
        <v>1516</v>
      </c>
      <c r="U43" s="1154" t="s">
        <v>1517</v>
      </c>
      <c r="V43" s="1218">
        <f>53000000+16050000</f>
        <v>69050000</v>
      </c>
      <c r="W43" s="2268"/>
      <c r="X43" s="2125"/>
      <c r="Y43" s="2223"/>
      <c r="Z43" s="2223"/>
      <c r="AA43" s="2268"/>
      <c r="AB43" s="2268"/>
      <c r="AC43" s="2268"/>
      <c r="AD43" s="2268"/>
      <c r="AE43" s="2268"/>
      <c r="AF43" s="2268"/>
      <c r="AG43" s="2268"/>
      <c r="AH43" s="2268"/>
      <c r="AI43" s="2268"/>
      <c r="AJ43" s="2268"/>
      <c r="AK43" s="2268"/>
      <c r="AL43" s="2268"/>
      <c r="AM43" s="2268"/>
      <c r="AN43" s="2268"/>
      <c r="AO43" s="1212"/>
      <c r="AP43" s="3029"/>
      <c r="AQ43" s="3029"/>
      <c r="AR43" s="3030"/>
      <c r="AS43" s="2223"/>
      <c r="AT43" s="1213" t="s">
        <v>1518</v>
      </c>
      <c r="AU43" s="1214">
        <v>43132</v>
      </c>
      <c r="AV43" s="1214">
        <v>43343</v>
      </c>
      <c r="AW43" s="3056"/>
      <c r="AX43" s="1215"/>
      <c r="AY43" s="1215"/>
      <c r="AZ43" s="1215"/>
      <c r="BA43" s="1215"/>
      <c r="BB43" s="1215"/>
      <c r="BC43" s="1215"/>
    </row>
    <row r="44" spans="1:55" s="666" customFormat="1" ht="75">
      <c r="A44" s="520"/>
      <c r="B44" s="130"/>
      <c r="C44" s="130"/>
      <c r="D44" s="1209"/>
      <c r="E44" s="1210"/>
      <c r="F44" s="1210"/>
      <c r="G44" s="2657"/>
      <c r="H44" s="2657"/>
      <c r="I44" s="2658"/>
      <c r="J44" s="2334"/>
      <c r="K44" s="2319"/>
      <c r="L44" s="2319"/>
      <c r="M44" s="2334"/>
      <c r="N44" s="961" t="s">
        <v>1519</v>
      </c>
      <c r="O44" s="2336"/>
      <c r="P44" s="2318"/>
      <c r="Q44" s="3059"/>
      <c r="R44" s="2627"/>
      <c r="S44" s="2318"/>
      <c r="T44" s="2319"/>
      <c r="U44" s="1154" t="s">
        <v>1520</v>
      </c>
      <c r="V44" s="1207"/>
      <c r="W44" s="2268"/>
      <c r="X44" s="2125"/>
      <c r="Y44" s="2223"/>
      <c r="Z44" s="2223"/>
      <c r="AA44" s="2268"/>
      <c r="AB44" s="2268"/>
      <c r="AC44" s="2268"/>
      <c r="AD44" s="2268"/>
      <c r="AE44" s="2268"/>
      <c r="AF44" s="2268"/>
      <c r="AG44" s="2268"/>
      <c r="AH44" s="2268"/>
      <c r="AI44" s="2268"/>
      <c r="AJ44" s="2268"/>
      <c r="AK44" s="2268"/>
      <c r="AL44" s="2268"/>
      <c r="AM44" s="2268"/>
      <c r="AN44" s="2268"/>
      <c r="AO44" s="1212"/>
      <c r="AP44" s="3029"/>
      <c r="AQ44" s="3029"/>
      <c r="AR44" s="3030"/>
      <c r="AS44" s="2223"/>
      <c r="AT44" s="1212"/>
      <c r="AU44" s="1217"/>
      <c r="AV44" s="1217"/>
      <c r="AW44" s="3056"/>
      <c r="AX44" s="1215"/>
      <c r="AY44" s="1215"/>
      <c r="AZ44" s="1215"/>
      <c r="BA44" s="1215"/>
      <c r="BB44" s="1215"/>
      <c r="BC44" s="1215"/>
    </row>
    <row r="45" spans="1:55" s="666" customFormat="1" ht="30">
      <c r="A45" s="520"/>
      <c r="B45" s="130"/>
      <c r="C45" s="130"/>
      <c r="D45" s="1209"/>
      <c r="E45" s="1210"/>
      <c r="F45" s="1210"/>
      <c r="G45" s="2657"/>
      <c r="H45" s="2657"/>
      <c r="I45" s="2658"/>
      <c r="J45" s="2905">
        <v>86</v>
      </c>
      <c r="K45" s="2337" t="s">
        <v>1521</v>
      </c>
      <c r="L45" s="2337" t="s">
        <v>1522</v>
      </c>
      <c r="M45" s="2299">
        <v>3</v>
      </c>
      <c r="N45" s="961" t="s">
        <v>1523</v>
      </c>
      <c r="O45" s="2336"/>
      <c r="P45" s="2318"/>
      <c r="Q45" s="3058">
        <f>(V45+V46+V47)/R39</f>
        <v>0</v>
      </c>
      <c r="R45" s="2627"/>
      <c r="S45" s="2318"/>
      <c r="T45" s="2337" t="s">
        <v>1512</v>
      </c>
      <c r="U45" s="1154" t="s">
        <v>1524</v>
      </c>
      <c r="V45" s="1206"/>
      <c r="W45" s="2268"/>
      <c r="X45" s="2125"/>
      <c r="Y45" s="2223"/>
      <c r="Z45" s="2223"/>
      <c r="AA45" s="2268"/>
      <c r="AB45" s="2268"/>
      <c r="AC45" s="2268"/>
      <c r="AD45" s="2268"/>
      <c r="AE45" s="2268"/>
      <c r="AF45" s="2268"/>
      <c r="AG45" s="2268"/>
      <c r="AH45" s="2268"/>
      <c r="AI45" s="2268"/>
      <c r="AJ45" s="2268"/>
      <c r="AK45" s="2268"/>
      <c r="AL45" s="2268"/>
      <c r="AM45" s="2268"/>
      <c r="AN45" s="2268"/>
      <c r="AO45" s="1212"/>
      <c r="AP45" s="3029"/>
      <c r="AQ45" s="3029"/>
      <c r="AR45" s="3030"/>
      <c r="AS45" s="2223"/>
      <c r="AT45" s="1212"/>
      <c r="AU45" s="1217"/>
      <c r="AV45" s="1217"/>
      <c r="AW45" s="3056"/>
      <c r="AX45" s="1215"/>
      <c r="AY45" s="1215"/>
      <c r="AZ45" s="1215"/>
      <c r="BA45" s="1215"/>
      <c r="BB45" s="1215"/>
      <c r="BC45" s="1215"/>
    </row>
    <row r="46" spans="1:55" s="666" customFormat="1" ht="15.75">
      <c r="A46" s="520"/>
      <c r="B46" s="130"/>
      <c r="C46" s="130"/>
      <c r="D46" s="1209"/>
      <c r="E46" s="1210"/>
      <c r="F46" s="1210"/>
      <c r="G46" s="2657"/>
      <c r="H46" s="2657"/>
      <c r="I46" s="2658"/>
      <c r="J46" s="2939"/>
      <c r="K46" s="2318"/>
      <c r="L46" s="2318"/>
      <c r="M46" s="2336"/>
      <c r="N46" s="961" t="s">
        <v>1525</v>
      </c>
      <c r="O46" s="2336"/>
      <c r="P46" s="2318"/>
      <c r="Q46" s="3060"/>
      <c r="R46" s="2627"/>
      <c r="S46" s="2318"/>
      <c r="T46" s="2318"/>
      <c r="U46" s="1154" t="s">
        <v>1526</v>
      </c>
      <c r="V46" s="1206"/>
      <c r="W46" s="2268"/>
      <c r="X46" s="2125"/>
      <c r="Y46" s="2223"/>
      <c r="Z46" s="2223"/>
      <c r="AA46" s="2268"/>
      <c r="AB46" s="2268"/>
      <c r="AC46" s="2268"/>
      <c r="AD46" s="2268"/>
      <c r="AE46" s="2268"/>
      <c r="AF46" s="2268"/>
      <c r="AG46" s="2268"/>
      <c r="AH46" s="2268"/>
      <c r="AI46" s="2268"/>
      <c r="AJ46" s="2268"/>
      <c r="AK46" s="2268"/>
      <c r="AL46" s="2268"/>
      <c r="AM46" s="2268"/>
      <c r="AN46" s="2268"/>
      <c r="AO46" s="1212"/>
      <c r="AP46" s="3029"/>
      <c r="AQ46" s="3029"/>
      <c r="AR46" s="3030"/>
      <c r="AS46" s="2223"/>
      <c r="AT46" s="1212"/>
      <c r="AU46" s="1217"/>
      <c r="AV46" s="1217"/>
      <c r="AW46" s="3056"/>
      <c r="AX46" s="1215"/>
      <c r="AY46" s="1215"/>
      <c r="AZ46" s="1215"/>
      <c r="BA46" s="1215"/>
      <c r="BB46" s="1215"/>
      <c r="BC46" s="1215"/>
    </row>
    <row r="47" spans="1:55" s="666" customFormat="1" ht="30">
      <c r="A47" s="520"/>
      <c r="B47" s="130"/>
      <c r="C47" s="130"/>
      <c r="D47" s="1209"/>
      <c r="E47" s="1210"/>
      <c r="F47" s="1210"/>
      <c r="G47" s="2657"/>
      <c r="H47" s="2657"/>
      <c r="I47" s="2658"/>
      <c r="J47" s="2906"/>
      <c r="K47" s="2319"/>
      <c r="L47" s="2319"/>
      <c r="M47" s="2334"/>
      <c r="N47" s="961"/>
      <c r="O47" s="2336"/>
      <c r="P47" s="2318"/>
      <c r="Q47" s="3059"/>
      <c r="R47" s="2627"/>
      <c r="S47" s="2318"/>
      <c r="T47" s="2319"/>
      <c r="U47" s="201" t="s">
        <v>1527</v>
      </c>
      <c r="V47" s="1219"/>
      <c r="W47" s="2268"/>
      <c r="X47" s="2125"/>
      <c r="Y47" s="2223"/>
      <c r="Z47" s="2223"/>
      <c r="AA47" s="2268"/>
      <c r="AB47" s="2268"/>
      <c r="AC47" s="2268"/>
      <c r="AD47" s="2268"/>
      <c r="AE47" s="2268"/>
      <c r="AF47" s="2268"/>
      <c r="AG47" s="2268"/>
      <c r="AH47" s="2268"/>
      <c r="AI47" s="2268"/>
      <c r="AJ47" s="2268"/>
      <c r="AK47" s="2268"/>
      <c r="AL47" s="2268"/>
      <c r="AM47" s="2268"/>
      <c r="AN47" s="2268"/>
      <c r="AO47" s="1212"/>
      <c r="AP47" s="3029"/>
      <c r="AQ47" s="3029"/>
      <c r="AR47" s="3030"/>
      <c r="AS47" s="2223"/>
      <c r="AT47" s="1212"/>
      <c r="AU47" s="1217"/>
      <c r="AV47" s="1217"/>
      <c r="AW47" s="3056"/>
      <c r="AX47" s="1215"/>
      <c r="AY47" s="1215"/>
      <c r="AZ47" s="1215"/>
      <c r="BA47" s="1215"/>
      <c r="BB47" s="1215"/>
      <c r="BC47" s="1215"/>
    </row>
    <row r="48" spans="1:55" s="666" customFormat="1" ht="75">
      <c r="A48" s="520"/>
      <c r="B48" s="130"/>
      <c r="C48" s="130"/>
      <c r="D48" s="1209"/>
      <c r="E48" s="1210"/>
      <c r="F48" s="1210"/>
      <c r="G48" s="2657"/>
      <c r="H48" s="2657"/>
      <c r="I48" s="2658"/>
      <c r="J48" s="1143">
        <v>89</v>
      </c>
      <c r="K48" s="1154" t="s">
        <v>1528</v>
      </c>
      <c r="L48" s="1154" t="s">
        <v>1529</v>
      </c>
      <c r="M48" s="1143">
        <v>17500</v>
      </c>
      <c r="N48" s="961"/>
      <c r="O48" s="2336"/>
      <c r="P48" s="2318"/>
      <c r="Q48" s="1216">
        <f>+V48/R39</f>
        <v>0</v>
      </c>
      <c r="R48" s="2627"/>
      <c r="S48" s="2318"/>
      <c r="T48" s="1154" t="s">
        <v>1530</v>
      </c>
      <c r="U48" s="1154" t="s">
        <v>1531</v>
      </c>
      <c r="V48" s="1206"/>
      <c r="W48" s="2268"/>
      <c r="X48" s="2125"/>
      <c r="Y48" s="2223"/>
      <c r="Z48" s="2223"/>
      <c r="AA48" s="2268"/>
      <c r="AB48" s="2268"/>
      <c r="AC48" s="2268"/>
      <c r="AD48" s="2268"/>
      <c r="AE48" s="2268"/>
      <c r="AF48" s="2268"/>
      <c r="AG48" s="2268"/>
      <c r="AH48" s="2268"/>
      <c r="AI48" s="2268"/>
      <c r="AJ48" s="2268"/>
      <c r="AK48" s="2268"/>
      <c r="AL48" s="2268"/>
      <c r="AM48" s="2268"/>
      <c r="AN48" s="2268"/>
      <c r="AO48" s="1212"/>
      <c r="AP48" s="3029"/>
      <c r="AQ48" s="3029"/>
      <c r="AR48" s="3030"/>
      <c r="AS48" s="2223"/>
      <c r="AT48" s="1212"/>
      <c r="AU48" s="1217"/>
      <c r="AV48" s="1217"/>
      <c r="AW48" s="3056"/>
      <c r="AX48" s="1215"/>
      <c r="AY48" s="1215"/>
      <c r="AZ48" s="1215"/>
      <c r="BA48" s="1215"/>
      <c r="BB48" s="1215"/>
      <c r="BC48" s="1215"/>
    </row>
    <row r="49" spans="1:55" s="666" customFormat="1" ht="60">
      <c r="A49" s="520"/>
      <c r="B49" s="130"/>
      <c r="C49" s="130"/>
      <c r="D49" s="1209"/>
      <c r="E49" s="1210"/>
      <c r="F49" s="1210"/>
      <c r="G49" s="2657"/>
      <c r="H49" s="2657"/>
      <c r="I49" s="2658"/>
      <c r="J49" s="2905">
        <v>90</v>
      </c>
      <c r="K49" s="2337" t="s">
        <v>1532</v>
      </c>
      <c r="L49" s="2337" t="s">
        <v>1533</v>
      </c>
      <c r="M49" s="2951">
        <v>126</v>
      </c>
      <c r="N49" s="961"/>
      <c r="O49" s="2336"/>
      <c r="P49" s="2318"/>
      <c r="Q49" s="3061">
        <f>(+V49+V50)/R39</f>
        <v>0.11994128801986655</v>
      </c>
      <c r="R49" s="2627"/>
      <c r="S49" s="2318"/>
      <c r="T49" s="2337" t="s">
        <v>1534</v>
      </c>
      <c r="U49" s="1154" t="s">
        <v>1535</v>
      </c>
      <c r="V49" s="1206"/>
      <c r="W49" s="2268"/>
      <c r="X49" s="2125"/>
      <c r="Y49" s="2223"/>
      <c r="Z49" s="2223"/>
      <c r="AA49" s="2268"/>
      <c r="AB49" s="2268"/>
      <c r="AC49" s="2268"/>
      <c r="AD49" s="2268"/>
      <c r="AE49" s="2268"/>
      <c r="AF49" s="2268"/>
      <c r="AG49" s="2268"/>
      <c r="AH49" s="2268"/>
      <c r="AI49" s="2268"/>
      <c r="AJ49" s="2268"/>
      <c r="AK49" s="2268"/>
      <c r="AL49" s="2268"/>
      <c r="AM49" s="2268"/>
      <c r="AN49" s="2268"/>
      <c r="AO49" s="1212"/>
      <c r="AP49" s="3029"/>
      <c r="AQ49" s="3029"/>
      <c r="AR49" s="3030"/>
      <c r="AS49" s="2223"/>
      <c r="AT49" s="1212"/>
      <c r="AU49" s="1217"/>
      <c r="AV49" s="1217"/>
      <c r="AW49" s="3056"/>
      <c r="AX49" s="1215"/>
      <c r="AY49" s="1215"/>
      <c r="AZ49" s="1215"/>
      <c r="BA49" s="1215"/>
      <c r="BB49" s="1215"/>
      <c r="BC49" s="1215"/>
    </row>
    <row r="50" spans="1:55" s="666" customFormat="1" ht="90">
      <c r="A50" s="520"/>
      <c r="B50" s="130"/>
      <c r="C50" s="130"/>
      <c r="D50" s="1209"/>
      <c r="E50" s="1210"/>
      <c r="F50" s="1210"/>
      <c r="G50" s="2657"/>
      <c r="H50" s="2657"/>
      <c r="I50" s="2658"/>
      <c r="J50" s="2906"/>
      <c r="K50" s="2319"/>
      <c r="L50" s="2319"/>
      <c r="M50" s="2952"/>
      <c r="N50" s="961"/>
      <c r="O50" s="2336"/>
      <c r="P50" s="2318"/>
      <c r="Q50" s="3062"/>
      <c r="R50" s="2627"/>
      <c r="S50" s="2318"/>
      <c r="T50" s="2319"/>
      <c r="U50" s="1154" t="s">
        <v>1536</v>
      </c>
      <c r="V50" s="1207">
        <f>20000000+20000000</f>
        <v>40000000</v>
      </c>
      <c r="W50" s="2268"/>
      <c r="X50" s="2125"/>
      <c r="Y50" s="2223"/>
      <c r="Z50" s="2223"/>
      <c r="AA50" s="2268"/>
      <c r="AB50" s="2268"/>
      <c r="AC50" s="2268"/>
      <c r="AD50" s="2268"/>
      <c r="AE50" s="2268"/>
      <c r="AF50" s="2268"/>
      <c r="AG50" s="2268"/>
      <c r="AH50" s="2268"/>
      <c r="AI50" s="2268"/>
      <c r="AJ50" s="2268"/>
      <c r="AK50" s="2268"/>
      <c r="AL50" s="2268"/>
      <c r="AM50" s="2268"/>
      <c r="AN50" s="2268"/>
      <c r="AO50" s="1212"/>
      <c r="AP50" s="3029"/>
      <c r="AQ50" s="3029"/>
      <c r="AR50" s="3030"/>
      <c r="AS50" s="2223"/>
      <c r="AT50" s="1213" t="s">
        <v>1537</v>
      </c>
      <c r="AU50" s="1214">
        <v>43132</v>
      </c>
      <c r="AV50" s="1214">
        <v>43434</v>
      </c>
      <c r="AW50" s="3056"/>
      <c r="AX50" s="1215"/>
      <c r="AY50" s="1215"/>
      <c r="AZ50" s="1215"/>
      <c r="BA50" s="1215"/>
      <c r="BB50" s="1215"/>
      <c r="BC50" s="1215"/>
    </row>
    <row r="51" spans="1:55" s="666" customFormat="1" ht="60">
      <c r="A51" s="520"/>
      <c r="B51" s="130"/>
      <c r="C51" s="130"/>
      <c r="D51" s="1209"/>
      <c r="E51" s="1210"/>
      <c r="F51" s="1210"/>
      <c r="G51" s="2657"/>
      <c r="H51" s="2657"/>
      <c r="I51" s="2658"/>
      <c r="J51" s="1143">
        <v>91</v>
      </c>
      <c r="K51" s="1154" t="s">
        <v>1538</v>
      </c>
      <c r="L51" s="1154" t="s">
        <v>1539</v>
      </c>
      <c r="M51" s="298">
        <v>54</v>
      </c>
      <c r="N51" s="961"/>
      <c r="O51" s="2336"/>
      <c r="P51" s="2318"/>
      <c r="Q51" s="1220">
        <f>V51/R39</f>
        <v>0.0968421012104049</v>
      </c>
      <c r="R51" s="2627"/>
      <c r="S51" s="2318"/>
      <c r="T51" s="1154" t="s">
        <v>1540</v>
      </c>
      <c r="U51" s="1154" t="s">
        <v>1541</v>
      </c>
      <c r="V51" s="1207">
        <f>94000000+2296502-64000000</f>
        <v>32296502</v>
      </c>
      <c r="W51" s="2268"/>
      <c r="X51" s="2125"/>
      <c r="Y51" s="2223"/>
      <c r="Z51" s="2223"/>
      <c r="AA51" s="2268"/>
      <c r="AB51" s="2268"/>
      <c r="AC51" s="2268"/>
      <c r="AD51" s="2268"/>
      <c r="AE51" s="2268"/>
      <c r="AF51" s="2268"/>
      <c r="AG51" s="2268"/>
      <c r="AH51" s="2268"/>
      <c r="AI51" s="2268"/>
      <c r="AJ51" s="2268"/>
      <c r="AK51" s="2268"/>
      <c r="AL51" s="2268"/>
      <c r="AM51" s="2268"/>
      <c r="AN51" s="2268"/>
      <c r="AO51" s="1212"/>
      <c r="AP51" s="3029"/>
      <c r="AQ51" s="3029"/>
      <c r="AR51" s="3030"/>
      <c r="AS51" s="2223"/>
      <c r="AT51" s="1213" t="s">
        <v>1542</v>
      </c>
      <c r="AU51" s="1214">
        <v>43405</v>
      </c>
      <c r="AV51" s="1214">
        <v>43405</v>
      </c>
      <c r="AW51" s="3056"/>
      <c r="AX51" s="1215"/>
      <c r="AY51" s="1215"/>
      <c r="AZ51" s="1215"/>
      <c r="BA51" s="1215"/>
      <c r="BB51" s="1215"/>
      <c r="BC51" s="1215"/>
    </row>
    <row r="52" spans="1:55" s="666" customFormat="1" ht="60">
      <c r="A52" s="520"/>
      <c r="B52" s="130"/>
      <c r="C52" s="130"/>
      <c r="D52" s="1209"/>
      <c r="E52" s="1210"/>
      <c r="F52" s="1210"/>
      <c r="G52" s="2657"/>
      <c r="H52" s="2657"/>
      <c r="I52" s="2658"/>
      <c r="J52" s="789">
        <v>92</v>
      </c>
      <c r="K52" s="1123" t="s">
        <v>1543</v>
      </c>
      <c r="L52" s="1123" t="s">
        <v>1544</v>
      </c>
      <c r="M52" s="1202">
        <v>2</v>
      </c>
      <c r="N52" s="961"/>
      <c r="O52" s="2336"/>
      <c r="P52" s="2318"/>
      <c r="Q52" s="1221">
        <f>+V52/R39</f>
        <v>0.09010589262492474</v>
      </c>
      <c r="R52" s="2627"/>
      <c r="S52" s="2318"/>
      <c r="T52" s="1123" t="s">
        <v>1545</v>
      </c>
      <c r="U52" s="1123" t="s">
        <v>1546</v>
      </c>
      <c r="V52" s="1208">
        <f>0+30050000</f>
        <v>30050000</v>
      </c>
      <c r="W52" s="2226"/>
      <c r="X52" s="2126"/>
      <c r="Y52" s="2224"/>
      <c r="Z52" s="2224"/>
      <c r="AA52" s="2226"/>
      <c r="AB52" s="2226"/>
      <c r="AC52" s="2226"/>
      <c r="AD52" s="2226"/>
      <c r="AE52" s="2226"/>
      <c r="AF52" s="2226"/>
      <c r="AG52" s="2226"/>
      <c r="AH52" s="2226"/>
      <c r="AI52" s="2226"/>
      <c r="AJ52" s="2226"/>
      <c r="AK52" s="2226"/>
      <c r="AL52" s="2226"/>
      <c r="AM52" s="2226"/>
      <c r="AN52" s="2226"/>
      <c r="AO52" s="1212"/>
      <c r="AP52" s="3050"/>
      <c r="AQ52" s="3050"/>
      <c r="AR52" s="3051"/>
      <c r="AS52" s="2223"/>
      <c r="AT52" s="1213" t="s">
        <v>1547</v>
      </c>
      <c r="AU52" s="1214">
        <v>43374</v>
      </c>
      <c r="AV52" s="1217" t="s">
        <v>1548</v>
      </c>
      <c r="AW52" s="3057"/>
      <c r="AX52" s="1215"/>
      <c r="AY52" s="1215"/>
      <c r="AZ52" s="1215"/>
      <c r="BA52" s="1215"/>
      <c r="BB52" s="1215"/>
      <c r="BC52" s="1215"/>
    </row>
    <row r="53" spans="1:49" s="666" customFormat="1" ht="15.75">
      <c r="A53" s="1138"/>
      <c r="B53" s="235"/>
      <c r="C53" s="235"/>
      <c r="D53" s="1138"/>
      <c r="E53" s="1139"/>
      <c r="F53" s="1139"/>
      <c r="G53" s="1192">
        <v>21</v>
      </c>
      <c r="H53" s="1112" t="s">
        <v>1549</v>
      </c>
      <c r="I53" s="1112"/>
      <c r="J53" s="1112"/>
      <c r="K53" s="505"/>
      <c r="L53" s="505"/>
      <c r="M53" s="182"/>
      <c r="N53" s="606"/>
      <c r="O53" s="182"/>
      <c r="P53" s="505"/>
      <c r="Q53" s="182"/>
      <c r="R53" s="641"/>
      <c r="S53" s="505"/>
      <c r="T53" s="505"/>
      <c r="U53" s="505"/>
      <c r="V53" s="1193"/>
      <c r="W53" s="182"/>
      <c r="X53" s="182"/>
      <c r="Y53" s="182"/>
      <c r="Z53" s="182"/>
      <c r="AA53" s="182"/>
      <c r="AB53" s="182"/>
      <c r="AC53" s="182"/>
      <c r="AD53" s="182"/>
      <c r="AE53" s="182"/>
      <c r="AF53" s="182"/>
      <c r="AG53" s="182"/>
      <c r="AH53" s="182"/>
      <c r="AI53" s="182"/>
      <c r="AJ53" s="1117"/>
      <c r="AK53" s="1117"/>
      <c r="AL53" s="1117"/>
      <c r="AM53" s="1117"/>
      <c r="AN53" s="1117"/>
      <c r="AO53" s="1117"/>
      <c r="AP53" s="1133"/>
      <c r="AQ53" s="1133"/>
      <c r="AR53" s="1134"/>
      <c r="AS53" s="1117"/>
      <c r="AT53" s="1117"/>
      <c r="AU53" s="1117"/>
      <c r="AV53" s="1117"/>
      <c r="AW53" s="1135"/>
    </row>
    <row r="54" spans="1:49" s="666" customFormat="1" ht="60">
      <c r="A54" s="1194"/>
      <c r="B54" s="224"/>
      <c r="C54" s="224"/>
      <c r="D54" s="1195"/>
      <c r="E54" s="1196"/>
      <c r="F54" s="1196"/>
      <c r="G54" s="224"/>
      <c r="H54" s="224"/>
      <c r="I54" s="1222"/>
      <c r="J54" s="1197">
        <v>93</v>
      </c>
      <c r="K54" s="1144" t="s">
        <v>1550</v>
      </c>
      <c r="L54" s="1144" t="s">
        <v>1551</v>
      </c>
      <c r="M54" s="1223">
        <v>32</v>
      </c>
      <c r="N54" s="1224"/>
      <c r="O54" s="2378" t="s">
        <v>1552</v>
      </c>
      <c r="P54" s="3031" t="s">
        <v>1553</v>
      </c>
      <c r="Q54" s="1225">
        <f>+V54/$R$54</f>
        <v>0.05448668055051362</v>
      </c>
      <c r="R54" s="2686">
        <f>SUM(V54:V58)</f>
        <v>387250604.86</v>
      </c>
      <c r="S54" s="2376" t="s">
        <v>1554</v>
      </c>
      <c r="T54" s="1144" t="s">
        <v>1555</v>
      </c>
      <c r="U54" s="1144" t="s">
        <v>1556</v>
      </c>
      <c r="V54" s="1152">
        <f>59100000-8000000-30000000</f>
        <v>21100000</v>
      </c>
      <c r="W54" s="2919" t="s">
        <v>1557</v>
      </c>
      <c r="X54" s="2378" t="s">
        <v>1558</v>
      </c>
      <c r="Y54" s="3047">
        <v>21554</v>
      </c>
      <c r="Z54" s="3047">
        <v>22392</v>
      </c>
      <c r="AA54" s="3065">
        <v>31677</v>
      </c>
      <c r="AB54" s="3065">
        <v>10302</v>
      </c>
      <c r="AC54" s="3065">
        <v>1874</v>
      </c>
      <c r="AD54" s="3065">
        <v>93</v>
      </c>
      <c r="AE54" s="3065">
        <v>238</v>
      </c>
      <c r="AF54" s="3065">
        <v>245</v>
      </c>
      <c r="AG54" s="3065">
        <v>0</v>
      </c>
      <c r="AH54" s="3069">
        <v>0</v>
      </c>
      <c r="AI54" s="3069">
        <v>0</v>
      </c>
      <c r="AJ54" s="3067">
        <v>0</v>
      </c>
      <c r="AK54" s="3067">
        <v>2629</v>
      </c>
      <c r="AL54" s="2268">
        <v>2665</v>
      </c>
      <c r="AM54" s="3067">
        <v>2683</v>
      </c>
      <c r="AN54" s="3066">
        <f>Y54+Z54</f>
        <v>43946</v>
      </c>
      <c r="AO54" s="3067"/>
      <c r="AP54" s="3068"/>
      <c r="AQ54" s="3068"/>
      <c r="AR54" s="3073"/>
      <c r="AS54" s="3074" t="s">
        <v>1558</v>
      </c>
      <c r="AT54" s="3067" t="s">
        <v>1559</v>
      </c>
      <c r="AU54" s="3075">
        <v>43405</v>
      </c>
      <c r="AV54" s="3075">
        <v>43464</v>
      </c>
      <c r="AW54" s="2574" t="s">
        <v>1396</v>
      </c>
    </row>
    <row r="55" spans="1:49" s="666" customFormat="1" ht="45">
      <c r="A55" s="1194"/>
      <c r="B55" s="224"/>
      <c r="C55" s="224"/>
      <c r="D55" s="1195"/>
      <c r="E55" s="1196"/>
      <c r="F55" s="1196"/>
      <c r="G55" s="224"/>
      <c r="H55" s="224"/>
      <c r="I55" s="1222"/>
      <c r="J55" s="789">
        <v>94</v>
      </c>
      <c r="K55" s="1226" t="s">
        <v>1560</v>
      </c>
      <c r="L55" s="1226" t="s">
        <v>1561</v>
      </c>
      <c r="M55" s="1202">
        <v>55</v>
      </c>
      <c r="N55" s="961" t="s">
        <v>1562</v>
      </c>
      <c r="O55" s="2373"/>
      <c r="P55" s="3032"/>
      <c r="Q55" s="1167">
        <f>+V55/R54</f>
        <v>0.7905748913437605</v>
      </c>
      <c r="R55" s="2686"/>
      <c r="S55" s="2376"/>
      <c r="T55" s="1226" t="s">
        <v>1563</v>
      </c>
      <c r="U55" s="1226" t="s">
        <v>1564</v>
      </c>
      <c r="V55" s="1160">
        <f>22000000+50000000+177770022+55000000-80000000+80000000+8000000-6619417.14</f>
        <v>306150604.86</v>
      </c>
      <c r="W55" s="2929"/>
      <c r="X55" s="2373"/>
      <c r="Y55" s="3047"/>
      <c r="Z55" s="3047"/>
      <c r="AA55" s="3065"/>
      <c r="AB55" s="3065"/>
      <c r="AC55" s="3065"/>
      <c r="AD55" s="3065"/>
      <c r="AE55" s="3065"/>
      <c r="AF55" s="3065"/>
      <c r="AG55" s="3065"/>
      <c r="AH55" s="3069"/>
      <c r="AI55" s="3069"/>
      <c r="AJ55" s="3067"/>
      <c r="AK55" s="3067"/>
      <c r="AL55" s="2268"/>
      <c r="AM55" s="3067"/>
      <c r="AN55" s="3066"/>
      <c r="AO55" s="3067"/>
      <c r="AP55" s="3068"/>
      <c r="AQ55" s="3068"/>
      <c r="AR55" s="3073"/>
      <c r="AS55" s="3067"/>
      <c r="AT55" s="3067"/>
      <c r="AU55" s="3066"/>
      <c r="AV55" s="3066"/>
      <c r="AW55" s="2574"/>
    </row>
    <row r="56" spans="1:49" s="666" customFormat="1" ht="15.75">
      <c r="A56" s="1194"/>
      <c r="B56" s="224"/>
      <c r="C56" s="224"/>
      <c r="D56" s="1195"/>
      <c r="E56" s="1196"/>
      <c r="F56" s="1196"/>
      <c r="G56" s="224"/>
      <c r="H56" s="224"/>
      <c r="I56" s="1222"/>
      <c r="J56" s="2905">
        <v>95</v>
      </c>
      <c r="K56" s="2375" t="s">
        <v>1565</v>
      </c>
      <c r="L56" s="2375" t="s">
        <v>1566</v>
      </c>
      <c r="M56" s="2951">
        <v>500</v>
      </c>
      <c r="N56" s="961" t="s">
        <v>1567</v>
      </c>
      <c r="O56" s="2373"/>
      <c r="P56" s="3032"/>
      <c r="Q56" s="3071">
        <f>+V56/R54</f>
        <v>0</v>
      </c>
      <c r="R56" s="2686"/>
      <c r="S56" s="2376"/>
      <c r="T56" s="2375" t="s">
        <v>1568</v>
      </c>
      <c r="U56" s="2337" t="s">
        <v>1569</v>
      </c>
      <c r="V56" s="2485">
        <f>10000000-10000000</f>
        <v>0</v>
      </c>
      <c r="W56" s="2929"/>
      <c r="X56" s="2373"/>
      <c r="Y56" s="3047"/>
      <c r="Z56" s="3047"/>
      <c r="AA56" s="3065"/>
      <c r="AB56" s="3065"/>
      <c r="AC56" s="3065"/>
      <c r="AD56" s="3065"/>
      <c r="AE56" s="3065"/>
      <c r="AF56" s="3065"/>
      <c r="AG56" s="3065"/>
      <c r="AH56" s="3069"/>
      <c r="AI56" s="3069"/>
      <c r="AJ56" s="3067"/>
      <c r="AK56" s="3067"/>
      <c r="AL56" s="2268"/>
      <c r="AM56" s="3067"/>
      <c r="AN56" s="3066"/>
      <c r="AO56" s="3067"/>
      <c r="AP56" s="3068"/>
      <c r="AQ56" s="3068"/>
      <c r="AR56" s="3073"/>
      <c r="AS56" s="3067"/>
      <c r="AT56" s="3067"/>
      <c r="AU56" s="3066"/>
      <c r="AV56" s="3066"/>
      <c r="AW56" s="2574"/>
    </row>
    <row r="57" spans="1:49" s="666" customFormat="1" ht="45.75" customHeight="1">
      <c r="A57" s="1194"/>
      <c r="B57" s="224"/>
      <c r="C57" s="224"/>
      <c r="D57" s="1195"/>
      <c r="E57" s="1196"/>
      <c r="F57" s="1196"/>
      <c r="G57" s="224"/>
      <c r="H57" s="224"/>
      <c r="I57" s="1222"/>
      <c r="J57" s="2906"/>
      <c r="K57" s="2377"/>
      <c r="L57" s="2377"/>
      <c r="M57" s="2952"/>
      <c r="N57" s="961" t="s">
        <v>1570</v>
      </c>
      <c r="O57" s="2373"/>
      <c r="P57" s="3032"/>
      <c r="Q57" s="3072"/>
      <c r="R57" s="2686"/>
      <c r="S57" s="2376"/>
      <c r="T57" s="2377"/>
      <c r="U57" s="2319"/>
      <c r="V57" s="3040"/>
      <c r="W57" s="2929"/>
      <c r="X57" s="2373"/>
      <c r="Y57" s="3047"/>
      <c r="Z57" s="3047"/>
      <c r="AA57" s="3065"/>
      <c r="AB57" s="3065"/>
      <c r="AC57" s="3065"/>
      <c r="AD57" s="3065"/>
      <c r="AE57" s="3065"/>
      <c r="AF57" s="3065"/>
      <c r="AG57" s="3065"/>
      <c r="AH57" s="3069"/>
      <c r="AI57" s="3069"/>
      <c r="AJ57" s="3067"/>
      <c r="AK57" s="3067"/>
      <c r="AL57" s="2268"/>
      <c r="AM57" s="3067"/>
      <c r="AN57" s="3066"/>
      <c r="AO57" s="3067"/>
      <c r="AP57" s="3068"/>
      <c r="AQ57" s="3068"/>
      <c r="AR57" s="3073"/>
      <c r="AS57" s="3067"/>
      <c r="AT57" s="3067"/>
      <c r="AU57" s="3066"/>
      <c r="AV57" s="3066"/>
      <c r="AW57" s="2574"/>
    </row>
    <row r="58" spans="1:49" s="666" customFormat="1" ht="75">
      <c r="A58" s="1194"/>
      <c r="B58" s="224"/>
      <c r="C58" s="224"/>
      <c r="D58" s="1195"/>
      <c r="E58" s="1196"/>
      <c r="F58" s="1196"/>
      <c r="G58" s="224"/>
      <c r="H58" s="224"/>
      <c r="I58" s="1222"/>
      <c r="J58" s="789">
        <v>96</v>
      </c>
      <c r="K58" s="1158" t="s">
        <v>1571</v>
      </c>
      <c r="L58" s="1158" t="s">
        <v>1572</v>
      </c>
      <c r="M58" s="1227">
        <v>2</v>
      </c>
      <c r="N58" s="1228"/>
      <c r="O58" s="2374"/>
      <c r="P58" s="3033"/>
      <c r="Q58" s="1229">
        <f>+V58/R54</f>
        <v>0.15493842810572594</v>
      </c>
      <c r="R58" s="2686"/>
      <c r="S58" s="2376"/>
      <c r="T58" s="1158" t="s">
        <v>1573</v>
      </c>
      <c r="U58" s="737" t="s">
        <v>1574</v>
      </c>
      <c r="V58" s="1160">
        <f>20000000+10000000+30000000</f>
        <v>60000000</v>
      </c>
      <c r="W58" s="2920"/>
      <c r="X58" s="2374"/>
      <c r="Y58" s="3047"/>
      <c r="Z58" s="3047"/>
      <c r="AA58" s="3065"/>
      <c r="AB58" s="3065"/>
      <c r="AC58" s="3065"/>
      <c r="AD58" s="3065"/>
      <c r="AE58" s="3065"/>
      <c r="AF58" s="3065"/>
      <c r="AG58" s="3065"/>
      <c r="AH58" s="3069"/>
      <c r="AI58" s="3069"/>
      <c r="AJ58" s="3067"/>
      <c r="AK58" s="3067"/>
      <c r="AL58" s="2268"/>
      <c r="AM58" s="3067"/>
      <c r="AN58" s="3066"/>
      <c r="AO58" s="3067"/>
      <c r="AP58" s="3068"/>
      <c r="AQ58" s="3068"/>
      <c r="AR58" s="3073"/>
      <c r="AS58" s="3067"/>
      <c r="AT58" s="3067"/>
      <c r="AU58" s="3066"/>
      <c r="AV58" s="3066"/>
      <c r="AW58" s="2574"/>
    </row>
    <row r="59" spans="1:49" s="666" customFormat="1" ht="15.75">
      <c r="A59" s="1138"/>
      <c r="B59" s="235"/>
      <c r="C59" s="235"/>
      <c r="D59" s="1138"/>
      <c r="E59" s="1139"/>
      <c r="F59" s="1139"/>
      <c r="G59" s="1192">
        <v>22</v>
      </c>
      <c r="H59" s="1112" t="s">
        <v>1575</v>
      </c>
      <c r="I59" s="1112"/>
      <c r="J59" s="1112"/>
      <c r="K59" s="505"/>
      <c r="L59" s="505"/>
      <c r="M59" s="182"/>
      <c r="N59" s="606"/>
      <c r="O59" s="182"/>
      <c r="P59" s="505"/>
      <c r="Q59" s="182"/>
      <c r="R59" s="641"/>
      <c r="S59" s="505"/>
      <c r="T59" s="505"/>
      <c r="U59" s="505"/>
      <c r="V59" s="1193"/>
      <c r="W59" s="182"/>
      <c r="X59" s="182"/>
      <c r="Y59" s="182"/>
      <c r="Z59" s="182"/>
      <c r="AA59" s="182"/>
      <c r="AB59" s="182"/>
      <c r="AC59" s="182"/>
      <c r="AD59" s="182"/>
      <c r="AE59" s="182"/>
      <c r="AF59" s="182"/>
      <c r="AG59" s="182"/>
      <c r="AH59" s="182"/>
      <c r="AI59" s="182"/>
      <c r="AJ59" s="1117"/>
      <c r="AK59" s="1117"/>
      <c r="AL59" s="1117"/>
      <c r="AM59" s="1117"/>
      <c r="AN59" s="1117"/>
      <c r="AO59" s="1117"/>
      <c r="AP59" s="1133"/>
      <c r="AQ59" s="1133"/>
      <c r="AR59" s="1134"/>
      <c r="AS59" s="1117"/>
      <c r="AT59" s="1117"/>
      <c r="AU59" s="1117"/>
      <c r="AV59" s="1117"/>
      <c r="AW59" s="1135"/>
    </row>
    <row r="60" spans="1:56" s="666" customFormat="1" ht="15.75">
      <c r="A60" s="1230"/>
      <c r="B60" s="1231"/>
      <c r="C60" s="1231"/>
      <c r="D60" s="1230"/>
      <c r="E60" s="1232"/>
      <c r="F60" s="1232"/>
      <c r="G60" s="3070"/>
      <c r="H60" s="3070"/>
      <c r="I60" s="2407"/>
      <c r="J60" s="2939">
        <v>97</v>
      </c>
      <c r="K60" s="2376" t="s">
        <v>1576</v>
      </c>
      <c r="L60" s="2376" t="s">
        <v>1577</v>
      </c>
      <c r="M60" s="3047">
        <v>46</v>
      </c>
      <c r="N60" s="1155"/>
      <c r="O60" s="2373" t="s">
        <v>1578</v>
      </c>
      <c r="P60" s="2376" t="s">
        <v>1579</v>
      </c>
      <c r="Q60" s="2685" t="e">
        <f>+V60/R60</f>
        <v>#DIV/0!</v>
      </c>
      <c r="R60" s="2686">
        <f>+V60</f>
        <v>0</v>
      </c>
      <c r="S60" s="2376" t="s">
        <v>1580</v>
      </c>
      <c r="T60" s="2376" t="s">
        <v>1581</v>
      </c>
      <c r="U60" s="2127" t="s">
        <v>1582</v>
      </c>
      <c r="V60" s="2213">
        <f>10000000-10000000+10000000-10000000</f>
        <v>0</v>
      </c>
      <c r="W60" s="2373" t="s">
        <v>1583</v>
      </c>
      <c r="X60" s="2373" t="s">
        <v>1584</v>
      </c>
      <c r="Y60" s="3047">
        <f>Y54</f>
        <v>21554</v>
      </c>
      <c r="Z60" s="3047">
        <v>22392</v>
      </c>
      <c r="AA60" s="3047">
        <v>31677</v>
      </c>
      <c r="AB60" s="3047">
        <v>10302</v>
      </c>
      <c r="AC60" s="3047">
        <v>1874</v>
      </c>
      <c r="AD60" s="3047">
        <v>93</v>
      </c>
      <c r="AE60" s="3047">
        <v>238</v>
      </c>
      <c r="AF60" s="3047">
        <v>245</v>
      </c>
      <c r="AG60" s="3047">
        <v>0</v>
      </c>
      <c r="AH60" s="2466">
        <v>0</v>
      </c>
      <c r="AI60" s="2466">
        <v>0</v>
      </c>
      <c r="AJ60" s="2466">
        <v>0</v>
      </c>
      <c r="AK60" s="3069">
        <v>2629</v>
      </c>
      <c r="AL60" s="3069">
        <v>2665</v>
      </c>
      <c r="AM60" s="3069">
        <v>2683</v>
      </c>
      <c r="AN60" s="2466">
        <f>Y60+Z60</f>
        <v>43946</v>
      </c>
      <c r="AO60" s="411"/>
      <c r="AP60" s="1233"/>
      <c r="AQ60" s="1233"/>
      <c r="AR60" s="1234"/>
      <c r="AS60" s="2465"/>
      <c r="AT60" s="411"/>
      <c r="AU60" s="3075"/>
      <c r="AV60" s="3075"/>
      <c r="AW60" s="3056"/>
      <c r="AX60" s="1215"/>
      <c r="AY60" s="1215"/>
      <c r="AZ60" s="1215"/>
      <c r="BA60" s="1215"/>
      <c r="BB60" s="1215"/>
      <c r="BC60" s="1215"/>
      <c r="BD60" s="1215"/>
    </row>
    <row r="61" spans="1:56" s="666" customFormat="1" ht="15.75">
      <c r="A61" s="1230"/>
      <c r="B61" s="1231"/>
      <c r="C61" s="1231"/>
      <c r="D61" s="1230"/>
      <c r="E61" s="1232"/>
      <c r="F61" s="1232"/>
      <c r="G61" s="3070"/>
      <c r="H61" s="3070"/>
      <c r="I61" s="2407"/>
      <c r="J61" s="2939"/>
      <c r="K61" s="2376"/>
      <c r="L61" s="2376"/>
      <c r="M61" s="3047"/>
      <c r="N61" s="1155"/>
      <c r="O61" s="2373"/>
      <c r="P61" s="2376"/>
      <c r="Q61" s="2685"/>
      <c r="R61" s="2686"/>
      <c r="S61" s="2376"/>
      <c r="T61" s="2376"/>
      <c r="U61" s="2127"/>
      <c r="V61" s="2214"/>
      <c r="W61" s="3047"/>
      <c r="X61" s="3047"/>
      <c r="Y61" s="3047"/>
      <c r="Z61" s="3047"/>
      <c r="AA61" s="3047"/>
      <c r="AB61" s="3047"/>
      <c r="AC61" s="3047"/>
      <c r="AD61" s="3047"/>
      <c r="AE61" s="3047"/>
      <c r="AF61" s="3047"/>
      <c r="AG61" s="3047"/>
      <c r="AH61" s="2466"/>
      <c r="AI61" s="2466"/>
      <c r="AJ61" s="2466"/>
      <c r="AK61" s="2466"/>
      <c r="AL61" s="2466"/>
      <c r="AM61" s="2466"/>
      <c r="AN61" s="2466"/>
      <c r="AO61" s="411"/>
      <c r="AP61" s="1233"/>
      <c r="AQ61" s="1233"/>
      <c r="AR61" s="1234"/>
      <c r="AS61" s="2466"/>
      <c r="AT61" s="411"/>
      <c r="AU61" s="3066"/>
      <c r="AV61" s="3066"/>
      <c r="AW61" s="3056"/>
      <c r="AX61" s="1215"/>
      <c r="AY61" s="1215"/>
      <c r="AZ61" s="1215"/>
      <c r="BA61" s="1215"/>
      <c r="BB61" s="1215"/>
      <c r="BC61" s="1215"/>
      <c r="BD61" s="1215"/>
    </row>
    <row r="62" spans="1:56" s="666" customFormat="1" ht="15.75">
      <c r="A62" s="1230"/>
      <c r="B62" s="1231"/>
      <c r="C62" s="1231"/>
      <c r="D62" s="1230"/>
      <c r="E62" s="1232"/>
      <c r="F62" s="1232"/>
      <c r="G62" s="3070"/>
      <c r="H62" s="3070"/>
      <c r="I62" s="2407"/>
      <c r="J62" s="2939"/>
      <c r="K62" s="2376"/>
      <c r="L62" s="2376"/>
      <c r="M62" s="3047"/>
      <c r="N62" s="1155" t="s">
        <v>1585</v>
      </c>
      <c r="O62" s="2373"/>
      <c r="P62" s="2376"/>
      <c r="Q62" s="2685"/>
      <c r="R62" s="2686"/>
      <c r="S62" s="2376"/>
      <c r="T62" s="2376"/>
      <c r="U62" s="2127"/>
      <c r="V62" s="2214"/>
      <c r="W62" s="3047"/>
      <c r="X62" s="3047"/>
      <c r="Y62" s="3047"/>
      <c r="Z62" s="3047"/>
      <c r="AA62" s="3047"/>
      <c r="AB62" s="3047"/>
      <c r="AC62" s="3047"/>
      <c r="AD62" s="3047"/>
      <c r="AE62" s="3047"/>
      <c r="AF62" s="3047"/>
      <c r="AG62" s="3047"/>
      <c r="AH62" s="2466"/>
      <c r="AI62" s="2466"/>
      <c r="AJ62" s="2466"/>
      <c r="AK62" s="2466"/>
      <c r="AL62" s="2466"/>
      <c r="AM62" s="2466"/>
      <c r="AN62" s="2466"/>
      <c r="AO62" s="411"/>
      <c r="AP62" s="1233"/>
      <c r="AQ62" s="1233"/>
      <c r="AR62" s="1234"/>
      <c r="AS62" s="2466"/>
      <c r="AT62" s="411"/>
      <c r="AU62" s="3066"/>
      <c r="AV62" s="3066"/>
      <c r="AW62" s="3056"/>
      <c r="AX62" s="1215"/>
      <c r="AY62" s="1215"/>
      <c r="AZ62" s="1215"/>
      <c r="BA62" s="1215"/>
      <c r="BB62" s="1215"/>
      <c r="BC62" s="1215"/>
      <c r="BD62" s="1215"/>
    </row>
    <row r="63" spans="1:56" s="666" customFormat="1" ht="15.75">
      <c r="A63" s="1230"/>
      <c r="B63" s="1231"/>
      <c r="C63" s="1231"/>
      <c r="D63" s="1230"/>
      <c r="E63" s="1232"/>
      <c r="F63" s="1232"/>
      <c r="G63" s="3070"/>
      <c r="H63" s="3070"/>
      <c r="I63" s="2407"/>
      <c r="J63" s="2939"/>
      <c r="K63" s="2376"/>
      <c r="L63" s="2376"/>
      <c r="M63" s="3047"/>
      <c r="N63" s="1155"/>
      <c r="O63" s="2373"/>
      <c r="P63" s="2376"/>
      <c r="Q63" s="2685"/>
      <c r="R63" s="2686"/>
      <c r="S63" s="2376"/>
      <c r="T63" s="2376"/>
      <c r="U63" s="2127"/>
      <c r="V63" s="2214"/>
      <c r="W63" s="3047"/>
      <c r="X63" s="3047"/>
      <c r="Y63" s="3047"/>
      <c r="Z63" s="3047"/>
      <c r="AA63" s="3047"/>
      <c r="AB63" s="3047"/>
      <c r="AC63" s="3047"/>
      <c r="AD63" s="3047"/>
      <c r="AE63" s="3047"/>
      <c r="AF63" s="3047"/>
      <c r="AG63" s="3047"/>
      <c r="AH63" s="2466"/>
      <c r="AI63" s="2466"/>
      <c r="AJ63" s="2466"/>
      <c r="AK63" s="2466"/>
      <c r="AL63" s="2466"/>
      <c r="AM63" s="2466"/>
      <c r="AN63" s="2466"/>
      <c r="AO63" s="411"/>
      <c r="AP63" s="1233"/>
      <c r="AQ63" s="1233"/>
      <c r="AR63" s="1234"/>
      <c r="AS63" s="2466"/>
      <c r="AT63" s="411"/>
      <c r="AU63" s="3066"/>
      <c r="AV63" s="3066"/>
      <c r="AW63" s="3056"/>
      <c r="AX63" s="1215"/>
      <c r="AY63" s="1215"/>
      <c r="AZ63" s="1215"/>
      <c r="BA63" s="1215"/>
      <c r="BB63" s="1215"/>
      <c r="BC63" s="1215"/>
      <c r="BD63" s="1215"/>
    </row>
    <row r="64" spans="1:56" s="666" customFormat="1" ht="15.75">
      <c r="A64" s="1230"/>
      <c r="B64" s="1231"/>
      <c r="C64" s="1231"/>
      <c r="D64" s="1235"/>
      <c r="E64" s="1236"/>
      <c r="F64" s="1236"/>
      <c r="G64" s="3070"/>
      <c r="H64" s="3070"/>
      <c r="I64" s="2407"/>
      <c r="J64" s="2939"/>
      <c r="K64" s="2376"/>
      <c r="L64" s="2376"/>
      <c r="M64" s="3047"/>
      <c r="N64" s="1155"/>
      <c r="O64" s="2373"/>
      <c r="P64" s="2376"/>
      <c r="Q64" s="2685"/>
      <c r="R64" s="2686"/>
      <c r="S64" s="2376"/>
      <c r="T64" s="2376"/>
      <c r="U64" s="2127"/>
      <c r="V64" s="2215"/>
      <c r="W64" s="3047"/>
      <c r="X64" s="3047"/>
      <c r="Y64" s="3047"/>
      <c r="Z64" s="3047"/>
      <c r="AA64" s="3047"/>
      <c r="AB64" s="3047"/>
      <c r="AC64" s="3047"/>
      <c r="AD64" s="3047"/>
      <c r="AE64" s="3047"/>
      <c r="AF64" s="3047"/>
      <c r="AG64" s="3047"/>
      <c r="AH64" s="2466"/>
      <c r="AI64" s="2466"/>
      <c r="AJ64" s="2466"/>
      <c r="AK64" s="2466"/>
      <c r="AL64" s="2466"/>
      <c r="AM64" s="2466"/>
      <c r="AN64" s="2466"/>
      <c r="AO64" s="411"/>
      <c r="AP64" s="1233"/>
      <c r="AQ64" s="1233"/>
      <c r="AR64" s="1234"/>
      <c r="AS64" s="2467"/>
      <c r="AT64" s="411"/>
      <c r="AU64" s="3066"/>
      <c r="AV64" s="3066"/>
      <c r="AW64" s="3056"/>
      <c r="AX64" s="1215"/>
      <c r="AY64" s="1215"/>
      <c r="AZ64" s="1215"/>
      <c r="BA64" s="1215"/>
      <c r="BB64" s="1215"/>
      <c r="BC64" s="1215"/>
      <c r="BD64" s="1215"/>
    </row>
    <row r="65" spans="1:49" s="666" customFormat="1" ht="15.75">
      <c r="A65" s="1237"/>
      <c r="B65" s="1238"/>
      <c r="C65" s="1239"/>
      <c r="D65" s="1180">
        <v>7</v>
      </c>
      <c r="E65" s="1181" t="s">
        <v>1586</v>
      </c>
      <c r="F65" s="1181"/>
      <c r="G65" s="698"/>
      <c r="H65" s="698"/>
      <c r="I65" s="698"/>
      <c r="J65" s="698"/>
      <c r="K65" s="699"/>
      <c r="L65" s="699"/>
      <c r="M65" s="698"/>
      <c r="N65" s="702"/>
      <c r="O65" s="702"/>
      <c r="P65" s="699"/>
      <c r="Q65" s="1240"/>
      <c r="R65" s="1241"/>
      <c r="S65" s="699"/>
      <c r="T65" s="699"/>
      <c r="U65" s="699"/>
      <c r="V65" s="1242"/>
      <c r="W65" s="490"/>
      <c r="X65" s="702"/>
      <c r="Y65" s="702"/>
      <c r="Z65" s="702"/>
      <c r="AA65" s="301"/>
      <c r="AB65" s="301"/>
      <c r="AC65" s="301"/>
      <c r="AD65" s="301"/>
      <c r="AE65" s="301"/>
      <c r="AF65" s="301"/>
      <c r="AG65" s="301"/>
      <c r="AH65" s="1243"/>
      <c r="AI65" s="1243"/>
      <c r="AJ65" s="1244"/>
      <c r="AK65" s="1244"/>
      <c r="AL65" s="1245"/>
      <c r="AM65" s="1244"/>
      <c r="AN65" s="1246"/>
      <c r="AO65" s="1246"/>
      <c r="AP65" s="1247"/>
      <c r="AQ65" s="1247"/>
      <c r="AR65" s="1248"/>
      <c r="AS65" s="1246"/>
      <c r="AT65" s="1246"/>
      <c r="AU65" s="1246"/>
      <c r="AV65" s="1246"/>
      <c r="AW65" s="1249"/>
    </row>
    <row r="66" spans="1:49" s="666" customFormat="1" ht="15.75">
      <c r="A66" s="1237"/>
      <c r="B66" s="1238"/>
      <c r="C66" s="1238"/>
      <c r="D66" s="1108"/>
      <c r="E66" s="1110"/>
      <c r="F66" s="1110"/>
      <c r="G66" s="1250">
        <v>23</v>
      </c>
      <c r="H66" s="1251" t="s">
        <v>1587</v>
      </c>
      <c r="I66" s="1252"/>
      <c r="J66" s="1252"/>
      <c r="K66" s="1253"/>
      <c r="L66" s="1253"/>
      <c r="M66" s="1254"/>
      <c r="N66" s="1131"/>
      <c r="O66" s="1254"/>
      <c r="P66" s="1253"/>
      <c r="Q66" s="1254"/>
      <c r="R66" s="1255"/>
      <c r="S66" s="1253"/>
      <c r="T66" s="1253"/>
      <c r="U66" s="1253"/>
      <c r="V66" s="1256"/>
      <c r="W66" s="1254"/>
      <c r="X66" s="1254"/>
      <c r="Y66" s="1254"/>
      <c r="Z66" s="1254"/>
      <c r="AA66" s="1254"/>
      <c r="AB66" s="1254"/>
      <c r="AC66" s="1254"/>
      <c r="AD66" s="1254"/>
      <c r="AE66" s="1254"/>
      <c r="AF66" s="1254"/>
      <c r="AG66" s="1254"/>
      <c r="AH66" s="1254"/>
      <c r="AI66" s="1254"/>
      <c r="AJ66" s="1257"/>
      <c r="AK66" s="1257"/>
      <c r="AL66" s="1258"/>
      <c r="AM66" s="1257"/>
      <c r="AN66" s="1257"/>
      <c r="AO66" s="1257"/>
      <c r="AP66" s="1259"/>
      <c r="AQ66" s="1259"/>
      <c r="AR66" s="1260"/>
      <c r="AS66" s="1257"/>
      <c r="AT66" s="1257"/>
      <c r="AU66" s="1257"/>
      <c r="AV66" s="1257"/>
      <c r="AW66" s="1261"/>
    </row>
    <row r="67" spans="1:53" s="666" customFormat="1" ht="75">
      <c r="A67" s="1237"/>
      <c r="B67" s="1238"/>
      <c r="C67" s="1238"/>
      <c r="D67" s="1119"/>
      <c r="E67" s="1120"/>
      <c r="F67" s="1120"/>
      <c r="G67" s="1262"/>
      <c r="H67" s="238"/>
      <c r="I67" s="1263"/>
      <c r="J67" s="1197">
        <v>98</v>
      </c>
      <c r="K67" s="1144" t="s">
        <v>1588</v>
      </c>
      <c r="L67" s="1144" t="s">
        <v>1589</v>
      </c>
      <c r="M67" s="1145">
        <v>55</v>
      </c>
      <c r="N67" s="1155"/>
      <c r="O67" s="2373" t="s">
        <v>1590</v>
      </c>
      <c r="P67" s="2376" t="s">
        <v>1591</v>
      </c>
      <c r="Q67" s="1225">
        <v>0</v>
      </c>
      <c r="R67" s="2686">
        <f>+V69+V71</f>
        <v>44075000</v>
      </c>
      <c r="S67" s="2376" t="s">
        <v>1592</v>
      </c>
      <c r="T67" s="1144" t="s">
        <v>1593</v>
      </c>
      <c r="U67" s="1147" t="s">
        <v>1594</v>
      </c>
      <c r="V67" s="1264"/>
      <c r="W67" s="3076">
        <v>88</v>
      </c>
      <c r="X67" s="2940" t="s">
        <v>1500</v>
      </c>
      <c r="Y67" s="2967">
        <v>21554</v>
      </c>
      <c r="Z67" s="2967">
        <v>22392</v>
      </c>
      <c r="AA67" s="3078">
        <v>31677</v>
      </c>
      <c r="AB67" s="3078">
        <v>10302</v>
      </c>
      <c r="AC67" s="3078">
        <v>10302</v>
      </c>
      <c r="AD67" s="3078">
        <v>93</v>
      </c>
      <c r="AE67" s="3078">
        <v>238</v>
      </c>
      <c r="AF67" s="3078">
        <v>245</v>
      </c>
      <c r="AG67" s="3078">
        <v>0</v>
      </c>
      <c r="AH67" s="3078">
        <v>0</v>
      </c>
      <c r="AI67" s="3078">
        <v>0</v>
      </c>
      <c r="AJ67" s="3089">
        <v>0</v>
      </c>
      <c r="AK67" s="3089">
        <v>2629</v>
      </c>
      <c r="AL67" s="3089">
        <v>2665</v>
      </c>
      <c r="AM67" s="3089">
        <v>2683</v>
      </c>
      <c r="AN67" s="3090">
        <v>43946</v>
      </c>
      <c r="AO67" s="2967"/>
      <c r="AP67" s="3084"/>
      <c r="AQ67" s="3084"/>
      <c r="AR67" s="3085"/>
      <c r="AS67" s="3086" t="s">
        <v>1500</v>
      </c>
      <c r="AT67" s="3057" t="s">
        <v>1595</v>
      </c>
      <c r="AU67" s="3081">
        <v>43160</v>
      </c>
      <c r="AV67" s="3082">
        <v>43343</v>
      </c>
      <c r="AW67" s="3057" t="s">
        <v>1396</v>
      </c>
      <c r="AX67" s="1215"/>
      <c r="AY67" s="1215"/>
      <c r="AZ67" s="1215"/>
      <c r="BA67" s="1215"/>
    </row>
    <row r="68" spans="1:53" s="666" customFormat="1" ht="60">
      <c r="A68" s="1237"/>
      <c r="B68" s="1238"/>
      <c r="C68" s="1238"/>
      <c r="D68" s="1119"/>
      <c r="E68" s="1120"/>
      <c r="F68" s="1120"/>
      <c r="G68" s="238"/>
      <c r="H68" s="238"/>
      <c r="I68" s="1263"/>
      <c r="J68" s="1143">
        <v>99</v>
      </c>
      <c r="K68" s="1150" t="s">
        <v>1596</v>
      </c>
      <c r="L68" s="1150" t="s">
        <v>1597</v>
      </c>
      <c r="M68" s="298">
        <v>150</v>
      </c>
      <c r="N68" s="1265"/>
      <c r="O68" s="2373"/>
      <c r="P68" s="2376"/>
      <c r="Q68" s="1266">
        <v>0</v>
      </c>
      <c r="R68" s="2686"/>
      <c r="S68" s="2376"/>
      <c r="T68" s="1150" t="s">
        <v>1598</v>
      </c>
      <c r="U68" s="1267" t="s">
        <v>1599</v>
      </c>
      <c r="V68" s="1206"/>
      <c r="W68" s="3069"/>
      <c r="X68" s="2941"/>
      <c r="Y68" s="2967"/>
      <c r="Z68" s="2967"/>
      <c r="AA68" s="3078"/>
      <c r="AB68" s="3078"/>
      <c r="AC68" s="3078"/>
      <c r="AD68" s="3078"/>
      <c r="AE68" s="3078"/>
      <c r="AF68" s="3078"/>
      <c r="AG68" s="3078"/>
      <c r="AH68" s="3078"/>
      <c r="AI68" s="3078"/>
      <c r="AJ68" s="3089"/>
      <c r="AK68" s="3089"/>
      <c r="AL68" s="3089"/>
      <c r="AM68" s="3089"/>
      <c r="AN68" s="3090"/>
      <c r="AO68" s="2967"/>
      <c r="AP68" s="3084"/>
      <c r="AQ68" s="3084"/>
      <c r="AR68" s="3085"/>
      <c r="AS68" s="3087"/>
      <c r="AT68" s="3083"/>
      <c r="AU68" s="3083"/>
      <c r="AV68" s="2967"/>
      <c r="AW68" s="3083"/>
      <c r="AX68" s="1215"/>
      <c r="AY68" s="1215"/>
      <c r="AZ68" s="1215"/>
      <c r="BA68" s="1215"/>
    </row>
    <row r="69" spans="1:53" s="666" customFormat="1" ht="60">
      <c r="A69" s="1237"/>
      <c r="B69" s="1238"/>
      <c r="C69" s="1238"/>
      <c r="D69" s="1119"/>
      <c r="E69" s="1120"/>
      <c r="F69" s="1120"/>
      <c r="G69" s="238"/>
      <c r="H69" s="238"/>
      <c r="I69" s="1263"/>
      <c r="J69" s="1143">
        <v>100</v>
      </c>
      <c r="K69" s="1150" t="s">
        <v>1600</v>
      </c>
      <c r="L69" s="1150" t="s">
        <v>1601</v>
      </c>
      <c r="M69" s="298">
        <v>6</v>
      </c>
      <c r="N69" s="1155" t="s">
        <v>1602</v>
      </c>
      <c r="O69" s="2373"/>
      <c r="P69" s="2376"/>
      <c r="Q69" s="1266">
        <f>+V69/R67</f>
        <v>0.5462280204197391</v>
      </c>
      <c r="R69" s="2686"/>
      <c r="S69" s="2376"/>
      <c r="T69" s="1150" t="s">
        <v>1600</v>
      </c>
      <c r="U69" s="1267" t="s">
        <v>1603</v>
      </c>
      <c r="V69" s="1124">
        <v>24075000</v>
      </c>
      <c r="W69" s="3069"/>
      <c r="X69" s="2941"/>
      <c r="Y69" s="2967"/>
      <c r="Z69" s="2967"/>
      <c r="AA69" s="3078"/>
      <c r="AB69" s="3078"/>
      <c r="AC69" s="3078"/>
      <c r="AD69" s="3078"/>
      <c r="AE69" s="3078"/>
      <c r="AF69" s="3078"/>
      <c r="AG69" s="3078"/>
      <c r="AH69" s="3078"/>
      <c r="AI69" s="3078"/>
      <c r="AJ69" s="3089"/>
      <c r="AK69" s="3089"/>
      <c r="AL69" s="3089"/>
      <c r="AM69" s="3089"/>
      <c r="AN69" s="3090"/>
      <c r="AO69" s="2967"/>
      <c r="AP69" s="3084"/>
      <c r="AQ69" s="3084"/>
      <c r="AR69" s="3085"/>
      <c r="AS69" s="3087"/>
      <c r="AT69" s="3083"/>
      <c r="AU69" s="3083"/>
      <c r="AV69" s="2967"/>
      <c r="AW69" s="3083"/>
      <c r="AX69" s="1215"/>
      <c r="AY69" s="1215"/>
      <c r="AZ69" s="1215"/>
      <c r="BA69" s="1215"/>
    </row>
    <row r="70" spans="1:53" s="666" customFormat="1" ht="45">
      <c r="A70" s="1237"/>
      <c r="B70" s="1238"/>
      <c r="C70" s="1238"/>
      <c r="D70" s="1119"/>
      <c r="E70" s="1120"/>
      <c r="F70" s="1120"/>
      <c r="G70" s="238"/>
      <c r="H70" s="238"/>
      <c r="I70" s="1263"/>
      <c r="J70" s="1143">
        <v>101</v>
      </c>
      <c r="K70" s="1150" t="s">
        <v>1604</v>
      </c>
      <c r="L70" s="1150" t="s">
        <v>1605</v>
      </c>
      <c r="M70" s="298">
        <v>54</v>
      </c>
      <c r="N70" s="1155"/>
      <c r="O70" s="2373"/>
      <c r="P70" s="2376"/>
      <c r="Q70" s="1266">
        <v>0</v>
      </c>
      <c r="R70" s="2686"/>
      <c r="S70" s="2376"/>
      <c r="T70" s="1150" t="s">
        <v>1606</v>
      </c>
      <c r="U70" s="1154" t="s">
        <v>1607</v>
      </c>
      <c r="V70" s="1268"/>
      <c r="W70" s="3069"/>
      <c r="X70" s="2941"/>
      <c r="Y70" s="2967"/>
      <c r="Z70" s="2967"/>
      <c r="AA70" s="3078"/>
      <c r="AB70" s="3078"/>
      <c r="AC70" s="3078"/>
      <c r="AD70" s="3078"/>
      <c r="AE70" s="3078"/>
      <c r="AF70" s="3078"/>
      <c r="AG70" s="3078"/>
      <c r="AH70" s="3078"/>
      <c r="AI70" s="3078"/>
      <c r="AJ70" s="3089"/>
      <c r="AK70" s="3089"/>
      <c r="AL70" s="3089"/>
      <c r="AM70" s="3089"/>
      <c r="AN70" s="3090"/>
      <c r="AO70" s="2967"/>
      <c r="AP70" s="3084"/>
      <c r="AQ70" s="3084"/>
      <c r="AR70" s="3085"/>
      <c r="AS70" s="3087"/>
      <c r="AT70" s="3083"/>
      <c r="AU70" s="3083"/>
      <c r="AV70" s="2967"/>
      <c r="AW70" s="3083"/>
      <c r="AX70" s="1215"/>
      <c r="AY70" s="1215"/>
      <c r="AZ70" s="1215"/>
      <c r="BA70" s="1215"/>
    </row>
    <row r="71" spans="1:53" s="666" customFormat="1" ht="45">
      <c r="A71" s="1237"/>
      <c r="B71" s="1238"/>
      <c r="C71" s="1238"/>
      <c r="D71" s="1119"/>
      <c r="E71" s="1120"/>
      <c r="F71" s="1120"/>
      <c r="G71" s="238"/>
      <c r="H71" s="238"/>
      <c r="I71" s="1263"/>
      <c r="J71" s="789">
        <v>102</v>
      </c>
      <c r="K71" s="1158" t="s">
        <v>1608</v>
      </c>
      <c r="L71" s="1158" t="s">
        <v>1609</v>
      </c>
      <c r="M71" s="1269">
        <v>2</v>
      </c>
      <c r="N71" s="1155"/>
      <c r="O71" s="2373"/>
      <c r="P71" s="2376"/>
      <c r="Q71" s="1229">
        <f>+V71/R67</f>
        <v>0.45377197958026094</v>
      </c>
      <c r="R71" s="2686"/>
      <c r="S71" s="2376"/>
      <c r="T71" s="1158" t="s">
        <v>1610</v>
      </c>
      <c r="U71" s="1203" t="s">
        <v>1611</v>
      </c>
      <c r="V71" s="1160">
        <v>20000000</v>
      </c>
      <c r="W71" s="3077"/>
      <c r="X71" s="2942"/>
      <c r="Y71" s="2967"/>
      <c r="Z71" s="2967"/>
      <c r="AA71" s="3078"/>
      <c r="AB71" s="3078"/>
      <c r="AC71" s="3078"/>
      <c r="AD71" s="3078"/>
      <c r="AE71" s="3078"/>
      <c r="AF71" s="3078"/>
      <c r="AG71" s="3078"/>
      <c r="AH71" s="3078"/>
      <c r="AI71" s="3078"/>
      <c r="AJ71" s="3089"/>
      <c r="AK71" s="3089"/>
      <c r="AL71" s="3089"/>
      <c r="AM71" s="3089"/>
      <c r="AN71" s="3090"/>
      <c r="AO71" s="2967"/>
      <c r="AP71" s="3084"/>
      <c r="AQ71" s="3084"/>
      <c r="AR71" s="3085"/>
      <c r="AS71" s="3088"/>
      <c r="AT71" s="3055"/>
      <c r="AU71" s="3055"/>
      <c r="AV71" s="2967"/>
      <c r="AW71" s="3055"/>
      <c r="AX71" s="1215"/>
      <c r="AY71" s="1215"/>
      <c r="AZ71" s="1215"/>
      <c r="BA71" s="1215"/>
    </row>
    <row r="72" spans="1:49" s="666" customFormat="1" ht="15.75">
      <c r="A72" s="1270"/>
      <c r="B72" s="1271"/>
      <c r="C72" s="1271"/>
      <c r="D72" s="1270"/>
      <c r="E72" s="1272"/>
      <c r="F72" s="1272"/>
      <c r="G72" s="1192">
        <v>24</v>
      </c>
      <c r="H72" s="1112" t="s">
        <v>1612</v>
      </c>
      <c r="I72" s="1112"/>
      <c r="J72" s="1112"/>
      <c r="K72" s="505"/>
      <c r="L72" s="505"/>
      <c r="M72" s="1112"/>
      <c r="N72" s="606"/>
      <c r="O72" s="1112"/>
      <c r="P72" s="505"/>
      <c r="Q72" s="1113"/>
      <c r="R72" s="1273"/>
      <c r="S72" s="505"/>
      <c r="T72" s="505"/>
      <c r="U72" s="505"/>
      <c r="V72" s="1193"/>
      <c r="W72" s="1111"/>
      <c r="X72" s="1112"/>
      <c r="Y72" s="1112"/>
      <c r="Z72" s="1112"/>
      <c r="AA72" s="1112"/>
      <c r="AB72" s="1112"/>
      <c r="AC72" s="1112"/>
      <c r="AD72" s="1112"/>
      <c r="AE72" s="1112"/>
      <c r="AF72" s="1112"/>
      <c r="AG72" s="1112"/>
      <c r="AH72" s="1116"/>
      <c r="AI72" s="1116"/>
      <c r="AJ72" s="1117"/>
      <c r="AK72" s="1117"/>
      <c r="AL72" s="1117"/>
      <c r="AM72" s="1117"/>
      <c r="AN72" s="1117"/>
      <c r="AO72" s="1117"/>
      <c r="AP72" s="1133"/>
      <c r="AQ72" s="1133"/>
      <c r="AR72" s="1134"/>
      <c r="AS72" s="1117"/>
      <c r="AT72" s="1117"/>
      <c r="AU72" s="1117"/>
      <c r="AV72" s="1117"/>
      <c r="AW72" s="1135"/>
    </row>
    <row r="73" spans="1:49" s="666" customFormat="1" ht="60">
      <c r="A73" s="520"/>
      <c r="B73" s="130"/>
      <c r="C73" s="130"/>
      <c r="D73" s="520"/>
      <c r="E73" s="521"/>
      <c r="F73" s="521"/>
      <c r="G73" s="238"/>
      <c r="H73" s="238"/>
      <c r="I73" s="1263"/>
      <c r="J73" s="1197">
        <v>103</v>
      </c>
      <c r="K73" s="1144" t="s">
        <v>1613</v>
      </c>
      <c r="L73" s="1144" t="s">
        <v>1614</v>
      </c>
      <c r="M73" s="1145">
        <v>3</v>
      </c>
      <c r="N73" s="1155"/>
      <c r="O73" s="2378" t="s">
        <v>1615</v>
      </c>
      <c r="P73" s="3031" t="s">
        <v>1616</v>
      </c>
      <c r="Q73" s="1225">
        <f>+V73/R73</f>
        <v>0.019703999621289128</v>
      </c>
      <c r="R73" s="2526">
        <f>SUM(V73:V76)</f>
        <v>507511175</v>
      </c>
      <c r="S73" s="3031" t="s">
        <v>1617</v>
      </c>
      <c r="T73" s="3031" t="s">
        <v>1618</v>
      </c>
      <c r="U73" s="1274" t="s">
        <v>1619</v>
      </c>
      <c r="V73" s="927">
        <v>10000000</v>
      </c>
      <c r="W73" s="2414" t="s">
        <v>1460</v>
      </c>
      <c r="X73" s="1171"/>
      <c r="Y73" s="1275"/>
      <c r="Z73" s="1275"/>
      <c r="AA73" s="1275"/>
      <c r="AB73" s="1275"/>
      <c r="AC73" s="1275"/>
      <c r="AD73" s="1275"/>
      <c r="AE73" s="1275"/>
      <c r="AF73" s="1275"/>
      <c r="AG73" s="1275"/>
      <c r="AH73" s="1275"/>
      <c r="AI73" s="1275"/>
      <c r="AJ73" s="1275"/>
      <c r="AK73" s="1275"/>
      <c r="AL73" s="1275"/>
      <c r="AM73" s="1275"/>
      <c r="AN73" s="1275"/>
      <c r="AO73" s="1275"/>
      <c r="AP73" s="2453"/>
      <c r="AQ73" s="2453"/>
      <c r="AR73" s="3092"/>
      <c r="AS73" s="2443" t="s">
        <v>1461</v>
      </c>
      <c r="AT73" s="2443" t="s">
        <v>1620</v>
      </c>
      <c r="AU73" s="3079">
        <v>43101</v>
      </c>
      <c r="AV73" s="3079">
        <v>43405</v>
      </c>
      <c r="AW73" s="3079" t="s">
        <v>1396</v>
      </c>
    </row>
    <row r="74" spans="1:49" s="666" customFormat="1" ht="60">
      <c r="A74" s="520"/>
      <c r="B74" s="130"/>
      <c r="C74" s="130"/>
      <c r="D74" s="520"/>
      <c r="E74" s="521"/>
      <c r="F74" s="521"/>
      <c r="G74" s="238"/>
      <c r="H74" s="238"/>
      <c r="I74" s="1263"/>
      <c r="J74" s="1143">
        <v>104</v>
      </c>
      <c r="K74" s="1150" t="s">
        <v>1621</v>
      </c>
      <c r="L74" s="1150" t="s">
        <v>1622</v>
      </c>
      <c r="M74" s="298">
        <v>44</v>
      </c>
      <c r="N74" s="2373" t="s">
        <v>1623</v>
      </c>
      <c r="O74" s="2373"/>
      <c r="P74" s="3032"/>
      <c r="Q74" s="1266">
        <f>+V74/R73</f>
        <v>0.019703999621289128</v>
      </c>
      <c r="R74" s="2527"/>
      <c r="S74" s="3032"/>
      <c r="T74" s="3032"/>
      <c r="U74" s="1150" t="s">
        <v>1624</v>
      </c>
      <c r="V74" s="1124">
        <v>10000000</v>
      </c>
      <c r="W74" s="2385"/>
      <c r="X74" s="411"/>
      <c r="Y74" s="1276"/>
      <c r="Z74" s="1276"/>
      <c r="AA74" s="1276"/>
      <c r="AB74" s="1276"/>
      <c r="AC74" s="1276"/>
      <c r="AD74" s="1276"/>
      <c r="AE74" s="1276"/>
      <c r="AF74" s="1276"/>
      <c r="AG74" s="1276"/>
      <c r="AH74" s="1276"/>
      <c r="AI74" s="1276"/>
      <c r="AJ74" s="1276"/>
      <c r="AK74" s="1276"/>
      <c r="AL74" s="1276"/>
      <c r="AM74" s="1276"/>
      <c r="AN74" s="1276"/>
      <c r="AO74" s="1276"/>
      <c r="AP74" s="2454"/>
      <c r="AQ74" s="2454"/>
      <c r="AR74" s="3073"/>
      <c r="AS74" s="2444"/>
      <c r="AT74" s="2444"/>
      <c r="AU74" s="3080"/>
      <c r="AV74" s="3080"/>
      <c r="AW74" s="3080"/>
    </row>
    <row r="75" spans="1:49" s="666" customFormat="1" ht="75">
      <c r="A75" s="520"/>
      <c r="B75" s="130"/>
      <c r="C75" s="130"/>
      <c r="D75" s="520"/>
      <c r="E75" s="521"/>
      <c r="F75" s="521"/>
      <c r="G75" s="238"/>
      <c r="H75" s="238"/>
      <c r="I75" s="1263"/>
      <c r="J75" s="789">
        <v>105</v>
      </c>
      <c r="K75" s="1226" t="s">
        <v>1625</v>
      </c>
      <c r="L75" s="1226" t="s">
        <v>1622</v>
      </c>
      <c r="M75" s="1202">
        <v>47</v>
      </c>
      <c r="N75" s="2373"/>
      <c r="O75" s="2373"/>
      <c r="P75" s="3032"/>
      <c r="Q75" s="1266">
        <f>+V75/R73</f>
        <v>0.8699536024994917</v>
      </c>
      <c r="R75" s="2527"/>
      <c r="S75" s="3032"/>
      <c r="T75" s="3032"/>
      <c r="U75" s="1159" t="s">
        <v>1626</v>
      </c>
      <c r="V75" s="1169">
        <f>280000000+50000000+111511175</f>
        <v>441511175</v>
      </c>
      <c r="W75" s="2385"/>
      <c r="X75" s="411" t="s">
        <v>1500</v>
      </c>
      <c r="Y75" s="1276">
        <v>21554</v>
      </c>
      <c r="Z75" s="1276">
        <v>22392</v>
      </c>
      <c r="AA75" s="1276">
        <v>31677</v>
      </c>
      <c r="AB75" s="1276">
        <v>10302</v>
      </c>
      <c r="AC75" s="1276">
        <v>1874</v>
      </c>
      <c r="AD75" s="1276">
        <v>93</v>
      </c>
      <c r="AE75" s="1276">
        <v>238</v>
      </c>
      <c r="AF75" s="1276">
        <v>245</v>
      </c>
      <c r="AG75" s="1276">
        <v>0</v>
      </c>
      <c r="AH75" s="1276">
        <v>0</v>
      </c>
      <c r="AI75" s="1276">
        <v>0</v>
      </c>
      <c r="AJ75" s="1276">
        <v>0</v>
      </c>
      <c r="AK75" s="1276">
        <v>2629</v>
      </c>
      <c r="AL75" s="1276">
        <v>2629</v>
      </c>
      <c r="AM75" s="1276">
        <v>2683</v>
      </c>
      <c r="AN75" s="1276">
        <v>43946</v>
      </c>
      <c r="AO75" s="1276"/>
      <c r="AP75" s="2454"/>
      <c r="AQ75" s="2454"/>
      <c r="AR75" s="3073"/>
      <c r="AS75" s="2444"/>
      <c r="AT75" s="2444"/>
      <c r="AU75" s="3080"/>
      <c r="AV75" s="3080"/>
      <c r="AW75" s="3080"/>
    </row>
    <row r="76" spans="1:49" s="666" customFormat="1" ht="60">
      <c r="A76" s="520"/>
      <c r="B76" s="130"/>
      <c r="C76" s="130"/>
      <c r="D76" s="520"/>
      <c r="E76" s="521"/>
      <c r="F76" s="521"/>
      <c r="G76" s="238"/>
      <c r="H76" s="238"/>
      <c r="I76" s="1263"/>
      <c r="J76" s="789">
        <v>106</v>
      </c>
      <c r="K76" s="1226" t="s">
        <v>1627</v>
      </c>
      <c r="L76" s="1226" t="s">
        <v>1628</v>
      </c>
      <c r="M76" s="789">
        <v>1</v>
      </c>
      <c r="N76" s="2373"/>
      <c r="O76" s="2373"/>
      <c r="P76" s="3032"/>
      <c r="Q76" s="1266">
        <f>+V76/R73</f>
        <v>0.09063839825792999</v>
      </c>
      <c r="R76" s="2527"/>
      <c r="S76" s="3032"/>
      <c r="T76" s="3032"/>
      <c r="U76" s="1159" t="s">
        <v>1629</v>
      </c>
      <c r="V76" s="1124">
        <f>46000000</f>
        <v>46000000</v>
      </c>
      <c r="W76" s="2386"/>
      <c r="X76" s="411"/>
      <c r="Y76" s="1276"/>
      <c r="Z76" s="1276"/>
      <c r="AA76" s="1276"/>
      <c r="AB76" s="1276"/>
      <c r="AC76" s="1276"/>
      <c r="AD76" s="1276"/>
      <c r="AE76" s="1276"/>
      <c r="AF76" s="1276"/>
      <c r="AG76" s="1276"/>
      <c r="AH76" s="1276"/>
      <c r="AI76" s="1276"/>
      <c r="AJ76" s="1276"/>
      <c r="AK76" s="1276"/>
      <c r="AL76" s="1276"/>
      <c r="AM76" s="1276"/>
      <c r="AN76" s="1276"/>
      <c r="AO76" s="1276"/>
      <c r="AP76" s="2454"/>
      <c r="AQ76" s="2454"/>
      <c r="AR76" s="3093"/>
      <c r="AS76" s="2464"/>
      <c r="AT76" s="2464"/>
      <c r="AU76" s="3081"/>
      <c r="AV76" s="3081"/>
      <c r="AW76" s="3080"/>
    </row>
    <row r="77" spans="1:49" s="666" customFormat="1" ht="60">
      <c r="A77" s="520"/>
      <c r="B77" s="130"/>
      <c r="C77" s="130"/>
      <c r="D77" s="520"/>
      <c r="E77" s="521"/>
      <c r="F77" s="521"/>
      <c r="G77" s="238"/>
      <c r="H77" s="238"/>
      <c r="I77" s="238"/>
      <c r="J77" s="2905">
        <v>107</v>
      </c>
      <c r="K77" s="3091" t="s">
        <v>1630</v>
      </c>
      <c r="L77" s="2887" t="s">
        <v>1631</v>
      </c>
      <c r="M77" s="2905">
        <v>1</v>
      </c>
      <c r="N77" s="1224" t="s">
        <v>1632</v>
      </c>
      <c r="O77" s="2298" t="s">
        <v>1633</v>
      </c>
      <c r="P77" s="3091" t="s">
        <v>1634</v>
      </c>
      <c r="Q77" s="2631">
        <f>(+V77+V78)/R77</f>
        <v>1</v>
      </c>
      <c r="R77" s="3094">
        <f>+V77+V78</f>
        <v>1089752352</v>
      </c>
      <c r="S77" s="3091" t="s">
        <v>1617</v>
      </c>
      <c r="T77" s="3091" t="s">
        <v>1618</v>
      </c>
      <c r="U77" s="1154" t="s">
        <v>1635</v>
      </c>
      <c r="V77" s="1124">
        <f>45000000+44752352</f>
        <v>89752352</v>
      </c>
      <c r="W77" s="2897" t="s">
        <v>1636</v>
      </c>
      <c r="X77" s="2122" t="s">
        <v>1637</v>
      </c>
      <c r="Y77" s="2199">
        <v>21554</v>
      </c>
      <c r="Z77" s="2199">
        <v>22392</v>
      </c>
      <c r="AA77" s="2196">
        <v>31677</v>
      </c>
      <c r="AB77" s="2196">
        <v>10302</v>
      </c>
      <c r="AC77" s="2196">
        <v>15916</v>
      </c>
      <c r="AD77" s="2196">
        <v>15683</v>
      </c>
      <c r="AE77" s="2196">
        <v>238</v>
      </c>
      <c r="AF77" s="2196">
        <v>245</v>
      </c>
      <c r="AG77" s="2196">
        <v>0</v>
      </c>
      <c r="AH77" s="2196">
        <v>0</v>
      </c>
      <c r="AI77" s="2196">
        <v>0</v>
      </c>
      <c r="AJ77" s="3089">
        <v>0</v>
      </c>
      <c r="AK77" s="3089">
        <v>2629</v>
      </c>
      <c r="AL77" s="3089">
        <v>2665</v>
      </c>
      <c r="AM77" s="3089">
        <v>2683</v>
      </c>
      <c r="AN77" s="3090">
        <v>43946</v>
      </c>
      <c r="AO77" s="3090"/>
      <c r="AP77" s="3098"/>
      <c r="AQ77" s="3098"/>
      <c r="AR77" s="3099"/>
      <c r="AS77" s="3083" t="s">
        <v>1638</v>
      </c>
      <c r="AT77" s="3083" t="s">
        <v>1639</v>
      </c>
      <c r="AU77" s="3095">
        <v>43101</v>
      </c>
      <c r="AV77" s="3095">
        <v>43190</v>
      </c>
      <c r="AW77" s="3083" t="s">
        <v>1396</v>
      </c>
    </row>
    <row r="78" spans="1:49" s="666" customFormat="1" ht="45">
      <c r="A78" s="520"/>
      <c r="B78" s="130"/>
      <c r="C78" s="130"/>
      <c r="D78" s="532"/>
      <c r="E78" s="533"/>
      <c r="F78" s="533"/>
      <c r="G78" s="238"/>
      <c r="H78" s="238"/>
      <c r="I78" s="238"/>
      <c r="J78" s="2906"/>
      <c r="K78" s="3091"/>
      <c r="L78" s="2887"/>
      <c r="M78" s="2906"/>
      <c r="N78" s="1197" t="s">
        <v>1640</v>
      </c>
      <c r="O78" s="2298"/>
      <c r="P78" s="3091"/>
      <c r="Q78" s="2631"/>
      <c r="R78" s="3094"/>
      <c r="S78" s="3091"/>
      <c r="T78" s="3091"/>
      <c r="U78" s="1154" t="s">
        <v>1641</v>
      </c>
      <c r="V78" s="1124">
        <f>1000000000</f>
        <v>1000000000</v>
      </c>
      <c r="W78" s="2897"/>
      <c r="X78" s="2122"/>
      <c r="Y78" s="2199"/>
      <c r="Z78" s="2199"/>
      <c r="AA78" s="2196"/>
      <c r="AB78" s="2196"/>
      <c r="AC78" s="2196"/>
      <c r="AD78" s="2196"/>
      <c r="AE78" s="2196"/>
      <c r="AF78" s="2196"/>
      <c r="AG78" s="2196"/>
      <c r="AH78" s="2196"/>
      <c r="AI78" s="2196"/>
      <c r="AJ78" s="3089"/>
      <c r="AK78" s="3089"/>
      <c r="AL78" s="3089"/>
      <c r="AM78" s="3089"/>
      <c r="AN78" s="3090"/>
      <c r="AO78" s="3090"/>
      <c r="AP78" s="3098"/>
      <c r="AQ78" s="3098"/>
      <c r="AR78" s="3099"/>
      <c r="AS78" s="3083"/>
      <c r="AT78" s="3083"/>
      <c r="AU78" s="3095"/>
      <c r="AV78" s="3095"/>
      <c r="AW78" s="3083"/>
    </row>
    <row r="79" spans="1:49" s="666" customFormat="1" ht="15.75">
      <c r="A79" s="1237"/>
      <c r="B79" s="1238"/>
      <c r="C79" s="1239"/>
      <c r="D79" s="1180">
        <v>8</v>
      </c>
      <c r="E79" s="1181" t="s">
        <v>1642</v>
      </c>
      <c r="F79" s="1181"/>
      <c r="G79" s="1100"/>
      <c r="H79" s="1100"/>
      <c r="I79" s="1100"/>
      <c r="J79" s="1100"/>
      <c r="K79" s="173"/>
      <c r="L79" s="173"/>
      <c r="M79" s="273"/>
      <c r="N79" s="686"/>
      <c r="O79" s="686"/>
      <c r="P79" s="173"/>
      <c r="Q79" s="1277"/>
      <c r="R79" s="1278"/>
      <c r="S79" s="173"/>
      <c r="T79" s="173"/>
      <c r="U79" s="173"/>
      <c r="V79" s="1279"/>
      <c r="W79" s="1280"/>
      <c r="X79" s="686"/>
      <c r="Y79" s="686"/>
      <c r="Z79" s="686"/>
      <c r="AA79" s="1281"/>
      <c r="AB79" s="1281"/>
      <c r="AC79" s="1281"/>
      <c r="AD79" s="1281"/>
      <c r="AE79" s="1281"/>
      <c r="AF79" s="1281"/>
      <c r="AG79" s="1281"/>
      <c r="AH79" s="1280"/>
      <c r="AI79" s="1280"/>
      <c r="AJ79" s="1282"/>
      <c r="AK79" s="1282"/>
      <c r="AL79" s="1282"/>
      <c r="AM79" s="1282"/>
      <c r="AN79" s="1283"/>
      <c r="AO79" s="1283"/>
      <c r="AP79" s="1284"/>
      <c r="AQ79" s="1284"/>
      <c r="AR79" s="1285"/>
      <c r="AS79" s="1283"/>
      <c r="AT79" s="1283"/>
      <c r="AU79" s="1283"/>
      <c r="AV79" s="1283"/>
      <c r="AW79" s="1286"/>
    </row>
    <row r="80" spans="1:49" s="666" customFormat="1" ht="15.75">
      <c r="A80" s="1237"/>
      <c r="B80" s="1238"/>
      <c r="C80" s="1238"/>
      <c r="D80" s="1287"/>
      <c r="E80" s="1288"/>
      <c r="F80" s="1288"/>
      <c r="G80" s="1192">
        <v>25</v>
      </c>
      <c r="H80" s="1112" t="s">
        <v>1643</v>
      </c>
      <c r="I80" s="1112"/>
      <c r="J80" s="1112"/>
      <c r="K80" s="505"/>
      <c r="L80" s="505"/>
      <c r="M80" s="182"/>
      <c r="N80" s="606"/>
      <c r="O80" s="182"/>
      <c r="P80" s="505"/>
      <c r="Q80" s="182"/>
      <c r="R80" s="641"/>
      <c r="S80" s="505"/>
      <c r="T80" s="505"/>
      <c r="U80" s="505"/>
      <c r="V80" s="1193"/>
      <c r="W80" s="182"/>
      <c r="X80" s="182"/>
      <c r="Y80" s="182"/>
      <c r="Z80" s="182"/>
      <c r="AA80" s="182"/>
      <c r="AB80" s="182"/>
      <c r="AC80" s="182"/>
      <c r="AD80" s="182"/>
      <c r="AE80" s="182"/>
      <c r="AF80" s="182"/>
      <c r="AG80" s="182"/>
      <c r="AH80" s="182"/>
      <c r="AI80" s="182"/>
      <c r="AJ80" s="1117"/>
      <c r="AK80" s="1117"/>
      <c r="AL80" s="1117"/>
      <c r="AM80" s="1117"/>
      <c r="AN80" s="1117"/>
      <c r="AO80" s="1117"/>
      <c r="AP80" s="1133"/>
      <c r="AQ80" s="1133"/>
      <c r="AR80" s="1134"/>
      <c r="AS80" s="1117"/>
      <c r="AT80" s="1117"/>
      <c r="AU80" s="1117"/>
      <c r="AV80" s="1117"/>
      <c r="AW80" s="1135"/>
    </row>
    <row r="81" spans="1:49" s="666" customFormat="1" ht="15.75">
      <c r="A81" s="1237"/>
      <c r="B81" s="1238"/>
      <c r="C81" s="1238"/>
      <c r="D81" s="688"/>
      <c r="E81" s="683"/>
      <c r="F81" s="683"/>
      <c r="G81" s="224"/>
      <c r="H81" s="224"/>
      <c r="I81" s="224"/>
      <c r="J81" s="2905">
        <v>108</v>
      </c>
      <c r="K81" s="3031" t="s">
        <v>1644</v>
      </c>
      <c r="L81" s="3031" t="s">
        <v>1645</v>
      </c>
      <c r="M81" s="2951">
        <v>4</v>
      </c>
      <c r="N81" s="1166"/>
      <c r="O81" s="2378" t="s">
        <v>1646</v>
      </c>
      <c r="P81" s="2376" t="s">
        <v>1647</v>
      </c>
      <c r="Q81" s="3096">
        <f>(V81+V82)/R81</f>
        <v>0.3190821052631579</v>
      </c>
      <c r="R81" s="2527">
        <f>+V81+V82+V83</f>
        <v>57000000</v>
      </c>
      <c r="S81" s="2376" t="s">
        <v>1648</v>
      </c>
      <c r="T81" s="3031" t="s">
        <v>1649</v>
      </c>
      <c r="U81" s="3027" t="s">
        <v>1650</v>
      </c>
      <c r="V81" s="3041">
        <f>20000000-1812320</f>
        <v>18187680</v>
      </c>
      <c r="W81" s="2340" t="s">
        <v>1460</v>
      </c>
      <c r="X81" s="2443" t="s">
        <v>1461</v>
      </c>
      <c r="Y81" s="2466">
        <v>21554</v>
      </c>
      <c r="Z81" s="2466">
        <v>22392</v>
      </c>
      <c r="AA81" s="2466">
        <v>31677</v>
      </c>
      <c r="AB81" s="2466">
        <v>10302</v>
      </c>
      <c r="AC81" s="2466">
        <v>15916</v>
      </c>
      <c r="AD81" s="2466">
        <v>15683</v>
      </c>
      <c r="AE81" s="2466">
        <v>238</v>
      </c>
      <c r="AF81" s="2466">
        <v>245</v>
      </c>
      <c r="AG81" s="2466">
        <v>0</v>
      </c>
      <c r="AH81" s="2466">
        <v>0</v>
      </c>
      <c r="AI81" s="2466">
        <v>0</v>
      </c>
      <c r="AJ81" s="2466">
        <v>0</v>
      </c>
      <c r="AK81" s="2466">
        <v>2629</v>
      </c>
      <c r="AL81" s="2466">
        <v>2665</v>
      </c>
      <c r="AM81" s="2466">
        <v>2683</v>
      </c>
      <c r="AN81" s="2466">
        <v>43946</v>
      </c>
      <c r="AO81" s="2466"/>
      <c r="AP81" s="3044"/>
      <c r="AQ81" s="3044"/>
      <c r="AR81" s="3092"/>
      <c r="AS81" s="2443" t="s">
        <v>80</v>
      </c>
      <c r="AT81" s="2443" t="s">
        <v>1651</v>
      </c>
      <c r="AU81" s="3081">
        <v>43104</v>
      </c>
      <c r="AV81" s="3081">
        <v>43373</v>
      </c>
      <c r="AW81" s="3057" t="s">
        <v>1396</v>
      </c>
    </row>
    <row r="82" spans="1:49" s="666" customFormat="1" ht="15.75">
      <c r="A82" s="1237"/>
      <c r="B82" s="1238"/>
      <c r="C82" s="1238"/>
      <c r="D82" s="688"/>
      <c r="E82" s="683"/>
      <c r="F82" s="683"/>
      <c r="G82" s="224"/>
      <c r="H82" s="224"/>
      <c r="I82" s="224"/>
      <c r="J82" s="2906"/>
      <c r="K82" s="3033"/>
      <c r="L82" s="3033"/>
      <c r="M82" s="2952"/>
      <c r="N82" s="1122" t="s">
        <v>1652</v>
      </c>
      <c r="O82" s="2373"/>
      <c r="P82" s="2376"/>
      <c r="Q82" s="3097"/>
      <c r="R82" s="2527"/>
      <c r="S82" s="2376"/>
      <c r="T82" s="3033"/>
      <c r="U82" s="3028"/>
      <c r="V82" s="3043"/>
      <c r="W82" s="2341"/>
      <c r="X82" s="2444"/>
      <c r="Y82" s="2466"/>
      <c r="Z82" s="2466"/>
      <c r="AA82" s="2466"/>
      <c r="AB82" s="2466"/>
      <c r="AC82" s="2466"/>
      <c r="AD82" s="2466"/>
      <c r="AE82" s="2466"/>
      <c r="AF82" s="2466"/>
      <c r="AG82" s="2466"/>
      <c r="AH82" s="2466"/>
      <c r="AI82" s="2466"/>
      <c r="AJ82" s="2466"/>
      <c r="AK82" s="2466"/>
      <c r="AL82" s="2466"/>
      <c r="AM82" s="2466"/>
      <c r="AN82" s="2466"/>
      <c r="AO82" s="2466"/>
      <c r="AP82" s="3045"/>
      <c r="AQ82" s="3045"/>
      <c r="AR82" s="3073"/>
      <c r="AS82" s="2444"/>
      <c r="AT82" s="2466"/>
      <c r="AU82" s="3080"/>
      <c r="AV82" s="3080"/>
      <c r="AW82" s="3056"/>
    </row>
    <row r="83" spans="1:49" s="666" customFormat="1" ht="75">
      <c r="A83" s="1237"/>
      <c r="B83" s="1238"/>
      <c r="C83" s="1238"/>
      <c r="D83" s="688"/>
      <c r="E83" s="683"/>
      <c r="F83" s="683"/>
      <c r="G83" s="224"/>
      <c r="H83" s="224"/>
      <c r="I83" s="224"/>
      <c r="J83" s="789">
        <v>109</v>
      </c>
      <c r="K83" s="1158" t="s">
        <v>1653</v>
      </c>
      <c r="L83" s="1158" t="s">
        <v>1654</v>
      </c>
      <c r="M83" s="1202">
        <v>52</v>
      </c>
      <c r="N83" s="1126" t="s">
        <v>1655</v>
      </c>
      <c r="O83" s="2374"/>
      <c r="P83" s="2376"/>
      <c r="Q83" s="1167">
        <f>+V83/R81</f>
        <v>0.680917894736842</v>
      </c>
      <c r="R83" s="2527"/>
      <c r="S83" s="2376"/>
      <c r="T83" s="1158" t="s">
        <v>1656</v>
      </c>
      <c r="U83" s="1123" t="s">
        <v>1657</v>
      </c>
      <c r="V83" s="1169">
        <f>37000000+1812320</f>
        <v>38812320</v>
      </c>
      <c r="W83" s="2872"/>
      <c r="X83" s="2464"/>
      <c r="Y83" s="2466"/>
      <c r="Z83" s="2466"/>
      <c r="AA83" s="2466"/>
      <c r="AB83" s="2466"/>
      <c r="AC83" s="2466"/>
      <c r="AD83" s="2466"/>
      <c r="AE83" s="2466"/>
      <c r="AF83" s="2466"/>
      <c r="AG83" s="2466"/>
      <c r="AH83" s="2466"/>
      <c r="AI83" s="2466"/>
      <c r="AJ83" s="2466"/>
      <c r="AK83" s="2466"/>
      <c r="AL83" s="2466"/>
      <c r="AM83" s="2466"/>
      <c r="AN83" s="2466"/>
      <c r="AO83" s="2466"/>
      <c r="AP83" s="3046"/>
      <c r="AQ83" s="3046"/>
      <c r="AR83" s="3093"/>
      <c r="AS83" s="2464"/>
      <c r="AT83" s="2467"/>
      <c r="AU83" s="3055"/>
      <c r="AV83" s="3055"/>
      <c r="AW83" s="3055"/>
    </row>
    <row r="84" spans="1:49" s="666" customFormat="1" ht="15.75">
      <c r="A84" s="1270"/>
      <c r="B84" s="1271"/>
      <c r="C84" s="1271"/>
      <c r="D84" s="1270"/>
      <c r="E84" s="1272"/>
      <c r="F84" s="1272"/>
      <c r="G84" s="1192">
        <v>26</v>
      </c>
      <c r="H84" s="1112" t="s">
        <v>1658</v>
      </c>
      <c r="I84" s="1112"/>
      <c r="J84" s="1112"/>
      <c r="K84" s="505"/>
      <c r="L84" s="505"/>
      <c r="M84" s="182"/>
      <c r="N84" s="606"/>
      <c r="O84" s="182"/>
      <c r="P84" s="505"/>
      <c r="Q84" s="182"/>
      <c r="R84" s="641"/>
      <c r="S84" s="505"/>
      <c r="T84" s="505"/>
      <c r="U84" s="505"/>
      <c r="V84" s="1193"/>
      <c r="W84" s="182"/>
      <c r="X84" s="182"/>
      <c r="Y84" s="182"/>
      <c r="Z84" s="182"/>
      <c r="AA84" s="182"/>
      <c r="AB84" s="182"/>
      <c r="AC84" s="182"/>
      <c r="AD84" s="182"/>
      <c r="AE84" s="182"/>
      <c r="AF84" s="182"/>
      <c r="AG84" s="182"/>
      <c r="AH84" s="182"/>
      <c r="AI84" s="182"/>
      <c r="AJ84" s="1117"/>
      <c r="AK84" s="1117"/>
      <c r="AL84" s="1117"/>
      <c r="AM84" s="1117"/>
      <c r="AN84" s="1117"/>
      <c r="AO84" s="1117"/>
      <c r="AP84" s="1133"/>
      <c r="AQ84" s="1133"/>
      <c r="AR84" s="1134"/>
      <c r="AS84" s="1117"/>
      <c r="AT84" s="1117"/>
      <c r="AU84" s="1117"/>
      <c r="AV84" s="1117"/>
      <c r="AW84" s="1135"/>
    </row>
    <row r="85" spans="1:49" s="666" customFormat="1" ht="90">
      <c r="A85" s="1237" t="s">
        <v>1659</v>
      </c>
      <c r="B85" s="1238"/>
      <c r="C85" s="1238"/>
      <c r="D85" s="1237"/>
      <c r="E85" s="1239"/>
      <c r="F85" s="1239"/>
      <c r="G85" s="224"/>
      <c r="H85" s="224"/>
      <c r="I85" s="224"/>
      <c r="J85" s="792">
        <v>110</v>
      </c>
      <c r="K85" s="1289" t="s">
        <v>1660</v>
      </c>
      <c r="L85" s="1289" t="s">
        <v>1661</v>
      </c>
      <c r="M85" s="1290">
        <v>200</v>
      </c>
      <c r="N85" s="1155" t="s">
        <v>1662</v>
      </c>
      <c r="O85" s="194" t="s">
        <v>1663</v>
      </c>
      <c r="P85" s="1291" t="s">
        <v>1664</v>
      </c>
      <c r="Q85" s="1199">
        <f>+V85/R85</f>
        <v>1</v>
      </c>
      <c r="R85" s="1292">
        <f>+V85</f>
        <v>535723491</v>
      </c>
      <c r="S85" s="1289" t="s">
        <v>1665</v>
      </c>
      <c r="T85" s="1289" t="s">
        <v>1666</v>
      </c>
      <c r="U85" s="1200" t="s">
        <v>1667</v>
      </c>
      <c r="V85" s="1293">
        <f>2758000000-2000000000+62000000-284276509</f>
        <v>535723491</v>
      </c>
      <c r="W85" s="1153">
        <v>25</v>
      </c>
      <c r="X85" s="411" t="s">
        <v>1668</v>
      </c>
      <c r="Y85" s="411">
        <v>21554</v>
      </c>
      <c r="Z85" s="411">
        <v>22392</v>
      </c>
      <c r="AA85" s="1294">
        <v>31677</v>
      </c>
      <c r="AB85" s="1294">
        <v>10302</v>
      </c>
      <c r="AC85" s="1294">
        <v>15916</v>
      </c>
      <c r="AD85" s="1294">
        <v>15683</v>
      </c>
      <c r="AE85" s="1294">
        <v>238</v>
      </c>
      <c r="AF85" s="1294">
        <v>245</v>
      </c>
      <c r="AG85" s="1294">
        <v>0</v>
      </c>
      <c r="AH85" s="1294">
        <v>0</v>
      </c>
      <c r="AI85" s="1295">
        <v>0</v>
      </c>
      <c r="AJ85" s="1296">
        <v>0</v>
      </c>
      <c r="AK85" s="1296">
        <v>2629</v>
      </c>
      <c r="AL85" s="1296">
        <v>2665</v>
      </c>
      <c r="AM85" s="1296">
        <v>2683</v>
      </c>
      <c r="AN85" s="1297">
        <v>43946</v>
      </c>
      <c r="AO85" s="1297"/>
      <c r="AP85" s="1298"/>
      <c r="AQ85" s="1298"/>
      <c r="AR85" s="1299"/>
      <c r="AS85" s="411" t="s">
        <v>1668</v>
      </c>
      <c r="AT85" s="1300" t="s">
        <v>1669</v>
      </c>
      <c r="AU85" s="1214">
        <v>43101</v>
      </c>
      <c r="AV85" s="1214">
        <v>43190</v>
      </c>
      <c r="AW85" s="1300" t="s">
        <v>1396</v>
      </c>
    </row>
    <row r="86" spans="1:49" s="666" customFormat="1" ht="15.75">
      <c r="A86" s="1270"/>
      <c r="B86" s="1271"/>
      <c r="C86" s="1271"/>
      <c r="D86" s="1270"/>
      <c r="E86" s="1272"/>
      <c r="F86" s="1272"/>
      <c r="G86" s="1192">
        <v>27</v>
      </c>
      <c r="H86" s="1112" t="s">
        <v>1670</v>
      </c>
      <c r="I86" s="1112"/>
      <c r="J86" s="1112"/>
      <c r="K86" s="505"/>
      <c r="L86" s="505"/>
      <c r="M86" s="182"/>
      <c r="N86" s="606"/>
      <c r="O86" s="182"/>
      <c r="P86" s="505"/>
      <c r="Q86" s="182"/>
      <c r="R86" s="641"/>
      <c r="S86" s="505"/>
      <c r="T86" s="505"/>
      <c r="U86" s="505"/>
      <c r="V86" s="1193"/>
      <c r="W86" s="182"/>
      <c r="X86" s="182"/>
      <c r="Y86" s="182"/>
      <c r="Z86" s="182"/>
      <c r="AA86" s="182"/>
      <c r="AB86" s="182"/>
      <c r="AC86" s="182"/>
      <c r="AD86" s="182"/>
      <c r="AE86" s="182"/>
      <c r="AF86" s="182"/>
      <c r="AG86" s="182"/>
      <c r="AH86" s="182"/>
      <c r="AI86" s="182"/>
      <c r="AJ86" s="1117"/>
      <c r="AK86" s="1117"/>
      <c r="AL86" s="1117"/>
      <c r="AM86" s="1117"/>
      <c r="AN86" s="1117"/>
      <c r="AO86" s="1117"/>
      <c r="AP86" s="1133"/>
      <c r="AQ86" s="1133"/>
      <c r="AR86" s="1134"/>
      <c r="AS86" s="1117"/>
      <c r="AT86" s="1117"/>
      <c r="AU86" s="1117"/>
      <c r="AV86" s="1117"/>
      <c r="AW86" s="1135"/>
    </row>
    <row r="87" spans="1:49" s="666" customFormat="1" ht="120">
      <c r="A87" s="1270"/>
      <c r="B87" s="1271"/>
      <c r="C87" s="1271"/>
      <c r="D87" s="1270"/>
      <c r="E87" s="1272"/>
      <c r="F87" s="1272"/>
      <c r="G87" s="224"/>
      <c r="H87" s="224"/>
      <c r="I87" s="224"/>
      <c r="J87" s="792">
        <v>111</v>
      </c>
      <c r="K87" s="1289" t="s">
        <v>1671</v>
      </c>
      <c r="L87" s="1289" t="s">
        <v>1672</v>
      </c>
      <c r="M87" s="1301">
        <v>1</v>
      </c>
      <c r="N87" s="1213" t="s">
        <v>1673</v>
      </c>
      <c r="O87" s="403" t="s">
        <v>1674</v>
      </c>
      <c r="P87" s="1302" t="s">
        <v>1675</v>
      </c>
      <c r="Q87" s="1303">
        <f>+V87/R87</f>
        <v>1</v>
      </c>
      <c r="R87" s="1233">
        <f>+V87</f>
        <v>16177158370</v>
      </c>
      <c r="S87" s="1302" t="s">
        <v>1676</v>
      </c>
      <c r="T87" s="1302" t="s">
        <v>1677</v>
      </c>
      <c r="U87" s="1304" t="s">
        <v>1678</v>
      </c>
      <c r="V87" s="1293">
        <f>19000000000+200000000+27000000-764054472-2285787158</f>
        <v>16177158370</v>
      </c>
      <c r="W87" s="425" t="s">
        <v>1679</v>
      </c>
      <c r="X87" s="403" t="s">
        <v>1680</v>
      </c>
      <c r="Y87" s="411">
        <v>21554</v>
      </c>
      <c r="Z87" s="411">
        <v>22392</v>
      </c>
      <c r="AA87" s="1294">
        <v>31677</v>
      </c>
      <c r="AB87" s="1294">
        <v>10302</v>
      </c>
      <c r="AC87" s="1294">
        <v>15916</v>
      </c>
      <c r="AD87" s="1294">
        <v>15683</v>
      </c>
      <c r="AE87" s="1294">
        <v>238</v>
      </c>
      <c r="AF87" s="1294">
        <v>245</v>
      </c>
      <c r="AG87" s="1294">
        <v>0</v>
      </c>
      <c r="AH87" s="1294">
        <v>0</v>
      </c>
      <c r="AI87" s="1295">
        <v>0</v>
      </c>
      <c r="AJ87" s="1296">
        <v>0</v>
      </c>
      <c r="AK87" s="1296">
        <v>2629</v>
      </c>
      <c r="AL87" s="1296">
        <v>2665</v>
      </c>
      <c r="AM87" s="1296">
        <v>2683</v>
      </c>
      <c r="AN87" s="1297">
        <f>Y87+Z87</f>
        <v>43946</v>
      </c>
      <c r="AO87" s="1297"/>
      <c r="AP87" s="1298"/>
      <c r="AQ87" s="1298"/>
      <c r="AR87" s="1299"/>
      <c r="AS87" s="1297" t="s">
        <v>1421</v>
      </c>
      <c r="AT87" s="1300" t="s">
        <v>1681</v>
      </c>
      <c r="AU87" s="1214">
        <v>43101</v>
      </c>
      <c r="AV87" s="1214">
        <v>43465</v>
      </c>
      <c r="AW87" s="1300" t="s">
        <v>1396</v>
      </c>
    </row>
    <row r="88" spans="1:49" s="666" customFormat="1" ht="15.75">
      <c r="A88" s="1270"/>
      <c r="B88" s="1271"/>
      <c r="C88" s="1271"/>
      <c r="D88" s="1270"/>
      <c r="E88" s="1272"/>
      <c r="F88" s="1272"/>
      <c r="G88" s="1192">
        <v>28</v>
      </c>
      <c r="H88" s="1112" t="s">
        <v>1682</v>
      </c>
      <c r="I88" s="1112"/>
      <c r="J88" s="1112"/>
      <c r="K88" s="505"/>
      <c r="L88" s="505"/>
      <c r="M88" s="182"/>
      <c r="N88" s="606"/>
      <c r="O88" s="606"/>
      <c r="P88" s="505"/>
      <c r="Q88" s="1305"/>
      <c r="R88" s="641"/>
      <c r="S88" s="505"/>
      <c r="T88" s="505"/>
      <c r="U88" s="505"/>
      <c r="V88" s="1193"/>
      <c r="W88" s="1306"/>
      <c r="X88" s="606"/>
      <c r="Y88" s="606"/>
      <c r="Z88" s="606"/>
      <c r="AA88" s="182"/>
      <c r="AB88" s="182"/>
      <c r="AC88" s="182"/>
      <c r="AD88" s="182"/>
      <c r="AE88" s="182"/>
      <c r="AF88" s="182"/>
      <c r="AG88" s="182"/>
      <c r="AH88" s="546"/>
      <c r="AI88" s="546"/>
      <c r="AJ88" s="1117"/>
      <c r="AK88" s="1117"/>
      <c r="AL88" s="1117"/>
      <c r="AM88" s="1117"/>
      <c r="AN88" s="1117"/>
      <c r="AO88" s="1117"/>
      <c r="AP88" s="1133"/>
      <c r="AQ88" s="1133"/>
      <c r="AR88" s="1134"/>
      <c r="AS88" s="1117"/>
      <c r="AT88" s="1117"/>
      <c r="AU88" s="1117"/>
      <c r="AV88" s="1117"/>
      <c r="AW88" s="1135"/>
    </row>
    <row r="89" spans="1:51" s="666" customFormat="1" ht="27.75" customHeight="1">
      <c r="A89" s="1270"/>
      <c r="B89" s="1271"/>
      <c r="C89" s="1271"/>
      <c r="D89" s="688"/>
      <c r="E89" s="683"/>
      <c r="F89" s="683"/>
      <c r="G89" s="238"/>
      <c r="H89" s="238"/>
      <c r="I89" s="238"/>
      <c r="J89" s="2939">
        <v>112</v>
      </c>
      <c r="K89" s="2376" t="s">
        <v>1683</v>
      </c>
      <c r="L89" s="2376" t="s">
        <v>1684</v>
      </c>
      <c r="M89" s="3047">
        <v>20</v>
      </c>
      <c r="N89" s="2373" t="s">
        <v>1685</v>
      </c>
      <c r="O89" s="2444" t="s">
        <v>1686</v>
      </c>
      <c r="P89" s="2442" t="s">
        <v>1687</v>
      </c>
      <c r="Q89" s="3100">
        <f>+V89/R89</f>
        <v>0.06896551724137931</v>
      </c>
      <c r="R89" s="3045">
        <f>+V89+V91</f>
        <v>29000000</v>
      </c>
      <c r="S89" s="2441" t="s">
        <v>1688</v>
      </c>
      <c r="T89" s="2442" t="s">
        <v>1689</v>
      </c>
      <c r="U89" s="2442" t="s">
        <v>1690</v>
      </c>
      <c r="V89" s="2485">
        <f>10000000-8000000</f>
        <v>2000000</v>
      </c>
      <c r="W89" s="2340" t="s">
        <v>63</v>
      </c>
      <c r="X89" s="2443" t="s">
        <v>1691</v>
      </c>
      <c r="Y89" s="2466">
        <v>21554</v>
      </c>
      <c r="Z89" s="2466">
        <v>22392</v>
      </c>
      <c r="AA89" s="2466">
        <v>31677</v>
      </c>
      <c r="AB89" s="2466">
        <v>10302</v>
      </c>
      <c r="AC89" s="2466">
        <v>15916</v>
      </c>
      <c r="AD89" s="2466">
        <v>15683</v>
      </c>
      <c r="AE89" s="2466">
        <v>238</v>
      </c>
      <c r="AF89" s="2466">
        <v>245</v>
      </c>
      <c r="AG89" s="2466">
        <v>0</v>
      </c>
      <c r="AH89" s="2466">
        <v>0</v>
      </c>
      <c r="AI89" s="2466">
        <v>0</v>
      </c>
      <c r="AJ89" s="2466">
        <v>0</v>
      </c>
      <c r="AK89" s="2466">
        <v>2629</v>
      </c>
      <c r="AL89" s="2466">
        <v>2665</v>
      </c>
      <c r="AM89" s="2466">
        <v>2683</v>
      </c>
      <c r="AN89" s="2466">
        <f>Y89+Z89</f>
        <v>43946</v>
      </c>
      <c r="AO89" s="2465"/>
      <c r="AP89" s="3044"/>
      <c r="AQ89" s="3044"/>
      <c r="AR89" s="3052"/>
      <c r="AS89" s="2443" t="s">
        <v>80</v>
      </c>
      <c r="AT89" s="2465" t="s">
        <v>1692</v>
      </c>
      <c r="AU89" s="3079">
        <v>43236</v>
      </c>
      <c r="AV89" s="3105">
        <v>43399</v>
      </c>
      <c r="AW89" s="3056" t="s">
        <v>1396</v>
      </c>
      <c r="AX89" s="1215"/>
      <c r="AY89" s="1215"/>
    </row>
    <row r="90" spans="1:51" s="666" customFormat="1" ht="33.75" customHeight="1">
      <c r="A90" s="1270"/>
      <c r="B90" s="1271"/>
      <c r="C90" s="1271"/>
      <c r="D90" s="688"/>
      <c r="E90" s="683"/>
      <c r="F90" s="683"/>
      <c r="G90" s="238"/>
      <c r="H90" s="238"/>
      <c r="I90" s="238"/>
      <c r="J90" s="2906"/>
      <c r="K90" s="2377"/>
      <c r="L90" s="2377"/>
      <c r="M90" s="2735"/>
      <c r="N90" s="2373"/>
      <c r="O90" s="2444"/>
      <c r="P90" s="2442"/>
      <c r="Q90" s="3101"/>
      <c r="R90" s="3045"/>
      <c r="S90" s="2442"/>
      <c r="T90" s="2463"/>
      <c r="U90" s="2463"/>
      <c r="V90" s="3040"/>
      <c r="W90" s="3069"/>
      <c r="X90" s="2466"/>
      <c r="Y90" s="2466"/>
      <c r="Z90" s="2466"/>
      <c r="AA90" s="2466"/>
      <c r="AB90" s="2466"/>
      <c r="AC90" s="2466"/>
      <c r="AD90" s="2466"/>
      <c r="AE90" s="2466"/>
      <c r="AF90" s="2466"/>
      <c r="AG90" s="2466"/>
      <c r="AH90" s="2466"/>
      <c r="AI90" s="2466"/>
      <c r="AJ90" s="2466"/>
      <c r="AK90" s="2466"/>
      <c r="AL90" s="2466"/>
      <c r="AM90" s="2466"/>
      <c r="AN90" s="2466"/>
      <c r="AO90" s="2466"/>
      <c r="AP90" s="3045"/>
      <c r="AQ90" s="3045"/>
      <c r="AR90" s="3053"/>
      <c r="AS90" s="2444"/>
      <c r="AT90" s="2466"/>
      <c r="AU90" s="3080"/>
      <c r="AV90" s="3075"/>
      <c r="AW90" s="3056"/>
      <c r="AX90" s="1215"/>
      <c r="AY90" s="1215"/>
    </row>
    <row r="91" spans="1:51" s="666" customFormat="1" ht="90">
      <c r="A91" s="1270"/>
      <c r="B91" s="1271"/>
      <c r="C91" s="1271"/>
      <c r="D91" s="688"/>
      <c r="E91" s="683"/>
      <c r="F91" s="683"/>
      <c r="G91" s="238"/>
      <c r="H91" s="238"/>
      <c r="I91" s="238"/>
      <c r="J91" s="789">
        <v>113</v>
      </c>
      <c r="K91" s="737" t="s">
        <v>1693</v>
      </c>
      <c r="L91" s="737" t="s">
        <v>1694</v>
      </c>
      <c r="M91" s="1269">
        <v>3</v>
      </c>
      <c r="N91" s="2373"/>
      <c r="O91" s="2444"/>
      <c r="P91" s="2442"/>
      <c r="Q91" s="1307">
        <f>+V91/R89</f>
        <v>0.9310344827586207</v>
      </c>
      <c r="R91" s="3045"/>
      <c r="S91" s="2442"/>
      <c r="T91" s="743" t="s">
        <v>1695</v>
      </c>
      <c r="U91" s="743" t="s">
        <v>1696</v>
      </c>
      <c r="V91" s="1160">
        <f>11000000+8000000+8000000</f>
        <v>27000000</v>
      </c>
      <c r="W91" s="3077"/>
      <c r="X91" s="2467"/>
      <c r="Y91" s="2466"/>
      <c r="Z91" s="2466"/>
      <c r="AA91" s="2466"/>
      <c r="AB91" s="2466"/>
      <c r="AC91" s="2466"/>
      <c r="AD91" s="2466"/>
      <c r="AE91" s="2466"/>
      <c r="AF91" s="2466"/>
      <c r="AG91" s="2466"/>
      <c r="AH91" s="2466"/>
      <c r="AI91" s="2466"/>
      <c r="AJ91" s="2466"/>
      <c r="AK91" s="2466"/>
      <c r="AL91" s="2466"/>
      <c r="AM91" s="2466"/>
      <c r="AN91" s="2466"/>
      <c r="AO91" s="2467"/>
      <c r="AP91" s="3046"/>
      <c r="AQ91" s="3046"/>
      <c r="AR91" s="3054"/>
      <c r="AS91" s="2444"/>
      <c r="AT91" s="2467"/>
      <c r="AU91" s="1214">
        <v>43392</v>
      </c>
      <c r="AV91" s="1214">
        <v>43399</v>
      </c>
      <c r="AW91" s="3056"/>
      <c r="AX91" s="1215"/>
      <c r="AY91" s="1215"/>
    </row>
    <row r="92" spans="1:49" s="666" customFormat="1" ht="15.75">
      <c r="A92" s="1270"/>
      <c r="B92" s="1271"/>
      <c r="C92" s="1272"/>
      <c r="D92" s="1180">
        <v>16</v>
      </c>
      <c r="E92" s="1181" t="s">
        <v>626</v>
      </c>
      <c r="F92" s="1181"/>
      <c r="G92" s="1100"/>
      <c r="H92" s="1100"/>
      <c r="I92" s="1100"/>
      <c r="J92" s="1100"/>
      <c r="K92" s="267"/>
      <c r="L92" s="267"/>
      <c r="M92" s="266"/>
      <c r="N92" s="268"/>
      <c r="O92" s="268"/>
      <c r="P92" s="267"/>
      <c r="Q92" s="1182"/>
      <c r="R92" s="636"/>
      <c r="S92" s="267"/>
      <c r="T92" s="267"/>
      <c r="U92" s="267"/>
      <c r="V92" s="1183"/>
      <c r="W92" s="1308"/>
      <c r="X92" s="268"/>
      <c r="Y92" s="268"/>
      <c r="Z92" s="268"/>
      <c r="AA92" s="266"/>
      <c r="AB92" s="266"/>
      <c r="AC92" s="266"/>
      <c r="AD92" s="266"/>
      <c r="AE92" s="266"/>
      <c r="AF92" s="266"/>
      <c r="AG92" s="266"/>
      <c r="AH92" s="1184"/>
      <c r="AI92" s="1184"/>
      <c r="AJ92" s="1104"/>
      <c r="AK92" s="1104"/>
      <c r="AL92" s="1104"/>
      <c r="AM92" s="1104"/>
      <c r="AN92" s="1104"/>
      <c r="AO92" s="1104"/>
      <c r="AP92" s="1185"/>
      <c r="AQ92" s="1185"/>
      <c r="AR92" s="1104"/>
      <c r="AS92" s="1104"/>
      <c r="AT92" s="1104"/>
      <c r="AU92" s="1104"/>
      <c r="AV92" s="1104"/>
      <c r="AW92" s="1187"/>
    </row>
    <row r="93" spans="1:49" s="666" customFormat="1" ht="15.75">
      <c r="A93" s="1270"/>
      <c r="B93" s="1271"/>
      <c r="C93" s="1272"/>
      <c r="D93" s="1309"/>
      <c r="E93" s="1310"/>
      <c r="F93" s="1310"/>
      <c r="G93" s="1192">
        <v>57</v>
      </c>
      <c r="H93" s="182" t="s">
        <v>1697</v>
      </c>
      <c r="I93" s="182"/>
      <c r="J93" s="182"/>
      <c r="K93" s="639"/>
      <c r="L93" s="639"/>
      <c r="M93" s="1311"/>
      <c r="N93" s="1312"/>
      <c r="O93" s="606"/>
      <c r="P93" s="505"/>
      <c r="Q93" s="1305"/>
      <c r="R93" s="641"/>
      <c r="S93" s="505"/>
      <c r="T93" s="505"/>
      <c r="U93" s="505"/>
      <c r="V93" s="1193"/>
      <c r="W93" s="1313"/>
      <c r="X93" s="606"/>
      <c r="Y93" s="606"/>
      <c r="Z93" s="606"/>
      <c r="AA93" s="182"/>
      <c r="AB93" s="182"/>
      <c r="AC93" s="182"/>
      <c r="AD93" s="182"/>
      <c r="AE93" s="182"/>
      <c r="AF93" s="182"/>
      <c r="AG93" s="182"/>
      <c r="AH93" s="546"/>
      <c r="AI93" s="546"/>
      <c r="AJ93" s="1117"/>
      <c r="AK93" s="1117"/>
      <c r="AL93" s="1117"/>
      <c r="AM93" s="1117"/>
      <c r="AN93" s="1117"/>
      <c r="AO93" s="1117"/>
      <c r="AP93" s="1133"/>
      <c r="AQ93" s="1133"/>
      <c r="AR93" s="1117"/>
      <c r="AS93" s="1117"/>
      <c r="AT93" s="1117"/>
      <c r="AU93" s="1117"/>
      <c r="AV93" s="1117"/>
      <c r="AW93" s="1135"/>
    </row>
    <row r="94" spans="1:49" s="666" customFormat="1" ht="60">
      <c r="A94" s="1314"/>
      <c r="B94" s="1315"/>
      <c r="C94" s="1316"/>
      <c r="D94" s="1317"/>
      <c r="E94" s="1318"/>
      <c r="F94" s="1318"/>
      <c r="G94" s="1319"/>
      <c r="H94" s="1319"/>
      <c r="I94" s="1319"/>
      <c r="J94" s="1320">
        <v>182</v>
      </c>
      <c r="K94" s="1321" t="s">
        <v>1698</v>
      </c>
      <c r="L94" s="1321" t="s">
        <v>1699</v>
      </c>
      <c r="M94" s="1322">
        <v>1</v>
      </c>
      <c r="N94" s="415" t="s">
        <v>1700</v>
      </c>
      <c r="O94" s="415" t="s">
        <v>1701</v>
      </c>
      <c r="P94" s="1321" t="s">
        <v>1702</v>
      </c>
      <c r="Q94" s="1323">
        <f>+V94/R94</f>
        <v>1</v>
      </c>
      <c r="R94" s="1324">
        <f>+V94</f>
        <v>29000000</v>
      </c>
      <c r="S94" s="1321" t="s">
        <v>1703</v>
      </c>
      <c r="T94" s="1321" t="s">
        <v>1698</v>
      </c>
      <c r="U94" s="1321" t="s">
        <v>1704</v>
      </c>
      <c r="V94" s="1324">
        <v>29000000</v>
      </c>
      <c r="W94" s="1325">
        <v>20</v>
      </c>
      <c r="X94" s="1322" t="s">
        <v>80</v>
      </c>
      <c r="Y94" s="1322">
        <v>21554</v>
      </c>
      <c r="Z94" s="1322">
        <v>22392</v>
      </c>
      <c r="AA94" s="1325">
        <v>31677</v>
      </c>
      <c r="AB94" s="1325">
        <v>10302</v>
      </c>
      <c r="AC94" s="1325">
        <v>15916</v>
      </c>
      <c r="AD94" s="1325">
        <v>15683</v>
      </c>
      <c r="AE94" s="1325">
        <v>238</v>
      </c>
      <c r="AF94" s="1325">
        <v>245</v>
      </c>
      <c r="AG94" s="1325">
        <v>0</v>
      </c>
      <c r="AH94" s="1325">
        <v>0</v>
      </c>
      <c r="AI94" s="1326">
        <v>0</v>
      </c>
      <c r="AJ94" s="1327">
        <v>0</v>
      </c>
      <c r="AK94" s="1327">
        <v>2629</v>
      </c>
      <c r="AL94" s="1327">
        <v>2665</v>
      </c>
      <c r="AM94" s="1327">
        <v>2683</v>
      </c>
      <c r="AN94" s="1328">
        <v>4396</v>
      </c>
      <c r="AO94" s="1328"/>
      <c r="AP94" s="1329"/>
      <c r="AQ94" s="1330"/>
      <c r="AR94" s="1331"/>
      <c r="AS94" s="1332"/>
      <c r="AT94" s="1333"/>
      <c r="AU94" s="1334"/>
      <c r="AV94" s="1335"/>
      <c r="AW94" s="1336" t="s">
        <v>1396</v>
      </c>
    </row>
    <row r="95" spans="1:49" s="1346" customFormat="1" ht="15.75">
      <c r="A95" s="3102"/>
      <c r="B95" s="3103"/>
      <c r="C95" s="3103"/>
      <c r="D95" s="3103"/>
      <c r="E95" s="3103"/>
      <c r="F95" s="3103"/>
      <c r="G95" s="3103"/>
      <c r="H95" s="3103"/>
      <c r="I95" s="2978"/>
      <c r="J95" s="248"/>
      <c r="K95" s="1337"/>
      <c r="L95" s="1337"/>
      <c r="M95" s="1338"/>
      <c r="N95" s="1338"/>
      <c r="O95" s="1339"/>
      <c r="P95" s="1337"/>
      <c r="Q95" s="1340"/>
      <c r="R95" s="1341">
        <f>SUM(R11:R94)</f>
        <v>154239404500.09998</v>
      </c>
      <c r="S95" s="1337"/>
      <c r="T95" s="1337"/>
      <c r="U95" s="1337"/>
      <c r="V95" s="1341">
        <f>SUM(V11:V94)</f>
        <v>154239404500.09998</v>
      </c>
      <c r="W95" s="1342"/>
      <c r="X95" s="1342"/>
      <c r="Y95" s="1342"/>
      <c r="Z95" s="1342"/>
      <c r="AA95" s="1342"/>
      <c r="AB95" s="1342"/>
      <c r="AC95" s="1342"/>
      <c r="AD95" s="1342"/>
      <c r="AE95" s="1342"/>
      <c r="AF95" s="1342"/>
      <c r="AG95" s="1342"/>
      <c r="AH95" s="1342"/>
      <c r="AI95" s="1342"/>
      <c r="AJ95" s="1342"/>
      <c r="AK95" s="1342"/>
      <c r="AL95" s="1342"/>
      <c r="AM95" s="1342"/>
      <c r="AN95" s="1342"/>
      <c r="AO95" s="1342"/>
      <c r="AP95" s="1341">
        <f>SUM(AP11:AP94)</f>
        <v>0</v>
      </c>
      <c r="AQ95" s="1341">
        <f>SUM(AQ11:AQ94)</f>
        <v>0</v>
      </c>
      <c r="AR95" s="1343"/>
      <c r="AS95" s="1343"/>
      <c r="AT95" s="1343"/>
      <c r="AU95" s="1344"/>
      <c r="AV95" s="1344"/>
      <c r="AW95" s="1345"/>
    </row>
    <row r="96" spans="1:49" s="666" customFormat="1" ht="15.75">
      <c r="A96" s="227"/>
      <c r="B96" s="131"/>
      <c r="C96" s="131"/>
      <c r="D96" s="131"/>
      <c r="E96" s="131"/>
      <c r="F96" s="131"/>
      <c r="G96" s="131"/>
      <c r="H96" s="131"/>
      <c r="I96" s="131"/>
      <c r="J96" s="131"/>
      <c r="K96" s="229"/>
      <c r="L96" s="230"/>
      <c r="M96" s="131"/>
      <c r="N96" s="231"/>
      <c r="O96" s="231"/>
      <c r="P96" s="229"/>
      <c r="Q96" s="1347"/>
      <c r="R96" s="1348"/>
      <c r="S96" s="229"/>
      <c r="T96" s="229"/>
      <c r="U96" s="229"/>
      <c r="V96" s="1349"/>
      <c r="W96" s="131"/>
      <c r="X96" s="131"/>
      <c r="Y96" s="131"/>
      <c r="Z96" s="131"/>
      <c r="AA96" s="131"/>
      <c r="AB96" s="131"/>
      <c r="AC96" s="131"/>
      <c r="AD96" s="131"/>
      <c r="AE96" s="131"/>
      <c r="AF96" s="131"/>
      <c r="AG96" s="131"/>
      <c r="AW96" s="1350"/>
    </row>
    <row r="97" spans="1:49" s="666" customFormat="1" ht="15.75">
      <c r="A97" s="227"/>
      <c r="B97" s="131"/>
      <c r="C97" s="131"/>
      <c r="D97" s="131"/>
      <c r="E97" s="131"/>
      <c r="F97" s="131"/>
      <c r="G97" s="131"/>
      <c r="H97" s="131"/>
      <c r="I97" s="131"/>
      <c r="J97" s="131"/>
      <c r="K97" s="229"/>
      <c r="L97" s="230"/>
      <c r="M97" s="131"/>
      <c r="N97" s="231"/>
      <c r="O97" s="231"/>
      <c r="P97" s="229"/>
      <c r="Q97" s="1347"/>
      <c r="R97" s="1351"/>
      <c r="S97" s="229"/>
      <c r="T97" s="229"/>
      <c r="U97" s="229"/>
      <c r="V97" s="1351"/>
      <c r="W97" s="131"/>
      <c r="X97" s="131"/>
      <c r="Y97" s="131"/>
      <c r="Z97" s="131"/>
      <c r="AA97" s="131"/>
      <c r="AB97" s="131"/>
      <c r="AC97" s="131"/>
      <c r="AD97" s="131"/>
      <c r="AE97" s="131"/>
      <c r="AF97" s="131"/>
      <c r="AG97" s="131"/>
      <c r="AQ97" s="1352"/>
      <c r="AW97" s="1350"/>
    </row>
    <row r="98" spans="1:49" s="666" customFormat="1" ht="15.75">
      <c r="A98" s="227"/>
      <c r="B98" s="131"/>
      <c r="C98" s="131"/>
      <c r="D98" s="131"/>
      <c r="E98" s="131"/>
      <c r="F98" s="131"/>
      <c r="G98" s="131"/>
      <c r="H98" s="131"/>
      <c r="I98" s="131"/>
      <c r="J98" s="131"/>
      <c r="K98" s="229"/>
      <c r="L98" s="230"/>
      <c r="M98" s="131"/>
      <c r="N98" s="231"/>
      <c r="O98" s="231"/>
      <c r="P98" s="229"/>
      <c r="Q98" s="1347"/>
      <c r="R98" s="1349"/>
      <c r="S98" s="229"/>
      <c r="T98" s="229"/>
      <c r="U98" s="229"/>
      <c r="V98" s="1353"/>
      <c r="W98" s="131"/>
      <c r="X98" s="131"/>
      <c r="Y98" s="131"/>
      <c r="Z98" s="131"/>
      <c r="AA98" s="131"/>
      <c r="AB98" s="131"/>
      <c r="AC98" s="131"/>
      <c r="AD98" s="131"/>
      <c r="AE98" s="131"/>
      <c r="AF98" s="131"/>
      <c r="AG98" s="131"/>
      <c r="AW98" s="1350"/>
    </row>
    <row r="99" spans="1:49" s="666" customFormat="1" ht="15.75">
      <c r="A99" s="227"/>
      <c r="B99" s="131"/>
      <c r="C99" s="131"/>
      <c r="D99" s="131"/>
      <c r="E99" s="131"/>
      <c r="F99" s="131"/>
      <c r="G99" s="131"/>
      <c r="H99" s="131"/>
      <c r="I99" s="131"/>
      <c r="J99" s="131"/>
      <c r="K99" s="229"/>
      <c r="L99" s="230"/>
      <c r="M99" s="131"/>
      <c r="N99" s="231"/>
      <c r="O99" s="231"/>
      <c r="P99" s="229"/>
      <c r="Q99" s="1347"/>
      <c r="R99" s="1349"/>
      <c r="S99" s="229"/>
      <c r="T99" s="229"/>
      <c r="U99" s="229"/>
      <c r="V99" s="1354"/>
      <c r="W99" s="131"/>
      <c r="X99" s="131"/>
      <c r="Y99" s="131"/>
      <c r="Z99" s="131"/>
      <c r="AA99" s="131"/>
      <c r="AB99" s="131"/>
      <c r="AC99" s="131"/>
      <c r="AD99" s="131"/>
      <c r="AE99" s="131"/>
      <c r="AF99" s="131"/>
      <c r="AG99" s="131"/>
      <c r="AW99" s="1350"/>
    </row>
    <row r="100" spans="1:49" s="666" customFormat="1" ht="15.75">
      <c r="A100" s="227"/>
      <c r="B100" s="131"/>
      <c r="C100" s="131"/>
      <c r="D100" s="131"/>
      <c r="E100" s="131"/>
      <c r="F100" s="131"/>
      <c r="G100" s="131"/>
      <c r="H100" s="131"/>
      <c r="I100" s="131"/>
      <c r="J100" s="131"/>
      <c r="K100" s="229"/>
      <c r="L100" s="230"/>
      <c r="M100" s="131"/>
      <c r="N100" s="231"/>
      <c r="O100" s="231"/>
      <c r="P100" s="229"/>
      <c r="Q100" s="1347"/>
      <c r="R100" s="1349"/>
      <c r="S100" s="229"/>
      <c r="T100" s="229"/>
      <c r="U100" s="229"/>
      <c r="V100" s="229"/>
      <c r="W100" s="131"/>
      <c r="X100" s="131"/>
      <c r="Y100" s="131"/>
      <c r="Z100" s="131"/>
      <c r="AA100" s="131"/>
      <c r="AB100" s="131"/>
      <c r="AC100" s="131"/>
      <c r="AD100" s="131"/>
      <c r="AE100" s="131"/>
      <c r="AF100" s="131"/>
      <c r="AG100" s="131"/>
      <c r="AW100" s="1350"/>
    </row>
    <row r="101" spans="1:49" s="666" customFormat="1" ht="15.75">
      <c r="A101" s="131"/>
      <c r="B101" s="131"/>
      <c r="C101" s="131"/>
      <c r="D101" s="131"/>
      <c r="E101" s="131"/>
      <c r="F101" s="131"/>
      <c r="G101" s="231"/>
      <c r="H101" s="230"/>
      <c r="I101" s="131"/>
      <c r="J101" s="131"/>
      <c r="K101" s="1355"/>
      <c r="L101" s="230"/>
      <c r="M101" s="131"/>
      <c r="N101" s="3104" t="s">
        <v>1705</v>
      </c>
      <c r="O101" s="3104"/>
      <c r="P101" s="3104"/>
      <c r="Q101" s="131"/>
      <c r="R101" s="230"/>
      <c r="S101" s="230"/>
      <c r="T101" s="1356"/>
      <c r="U101" s="1356"/>
      <c r="V101" s="1356"/>
      <c r="W101" s="131"/>
      <c r="X101" s="131"/>
      <c r="Y101" s="131"/>
      <c r="Z101" s="131"/>
      <c r="AA101" s="531"/>
      <c r="AB101" s="131"/>
      <c r="AC101" s="531"/>
      <c r="AD101" s="131"/>
      <c r="AE101" s="531"/>
      <c r="AF101" s="131"/>
      <c r="AG101" s="531"/>
      <c r="AW101" s="1350"/>
    </row>
    <row r="102" spans="1:49" s="666" customFormat="1" ht="15.75">
      <c r="A102" s="131"/>
      <c r="B102" s="131"/>
      <c r="C102" s="131"/>
      <c r="D102" s="131"/>
      <c r="E102" s="131"/>
      <c r="F102" s="131"/>
      <c r="G102" s="231"/>
      <c r="H102" s="230"/>
      <c r="I102" s="131"/>
      <c r="J102" s="131"/>
      <c r="K102" s="1355"/>
      <c r="L102" s="230"/>
      <c r="M102" s="131"/>
      <c r="N102" s="1357" t="s">
        <v>1706</v>
      </c>
      <c r="O102" s="131"/>
      <c r="P102" s="1358"/>
      <c r="Q102" s="131"/>
      <c r="R102" s="230"/>
      <c r="S102" s="230"/>
      <c r="T102" s="1359"/>
      <c r="U102" s="1356"/>
      <c r="V102" s="1356"/>
      <c r="W102" s="131"/>
      <c r="X102" s="131"/>
      <c r="Y102" s="131"/>
      <c r="Z102" s="131"/>
      <c r="AA102" s="531"/>
      <c r="AB102" s="131"/>
      <c r="AC102" s="531"/>
      <c r="AD102" s="131"/>
      <c r="AE102" s="531"/>
      <c r="AF102" s="131"/>
      <c r="AG102" s="531"/>
      <c r="AW102" s="1350"/>
    </row>
    <row r="103" spans="1:49" s="666" customFormat="1" ht="15.75">
      <c r="A103" s="131"/>
      <c r="B103" s="131"/>
      <c r="C103" s="131"/>
      <c r="D103" s="131"/>
      <c r="E103" s="131"/>
      <c r="F103" s="131"/>
      <c r="G103" s="231"/>
      <c r="H103" s="230"/>
      <c r="I103" s="131"/>
      <c r="J103" s="131"/>
      <c r="K103" s="1355"/>
      <c r="L103" s="230"/>
      <c r="M103" s="131"/>
      <c r="N103" s="811"/>
      <c r="O103" s="131"/>
      <c r="P103" s="1358"/>
      <c r="Q103" s="131"/>
      <c r="R103" s="230"/>
      <c r="S103" s="230"/>
      <c r="T103" s="1359"/>
      <c r="U103" s="1356"/>
      <c r="V103" s="1356"/>
      <c r="W103" s="131"/>
      <c r="X103" s="131"/>
      <c r="Y103" s="131"/>
      <c r="Z103" s="131"/>
      <c r="AA103" s="531"/>
      <c r="AB103" s="131"/>
      <c r="AC103" s="531"/>
      <c r="AD103" s="131"/>
      <c r="AE103" s="531"/>
      <c r="AF103" s="131"/>
      <c r="AG103" s="531"/>
      <c r="AW103" s="1350"/>
    </row>
  </sheetData>
  <sheetProtection password="CBEB" sheet="1" objects="1" scenarios="1"/>
  <mergeCells count="438">
    <mergeCell ref="AW89:AW91"/>
    <mergeCell ref="A95:I95"/>
    <mergeCell ref="N101:P101"/>
    <mergeCell ref="AQ89:AQ91"/>
    <mergeCell ref="AR89:AR91"/>
    <mergeCell ref="AS89:AS91"/>
    <mergeCell ref="AT89:AT91"/>
    <mergeCell ref="AU89:AU90"/>
    <mergeCell ref="AV89:AV90"/>
    <mergeCell ref="AK89:AK91"/>
    <mergeCell ref="AL89:AL91"/>
    <mergeCell ref="AM89:AM91"/>
    <mergeCell ref="AN89:AN91"/>
    <mergeCell ref="AO89:AO91"/>
    <mergeCell ref="AP89:AP91"/>
    <mergeCell ref="AE89:AE91"/>
    <mergeCell ref="AF89:AF91"/>
    <mergeCell ref="AG89:AG91"/>
    <mergeCell ref="AH89:AH91"/>
    <mergeCell ref="AI89:AI91"/>
    <mergeCell ref="AJ89:AJ91"/>
    <mergeCell ref="Y89:Y91"/>
    <mergeCell ref="Z89:Z91"/>
    <mergeCell ref="AA89:AA91"/>
    <mergeCell ref="AB89:AB91"/>
    <mergeCell ref="AC89:AC91"/>
    <mergeCell ref="AD89:AD91"/>
    <mergeCell ref="S89:S91"/>
    <mergeCell ref="T89:T90"/>
    <mergeCell ref="U89:U90"/>
    <mergeCell ref="V89:V90"/>
    <mergeCell ref="W89:W91"/>
    <mergeCell ref="X89:X91"/>
    <mergeCell ref="AW81:AW83"/>
    <mergeCell ref="J89:J90"/>
    <mergeCell ref="K89:K90"/>
    <mergeCell ref="L89:L90"/>
    <mergeCell ref="M89:M90"/>
    <mergeCell ref="N89:N91"/>
    <mergeCell ref="O89:O91"/>
    <mergeCell ref="P89:P91"/>
    <mergeCell ref="Q89:Q90"/>
    <mergeCell ref="R89:R91"/>
    <mergeCell ref="AQ81:AQ83"/>
    <mergeCell ref="AR81:AR83"/>
    <mergeCell ref="AS81:AS83"/>
    <mergeCell ref="AT81:AT83"/>
    <mergeCell ref="AU81:AU83"/>
    <mergeCell ref="AV81:AV83"/>
    <mergeCell ref="AK81:AK83"/>
    <mergeCell ref="AL81:AL83"/>
    <mergeCell ref="AM81:AM83"/>
    <mergeCell ref="AN81:AN83"/>
    <mergeCell ref="AO81:AO83"/>
    <mergeCell ref="AP81:AP83"/>
    <mergeCell ref="AE81:AE83"/>
    <mergeCell ref="AF81:AF83"/>
    <mergeCell ref="AV77:AV78"/>
    <mergeCell ref="AW77:AW78"/>
    <mergeCell ref="J81:J82"/>
    <mergeCell ref="K81:K82"/>
    <mergeCell ref="L81:L82"/>
    <mergeCell ref="M81:M82"/>
    <mergeCell ref="O81:O83"/>
    <mergeCell ref="P81:P83"/>
    <mergeCell ref="Q81:Q82"/>
    <mergeCell ref="R81:R83"/>
    <mergeCell ref="AP77:AP78"/>
    <mergeCell ref="AQ77:AQ78"/>
    <mergeCell ref="AR77:AR78"/>
    <mergeCell ref="AS77:AS78"/>
    <mergeCell ref="AT77:AT78"/>
    <mergeCell ref="AU77:AU78"/>
    <mergeCell ref="AJ77:AJ78"/>
    <mergeCell ref="AK77:AK78"/>
    <mergeCell ref="AG81:AG83"/>
    <mergeCell ref="AH81:AH83"/>
    <mergeCell ref="AI81:AI83"/>
    <mergeCell ref="AJ81:AJ83"/>
    <mergeCell ref="Y81:Y83"/>
    <mergeCell ref="Z81:Z83"/>
    <mergeCell ref="AO77:AO78"/>
    <mergeCell ref="AD77:AD78"/>
    <mergeCell ref="AE77:AE78"/>
    <mergeCell ref="AF77:AF78"/>
    <mergeCell ref="AG77:AG78"/>
    <mergeCell ref="AH77:AH78"/>
    <mergeCell ref="AI77:AI78"/>
    <mergeCell ref="S81:S83"/>
    <mergeCell ref="T81:T82"/>
    <mergeCell ref="U81:U82"/>
    <mergeCell ref="V81:V82"/>
    <mergeCell ref="W81:W83"/>
    <mergeCell ref="X81:X83"/>
    <mergeCell ref="AA81:AA83"/>
    <mergeCell ref="AB81:AB83"/>
    <mergeCell ref="AC81:AC83"/>
    <mergeCell ref="AD81:AD83"/>
    <mergeCell ref="N74:N76"/>
    <mergeCell ref="J77:J78"/>
    <mergeCell ref="K77:K78"/>
    <mergeCell ref="L77:L78"/>
    <mergeCell ref="M77:M78"/>
    <mergeCell ref="O77:O78"/>
    <mergeCell ref="AR73:AR76"/>
    <mergeCell ref="AS73:AS76"/>
    <mergeCell ref="AT73:AT76"/>
    <mergeCell ref="X77:X78"/>
    <mergeCell ref="Y77:Y78"/>
    <mergeCell ref="Z77:Z78"/>
    <mergeCell ref="AA77:AA78"/>
    <mergeCell ref="AB77:AB78"/>
    <mergeCell ref="AC77:AC78"/>
    <mergeCell ref="P77:P78"/>
    <mergeCell ref="Q77:Q78"/>
    <mergeCell ref="R77:R78"/>
    <mergeCell ref="S77:S78"/>
    <mergeCell ref="T77:T78"/>
    <mergeCell ref="W77:W78"/>
    <mergeCell ref="AL77:AL78"/>
    <mergeCell ref="AM77:AM78"/>
    <mergeCell ref="AN77:AN78"/>
    <mergeCell ref="AU73:AU76"/>
    <mergeCell ref="AV73:AV76"/>
    <mergeCell ref="AW73:AW76"/>
    <mergeCell ref="AV67:AV71"/>
    <mergeCell ref="AW67:AW71"/>
    <mergeCell ref="O73:O76"/>
    <mergeCell ref="P73:P76"/>
    <mergeCell ref="R73:R76"/>
    <mergeCell ref="S73:S76"/>
    <mergeCell ref="T73:T76"/>
    <mergeCell ref="W73:W76"/>
    <mergeCell ref="AP73:AP76"/>
    <mergeCell ref="AQ73:AQ76"/>
    <mergeCell ref="AP67:AP71"/>
    <mergeCell ref="AQ67:AQ71"/>
    <mergeCell ref="AR67:AR71"/>
    <mergeCell ref="AS67:AS71"/>
    <mergeCell ref="AT67:AT71"/>
    <mergeCell ref="AU67:AU71"/>
    <mergeCell ref="AJ67:AJ71"/>
    <mergeCell ref="AK67:AK71"/>
    <mergeCell ref="AL67:AL71"/>
    <mergeCell ref="AM67:AM71"/>
    <mergeCell ref="AN67:AN71"/>
    <mergeCell ref="AO67:AO71"/>
    <mergeCell ref="AD67:AD71"/>
    <mergeCell ref="AE67:AE71"/>
    <mergeCell ref="AF67:AF71"/>
    <mergeCell ref="AG67:AG71"/>
    <mergeCell ref="AH67:AH71"/>
    <mergeCell ref="AI67:AI71"/>
    <mergeCell ref="X67:X71"/>
    <mergeCell ref="Y67:Y71"/>
    <mergeCell ref="Z67:Z71"/>
    <mergeCell ref="AA67:AA71"/>
    <mergeCell ref="AB67:AB71"/>
    <mergeCell ref="AC67:AC71"/>
    <mergeCell ref="AN60:AN64"/>
    <mergeCell ref="AS60:AS64"/>
    <mergeCell ref="AU60:AU64"/>
    <mergeCell ref="AV60:AV64"/>
    <mergeCell ref="AW60:AW64"/>
    <mergeCell ref="O67:O71"/>
    <mergeCell ref="P67:P71"/>
    <mergeCell ref="R67:R71"/>
    <mergeCell ref="S67:S71"/>
    <mergeCell ref="W67:W71"/>
    <mergeCell ref="AH60:AH64"/>
    <mergeCell ref="AI60:AI64"/>
    <mergeCell ref="AJ60:AJ64"/>
    <mergeCell ref="AK60:AK64"/>
    <mergeCell ref="AL60:AL64"/>
    <mergeCell ref="AM60:AM64"/>
    <mergeCell ref="AB60:AB64"/>
    <mergeCell ref="AC60:AC64"/>
    <mergeCell ref="AD60:AD64"/>
    <mergeCell ref="AE60:AE64"/>
    <mergeCell ref="AF60:AF64"/>
    <mergeCell ref="AG60:AG64"/>
    <mergeCell ref="V60:V64"/>
    <mergeCell ref="W60:W64"/>
    <mergeCell ref="X60:X64"/>
    <mergeCell ref="Y60:Y64"/>
    <mergeCell ref="Z60:Z64"/>
    <mergeCell ref="AA60:AA64"/>
    <mergeCell ref="P60:P64"/>
    <mergeCell ref="Q60:Q64"/>
    <mergeCell ref="R60:R64"/>
    <mergeCell ref="S60:S64"/>
    <mergeCell ref="T60:T64"/>
    <mergeCell ref="U60:U64"/>
    <mergeCell ref="G60:I64"/>
    <mergeCell ref="J60:J64"/>
    <mergeCell ref="K60:K64"/>
    <mergeCell ref="L60:L64"/>
    <mergeCell ref="M60:M64"/>
    <mergeCell ref="O60:O64"/>
    <mergeCell ref="AW54:AW58"/>
    <mergeCell ref="J56:J57"/>
    <mergeCell ref="K56:K57"/>
    <mergeCell ref="L56:L57"/>
    <mergeCell ref="M56:M57"/>
    <mergeCell ref="Q56:Q57"/>
    <mergeCell ref="T56:T57"/>
    <mergeCell ref="U56:U57"/>
    <mergeCell ref="V56:V57"/>
    <mergeCell ref="AQ54:AQ58"/>
    <mergeCell ref="AR54:AR58"/>
    <mergeCell ref="AS54:AS58"/>
    <mergeCell ref="AT54:AT58"/>
    <mergeCell ref="AU54:AU58"/>
    <mergeCell ref="AV54:AV58"/>
    <mergeCell ref="AK54:AK58"/>
    <mergeCell ref="AL54:AL58"/>
    <mergeCell ref="AM54:AM58"/>
    <mergeCell ref="AN54:AN58"/>
    <mergeCell ref="AO54:AO58"/>
    <mergeCell ref="AP54:AP58"/>
    <mergeCell ref="AE54:AE58"/>
    <mergeCell ref="AF54:AF58"/>
    <mergeCell ref="AG54:AG58"/>
    <mergeCell ref="AH54:AH58"/>
    <mergeCell ref="AI54:AI58"/>
    <mergeCell ref="AJ54:AJ58"/>
    <mergeCell ref="Y54:Y58"/>
    <mergeCell ref="Z54:Z58"/>
    <mergeCell ref="AA54:AA58"/>
    <mergeCell ref="AB54:AB58"/>
    <mergeCell ref="AC54:AC58"/>
    <mergeCell ref="AD54:AD58"/>
    <mergeCell ref="O54:O58"/>
    <mergeCell ref="P54:P58"/>
    <mergeCell ref="R54:R58"/>
    <mergeCell ref="S54:S58"/>
    <mergeCell ref="W54:W58"/>
    <mergeCell ref="X54:X58"/>
    <mergeCell ref="AP39:AP52"/>
    <mergeCell ref="AQ39:AQ52"/>
    <mergeCell ref="AR39:AR52"/>
    <mergeCell ref="AF39:AF52"/>
    <mergeCell ref="AG39:AG52"/>
    <mergeCell ref="AH39:AH52"/>
    <mergeCell ref="AI39:AI52"/>
    <mergeCell ref="AJ39:AJ52"/>
    <mergeCell ref="AK39:AK52"/>
    <mergeCell ref="L43:L44"/>
    <mergeCell ref="M43:M44"/>
    <mergeCell ref="Q43:Q44"/>
    <mergeCell ref="T43:T44"/>
    <mergeCell ref="J45:J47"/>
    <mergeCell ref="K45:K47"/>
    <mergeCell ref="AL39:AL52"/>
    <mergeCell ref="AM39:AM52"/>
    <mergeCell ref="AN39:AN52"/>
    <mergeCell ref="Z39:Z52"/>
    <mergeCell ref="AA39:AA52"/>
    <mergeCell ref="L45:L47"/>
    <mergeCell ref="M45:M47"/>
    <mergeCell ref="Q45:Q47"/>
    <mergeCell ref="T45:T47"/>
    <mergeCell ref="J49:J50"/>
    <mergeCell ref="K49:K50"/>
    <mergeCell ref="L49:L50"/>
    <mergeCell ref="M49:M50"/>
    <mergeCell ref="Q49:Q50"/>
    <mergeCell ref="T49:T50"/>
    <mergeCell ref="AW30:AW37"/>
    <mergeCell ref="N31:N37"/>
    <mergeCell ref="G39:I52"/>
    <mergeCell ref="O39:O52"/>
    <mergeCell ref="P39:P52"/>
    <mergeCell ref="R39:R52"/>
    <mergeCell ref="S39:S52"/>
    <mergeCell ref="W39:W52"/>
    <mergeCell ref="X39:X52"/>
    <mergeCell ref="Y39:Y52"/>
    <mergeCell ref="AQ30:AQ37"/>
    <mergeCell ref="AR30:AR37"/>
    <mergeCell ref="AS30:AS37"/>
    <mergeCell ref="AT30:AT37"/>
    <mergeCell ref="AU30:AU37"/>
    <mergeCell ref="AV30:AV37"/>
    <mergeCell ref="AK30:AK37"/>
    <mergeCell ref="AL30:AL37"/>
    <mergeCell ref="AM30:AM37"/>
    <mergeCell ref="AN30:AN37"/>
    <mergeCell ref="AS39:AS52"/>
    <mergeCell ref="AW39:AW52"/>
    <mergeCell ref="J43:J44"/>
    <mergeCell ref="K43:K44"/>
    <mergeCell ref="AJ30:AJ37"/>
    <mergeCell ref="Y30:Y37"/>
    <mergeCell ref="Z30:Z37"/>
    <mergeCell ref="AA30:AA37"/>
    <mergeCell ref="AB30:AB37"/>
    <mergeCell ref="AC30:AC37"/>
    <mergeCell ref="AD30:AD37"/>
    <mergeCell ref="AB39:AB52"/>
    <mergeCell ref="AC39:AC52"/>
    <mergeCell ref="AD39:AD52"/>
    <mergeCell ref="AE39:AE52"/>
    <mergeCell ref="AW20:AW26"/>
    <mergeCell ref="J22:J23"/>
    <mergeCell ref="K22:K23"/>
    <mergeCell ref="L22:L23"/>
    <mergeCell ref="M22:M23"/>
    <mergeCell ref="Q22:Q23"/>
    <mergeCell ref="AQ20:AQ26"/>
    <mergeCell ref="AR20:AR26"/>
    <mergeCell ref="AS20:AS26"/>
    <mergeCell ref="AT20:AT26"/>
    <mergeCell ref="AU20:AU26"/>
    <mergeCell ref="AV20:AV26"/>
    <mergeCell ref="AK20:AK26"/>
    <mergeCell ref="AL20:AL26"/>
    <mergeCell ref="AM20:AM26"/>
    <mergeCell ref="AN20:AN26"/>
    <mergeCell ref="AO20:AO26"/>
    <mergeCell ref="AP20:AP26"/>
    <mergeCell ref="AI20:AI26"/>
    <mergeCell ref="AJ20:AJ26"/>
    <mergeCell ref="Y20:Y26"/>
    <mergeCell ref="Z20:Z26"/>
    <mergeCell ref="AA20:AA26"/>
    <mergeCell ref="AB20:AB26"/>
    <mergeCell ref="AC20:AC26"/>
    <mergeCell ref="AD20:AD26"/>
    <mergeCell ref="O30:O37"/>
    <mergeCell ref="P30:P37"/>
    <mergeCell ref="R30:R37"/>
    <mergeCell ref="S30:S37"/>
    <mergeCell ref="W30:W37"/>
    <mergeCell ref="X30:X37"/>
    <mergeCell ref="AU11:AU18"/>
    <mergeCell ref="V17:V18"/>
    <mergeCell ref="U11:U13"/>
    <mergeCell ref="V11:V13"/>
    <mergeCell ref="V14:V15"/>
    <mergeCell ref="AE20:AE26"/>
    <mergeCell ref="AF20:AF26"/>
    <mergeCell ref="AG20:AG26"/>
    <mergeCell ref="AH20:AH26"/>
    <mergeCell ref="AO30:AO37"/>
    <mergeCell ref="AP30:AP37"/>
    <mergeCell ref="AE30:AE37"/>
    <mergeCell ref="AF30:AF37"/>
    <mergeCell ref="AG30:AG37"/>
    <mergeCell ref="AH30:AH37"/>
    <mergeCell ref="AI30:AI37"/>
    <mergeCell ref="AV11:AV18"/>
    <mergeCell ref="AG11:AG18"/>
    <mergeCell ref="AH11:AH18"/>
    <mergeCell ref="W11:W18"/>
    <mergeCell ref="X11:X18"/>
    <mergeCell ref="Y11:Y18"/>
    <mergeCell ref="Z11:Z18"/>
    <mergeCell ref="AA11:AA18"/>
    <mergeCell ref="AB11:AB18"/>
    <mergeCell ref="AM11:AM18"/>
    <mergeCell ref="AN11:AN18"/>
    <mergeCell ref="AC11:AC18"/>
    <mergeCell ref="AD11:AD18"/>
    <mergeCell ref="AE11:AE18"/>
    <mergeCell ref="AF11:AF18"/>
    <mergeCell ref="N20:N26"/>
    <mergeCell ref="O20:O26"/>
    <mergeCell ref="P20:P26"/>
    <mergeCell ref="R20:R26"/>
    <mergeCell ref="S20:S26"/>
    <mergeCell ref="T20:T26"/>
    <mergeCell ref="Q11:Q13"/>
    <mergeCell ref="R11:R18"/>
    <mergeCell ref="S11:S18"/>
    <mergeCell ref="T11:T13"/>
    <mergeCell ref="J11:J13"/>
    <mergeCell ref="K11:K13"/>
    <mergeCell ref="L11:L13"/>
    <mergeCell ref="M11:M13"/>
    <mergeCell ref="O11:O18"/>
    <mergeCell ref="P11:P18"/>
    <mergeCell ref="J17:J18"/>
    <mergeCell ref="K17:K18"/>
    <mergeCell ref="L17:L18"/>
    <mergeCell ref="M17:M18"/>
    <mergeCell ref="J14:J16"/>
    <mergeCell ref="K14:K16"/>
    <mergeCell ref="L14:L16"/>
    <mergeCell ref="M14:M16"/>
    <mergeCell ref="AW6:AW7"/>
    <mergeCell ref="Y6:Z6"/>
    <mergeCell ref="AA6:AD6"/>
    <mergeCell ref="AE6:AJ6"/>
    <mergeCell ref="AK6:AM6"/>
    <mergeCell ref="AN6:AN7"/>
    <mergeCell ref="AO6:AT6"/>
    <mergeCell ref="Q17:Q18"/>
    <mergeCell ref="T17:T18"/>
    <mergeCell ref="U17:U18"/>
    <mergeCell ref="AW11:AW18"/>
    <mergeCell ref="Q14:Q16"/>
    <mergeCell ref="T14:T16"/>
    <mergeCell ref="U14:U15"/>
    <mergeCell ref="AO11:AO18"/>
    <mergeCell ref="AP11:AP18"/>
    <mergeCell ref="AQ11:AQ18"/>
    <mergeCell ref="AR11:AR18"/>
    <mergeCell ref="AS11:AS18"/>
    <mergeCell ref="AT11:AT18"/>
    <mergeCell ref="AI11:AI18"/>
    <mergeCell ref="AJ11:AJ18"/>
    <mergeCell ref="AK11:AK18"/>
    <mergeCell ref="AL11:AL18"/>
    <mergeCell ref="A1:AV4"/>
    <mergeCell ref="A5:M5"/>
    <mergeCell ref="P5:AW5"/>
    <mergeCell ref="A6:A7"/>
    <mergeCell ref="B6:C7"/>
    <mergeCell ref="D6:D7"/>
    <mergeCell ref="E6:F7"/>
    <mergeCell ref="G6:G7"/>
    <mergeCell ref="H6:I7"/>
    <mergeCell ref="J6:J7"/>
    <mergeCell ref="Q6:Q7"/>
    <mergeCell ref="R6:R7"/>
    <mergeCell ref="S6:S7"/>
    <mergeCell ref="T6:T7"/>
    <mergeCell ref="U6:U7"/>
    <mergeCell ref="X6:X7"/>
    <mergeCell ref="K6:K7"/>
    <mergeCell ref="L6:L7"/>
    <mergeCell ref="M6:M7"/>
    <mergeCell ref="N6:N7"/>
    <mergeCell ref="O6:O7"/>
    <mergeCell ref="P6:P7"/>
    <mergeCell ref="AU6:AU7"/>
    <mergeCell ref="AV6:AV7"/>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V172"/>
  <sheetViews>
    <sheetView showGridLines="0" zoomScale="60" zoomScaleNormal="60" zoomScalePageLayoutView="0" workbookViewId="0" topLeftCell="A1">
      <selection activeCell="L12" sqref="L12:L19"/>
    </sheetView>
  </sheetViews>
  <sheetFormatPr defaultColWidth="11.421875" defaultRowHeight="15"/>
  <cols>
    <col min="1" max="1" width="14.421875" style="131" customWidth="1"/>
    <col min="2" max="2" width="21.140625" style="131" customWidth="1"/>
    <col min="3" max="3" width="13.8515625" style="131" customWidth="1"/>
    <col min="4" max="4" width="21.421875" style="131" customWidth="1"/>
    <col min="5" max="5" width="15.8515625" style="131" customWidth="1"/>
    <col min="6" max="6" width="26.140625" style="231" customWidth="1"/>
    <col min="7" max="7" width="24.7109375" style="131" customWidth="1"/>
    <col min="8" max="8" width="30.8515625" style="230" customWidth="1"/>
    <col min="9" max="9" width="20.7109375" style="230" customWidth="1"/>
    <col min="10" max="10" width="12.140625" style="131" customWidth="1"/>
    <col min="11" max="11" width="36.28125" style="131" customWidth="1"/>
    <col min="12" max="12" width="19.7109375" style="131" customWidth="1"/>
    <col min="13" max="13" width="35.57421875" style="230" customWidth="1"/>
    <col min="14" max="14" width="18.7109375" style="131" customWidth="1"/>
    <col min="15" max="15" width="35.140625" style="331" customWidth="1"/>
    <col min="16" max="16" width="29.421875" style="230" customWidth="1"/>
    <col min="17" max="17" width="29.00390625" style="230" customWidth="1"/>
    <col min="18" max="18" width="57.421875" style="229" customWidth="1"/>
    <col min="19" max="19" width="47.8515625" style="331" customWidth="1"/>
    <col min="20" max="20" width="19.57421875" style="231" customWidth="1"/>
    <col min="21" max="21" width="25.00390625" style="230" customWidth="1"/>
    <col min="22" max="22" width="12.140625" style="131" bestFit="1" customWidth="1"/>
    <col min="23" max="23" width="10.7109375" style="131" bestFit="1" customWidth="1"/>
    <col min="24" max="24" width="10.28125" style="131" bestFit="1" customWidth="1"/>
    <col min="25" max="25" width="9.00390625" style="131" customWidth="1"/>
    <col min="26" max="26" width="12.00390625" style="131" customWidth="1"/>
    <col min="27" max="27" width="10.57421875" style="131" customWidth="1"/>
    <col min="28" max="28" width="6.421875" style="131" bestFit="1" customWidth="1"/>
    <col min="29" max="29" width="8.28125" style="131" customWidth="1"/>
    <col min="30" max="30" width="4.140625" style="131" customWidth="1"/>
    <col min="31" max="33" width="4.140625" style="131" bestFit="1" customWidth="1"/>
    <col min="34" max="34" width="7.00390625" style="131" bestFit="1" customWidth="1"/>
    <col min="35" max="35" width="6.7109375" style="131" customWidth="1"/>
    <col min="36" max="36" width="6.8515625" style="131" customWidth="1"/>
    <col min="37" max="37" width="17.00390625" style="131" bestFit="1" customWidth="1"/>
    <col min="38" max="38" width="29.421875" style="131" customWidth="1"/>
    <col min="39" max="39" width="18.00390625" style="131" customWidth="1"/>
    <col min="40" max="40" width="24.140625" style="131" customWidth="1"/>
    <col min="41" max="41" width="38.421875" style="230" customWidth="1"/>
    <col min="42" max="46" width="11.421875" style="229" customWidth="1"/>
    <col min="47" max="16384" width="11.421875" style="131" customWidth="1"/>
  </cols>
  <sheetData>
    <row r="1" spans="1:41" s="666" customFormat="1" ht="17.25" customHeight="1">
      <c r="A1" s="3106" t="s">
        <v>2535</v>
      </c>
      <c r="B1" s="3106"/>
      <c r="C1" s="3106"/>
      <c r="D1" s="3106"/>
      <c r="E1" s="3106"/>
      <c r="F1" s="3106"/>
      <c r="G1" s="3106"/>
      <c r="H1" s="3106"/>
      <c r="I1" s="3106"/>
      <c r="J1" s="3106"/>
      <c r="K1" s="3106"/>
      <c r="L1" s="3106"/>
      <c r="M1" s="3106"/>
      <c r="N1" s="3106"/>
      <c r="O1" s="3106"/>
      <c r="P1" s="3106"/>
      <c r="Q1" s="3106"/>
      <c r="R1" s="3106"/>
      <c r="S1" s="3106"/>
      <c r="T1" s="3106"/>
      <c r="U1" s="3106"/>
      <c r="V1" s="3106"/>
      <c r="W1" s="3106"/>
      <c r="X1" s="3106"/>
      <c r="Y1" s="3106"/>
      <c r="Z1" s="3106"/>
      <c r="AA1" s="3106"/>
      <c r="AB1" s="3106"/>
      <c r="AC1" s="3106"/>
      <c r="AD1" s="3106"/>
      <c r="AE1" s="3106"/>
      <c r="AF1" s="3106"/>
      <c r="AG1" s="3106"/>
      <c r="AH1" s="3106"/>
      <c r="AI1" s="3106"/>
      <c r="AJ1" s="3106"/>
      <c r="AK1" s="3106"/>
      <c r="AL1" s="3106"/>
      <c r="AM1" s="3107"/>
      <c r="AN1" s="665" t="s">
        <v>1</v>
      </c>
      <c r="AO1" s="665" t="s">
        <v>134</v>
      </c>
    </row>
    <row r="2" spans="1:41" s="666" customFormat="1" ht="15.75">
      <c r="A2" s="3106"/>
      <c r="B2" s="3106"/>
      <c r="C2" s="3106"/>
      <c r="D2" s="3106"/>
      <c r="E2" s="3106"/>
      <c r="F2" s="3106"/>
      <c r="G2" s="3106"/>
      <c r="H2" s="3106"/>
      <c r="I2" s="3106"/>
      <c r="J2" s="3106"/>
      <c r="K2" s="3106"/>
      <c r="L2" s="3106"/>
      <c r="M2" s="3106"/>
      <c r="N2" s="3106"/>
      <c r="O2" s="3106"/>
      <c r="P2" s="3106"/>
      <c r="Q2" s="3106"/>
      <c r="R2" s="3106"/>
      <c r="S2" s="3106"/>
      <c r="T2" s="3106"/>
      <c r="U2" s="3106"/>
      <c r="V2" s="3106"/>
      <c r="W2" s="3106"/>
      <c r="X2" s="3106"/>
      <c r="Y2" s="3106"/>
      <c r="Z2" s="3106"/>
      <c r="AA2" s="3106"/>
      <c r="AB2" s="3106"/>
      <c r="AC2" s="3106"/>
      <c r="AD2" s="3106"/>
      <c r="AE2" s="3106"/>
      <c r="AF2" s="3106"/>
      <c r="AG2" s="3106"/>
      <c r="AH2" s="3106"/>
      <c r="AI2" s="3106"/>
      <c r="AJ2" s="3106"/>
      <c r="AK2" s="3106"/>
      <c r="AL2" s="3106"/>
      <c r="AM2" s="3107"/>
      <c r="AN2" s="667" t="s">
        <v>3</v>
      </c>
      <c r="AO2" s="665" t="s">
        <v>135</v>
      </c>
    </row>
    <row r="3" spans="1:41" s="666" customFormat="1" ht="24.75" customHeight="1">
      <c r="A3" s="3106"/>
      <c r="B3" s="3106"/>
      <c r="C3" s="3106"/>
      <c r="D3" s="3106"/>
      <c r="E3" s="3106"/>
      <c r="F3" s="3106"/>
      <c r="G3" s="3106"/>
      <c r="H3" s="3106"/>
      <c r="I3" s="3106"/>
      <c r="J3" s="3106"/>
      <c r="K3" s="3106"/>
      <c r="L3" s="3106"/>
      <c r="M3" s="3106"/>
      <c r="N3" s="3106"/>
      <c r="O3" s="3106"/>
      <c r="P3" s="3106"/>
      <c r="Q3" s="3106"/>
      <c r="R3" s="3106"/>
      <c r="S3" s="3106"/>
      <c r="T3" s="3106"/>
      <c r="U3" s="3106"/>
      <c r="V3" s="3106"/>
      <c r="W3" s="3106"/>
      <c r="X3" s="3106"/>
      <c r="Y3" s="3106"/>
      <c r="Z3" s="3106"/>
      <c r="AA3" s="3106"/>
      <c r="AB3" s="3106"/>
      <c r="AC3" s="3106"/>
      <c r="AD3" s="3106"/>
      <c r="AE3" s="3106"/>
      <c r="AF3" s="3106"/>
      <c r="AG3" s="3106"/>
      <c r="AH3" s="3106"/>
      <c r="AI3" s="3106"/>
      <c r="AJ3" s="3106"/>
      <c r="AK3" s="3106"/>
      <c r="AL3" s="3106"/>
      <c r="AM3" s="3107"/>
      <c r="AN3" s="665" t="s">
        <v>5</v>
      </c>
      <c r="AO3" s="668" t="s">
        <v>6</v>
      </c>
    </row>
    <row r="4" spans="1:41" s="666" customFormat="1" ht="18.75" customHeight="1">
      <c r="A4" s="3108"/>
      <c r="B4" s="3108"/>
      <c r="C4" s="3108"/>
      <c r="D4" s="3108"/>
      <c r="E4" s="3108"/>
      <c r="F4" s="3108"/>
      <c r="G4" s="3108"/>
      <c r="H4" s="3108"/>
      <c r="I4" s="3108"/>
      <c r="J4" s="3108"/>
      <c r="K4" s="3108"/>
      <c r="L4" s="3108"/>
      <c r="M4" s="3108"/>
      <c r="N4" s="3108"/>
      <c r="O4" s="3108"/>
      <c r="P4" s="3108"/>
      <c r="Q4" s="3108"/>
      <c r="R4" s="3108"/>
      <c r="S4" s="3108"/>
      <c r="T4" s="3108"/>
      <c r="U4" s="3108"/>
      <c r="V4" s="3108"/>
      <c r="W4" s="3108"/>
      <c r="X4" s="3108"/>
      <c r="Y4" s="3108"/>
      <c r="Z4" s="3108"/>
      <c r="AA4" s="3108"/>
      <c r="AB4" s="3108"/>
      <c r="AC4" s="3108"/>
      <c r="AD4" s="3108"/>
      <c r="AE4" s="3108"/>
      <c r="AF4" s="3108"/>
      <c r="AG4" s="3108"/>
      <c r="AH4" s="3108"/>
      <c r="AI4" s="3108"/>
      <c r="AJ4" s="3108"/>
      <c r="AK4" s="3108"/>
      <c r="AL4" s="3108"/>
      <c r="AM4" s="3109"/>
      <c r="AN4" s="665" t="s">
        <v>7</v>
      </c>
      <c r="AO4" s="669" t="s">
        <v>8</v>
      </c>
    </row>
    <row r="5" spans="1:41" s="666" customFormat="1" ht="15.75">
      <c r="A5" s="2282" t="s">
        <v>9</v>
      </c>
      <c r="B5" s="2282"/>
      <c r="C5" s="2282"/>
      <c r="D5" s="2282"/>
      <c r="E5" s="2282"/>
      <c r="F5" s="2282"/>
      <c r="G5" s="2282"/>
      <c r="H5" s="2282"/>
      <c r="I5" s="2282"/>
      <c r="J5" s="2282"/>
      <c r="K5" s="2282"/>
      <c r="L5" s="2282"/>
      <c r="M5" s="3110"/>
      <c r="N5" s="2968" t="s">
        <v>10</v>
      </c>
      <c r="O5" s="2282"/>
      <c r="P5" s="2282"/>
      <c r="Q5" s="2282"/>
      <c r="R5" s="2282"/>
      <c r="S5" s="2282"/>
      <c r="T5" s="2282"/>
      <c r="U5" s="2282"/>
      <c r="V5" s="2282"/>
      <c r="W5" s="2282"/>
      <c r="X5" s="2282"/>
      <c r="Y5" s="2282"/>
      <c r="Z5" s="2282"/>
      <c r="AA5" s="2282"/>
      <c r="AB5" s="2282"/>
      <c r="AC5" s="2282"/>
      <c r="AD5" s="2282"/>
      <c r="AE5" s="2282"/>
      <c r="AF5" s="2282"/>
      <c r="AG5" s="2282"/>
      <c r="AH5" s="2282"/>
      <c r="AI5" s="2282"/>
      <c r="AJ5" s="2282"/>
      <c r="AK5" s="2282"/>
      <c r="AL5" s="2282"/>
      <c r="AM5" s="2282"/>
      <c r="AN5" s="2282"/>
      <c r="AO5" s="2282"/>
    </row>
    <row r="6" spans="1:40" s="666" customFormat="1" ht="15.75">
      <c r="A6" s="2284"/>
      <c r="B6" s="2284"/>
      <c r="C6" s="2284"/>
      <c r="D6" s="2284"/>
      <c r="E6" s="2284"/>
      <c r="F6" s="2284"/>
      <c r="G6" s="2284"/>
      <c r="H6" s="2284"/>
      <c r="I6" s="2284"/>
      <c r="J6" s="2284"/>
      <c r="K6" s="2284"/>
      <c r="L6" s="2284"/>
      <c r="M6" s="2288"/>
      <c r="N6" s="670"/>
      <c r="O6" s="142"/>
      <c r="P6" s="142"/>
      <c r="Q6" s="142"/>
      <c r="R6" s="142"/>
      <c r="S6" s="142"/>
      <c r="T6" s="142"/>
      <c r="U6" s="142"/>
      <c r="V6" s="142"/>
      <c r="W6" s="142"/>
      <c r="X6" s="142"/>
      <c r="Y6" s="670" t="s">
        <v>11</v>
      </c>
      <c r="Z6" s="142"/>
      <c r="AA6" s="142"/>
      <c r="AB6" s="142"/>
      <c r="AC6" s="142"/>
      <c r="AD6" s="142"/>
      <c r="AE6" s="142"/>
      <c r="AF6" s="142"/>
      <c r="AG6" s="142"/>
      <c r="AH6" s="142"/>
      <c r="AI6" s="142"/>
      <c r="AJ6" s="142"/>
      <c r="AK6" s="142"/>
      <c r="AL6" s="477"/>
      <c r="AM6" s="142"/>
      <c r="AN6" s="671"/>
    </row>
    <row r="7" spans="1:41" ht="24.75" customHeight="1">
      <c r="A7" s="3111" t="s">
        <v>12</v>
      </c>
      <c r="B7" s="3111" t="s">
        <v>13</v>
      </c>
      <c r="C7" s="3111" t="s">
        <v>12</v>
      </c>
      <c r="D7" s="3111" t="s">
        <v>14</v>
      </c>
      <c r="E7" s="3111" t="s">
        <v>12</v>
      </c>
      <c r="F7" s="3111" t="s">
        <v>15</v>
      </c>
      <c r="G7" s="3111" t="s">
        <v>12</v>
      </c>
      <c r="H7" s="3111" t="s">
        <v>16</v>
      </c>
      <c r="I7" s="3111" t="s">
        <v>17</v>
      </c>
      <c r="J7" s="3134" t="s">
        <v>229</v>
      </c>
      <c r="K7" s="3111" t="s">
        <v>19</v>
      </c>
      <c r="L7" s="3111" t="s">
        <v>185</v>
      </c>
      <c r="M7" s="3111" t="s">
        <v>10</v>
      </c>
      <c r="N7" s="3111" t="s">
        <v>21</v>
      </c>
      <c r="O7" s="3130" t="s">
        <v>22</v>
      </c>
      <c r="P7" s="3111" t="s">
        <v>23</v>
      </c>
      <c r="Q7" s="3111" t="s">
        <v>24</v>
      </c>
      <c r="R7" s="3111" t="s">
        <v>25</v>
      </c>
      <c r="S7" s="3132" t="s">
        <v>22</v>
      </c>
      <c r="T7" s="3111" t="s">
        <v>12</v>
      </c>
      <c r="U7" s="3111" t="s">
        <v>26</v>
      </c>
      <c r="V7" s="3120" t="s">
        <v>27</v>
      </c>
      <c r="W7" s="3120"/>
      <c r="X7" s="3120" t="s">
        <v>28</v>
      </c>
      <c r="Y7" s="3120"/>
      <c r="Z7" s="3120"/>
      <c r="AA7" s="3120"/>
      <c r="AB7" s="2184" t="s">
        <v>29</v>
      </c>
      <c r="AC7" s="2185"/>
      <c r="AD7" s="2185"/>
      <c r="AE7" s="2185"/>
      <c r="AF7" s="2185"/>
      <c r="AG7" s="2185"/>
      <c r="AH7" s="3120" t="s">
        <v>30</v>
      </c>
      <c r="AI7" s="3120"/>
      <c r="AJ7" s="3120"/>
      <c r="AK7" s="3113" t="s">
        <v>31</v>
      </c>
      <c r="AL7" s="672"/>
      <c r="AM7" s="3115" t="s">
        <v>32</v>
      </c>
      <c r="AN7" s="3116" t="s">
        <v>33</v>
      </c>
      <c r="AO7" s="3118" t="s">
        <v>34</v>
      </c>
    </row>
    <row r="8" spans="1:41" ht="151.5" customHeight="1">
      <c r="A8" s="3112"/>
      <c r="B8" s="3112"/>
      <c r="C8" s="3112"/>
      <c r="D8" s="3112"/>
      <c r="E8" s="3112"/>
      <c r="F8" s="3112"/>
      <c r="G8" s="3112"/>
      <c r="H8" s="3112"/>
      <c r="I8" s="3112"/>
      <c r="J8" s="3135"/>
      <c r="K8" s="3112"/>
      <c r="L8" s="3112"/>
      <c r="M8" s="3112"/>
      <c r="N8" s="3112"/>
      <c r="O8" s="3131"/>
      <c r="P8" s="3112"/>
      <c r="Q8" s="3112"/>
      <c r="R8" s="3112"/>
      <c r="S8" s="3133"/>
      <c r="T8" s="3112"/>
      <c r="U8" s="3112"/>
      <c r="V8" s="673" t="s">
        <v>35</v>
      </c>
      <c r="W8" s="674" t="s">
        <v>36</v>
      </c>
      <c r="X8" s="673" t="s">
        <v>37</v>
      </c>
      <c r="Y8" s="673" t="s">
        <v>137</v>
      </c>
      <c r="Z8" s="673" t="s">
        <v>138</v>
      </c>
      <c r="AA8" s="673" t="s">
        <v>139</v>
      </c>
      <c r="AB8" s="673" t="s">
        <v>41</v>
      </c>
      <c r="AC8" s="673" t="s">
        <v>42</v>
      </c>
      <c r="AD8" s="673" t="s">
        <v>43</v>
      </c>
      <c r="AE8" s="673" t="s">
        <v>44</v>
      </c>
      <c r="AF8" s="673" t="s">
        <v>45</v>
      </c>
      <c r="AG8" s="673" t="s">
        <v>46</v>
      </c>
      <c r="AH8" s="673" t="s">
        <v>47</v>
      </c>
      <c r="AI8" s="673" t="s">
        <v>48</v>
      </c>
      <c r="AJ8" s="673" t="s">
        <v>49</v>
      </c>
      <c r="AK8" s="3114"/>
      <c r="AL8" s="675" t="s">
        <v>624</v>
      </c>
      <c r="AM8" s="3115"/>
      <c r="AN8" s="3117"/>
      <c r="AO8" s="3119"/>
    </row>
    <row r="9" spans="1:41" ht="28.5" customHeight="1">
      <c r="A9" s="676">
        <v>3</v>
      </c>
      <c r="B9" s="677" t="s">
        <v>625</v>
      </c>
      <c r="C9" s="678"/>
      <c r="D9" s="678"/>
      <c r="E9" s="678"/>
      <c r="F9" s="678"/>
      <c r="G9" s="678"/>
      <c r="H9" s="679"/>
      <c r="I9" s="679"/>
      <c r="J9" s="678"/>
      <c r="K9" s="678"/>
      <c r="L9" s="678"/>
      <c r="M9" s="679"/>
      <c r="N9" s="678"/>
      <c r="O9" s="678"/>
      <c r="P9" s="679"/>
      <c r="Q9" s="679"/>
      <c r="R9" s="679"/>
      <c r="S9" s="678"/>
      <c r="T9" s="680"/>
      <c r="U9" s="679"/>
      <c r="V9" s="678"/>
      <c r="W9" s="678"/>
      <c r="X9" s="678"/>
      <c r="Y9" s="678"/>
      <c r="Z9" s="678"/>
      <c r="AA9" s="678"/>
      <c r="AB9" s="678"/>
      <c r="AC9" s="678"/>
      <c r="AD9" s="678"/>
      <c r="AE9" s="678"/>
      <c r="AF9" s="678"/>
      <c r="AG9" s="678"/>
      <c r="AH9" s="678"/>
      <c r="AI9" s="678"/>
      <c r="AJ9" s="678"/>
      <c r="AK9" s="678"/>
      <c r="AL9" s="678"/>
      <c r="AM9" s="678"/>
      <c r="AN9" s="678"/>
      <c r="AO9" s="681"/>
    </row>
    <row r="10" spans="1:41" ht="33" customHeight="1">
      <c r="A10" s="682"/>
      <c r="B10" s="683"/>
      <c r="C10" s="684">
        <v>16</v>
      </c>
      <c r="D10" s="685" t="s">
        <v>626</v>
      </c>
      <c r="E10" s="273"/>
      <c r="F10" s="273"/>
      <c r="G10" s="273"/>
      <c r="H10" s="173"/>
      <c r="I10" s="173"/>
      <c r="J10" s="273"/>
      <c r="K10" s="273"/>
      <c r="L10" s="273"/>
      <c r="M10" s="173"/>
      <c r="N10" s="273"/>
      <c r="O10" s="273"/>
      <c r="P10" s="173"/>
      <c r="Q10" s="173"/>
      <c r="R10" s="173"/>
      <c r="S10" s="273"/>
      <c r="T10" s="686"/>
      <c r="U10" s="173"/>
      <c r="V10" s="273"/>
      <c r="W10" s="273"/>
      <c r="X10" s="273"/>
      <c r="Y10" s="273"/>
      <c r="Z10" s="273"/>
      <c r="AA10" s="273"/>
      <c r="AB10" s="273"/>
      <c r="AC10" s="273"/>
      <c r="AD10" s="273"/>
      <c r="AE10" s="273"/>
      <c r="AF10" s="273"/>
      <c r="AG10" s="273"/>
      <c r="AH10" s="273"/>
      <c r="AI10" s="273"/>
      <c r="AJ10" s="273"/>
      <c r="AK10" s="273"/>
      <c r="AL10" s="273"/>
      <c r="AM10" s="273"/>
      <c r="AN10" s="273"/>
      <c r="AO10" s="687"/>
    </row>
    <row r="11" spans="1:41" ht="32.25" customHeight="1">
      <c r="A11" s="682"/>
      <c r="B11" s="683"/>
      <c r="C11" s="688"/>
      <c r="D11" s="683"/>
      <c r="E11" s="181">
        <v>56</v>
      </c>
      <c r="F11" s="689" t="s">
        <v>627</v>
      </c>
      <c r="G11" s="690"/>
      <c r="H11" s="388"/>
      <c r="I11" s="388"/>
      <c r="J11" s="690"/>
      <c r="K11" s="690"/>
      <c r="L11" s="690"/>
      <c r="M11" s="388"/>
      <c r="N11" s="690"/>
      <c r="O11" s="690"/>
      <c r="P11" s="388"/>
      <c r="Q11" s="388"/>
      <c r="R11" s="388"/>
      <c r="S11" s="690"/>
      <c r="T11" s="395"/>
      <c r="U11" s="388"/>
      <c r="V11" s="690"/>
      <c r="W11" s="690"/>
      <c r="X11" s="690"/>
      <c r="Y11" s="690"/>
      <c r="Z11" s="690"/>
      <c r="AA11" s="690"/>
      <c r="AB11" s="690"/>
      <c r="AC11" s="690"/>
      <c r="AD11" s="690"/>
      <c r="AE11" s="690"/>
      <c r="AF11" s="690"/>
      <c r="AG11" s="690"/>
      <c r="AH11" s="690"/>
      <c r="AI11" s="690"/>
      <c r="AJ11" s="690"/>
      <c r="AK11" s="690"/>
      <c r="AL11" s="690"/>
      <c r="AM11" s="690"/>
      <c r="AN11" s="690"/>
      <c r="AO11" s="691"/>
    </row>
    <row r="12" spans="1:41" ht="48.75" customHeight="1">
      <c r="A12" s="682"/>
      <c r="B12" s="683"/>
      <c r="C12" s="688"/>
      <c r="D12" s="683"/>
      <c r="E12" s="3121"/>
      <c r="F12" s="2406"/>
      <c r="G12" s="2093">
        <v>180</v>
      </c>
      <c r="H12" s="3124" t="s">
        <v>628</v>
      </c>
      <c r="I12" s="2375" t="s">
        <v>629</v>
      </c>
      <c r="J12" s="2378">
        <v>1</v>
      </c>
      <c r="K12" s="3127" t="s">
        <v>630</v>
      </c>
      <c r="L12" s="3154" t="s">
        <v>631</v>
      </c>
      <c r="M12" s="3125" t="s">
        <v>632</v>
      </c>
      <c r="N12" s="3096">
        <f>SUM(S12:S15)/O12</f>
        <v>0.75</v>
      </c>
      <c r="O12" s="3156">
        <f>SUM(S12:S19)</f>
        <v>60000000</v>
      </c>
      <c r="P12" s="3124" t="s">
        <v>633</v>
      </c>
      <c r="Q12" s="2337" t="s">
        <v>634</v>
      </c>
      <c r="R12" s="692" t="s">
        <v>635</v>
      </c>
      <c r="S12" s="693">
        <v>30960000</v>
      </c>
      <c r="T12" s="3139" t="s">
        <v>636</v>
      </c>
      <c r="U12" s="2093" t="s">
        <v>637</v>
      </c>
      <c r="V12" s="3142">
        <v>22611</v>
      </c>
      <c r="W12" s="3142">
        <v>23567</v>
      </c>
      <c r="X12" s="2734">
        <v>40834</v>
      </c>
      <c r="Y12" s="2734"/>
      <c r="Z12" s="2734">
        <v>3059</v>
      </c>
      <c r="AA12" s="2734"/>
      <c r="AB12" s="2734"/>
      <c r="AC12" s="2734"/>
      <c r="AD12" s="2734"/>
      <c r="AE12" s="2734"/>
      <c r="AF12" s="2734"/>
      <c r="AG12" s="2734"/>
      <c r="AH12" s="2734"/>
      <c r="AI12" s="2734"/>
      <c r="AJ12" s="3136"/>
      <c r="AK12" s="2734">
        <f>Y12+Z12</f>
        <v>3059</v>
      </c>
      <c r="AL12" s="2382" t="s">
        <v>638</v>
      </c>
      <c r="AM12" s="3151">
        <v>43102</v>
      </c>
      <c r="AN12" s="2537">
        <v>43465</v>
      </c>
      <c r="AO12" s="2298" t="s">
        <v>639</v>
      </c>
    </row>
    <row r="13" spans="1:41" ht="51.75" customHeight="1">
      <c r="A13" s="682"/>
      <c r="B13" s="683"/>
      <c r="C13" s="688"/>
      <c r="D13" s="683"/>
      <c r="E13" s="3122"/>
      <c r="F13" s="2407"/>
      <c r="G13" s="2128"/>
      <c r="H13" s="3125"/>
      <c r="I13" s="2376"/>
      <c r="J13" s="2373"/>
      <c r="K13" s="3128"/>
      <c r="L13" s="3148"/>
      <c r="M13" s="3125"/>
      <c r="N13" s="2685"/>
      <c r="O13" s="3156"/>
      <c r="P13" s="3125"/>
      <c r="Q13" s="2318"/>
      <c r="R13" s="694" t="s">
        <v>640</v>
      </c>
      <c r="S13" s="693">
        <v>3500000</v>
      </c>
      <c r="T13" s="3140"/>
      <c r="U13" s="2128"/>
      <c r="V13" s="3143"/>
      <c r="W13" s="3143"/>
      <c r="X13" s="3047"/>
      <c r="Y13" s="3047"/>
      <c r="Z13" s="3047"/>
      <c r="AA13" s="3047"/>
      <c r="AB13" s="3047"/>
      <c r="AC13" s="3047"/>
      <c r="AD13" s="3047"/>
      <c r="AE13" s="3047"/>
      <c r="AF13" s="3047"/>
      <c r="AG13" s="3047"/>
      <c r="AH13" s="3047"/>
      <c r="AI13" s="3047"/>
      <c r="AJ13" s="3137"/>
      <c r="AK13" s="3047"/>
      <c r="AL13" s="3149"/>
      <c r="AM13" s="3151"/>
      <c r="AN13" s="2537"/>
      <c r="AO13" s="2298"/>
    </row>
    <row r="14" spans="1:41" ht="63.75" customHeight="1">
      <c r="A14" s="682"/>
      <c r="B14" s="683"/>
      <c r="C14" s="688"/>
      <c r="D14" s="683"/>
      <c r="E14" s="3122"/>
      <c r="F14" s="2407"/>
      <c r="G14" s="2128"/>
      <c r="H14" s="3125"/>
      <c r="I14" s="2376"/>
      <c r="J14" s="2373"/>
      <c r="K14" s="3128"/>
      <c r="L14" s="3148"/>
      <c r="M14" s="3125"/>
      <c r="N14" s="2685"/>
      <c r="O14" s="3156"/>
      <c r="P14" s="3125"/>
      <c r="Q14" s="2318"/>
      <c r="R14" s="289" t="s">
        <v>641</v>
      </c>
      <c r="S14" s="693">
        <v>3280000</v>
      </c>
      <c r="T14" s="3140"/>
      <c r="U14" s="2128"/>
      <c r="V14" s="3143"/>
      <c r="W14" s="3143"/>
      <c r="X14" s="3047"/>
      <c r="Y14" s="3047"/>
      <c r="Z14" s="3047"/>
      <c r="AA14" s="3047"/>
      <c r="AB14" s="3047"/>
      <c r="AC14" s="3047"/>
      <c r="AD14" s="3047"/>
      <c r="AE14" s="3047"/>
      <c r="AF14" s="3047"/>
      <c r="AG14" s="3047"/>
      <c r="AH14" s="3047"/>
      <c r="AI14" s="3047"/>
      <c r="AJ14" s="3137"/>
      <c r="AK14" s="3047"/>
      <c r="AL14" s="3149"/>
      <c r="AM14" s="3151"/>
      <c r="AN14" s="2537"/>
      <c r="AO14" s="2298"/>
    </row>
    <row r="15" spans="1:41" ht="66" customHeight="1">
      <c r="A15" s="682"/>
      <c r="B15" s="683"/>
      <c r="C15" s="688"/>
      <c r="D15" s="683"/>
      <c r="E15" s="3122"/>
      <c r="F15" s="2407"/>
      <c r="G15" s="2094"/>
      <c r="H15" s="3126"/>
      <c r="I15" s="2377"/>
      <c r="J15" s="2374"/>
      <c r="K15" s="3128"/>
      <c r="L15" s="3148"/>
      <c r="M15" s="3125"/>
      <c r="N15" s="3097"/>
      <c r="O15" s="3156"/>
      <c r="P15" s="3125"/>
      <c r="Q15" s="2319"/>
      <c r="R15" s="289" t="s">
        <v>641</v>
      </c>
      <c r="S15" s="693">
        <v>7260000</v>
      </c>
      <c r="T15" s="3140"/>
      <c r="U15" s="2128"/>
      <c r="V15" s="3143"/>
      <c r="W15" s="3143"/>
      <c r="X15" s="3047"/>
      <c r="Y15" s="3047"/>
      <c r="Z15" s="3047"/>
      <c r="AA15" s="3047"/>
      <c r="AB15" s="3047"/>
      <c r="AC15" s="3047"/>
      <c r="AD15" s="3047"/>
      <c r="AE15" s="3047"/>
      <c r="AF15" s="3047"/>
      <c r="AG15" s="3047"/>
      <c r="AH15" s="3047"/>
      <c r="AI15" s="3047"/>
      <c r="AJ15" s="3137"/>
      <c r="AK15" s="3047"/>
      <c r="AL15" s="3149"/>
      <c r="AM15" s="3151"/>
      <c r="AN15" s="2537"/>
      <c r="AO15" s="2298"/>
    </row>
    <row r="16" spans="1:256" s="229" customFormat="1" ht="66" customHeight="1">
      <c r="A16" s="682"/>
      <c r="B16" s="683"/>
      <c r="C16" s="688"/>
      <c r="D16" s="683"/>
      <c r="E16" s="3122"/>
      <c r="F16" s="2407"/>
      <c r="G16" s="2093">
        <v>181</v>
      </c>
      <c r="H16" s="3124" t="s">
        <v>642</v>
      </c>
      <c r="I16" s="2375" t="s">
        <v>643</v>
      </c>
      <c r="J16" s="2378">
        <v>6</v>
      </c>
      <c r="K16" s="3128"/>
      <c r="L16" s="3148"/>
      <c r="M16" s="3125"/>
      <c r="N16" s="3096">
        <f>SUM(S16:S19)/O12</f>
        <v>0.25</v>
      </c>
      <c r="O16" s="3156"/>
      <c r="P16" s="3125"/>
      <c r="Q16" s="2337" t="s">
        <v>644</v>
      </c>
      <c r="R16" s="291" t="s">
        <v>645</v>
      </c>
      <c r="S16" s="693">
        <v>3750000</v>
      </c>
      <c r="T16" s="3140"/>
      <c r="U16" s="2128"/>
      <c r="V16" s="3143"/>
      <c r="W16" s="3143"/>
      <c r="X16" s="3047"/>
      <c r="Y16" s="3047"/>
      <c r="Z16" s="3047"/>
      <c r="AA16" s="3047"/>
      <c r="AB16" s="3047"/>
      <c r="AC16" s="3047"/>
      <c r="AD16" s="3047"/>
      <c r="AE16" s="3047"/>
      <c r="AF16" s="3047"/>
      <c r="AG16" s="3047"/>
      <c r="AH16" s="3047"/>
      <c r="AI16" s="3047"/>
      <c r="AJ16" s="3137"/>
      <c r="AK16" s="3047"/>
      <c r="AL16" s="3149"/>
      <c r="AM16" s="3151"/>
      <c r="AN16" s="2537"/>
      <c r="AO16" s="2298"/>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c r="IV16" s="131"/>
    </row>
    <row r="17" spans="1:256" s="229" customFormat="1" ht="72" customHeight="1">
      <c r="A17" s="682"/>
      <c r="B17" s="683"/>
      <c r="C17" s="688"/>
      <c r="D17" s="683"/>
      <c r="E17" s="3122"/>
      <c r="F17" s="2407"/>
      <c r="G17" s="2128"/>
      <c r="H17" s="3125"/>
      <c r="I17" s="2376"/>
      <c r="J17" s="2373"/>
      <c r="K17" s="3128"/>
      <c r="L17" s="3148"/>
      <c r="M17" s="3125"/>
      <c r="N17" s="2685"/>
      <c r="O17" s="3156"/>
      <c r="P17" s="3125"/>
      <c r="Q17" s="2318"/>
      <c r="R17" s="291" t="s">
        <v>646</v>
      </c>
      <c r="S17" s="693">
        <v>3750000</v>
      </c>
      <c r="T17" s="3140"/>
      <c r="U17" s="2128"/>
      <c r="V17" s="3143"/>
      <c r="W17" s="3143"/>
      <c r="X17" s="3047"/>
      <c r="Y17" s="3047"/>
      <c r="Z17" s="3047"/>
      <c r="AA17" s="3047"/>
      <c r="AB17" s="3047"/>
      <c r="AC17" s="3047"/>
      <c r="AD17" s="3047"/>
      <c r="AE17" s="3047"/>
      <c r="AF17" s="3047"/>
      <c r="AG17" s="3047"/>
      <c r="AH17" s="3047"/>
      <c r="AI17" s="3047"/>
      <c r="AJ17" s="3137"/>
      <c r="AK17" s="3047"/>
      <c r="AL17" s="3149"/>
      <c r="AM17" s="3151"/>
      <c r="AN17" s="2537"/>
      <c r="AO17" s="2298"/>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row>
    <row r="18" spans="1:256" s="229" customFormat="1" ht="66" customHeight="1">
      <c r="A18" s="682"/>
      <c r="B18" s="683"/>
      <c r="C18" s="688"/>
      <c r="D18" s="683"/>
      <c r="E18" s="3122"/>
      <c r="F18" s="2407"/>
      <c r="G18" s="2128"/>
      <c r="H18" s="3125"/>
      <c r="I18" s="2376"/>
      <c r="J18" s="2373"/>
      <c r="K18" s="3128"/>
      <c r="L18" s="3148"/>
      <c r="M18" s="3125"/>
      <c r="N18" s="2685"/>
      <c r="O18" s="3156"/>
      <c r="P18" s="3125"/>
      <c r="Q18" s="2318"/>
      <c r="R18" s="291" t="s">
        <v>647</v>
      </c>
      <c r="S18" s="693">
        <v>3750000</v>
      </c>
      <c r="T18" s="3140"/>
      <c r="U18" s="2128"/>
      <c r="V18" s="3143"/>
      <c r="W18" s="3143"/>
      <c r="X18" s="3047"/>
      <c r="Y18" s="3047"/>
      <c r="Z18" s="3047"/>
      <c r="AA18" s="3047"/>
      <c r="AB18" s="3047"/>
      <c r="AC18" s="3047"/>
      <c r="AD18" s="3047"/>
      <c r="AE18" s="3047"/>
      <c r="AF18" s="3047"/>
      <c r="AG18" s="3047"/>
      <c r="AH18" s="3047"/>
      <c r="AI18" s="3047"/>
      <c r="AJ18" s="3137"/>
      <c r="AK18" s="3047"/>
      <c r="AL18" s="3149"/>
      <c r="AM18" s="3151"/>
      <c r="AN18" s="2537"/>
      <c r="AO18" s="2298"/>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c r="IV18" s="131"/>
    </row>
    <row r="19" spans="1:256" s="229" customFormat="1" ht="50.25" customHeight="1">
      <c r="A19" s="682"/>
      <c r="B19" s="683"/>
      <c r="C19" s="695"/>
      <c r="D19" s="696"/>
      <c r="E19" s="3123"/>
      <c r="F19" s="2408"/>
      <c r="G19" s="2094"/>
      <c r="H19" s="3126"/>
      <c r="I19" s="2377"/>
      <c r="J19" s="2374"/>
      <c r="K19" s="3129"/>
      <c r="L19" s="3155"/>
      <c r="M19" s="3126"/>
      <c r="N19" s="3097"/>
      <c r="O19" s="3157"/>
      <c r="P19" s="3126"/>
      <c r="Q19" s="2319"/>
      <c r="R19" s="694" t="s">
        <v>648</v>
      </c>
      <c r="S19" s="697">
        <v>3750000</v>
      </c>
      <c r="T19" s="3141"/>
      <c r="U19" s="2094"/>
      <c r="V19" s="3144"/>
      <c r="W19" s="3144"/>
      <c r="X19" s="2735"/>
      <c r="Y19" s="2735"/>
      <c r="Z19" s="2735"/>
      <c r="AA19" s="2735"/>
      <c r="AB19" s="2735"/>
      <c r="AC19" s="2735"/>
      <c r="AD19" s="2735"/>
      <c r="AE19" s="2735"/>
      <c r="AF19" s="2735"/>
      <c r="AG19" s="2735"/>
      <c r="AH19" s="2735"/>
      <c r="AI19" s="2735"/>
      <c r="AJ19" s="3138"/>
      <c r="AK19" s="2735"/>
      <c r="AL19" s="3150"/>
      <c r="AM19" s="3152"/>
      <c r="AN19" s="3153"/>
      <c r="AO19" s="2298"/>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c r="IV19" s="131"/>
    </row>
    <row r="20" spans="1:256" s="229" customFormat="1" ht="15.75">
      <c r="A20" s="682"/>
      <c r="B20" s="683"/>
      <c r="C20" s="684">
        <v>17</v>
      </c>
      <c r="D20" s="264" t="s">
        <v>649</v>
      </c>
      <c r="E20" s="698"/>
      <c r="F20" s="698"/>
      <c r="G20" s="698"/>
      <c r="H20" s="699"/>
      <c r="I20" s="699"/>
      <c r="J20" s="698"/>
      <c r="K20" s="698"/>
      <c r="L20" s="698"/>
      <c r="M20" s="699"/>
      <c r="N20" s="698"/>
      <c r="O20" s="700"/>
      <c r="P20" s="699"/>
      <c r="Q20" s="699"/>
      <c r="R20" s="699"/>
      <c r="S20" s="701"/>
      <c r="T20" s="702"/>
      <c r="U20" s="699"/>
      <c r="V20" s="698"/>
      <c r="W20" s="698"/>
      <c r="X20" s="698"/>
      <c r="Y20" s="698"/>
      <c r="Z20" s="698"/>
      <c r="AA20" s="698"/>
      <c r="AB20" s="698"/>
      <c r="AC20" s="698"/>
      <c r="AD20" s="698"/>
      <c r="AE20" s="698"/>
      <c r="AF20" s="698"/>
      <c r="AG20" s="698"/>
      <c r="AH20" s="698"/>
      <c r="AI20" s="698"/>
      <c r="AJ20" s="698"/>
      <c r="AK20" s="703"/>
      <c r="AL20" s="704"/>
      <c r="AM20" s="698"/>
      <c r="AN20" s="698"/>
      <c r="AO20" s="705"/>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c r="IT20" s="131"/>
      <c r="IU20" s="131"/>
      <c r="IV20" s="131"/>
    </row>
    <row r="21" spans="1:256" s="229" customFormat="1" ht="15.75">
      <c r="A21" s="682"/>
      <c r="B21" s="683"/>
      <c r="C21" s="277"/>
      <c r="D21" s="706"/>
      <c r="E21" s="181">
        <v>58</v>
      </c>
      <c r="F21" s="689" t="s">
        <v>650</v>
      </c>
      <c r="G21" s="690"/>
      <c r="H21" s="388"/>
      <c r="I21" s="388"/>
      <c r="J21" s="690"/>
      <c r="K21" s="690"/>
      <c r="L21" s="690"/>
      <c r="M21" s="388"/>
      <c r="N21" s="690"/>
      <c r="O21" s="707"/>
      <c r="P21" s="388"/>
      <c r="Q21" s="388"/>
      <c r="R21" s="388"/>
      <c r="S21" s="708"/>
      <c r="T21" s="395"/>
      <c r="U21" s="388"/>
      <c r="V21" s="690"/>
      <c r="W21" s="690"/>
      <c r="X21" s="690"/>
      <c r="Y21" s="690"/>
      <c r="Z21" s="690"/>
      <c r="AA21" s="690"/>
      <c r="AB21" s="690"/>
      <c r="AC21" s="690"/>
      <c r="AD21" s="690"/>
      <c r="AE21" s="690"/>
      <c r="AF21" s="690"/>
      <c r="AG21" s="690"/>
      <c r="AH21" s="690"/>
      <c r="AI21" s="690"/>
      <c r="AJ21" s="690"/>
      <c r="AK21" s="709"/>
      <c r="AL21" s="690"/>
      <c r="AM21" s="690"/>
      <c r="AN21" s="690"/>
      <c r="AO21" s="710"/>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c r="IT21" s="131"/>
      <c r="IU21" s="131"/>
      <c r="IV21" s="131"/>
    </row>
    <row r="22" spans="1:256" s="229" customFormat="1" ht="51.75" customHeight="1">
      <c r="A22" s="682"/>
      <c r="B22" s="683"/>
      <c r="C22" s="277"/>
      <c r="D22" s="706"/>
      <c r="E22" s="263"/>
      <c r="F22" s="711"/>
      <c r="G22" s="3145">
        <v>183</v>
      </c>
      <c r="H22" s="2129" t="s">
        <v>651</v>
      </c>
      <c r="I22" s="2129" t="s">
        <v>652</v>
      </c>
      <c r="J22" s="3146">
        <v>1</v>
      </c>
      <c r="K22" s="3127" t="s">
        <v>653</v>
      </c>
      <c r="L22" s="3148" t="s">
        <v>654</v>
      </c>
      <c r="M22" s="3125" t="s">
        <v>655</v>
      </c>
      <c r="N22" s="2685">
        <f>SUM(S22:S31)/O22</f>
        <v>1</v>
      </c>
      <c r="O22" s="3156">
        <f>SUM(S22:S31)</f>
        <v>185000000</v>
      </c>
      <c r="P22" s="3125" t="s">
        <v>656</v>
      </c>
      <c r="Q22" s="2337" t="s">
        <v>657</v>
      </c>
      <c r="R22" s="712" t="s">
        <v>658</v>
      </c>
      <c r="S22" s="713">
        <v>11000000</v>
      </c>
      <c r="T22" s="3140">
        <v>20</v>
      </c>
      <c r="U22" s="2128" t="s">
        <v>80</v>
      </c>
      <c r="V22" s="3164">
        <v>86919</v>
      </c>
      <c r="W22" s="3164">
        <v>83570</v>
      </c>
      <c r="X22" s="3164">
        <v>40912</v>
      </c>
      <c r="Y22" s="3164">
        <v>8243</v>
      </c>
      <c r="Z22" s="3164">
        <v>96919</v>
      </c>
      <c r="AA22" s="3164">
        <v>24415</v>
      </c>
      <c r="AB22" s="3164"/>
      <c r="AC22" s="3164"/>
      <c r="AD22" s="3164"/>
      <c r="AE22" s="3164"/>
      <c r="AF22" s="3164"/>
      <c r="AG22" s="3164"/>
      <c r="AH22" s="3164"/>
      <c r="AI22" s="3164"/>
      <c r="AJ22" s="3166">
        <v>683</v>
      </c>
      <c r="AK22" s="3167">
        <f>V22+W22</f>
        <v>170489</v>
      </c>
      <c r="AL22" s="3169" t="s">
        <v>638</v>
      </c>
      <c r="AM22" s="2535">
        <v>43102</v>
      </c>
      <c r="AN22" s="2537">
        <v>43465</v>
      </c>
      <c r="AO22" s="2298" t="s">
        <v>639</v>
      </c>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c r="IS22" s="131"/>
      <c r="IT22" s="131"/>
      <c r="IU22" s="131"/>
      <c r="IV22" s="131"/>
    </row>
    <row r="23" spans="1:256" s="229" customFormat="1" ht="42.75" customHeight="1">
      <c r="A23" s="682"/>
      <c r="B23" s="683"/>
      <c r="C23" s="277"/>
      <c r="D23" s="706"/>
      <c r="E23" s="277"/>
      <c r="F23" s="706"/>
      <c r="G23" s="3145"/>
      <c r="H23" s="2129"/>
      <c r="I23" s="2129"/>
      <c r="J23" s="3146"/>
      <c r="K23" s="3128"/>
      <c r="L23" s="3148"/>
      <c r="M23" s="3125"/>
      <c r="N23" s="2685"/>
      <c r="O23" s="3156"/>
      <c r="P23" s="3125"/>
      <c r="Q23" s="2318"/>
      <c r="R23" s="291" t="s">
        <v>659</v>
      </c>
      <c r="S23" s="713">
        <v>11000000</v>
      </c>
      <c r="T23" s="3140"/>
      <c r="U23" s="2128"/>
      <c r="V23" s="3164"/>
      <c r="W23" s="3164"/>
      <c r="X23" s="3164"/>
      <c r="Y23" s="3164"/>
      <c r="Z23" s="3164"/>
      <c r="AA23" s="3164"/>
      <c r="AB23" s="3164"/>
      <c r="AC23" s="3164"/>
      <c r="AD23" s="3164"/>
      <c r="AE23" s="3164"/>
      <c r="AF23" s="3164"/>
      <c r="AG23" s="3164"/>
      <c r="AH23" s="3164"/>
      <c r="AI23" s="3164"/>
      <c r="AJ23" s="3166"/>
      <c r="AK23" s="3164"/>
      <c r="AL23" s="3170"/>
      <c r="AM23" s="2536"/>
      <c r="AN23" s="2537"/>
      <c r="AO23" s="2298"/>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row>
    <row r="24" spans="1:256" s="229" customFormat="1" ht="44.25" customHeight="1">
      <c r="A24" s="682"/>
      <c r="B24" s="683"/>
      <c r="C24" s="277"/>
      <c r="D24" s="706"/>
      <c r="E24" s="277"/>
      <c r="F24" s="706"/>
      <c r="G24" s="3145"/>
      <c r="H24" s="2129"/>
      <c r="I24" s="2129"/>
      <c r="J24" s="3146"/>
      <c r="K24" s="3128"/>
      <c r="L24" s="3148"/>
      <c r="M24" s="3125"/>
      <c r="N24" s="2685"/>
      <c r="O24" s="3156"/>
      <c r="P24" s="3125"/>
      <c r="Q24" s="2318"/>
      <c r="R24" s="714" t="s">
        <v>660</v>
      </c>
      <c r="S24" s="713">
        <f>81190000-16453333</f>
        <v>64736667</v>
      </c>
      <c r="T24" s="3140"/>
      <c r="U24" s="2128"/>
      <c r="V24" s="3164"/>
      <c r="W24" s="3164"/>
      <c r="X24" s="3164"/>
      <c r="Y24" s="3164"/>
      <c r="Z24" s="3164"/>
      <c r="AA24" s="3164"/>
      <c r="AB24" s="3164"/>
      <c r="AC24" s="3164"/>
      <c r="AD24" s="3164"/>
      <c r="AE24" s="3164"/>
      <c r="AF24" s="3164"/>
      <c r="AG24" s="3164"/>
      <c r="AH24" s="3164"/>
      <c r="AI24" s="3164"/>
      <c r="AJ24" s="3166"/>
      <c r="AK24" s="3164"/>
      <c r="AL24" s="3170"/>
      <c r="AM24" s="2536"/>
      <c r="AN24" s="2537"/>
      <c r="AO24" s="2298"/>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row>
    <row r="25" spans="1:256" s="229" customFormat="1" ht="54" customHeight="1">
      <c r="A25" s="682"/>
      <c r="B25" s="683"/>
      <c r="C25" s="277"/>
      <c r="D25" s="706"/>
      <c r="E25" s="277"/>
      <c r="F25" s="706"/>
      <c r="G25" s="3145"/>
      <c r="H25" s="2129"/>
      <c r="I25" s="2129"/>
      <c r="J25" s="3146"/>
      <c r="K25" s="3128"/>
      <c r="L25" s="3148"/>
      <c r="M25" s="3125"/>
      <c r="N25" s="2685"/>
      <c r="O25" s="3156"/>
      <c r="P25" s="3125"/>
      <c r="Q25" s="2318"/>
      <c r="R25" s="291" t="s">
        <v>661</v>
      </c>
      <c r="S25" s="713">
        <v>5500000</v>
      </c>
      <c r="T25" s="3140"/>
      <c r="U25" s="2128"/>
      <c r="V25" s="3164"/>
      <c r="W25" s="3164"/>
      <c r="X25" s="3164"/>
      <c r="Y25" s="3164"/>
      <c r="Z25" s="3164"/>
      <c r="AA25" s="3164"/>
      <c r="AB25" s="3164"/>
      <c r="AC25" s="3164"/>
      <c r="AD25" s="3164"/>
      <c r="AE25" s="3164"/>
      <c r="AF25" s="3164"/>
      <c r="AG25" s="3164"/>
      <c r="AH25" s="3164"/>
      <c r="AI25" s="3164"/>
      <c r="AJ25" s="3166"/>
      <c r="AK25" s="3164"/>
      <c r="AL25" s="3170"/>
      <c r="AM25" s="2536"/>
      <c r="AN25" s="2537"/>
      <c r="AO25" s="2298"/>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row>
    <row r="26" spans="1:256" s="229" customFormat="1" ht="53.25" customHeight="1">
      <c r="A26" s="682"/>
      <c r="B26" s="683"/>
      <c r="C26" s="277"/>
      <c r="D26" s="706"/>
      <c r="E26" s="277"/>
      <c r="F26" s="706"/>
      <c r="G26" s="3145"/>
      <c r="H26" s="2129"/>
      <c r="I26" s="2129"/>
      <c r="J26" s="3146"/>
      <c r="K26" s="3128"/>
      <c r="L26" s="3148"/>
      <c r="M26" s="3125"/>
      <c r="N26" s="2685"/>
      <c r="O26" s="3156"/>
      <c r="P26" s="3125"/>
      <c r="Q26" s="2318"/>
      <c r="R26" s="715" t="s">
        <v>662</v>
      </c>
      <c r="S26" s="713">
        <f>37180000-28510000</f>
        <v>8670000</v>
      </c>
      <c r="T26" s="3140"/>
      <c r="U26" s="2128"/>
      <c r="V26" s="3164"/>
      <c r="W26" s="3164"/>
      <c r="X26" s="3164"/>
      <c r="Y26" s="3164"/>
      <c r="Z26" s="3164"/>
      <c r="AA26" s="3164"/>
      <c r="AB26" s="3164"/>
      <c r="AC26" s="3164"/>
      <c r="AD26" s="3164"/>
      <c r="AE26" s="3164"/>
      <c r="AF26" s="3164"/>
      <c r="AG26" s="3164"/>
      <c r="AH26" s="3164"/>
      <c r="AI26" s="3164"/>
      <c r="AJ26" s="3166"/>
      <c r="AK26" s="3164"/>
      <c r="AL26" s="3170"/>
      <c r="AM26" s="2536"/>
      <c r="AN26" s="2537"/>
      <c r="AO26" s="2298"/>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row>
    <row r="27" spans="1:256" s="229" customFormat="1" ht="51" customHeight="1">
      <c r="A27" s="682"/>
      <c r="B27" s="683"/>
      <c r="C27" s="277"/>
      <c r="D27" s="706"/>
      <c r="E27" s="277"/>
      <c r="F27" s="706"/>
      <c r="G27" s="3145"/>
      <c r="H27" s="2129"/>
      <c r="I27" s="2129"/>
      <c r="J27" s="3146"/>
      <c r="K27" s="3128"/>
      <c r="L27" s="3148"/>
      <c r="M27" s="3125"/>
      <c r="N27" s="2685"/>
      <c r="O27" s="3156"/>
      <c r="P27" s="3125"/>
      <c r="Q27" s="2318"/>
      <c r="R27" s="715" t="s">
        <v>663</v>
      </c>
      <c r="S27" s="713">
        <v>9448333</v>
      </c>
      <c r="T27" s="3140"/>
      <c r="U27" s="2128"/>
      <c r="V27" s="3164"/>
      <c r="W27" s="3164"/>
      <c r="X27" s="3164"/>
      <c r="Y27" s="3164"/>
      <c r="Z27" s="3164"/>
      <c r="AA27" s="3164"/>
      <c r="AB27" s="3164"/>
      <c r="AC27" s="3164"/>
      <c r="AD27" s="3164"/>
      <c r="AE27" s="3164"/>
      <c r="AF27" s="3164"/>
      <c r="AG27" s="3164"/>
      <c r="AH27" s="3164"/>
      <c r="AI27" s="3164"/>
      <c r="AJ27" s="3166"/>
      <c r="AK27" s="3164"/>
      <c r="AL27" s="3170"/>
      <c r="AM27" s="2536"/>
      <c r="AN27" s="2537"/>
      <c r="AO27" s="2298"/>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c r="IV27" s="131"/>
    </row>
    <row r="28" spans="1:256" s="229" customFormat="1" ht="66" customHeight="1">
      <c r="A28" s="682"/>
      <c r="B28" s="683"/>
      <c r="C28" s="277"/>
      <c r="D28" s="706"/>
      <c r="E28" s="277"/>
      <c r="F28" s="706"/>
      <c r="G28" s="3145"/>
      <c r="H28" s="2129"/>
      <c r="I28" s="2129"/>
      <c r="J28" s="3146"/>
      <c r="K28" s="3128"/>
      <c r="L28" s="3148"/>
      <c r="M28" s="3125"/>
      <c r="N28" s="2685"/>
      <c r="O28" s="3156"/>
      <c r="P28" s="3125"/>
      <c r="Q28" s="2318"/>
      <c r="R28" s="715" t="s">
        <v>664</v>
      </c>
      <c r="S28" s="713">
        <f>0+11125000</f>
        <v>11125000</v>
      </c>
      <c r="T28" s="3140"/>
      <c r="U28" s="2128"/>
      <c r="V28" s="3164"/>
      <c r="W28" s="3164"/>
      <c r="X28" s="3164"/>
      <c r="Y28" s="3164"/>
      <c r="Z28" s="3164"/>
      <c r="AA28" s="3164"/>
      <c r="AB28" s="3164"/>
      <c r="AC28" s="3164"/>
      <c r="AD28" s="3164"/>
      <c r="AE28" s="3164"/>
      <c r="AF28" s="3164"/>
      <c r="AG28" s="3164"/>
      <c r="AH28" s="3164"/>
      <c r="AI28" s="3164"/>
      <c r="AJ28" s="3166"/>
      <c r="AK28" s="3164"/>
      <c r="AL28" s="3170"/>
      <c r="AM28" s="2536"/>
      <c r="AN28" s="2537"/>
      <c r="AO28" s="2298"/>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row>
    <row r="29" spans="1:256" s="229" customFormat="1" ht="52.5" customHeight="1">
      <c r="A29" s="682"/>
      <c r="B29" s="683"/>
      <c r="C29" s="277"/>
      <c r="D29" s="706"/>
      <c r="E29" s="277"/>
      <c r="F29" s="706"/>
      <c r="G29" s="3145"/>
      <c r="H29" s="2129"/>
      <c r="I29" s="2129"/>
      <c r="J29" s="3146"/>
      <c r="K29" s="3128"/>
      <c r="L29" s="3148"/>
      <c r="M29" s="3125"/>
      <c r="N29" s="2685"/>
      <c r="O29" s="3156"/>
      <c r="P29" s="3125"/>
      <c r="Q29" s="2319"/>
      <c r="R29" s="716" t="s">
        <v>665</v>
      </c>
      <c r="S29" s="713">
        <v>14520000</v>
      </c>
      <c r="T29" s="3140"/>
      <c r="U29" s="2128"/>
      <c r="V29" s="3164"/>
      <c r="W29" s="3164"/>
      <c r="X29" s="3164"/>
      <c r="Y29" s="3164"/>
      <c r="Z29" s="3164"/>
      <c r="AA29" s="3164"/>
      <c r="AB29" s="3164"/>
      <c r="AC29" s="3164"/>
      <c r="AD29" s="3164"/>
      <c r="AE29" s="3164"/>
      <c r="AF29" s="3164"/>
      <c r="AG29" s="3164"/>
      <c r="AH29" s="3164"/>
      <c r="AI29" s="3164"/>
      <c r="AJ29" s="3166"/>
      <c r="AK29" s="3164"/>
      <c r="AL29" s="3170"/>
      <c r="AM29" s="2536"/>
      <c r="AN29" s="2537"/>
      <c r="AO29" s="2298"/>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row>
    <row r="30" spans="1:256" s="229" customFormat="1" ht="46.5" customHeight="1">
      <c r="A30" s="682"/>
      <c r="B30" s="683"/>
      <c r="C30" s="277"/>
      <c r="D30" s="706"/>
      <c r="E30" s="277"/>
      <c r="F30" s="706"/>
      <c r="G30" s="3145"/>
      <c r="H30" s="2129"/>
      <c r="I30" s="2129"/>
      <c r="J30" s="3146"/>
      <c r="K30" s="3128"/>
      <c r="L30" s="3148"/>
      <c r="M30" s="3125"/>
      <c r="N30" s="2685"/>
      <c r="O30" s="3156"/>
      <c r="P30" s="3125"/>
      <c r="Q30" s="2337" t="s">
        <v>666</v>
      </c>
      <c r="R30" s="694" t="s">
        <v>667</v>
      </c>
      <c r="S30" s="713">
        <f>6000000+6000000</f>
        <v>12000000</v>
      </c>
      <c r="T30" s="3140"/>
      <c r="U30" s="2128"/>
      <c r="V30" s="3164"/>
      <c r="W30" s="3164"/>
      <c r="X30" s="3164"/>
      <c r="Y30" s="3164"/>
      <c r="Z30" s="3164"/>
      <c r="AA30" s="3164"/>
      <c r="AB30" s="3164"/>
      <c r="AC30" s="3164"/>
      <c r="AD30" s="3164"/>
      <c r="AE30" s="3164"/>
      <c r="AF30" s="3164"/>
      <c r="AG30" s="3164"/>
      <c r="AH30" s="3164"/>
      <c r="AI30" s="3164"/>
      <c r="AJ30" s="3166"/>
      <c r="AK30" s="3164"/>
      <c r="AL30" s="3170"/>
      <c r="AM30" s="2536"/>
      <c r="AN30" s="2537"/>
      <c r="AO30" s="2298"/>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row>
    <row r="31" spans="1:256" s="229" customFormat="1" ht="54.75" customHeight="1">
      <c r="A31" s="682"/>
      <c r="B31" s="683"/>
      <c r="C31" s="277"/>
      <c r="D31" s="706"/>
      <c r="E31" s="277"/>
      <c r="F31" s="706"/>
      <c r="G31" s="3145"/>
      <c r="H31" s="2129"/>
      <c r="I31" s="2129"/>
      <c r="J31" s="3147"/>
      <c r="K31" s="3128"/>
      <c r="L31" s="3148"/>
      <c r="M31" s="3125"/>
      <c r="N31" s="2685"/>
      <c r="O31" s="3165"/>
      <c r="P31" s="3125"/>
      <c r="Q31" s="2318"/>
      <c r="R31" s="694" t="s">
        <v>668</v>
      </c>
      <c r="S31" s="717">
        <f>8000000+29000000</f>
        <v>37000000</v>
      </c>
      <c r="T31" s="3140"/>
      <c r="U31" s="2128"/>
      <c r="V31" s="3164"/>
      <c r="W31" s="3164"/>
      <c r="X31" s="3164"/>
      <c r="Y31" s="3164"/>
      <c r="Z31" s="3164"/>
      <c r="AA31" s="3164"/>
      <c r="AB31" s="3164"/>
      <c r="AC31" s="3164"/>
      <c r="AD31" s="3164"/>
      <c r="AE31" s="3164"/>
      <c r="AF31" s="3164"/>
      <c r="AG31" s="3164"/>
      <c r="AH31" s="3164"/>
      <c r="AI31" s="3164"/>
      <c r="AJ31" s="3166"/>
      <c r="AK31" s="3168"/>
      <c r="AL31" s="3171"/>
      <c r="AM31" s="2536"/>
      <c r="AN31" s="2535"/>
      <c r="AO31" s="2298"/>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row>
    <row r="32" spans="1:256" s="229" customFormat="1" ht="15.75">
      <c r="A32" s="682"/>
      <c r="B32" s="683"/>
      <c r="C32" s="277"/>
      <c r="D32" s="706"/>
      <c r="E32" s="181">
        <v>59</v>
      </c>
      <c r="F32" s="689" t="s">
        <v>669</v>
      </c>
      <c r="G32" s="718"/>
      <c r="H32" s="388"/>
      <c r="I32" s="388"/>
      <c r="J32" s="690"/>
      <c r="K32" s="690"/>
      <c r="L32" s="690"/>
      <c r="M32" s="388"/>
      <c r="N32" s="690"/>
      <c r="O32" s="707"/>
      <c r="P32" s="388"/>
      <c r="Q32" s="406"/>
      <c r="R32" s="388" t="s">
        <v>670</v>
      </c>
      <c r="S32" s="708"/>
      <c r="T32" s="395"/>
      <c r="U32" s="388"/>
      <c r="V32" s="690"/>
      <c r="W32" s="690"/>
      <c r="X32" s="690"/>
      <c r="Y32" s="690"/>
      <c r="Z32" s="690"/>
      <c r="AA32" s="690"/>
      <c r="AB32" s="690"/>
      <c r="AC32" s="690"/>
      <c r="AD32" s="690"/>
      <c r="AE32" s="690"/>
      <c r="AF32" s="690"/>
      <c r="AG32" s="690"/>
      <c r="AH32" s="690"/>
      <c r="AI32" s="690"/>
      <c r="AJ32" s="690"/>
      <c r="AK32" s="709"/>
      <c r="AL32" s="690"/>
      <c r="AM32" s="690"/>
      <c r="AN32" s="690"/>
      <c r="AO32" s="710"/>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row>
    <row r="33" spans="1:256" s="229" customFormat="1" ht="52.5" customHeight="1">
      <c r="A33" s="682"/>
      <c r="B33" s="683"/>
      <c r="C33" s="277"/>
      <c r="D33" s="706"/>
      <c r="E33" s="277"/>
      <c r="F33" s="719"/>
      <c r="G33" s="2122">
        <v>184</v>
      </c>
      <c r="H33" s="3158" t="s">
        <v>671</v>
      </c>
      <c r="I33" s="2375" t="s">
        <v>672</v>
      </c>
      <c r="J33" s="2734">
        <v>1</v>
      </c>
      <c r="K33" s="720"/>
      <c r="L33" s="3154" t="s">
        <v>673</v>
      </c>
      <c r="M33" s="3161" t="s">
        <v>674</v>
      </c>
      <c r="N33" s="3096">
        <f>SUM(S33:S40)/O33</f>
        <v>0.8461538461538461</v>
      </c>
      <c r="O33" s="3157">
        <f>SUM(S33:S46)</f>
        <v>520000000</v>
      </c>
      <c r="P33" s="3179" t="s">
        <v>675</v>
      </c>
      <c r="Q33" s="2300" t="s">
        <v>676</v>
      </c>
      <c r="R33" s="721" t="s">
        <v>677</v>
      </c>
      <c r="S33" s="717">
        <f>14520000-6920000</f>
        <v>7600000</v>
      </c>
      <c r="T33" s="3139"/>
      <c r="U33" s="3139"/>
      <c r="V33" s="3172">
        <f>(66444+22325)*30%+(156158*1%)</f>
        <v>28192.28</v>
      </c>
      <c r="W33" s="3172">
        <f>(69670+23382)*30%+(149648*1%)</f>
        <v>29412.079999999998</v>
      </c>
      <c r="X33" s="2925">
        <f>(136114*30%)</f>
        <v>40834.2</v>
      </c>
      <c r="Y33" s="3173">
        <f>(45707*30%)</f>
        <v>13712.1</v>
      </c>
      <c r="Z33" s="3173">
        <f>(305806*1%)</f>
        <v>3058.06</v>
      </c>
      <c r="AA33" s="2925"/>
      <c r="AB33" s="2925"/>
      <c r="AC33" s="2925"/>
      <c r="AD33" s="2925"/>
      <c r="AE33" s="2925"/>
      <c r="AF33" s="2925"/>
      <c r="AG33" s="2925"/>
      <c r="AH33" s="2925"/>
      <c r="AI33" s="2925"/>
      <c r="AJ33" s="3178"/>
      <c r="AK33" s="3177">
        <f>SUM(V33+W33)</f>
        <v>57604.36</v>
      </c>
      <c r="AL33" s="3169" t="s">
        <v>638</v>
      </c>
      <c r="AM33" s="3153">
        <v>43102</v>
      </c>
      <c r="AN33" s="3153">
        <v>43465</v>
      </c>
      <c r="AO33" s="2298" t="s">
        <v>639</v>
      </c>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row>
    <row r="34" spans="1:256" s="229" customFormat="1" ht="37.5" customHeight="1">
      <c r="A34" s="682"/>
      <c r="B34" s="683"/>
      <c r="C34" s="277"/>
      <c r="D34" s="706"/>
      <c r="E34" s="277"/>
      <c r="F34" s="719"/>
      <c r="G34" s="2122"/>
      <c r="H34" s="3159"/>
      <c r="I34" s="2376"/>
      <c r="J34" s="3047"/>
      <c r="K34" s="722"/>
      <c r="L34" s="3148"/>
      <c r="M34" s="3162"/>
      <c r="N34" s="2685"/>
      <c r="O34" s="3157"/>
      <c r="P34" s="3179"/>
      <c r="Q34" s="2300"/>
      <c r="R34" s="723" t="s">
        <v>678</v>
      </c>
      <c r="S34" s="724">
        <v>12000000</v>
      </c>
      <c r="T34" s="3140"/>
      <c r="U34" s="3140"/>
      <c r="V34" s="3172"/>
      <c r="W34" s="3172"/>
      <c r="X34" s="2925"/>
      <c r="Y34" s="3173"/>
      <c r="Z34" s="3173"/>
      <c r="AA34" s="2925"/>
      <c r="AB34" s="2925"/>
      <c r="AC34" s="2925"/>
      <c r="AD34" s="2925"/>
      <c r="AE34" s="2925"/>
      <c r="AF34" s="2925"/>
      <c r="AG34" s="2925"/>
      <c r="AH34" s="2925"/>
      <c r="AI34" s="2925"/>
      <c r="AJ34" s="3178"/>
      <c r="AK34" s="3047"/>
      <c r="AL34" s="3170"/>
      <c r="AM34" s="3153"/>
      <c r="AN34" s="3153"/>
      <c r="AO34" s="2298"/>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row>
    <row r="35" spans="1:256" s="229" customFormat="1" ht="51" customHeight="1">
      <c r="A35" s="682"/>
      <c r="B35" s="683"/>
      <c r="C35" s="277"/>
      <c r="D35" s="706"/>
      <c r="E35" s="277"/>
      <c r="F35" s="719"/>
      <c r="G35" s="2122"/>
      <c r="H35" s="3159"/>
      <c r="I35" s="2376"/>
      <c r="J35" s="3047"/>
      <c r="K35" s="722"/>
      <c r="L35" s="3148"/>
      <c r="M35" s="3162"/>
      <c r="N35" s="2685"/>
      <c r="O35" s="3157"/>
      <c r="P35" s="3179"/>
      <c r="Q35" s="2300"/>
      <c r="R35" s="725" t="s">
        <v>679</v>
      </c>
      <c r="S35" s="713">
        <v>43180000</v>
      </c>
      <c r="T35" s="3140"/>
      <c r="U35" s="3140"/>
      <c r="V35" s="3172"/>
      <c r="W35" s="3172"/>
      <c r="X35" s="2925"/>
      <c r="Y35" s="3173"/>
      <c r="Z35" s="3173"/>
      <c r="AA35" s="2925"/>
      <c r="AB35" s="2925"/>
      <c r="AC35" s="2925"/>
      <c r="AD35" s="2925"/>
      <c r="AE35" s="2925"/>
      <c r="AF35" s="2925"/>
      <c r="AG35" s="2925"/>
      <c r="AH35" s="2925"/>
      <c r="AI35" s="2925"/>
      <c r="AJ35" s="3178"/>
      <c r="AK35" s="3047"/>
      <c r="AL35" s="3170"/>
      <c r="AM35" s="3153"/>
      <c r="AN35" s="3153"/>
      <c r="AO35" s="2298"/>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row>
    <row r="36" spans="1:256" s="229" customFormat="1" ht="61.5" customHeight="1">
      <c r="A36" s="682"/>
      <c r="B36" s="683"/>
      <c r="C36" s="277"/>
      <c r="D36" s="706"/>
      <c r="E36" s="277"/>
      <c r="F36" s="719"/>
      <c r="G36" s="2122"/>
      <c r="H36" s="3159"/>
      <c r="I36" s="2376"/>
      <c r="J36" s="3047"/>
      <c r="K36" s="722"/>
      <c r="L36" s="3148"/>
      <c r="M36" s="3162"/>
      <c r="N36" s="2685"/>
      <c r="O36" s="3157"/>
      <c r="P36" s="3179"/>
      <c r="Q36" s="2300"/>
      <c r="R36" s="726" t="s">
        <v>680</v>
      </c>
      <c r="S36" s="713">
        <f>5400000-5400000</f>
        <v>0</v>
      </c>
      <c r="T36" s="3140"/>
      <c r="U36" s="3140"/>
      <c r="V36" s="3172"/>
      <c r="W36" s="3172"/>
      <c r="X36" s="2925"/>
      <c r="Y36" s="3173"/>
      <c r="Z36" s="3173"/>
      <c r="AA36" s="2925"/>
      <c r="AB36" s="2925"/>
      <c r="AC36" s="2925"/>
      <c r="AD36" s="2925"/>
      <c r="AE36" s="2925"/>
      <c r="AF36" s="2925"/>
      <c r="AG36" s="2925"/>
      <c r="AH36" s="2925"/>
      <c r="AI36" s="2925"/>
      <c r="AJ36" s="3178"/>
      <c r="AK36" s="3047"/>
      <c r="AL36" s="3170"/>
      <c r="AM36" s="3153"/>
      <c r="AN36" s="3153"/>
      <c r="AO36" s="2298"/>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row>
    <row r="37" spans="1:256" s="229" customFormat="1" ht="57" customHeight="1">
      <c r="A37" s="682"/>
      <c r="B37" s="683"/>
      <c r="C37" s="277"/>
      <c r="D37" s="706"/>
      <c r="E37" s="277"/>
      <c r="F37" s="719"/>
      <c r="G37" s="2122"/>
      <c r="H37" s="3159"/>
      <c r="I37" s="2376"/>
      <c r="J37" s="3047"/>
      <c r="K37" s="727"/>
      <c r="L37" s="3148"/>
      <c r="M37" s="3162"/>
      <c r="N37" s="2685"/>
      <c r="O37" s="3157"/>
      <c r="P37" s="3179"/>
      <c r="Q37" s="2300"/>
      <c r="R37" s="728" t="s">
        <v>681</v>
      </c>
      <c r="S37" s="713">
        <v>14520000</v>
      </c>
      <c r="T37" s="3140"/>
      <c r="U37" s="3140"/>
      <c r="V37" s="3172"/>
      <c r="W37" s="3172"/>
      <c r="X37" s="2925"/>
      <c r="Y37" s="3173"/>
      <c r="Z37" s="3173"/>
      <c r="AA37" s="2925"/>
      <c r="AB37" s="2925"/>
      <c r="AC37" s="2925"/>
      <c r="AD37" s="2925"/>
      <c r="AE37" s="2925"/>
      <c r="AF37" s="2925"/>
      <c r="AG37" s="2925"/>
      <c r="AH37" s="2925"/>
      <c r="AI37" s="2925"/>
      <c r="AJ37" s="3178"/>
      <c r="AK37" s="3047"/>
      <c r="AL37" s="3170"/>
      <c r="AM37" s="3153"/>
      <c r="AN37" s="3153"/>
      <c r="AO37" s="2298"/>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row>
    <row r="38" spans="1:256" s="229" customFormat="1" ht="82.5" customHeight="1">
      <c r="A38" s="682"/>
      <c r="B38" s="683"/>
      <c r="C38" s="277"/>
      <c r="D38" s="706"/>
      <c r="E38" s="277"/>
      <c r="F38" s="719"/>
      <c r="G38" s="2122"/>
      <c r="H38" s="3159"/>
      <c r="I38" s="2376"/>
      <c r="J38" s="3047"/>
      <c r="K38" s="722"/>
      <c r="L38" s="3148"/>
      <c r="M38" s="3162"/>
      <c r="N38" s="2685"/>
      <c r="O38" s="3157"/>
      <c r="P38" s="3179"/>
      <c r="Q38" s="2300"/>
      <c r="R38" s="728" t="s">
        <v>682</v>
      </c>
      <c r="S38" s="713">
        <f>14520000-5820000</f>
        <v>8700000</v>
      </c>
      <c r="T38" s="3140"/>
      <c r="U38" s="3140"/>
      <c r="V38" s="3172"/>
      <c r="W38" s="3172"/>
      <c r="X38" s="2925"/>
      <c r="Y38" s="3173"/>
      <c r="Z38" s="3173"/>
      <c r="AA38" s="2925"/>
      <c r="AB38" s="2925"/>
      <c r="AC38" s="2925"/>
      <c r="AD38" s="2925"/>
      <c r="AE38" s="2925"/>
      <c r="AF38" s="2925"/>
      <c r="AG38" s="2925"/>
      <c r="AH38" s="2925"/>
      <c r="AI38" s="2925"/>
      <c r="AJ38" s="3178"/>
      <c r="AK38" s="3047"/>
      <c r="AL38" s="3170"/>
      <c r="AM38" s="3153"/>
      <c r="AN38" s="3153"/>
      <c r="AO38" s="2298"/>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c r="IS38" s="131"/>
      <c r="IT38" s="131"/>
      <c r="IU38" s="131"/>
      <c r="IV38" s="131"/>
    </row>
    <row r="39" spans="1:256" s="229" customFormat="1" ht="87.75" customHeight="1">
      <c r="A39" s="682"/>
      <c r="B39" s="683"/>
      <c r="C39" s="277"/>
      <c r="D39" s="706"/>
      <c r="E39" s="277"/>
      <c r="F39" s="719"/>
      <c r="G39" s="2122"/>
      <c r="H39" s="3159"/>
      <c r="I39" s="2376"/>
      <c r="J39" s="3047"/>
      <c r="K39" s="722" t="s">
        <v>683</v>
      </c>
      <c r="L39" s="3148"/>
      <c r="M39" s="3162"/>
      <c r="N39" s="2685"/>
      <c r="O39" s="3157"/>
      <c r="P39" s="3179"/>
      <c r="Q39" s="2300"/>
      <c r="R39" s="721" t="s">
        <v>684</v>
      </c>
      <c r="S39" s="713">
        <f>0+350000000</f>
        <v>350000000</v>
      </c>
      <c r="T39" s="729" t="s">
        <v>63</v>
      </c>
      <c r="U39" s="729" t="s">
        <v>102</v>
      </c>
      <c r="V39" s="3172"/>
      <c r="W39" s="3172"/>
      <c r="X39" s="2925"/>
      <c r="Y39" s="3173"/>
      <c r="Z39" s="3173"/>
      <c r="AA39" s="2925"/>
      <c r="AB39" s="2925"/>
      <c r="AC39" s="2925"/>
      <c r="AD39" s="2925"/>
      <c r="AE39" s="2925"/>
      <c r="AF39" s="2925"/>
      <c r="AG39" s="2925"/>
      <c r="AH39" s="2925"/>
      <c r="AI39" s="2925"/>
      <c r="AJ39" s="3178"/>
      <c r="AK39" s="3047"/>
      <c r="AL39" s="3170"/>
      <c r="AM39" s="3153"/>
      <c r="AN39" s="3153"/>
      <c r="AO39" s="2298"/>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131"/>
      <c r="GZ39" s="131"/>
      <c r="HA39" s="131"/>
      <c r="HB39" s="131"/>
      <c r="HC39" s="131"/>
      <c r="HD39" s="131"/>
      <c r="HE39" s="131"/>
      <c r="HF39" s="131"/>
      <c r="HG39" s="131"/>
      <c r="HH39" s="131"/>
      <c r="HI39" s="131"/>
      <c r="HJ39" s="131"/>
      <c r="HK39" s="131"/>
      <c r="HL39" s="131"/>
      <c r="HM39" s="131"/>
      <c r="HN39" s="131"/>
      <c r="HO39" s="131"/>
      <c r="HP39" s="131"/>
      <c r="HQ39" s="131"/>
      <c r="HR39" s="131"/>
      <c r="HS39" s="131"/>
      <c r="HT39" s="131"/>
      <c r="HU39" s="131"/>
      <c r="HV39" s="131"/>
      <c r="HW39" s="131"/>
      <c r="HX39" s="131"/>
      <c r="HY39" s="131"/>
      <c r="HZ39" s="131"/>
      <c r="IA39" s="131"/>
      <c r="IB39" s="131"/>
      <c r="IC39" s="131"/>
      <c r="ID39" s="131"/>
      <c r="IE39" s="131"/>
      <c r="IF39" s="131"/>
      <c r="IG39" s="131"/>
      <c r="IH39" s="131"/>
      <c r="II39" s="131"/>
      <c r="IJ39" s="131"/>
      <c r="IK39" s="131"/>
      <c r="IL39" s="131"/>
      <c r="IM39" s="131"/>
      <c r="IN39" s="131"/>
      <c r="IO39" s="131"/>
      <c r="IP39" s="131"/>
      <c r="IQ39" s="131"/>
      <c r="IR39" s="131"/>
      <c r="IS39" s="131"/>
      <c r="IT39" s="131"/>
      <c r="IU39" s="131"/>
      <c r="IV39" s="131"/>
    </row>
    <row r="40" spans="1:256" s="229" customFormat="1" ht="45.75" customHeight="1">
      <c r="A40" s="682"/>
      <c r="B40" s="683"/>
      <c r="C40" s="277"/>
      <c r="D40" s="706"/>
      <c r="E40" s="277"/>
      <c r="F40" s="719"/>
      <c r="G40" s="2122"/>
      <c r="H40" s="3160"/>
      <c r="I40" s="2377"/>
      <c r="J40" s="2735"/>
      <c r="K40" s="722"/>
      <c r="L40" s="3148"/>
      <c r="M40" s="3162"/>
      <c r="N40" s="3097"/>
      <c r="O40" s="3157"/>
      <c r="P40" s="3179"/>
      <c r="Q40" s="2300"/>
      <c r="R40" s="721" t="s">
        <v>685</v>
      </c>
      <c r="S40" s="713">
        <v>4000000</v>
      </c>
      <c r="T40" s="3140"/>
      <c r="U40" s="3140"/>
      <c r="V40" s="3172"/>
      <c r="W40" s="3172"/>
      <c r="X40" s="2925"/>
      <c r="Y40" s="3173"/>
      <c r="Z40" s="3173"/>
      <c r="AA40" s="2925"/>
      <c r="AB40" s="2925"/>
      <c r="AC40" s="2925"/>
      <c r="AD40" s="2925"/>
      <c r="AE40" s="2925"/>
      <c r="AF40" s="2925"/>
      <c r="AG40" s="2925"/>
      <c r="AH40" s="2925"/>
      <c r="AI40" s="2925"/>
      <c r="AJ40" s="3178"/>
      <c r="AK40" s="3047"/>
      <c r="AL40" s="3170"/>
      <c r="AM40" s="3153"/>
      <c r="AN40" s="3153"/>
      <c r="AO40" s="2298"/>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c r="IS40" s="131"/>
      <c r="IT40" s="131"/>
      <c r="IU40" s="131"/>
      <c r="IV40" s="131"/>
    </row>
    <row r="41" spans="1:256" s="229" customFormat="1" ht="57" customHeight="1">
      <c r="A41" s="682"/>
      <c r="B41" s="683"/>
      <c r="C41" s="277"/>
      <c r="D41" s="706"/>
      <c r="E41" s="277"/>
      <c r="F41" s="706"/>
      <c r="G41" s="2125">
        <v>185</v>
      </c>
      <c r="H41" s="2095" t="s">
        <v>686</v>
      </c>
      <c r="I41" s="2375" t="s">
        <v>687</v>
      </c>
      <c r="J41" s="2734">
        <v>1</v>
      </c>
      <c r="K41" s="722" t="s">
        <v>688</v>
      </c>
      <c r="L41" s="3148"/>
      <c r="M41" s="3162"/>
      <c r="N41" s="3096">
        <f>SUM(S41:S43)/O33</f>
        <v>0.07692307692307693</v>
      </c>
      <c r="O41" s="3157"/>
      <c r="P41" s="3180"/>
      <c r="Q41" s="3175" t="s">
        <v>689</v>
      </c>
      <c r="R41" s="291" t="s">
        <v>690</v>
      </c>
      <c r="S41" s="724">
        <v>25000000</v>
      </c>
      <c r="T41" s="3140"/>
      <c r="U41" s="3140"/>
      <c r="V41" s="3172"/>
      <c r="W41" s="3172"/>
      <c r="X41" s="2925"/>
      <c r="Y41" s="3173"/>
      <c r="Z41" s="3173"/>
      <c r="AA41" s="2925"/>
      <c r="AB41" s="2925"/>
      <c r="AC41" s="2925"/>
      <c r="AD41" s="2925"/>
      <c r="AE41" s="2925"/>
      <c r="AF41" s="2925"/>
      <c r="AG41" s="2925"/>
      <c r="AH41" s="2925"/>
      <c r="AI41" s="2925"/>
      <c r="AJ41" s="3178"/>
      <c r="AK41" s="3047"/>
      <c r="AL41" s="3170"/>
      <c r="AM41" s="3153"/>
      <c r="AN41" s="3153"/>
      <c r="AO41" s="2298"/>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row>
    <row r="42" spans="1:256" s="229" customFormat="1" ht="46.5" customHeight="1">
      <c r="A42" s="682"/>
      <c r="B42" s="683"/>
      <c r="C42" s="277"/>
      <c r="D42" s="706"/>
      <c r="E42" s="277"/>
      <c r="F42" s="706"/>
      <c r="G42" s="2125"/>
      <c r="H42" s="2129"/>
      <c r="I42" s="2376"/>
      <c r="J42" s="3047"/>
      <c r="K42" s="722"/>
      <c r="L42" s="3148"/>
      <c r="M42" s="3162"/>
      <c r="N42" s="2685"/>
      <c r="O42" s="3157"/>
      <c r="P42" s="3180"/>
      <c r="Q42" s="3175"/>
      <c r="R42" s="291" t="s">
        <v>691</v>
      </c>
      <c r="S42" s="724">
        <v>10560000</v>
      </c>
      <c r="T42" s="3140"/>
      <c r="U42" s="3140"/>
      <c r="V42" s="3172"/>
      <c r="W42" s="3172"/>
      <c r="X42" s="2925"/>
      <c r="Y42" s="3173"/>
      <c r="Z42" s="3173"/>
      <c r="AA42" s="2925"/>
      <c r="AB42" s="2925"/>
      <c r="AC42" s="2925"/>
      <c r="AD42" s="2925"/>
      <c r="AE42" s="2925"/>
      <c r="AF42" s="2925"/>
      <c r="AG42" s="2925"/>
      <c r="AH42" s="2925"/>
      <c r="AI42" s="2925"/>
      <c r="AJ42" s="3178"/>
      <c r="AK42" s="3047"/>
      <c r="AL42" s="3170"/>
      <c r="AM42" s="3153"/>
      <c r="AN42" s="3153"/>
      <c r="AO42" s="2298"/>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row>
    <row r="43" spans="1:256" s="229" customFormat="1" ht="53.25" customHeight="1">
      <c r="A43" s="682"/>
      <c r="B43" s="683"/>
      <c r="C43" s="277"/>
      <c r="D43" s="706"/>
      <c r="E43" s="277"/>
      <c r="F43" s="706"/>
      <c r="G43" s="2126"/>
      <c r="H43" s="2096"/>
      <c r="I43" s="2377"/>
      <c r="J43" s="2735"/>
      <c r="K43" s="722"/>
      <c r="L43" s="3148"/>
      <c r="M43" s="3162"/>
      <c r="N43" s="3097"/>
      <c r="O43" s="3157"/>
      <c r="P43" s="3180"/>
      <c r="Q43" s="3176"/>
      <c r="R43" s="291" t="s">
        <v>692</v>
      </c>
      <c r="S43" s="724">
        <v>4440000</v>
      </c>
      <c r="T43" s="3140"/>
      <c r="U43" s="3140"/>
      <c r="V43" s="3172"/>
      <c r="W43" s="3172"/>
      <c r="X43" s="2925"/>
      <c r="Y43" s="3173"/>
      <c r="Z43" s="3173"/>
      <c r="AA43" s="2925"/>
      <c r="AB43" s="2925"/>
      <c r="AC43" s="2925"/>
      <c r="AD43" s="2925"/>
      <c r="AE43" s="2925"/>
      <c r="AF43" s="2925"/>
      <c r="AG43" s="2925"/>
      <c r="AH43" s="2925"/>
      <c r="AI43" s="2925"/>
      <c r="AJ43" s="3178"/>
      <c r="AK43" s="3047"/>
      <c r="AL43" s="3170"/>
      <c r="AM43" s="3153"/>
      <c r="AN43" s="3153"/>
      <c r="AO43" s="2298"/>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c r="IS43" s="131"/>
      <c r="IT43" s="131"/>
      <c r="IU43" s="131"/>
      <c r="IV43" s="131"/>
    </row>
    <row r="44" spans="1:256" s="229" customFormat="1" ht="85.5" customHeight="1">
      <c r="A44" s="682"/>
      <c r="B44" s="683"/>
      <c r="C44" s="277"/>
      <c r="D44" s="706"/>
      <c r="E44" s="277"/>
      <c r="F44" s="719"/>
      <c r="G44" s="2122">
        <v>186</v>
      </c>
      <c r="H44" s="2109" t="s">
        <v>693</v>
      </c>
      <c r="I44" s="2405" t="s">
        <v>694</v>
      </c>
      <c r="J44" s="2925">
        <v>1</v>
      </c>
      <c r="K44" s="722"/>
      <c r="L44" s="3148"/>
      <c r="M44" s="3162"/>
      <c r="N44" s="2660">
        <f>SUM(S44:S46)/O33</f>
        <v>0.07692307692307693</v>
      </c>
      <c r="O44" s="3157"/>
      <c r="P44" s="3180"/>
      <c r="Q44" s="3174" t="s">
        <v>695</v>
      </c>
      <c r="R44" s="730" t="s">
        <v>696</v>
      </c>
      <c r="S44" s="724">
        <v>25000000</v>
      </c>
      <c r="T44" s="3140"/>
      <c r="U44" s="3140"/>
      <c r="V44" s="3172"/>
      <c r="W44" s="3172"/>
      <c r="X44" s="2925"/>
      <c r="Y44" s="3173"/>
      <c r="Z44" s="3173"/>
      <c r="AA44" s="2925"/>
      <c r="AB44" s="2925"/>
      <c r="AC44" s="2925"/>
      <c r="AD44" s="2925"/>
      <c r="AE44" s="2925"/>
      <c r="AF44" s="2925"/>
      <c r="AG44" s="2925"/>
      <c r="AH44" s="2925"/>
      <c r="AI44" s="2925"/>
      <c r="AJ44" s="3178"/>
      <c r="AK44" s="3047"/>
      <c r="AL44" s="3170"/>
      <c r="AM44" s="3153"/>
      <c r="AN44" s="3153"/>
      <c r="AO44" s="2298"/>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row>
    <row r="45" spans="1:256" s="229" customFormat="1" ht="45">
      <c r="A45" s="682"/>
      <c r="B45" s="683"/>
      <c r="C45" s="277"/>
      <c r="D45" s="706"/>
      <c r="E45" s="277"/>
      <c r="F45" s="719"/>
      <c r="G45" s="2122"/>
      <c r="H45" s="2109"/>
      <c r="I45" s="2405"/>
      <c r="J45" s="2925"/>
      <c r="K45" s="722"/>
      <c r="L45" s="3148"/>
      <c r="M45" s="3162"/>
      <c r="N45" s="2660"/>
      <c r="O45" s="3157"/>
      <c r="P45" s="3180"/>
      <c r="Q45" s="3175"/>
      <c r="R45" s="730" t="s">
        <v>697</v>
      </c>
      <c r="S45" s="724">
        <f>6880000-880000</f>
        <v>6000000</v>
      </c>
      <c r="T45" s="3140"/>
      <c r="U45" s="3140"/>
      <c r="V45" s="3172"/>
      <c r="W45" s="3172"/>
      <c r="X45" s="2925"/>
      <c r="Y45" s="3173"/>
      <c r="Z45" s="3173"/>
      <c r="AA45" s="2925"/>
      <c r="AB45" s="2925"/>
      <c r="AC45" s="2925"/>
      <c r="AD45" s="2925"/>
      <c r="AE45" s="2925"/>
      <c r="AF45" s="2925"/>
      <c r="AG45" s="2925"/>
      <c r="AH45" s="2925"/>
      <c r="AI45" s="2925"/>
      <c r="AJ45" s="3178"/>
      <c r="AK45" s="3047"/>
      <c r="AL45" s="3170"/>
      <c r="AM45" s="3153"/>
      <c r="AN45" s="3153"/>
      <c r="AO45" s="2298"/>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c r="IV45" s="131"/>
    </row>
    <row r="46" spans="1:256" s="229" customFormat="1" ht="90">
      <c r="A46" s="682"/>
      <c r="B46" s="683"/>
      <c r="C46" s="277"/>
      <c r="D46" s="706"/>
      <c r="E46" s="277"/>
      <c r="F46" s="719"/>
      <c r="G46" s="2122"/>
      <c r="H46" s="2109"/>
      <c r="I46" s="2405"/>
      <c r="J46" s="2925"/>
      <c r="K46" s="731"/>
      <c r="L46" s="3155"/>
      <c r="M46" s="3163"/>
      <c r="N46" s="2660"/>
      <c r="O46" s="3157"/>
      <c r="P46" s="3180"/>
      <c r="Q46" s="3176"/>
      <c r="R46" s="732" t="s">
        <v>698</v>
      </c>
      <c r="S46" s="724">
        <v>9000000</v>
      </c>
      <c r="T46" s="3141"/>
      <c r="U46" s="3141"/>
      <c r="V46" s="3172"/>
      <c r="W46" s="3172"/>
      <c r="X46" s="2925"/>
      <c r="Y46" s="3173"/>
      <c r="Z46" s="3173"/>
      <c r="AA46" s="2925"/>
      <c r="AB46" s="2925"/>
      <c r="AC46" s="2925"/>
      <c r="AD46" s="2925"/>
      <c r="AE46" s="2925"/>
      <c r="AF46" s="2925"/>
      <c r="AG46" s="2925"/>
      <c r="AH46" s="2925"/>
      <c r="AI46" s="2925"/>
      <c r="AJ46" s="3178"/>
      <c r="AK46" s="2735"/>
      <c r="AL46" s="3171"/>
      <c r="AM46" s="3153"/>
      <c r="AN46" s="3153"/>
      <c r="AO46" s="2298"/>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c r="FW46" s="131"/>
      <c r="FX46" s="131"/>
      <c r="FY46" s="131"/>
      <c r="FZ46" s="131"/>
      <c r="GA46" s="131"/>
      <c r="GB46" s="131"/>
      <c r="GC46" s="131"/>
      <c r="GD46" s="131"/>
      <c r="GE46" s="131"/>
      <c r="GF46" s="131"/>
      <c r="GG46" s="131"/>
      <c r="GH46" s="131"/>
      <c r="GI46" s="131"/>
      <c r="GJ46" s="131"/>
      <c r="GK46" s="131"/>
      <c r="GL46" s="131"/>
      <c r="GM46" s="131"/>
      <c r="GN46" s="131"/>
      <c r="GO46" s="131"/>
      <c r="GP46" s="131"/>
      <c r="GQ46" s="131"/>
      <c r="GR46" s="131"/>
      <c r="GS46" s="131"/>
      <c r="GT46" s="131"/>
      <c r="GU46" s="131"/>
      <c r="GV46" s="131"/>
      <c r="GW46" s="131"/>
      <c r="GX46" s="131"/>
      <c r="GY46" s="131"/>
      <c r="GZ46" s="131"/>
      <c r="HA46" s="131"/>
      <c r="HB46" s="131"/>
      <c r="HC46" s="131"/>
      <c r="HD46" s="131"/>
      <c r="HE46" s="131"/>
      <c r="HF46" s="131"/>
      <c r="HG46" s="131"/>
      <c r="HH46" s="131"/>
      <c r="HI46" s="131"/>
      <c r="HJ46" s="131"/>
      <c r="HK46" s="131"/>
      <c r="HL46" s="131"/>
      <c r="HM46" s="131"/>
      <c r="HN46" s="131"/>
      <c r="HO46" s="131"/>
      <c r="HP46" s="131"/>
      <c r="HQ46" s="131"/>
      <c r="HR46" s="131"/>
      <c r="HS46" s="131"/>
      <c r="HT46" s="131"/>
      <c r="HU46" s="131"/>
      <c r="HV46" s="131"/>
      <c r="HW46" s="131"/>
      <c r="HX46" s="131"/>
      <c r="HY46" s="131"/>
      <c r="HZ46" s="131"/>
      <c r="IA46" s="131"/>
      <c r="IB46" s="131"/>
      <c r="IC46" s="131"/>
      <c r="ID46" s="131"/>
      <c r="IE46" s="131"/>
      <c r="IF46" s="131"/>
      <c r="IG46" s="131"/>
      <c r="IH46" s="131"/>
      <c r="II46" s="131"/>
      <c r="IJ46" s="131"/>
      <c r="IK46" s="131"/>
      <c r="IL46" s="131"/>
      <c r="IM46" s="131"/>
      <c r="IN46" s="131"/>
      <c r="IO46" s="131"/>
      <c r="IP46" s="131"/>
      <c r="IQ46" s="131"/>
      <c r="IR46" s="131"/>
      <c r="IS46" s="131"/>
      <c r="IT46" s="131"/>
      <c r="IU46" s="131"/>
      <c r="IV46" s="131"/>
    </row>
    <row r="47" spans="1:256" s="229" customFormat="1" ht="15.75">
      <c r="A47" s="682"/>
      <c r="B47" s="683"/>
      <c r="C47" s="277"/>
      <c r="D47" s="706"/>
      <c r="E47" s="733">
        <v>60</v>
      </c>
      <c r="F47" s="689" t="s">
        <v>699</v>
      </c>
      <c r="G47" s="690"/>
      <c r="H47" s="388"/>
      <c r="I47" s="388"/>
      <c r="J47" s="690"/>
      <c r="K47" s="690"/>
      <c r="L47" s="690"/>
      <c r="M47" s="388"/>
      <c r="N47" s="690"/>
      <c r="O47" s="707"/>
      <c r="P47" s="388"/>
      <c r="Q47" s="388"/>
      <c r="R47" s="388"/>
      <c r="S47" s="734"/>
      <c r="T47" s="395"/>
      <c r="U47" s="388"/>
      <c r="V47" s="690"/>
      <c r="W47" s="690"/>
      <c r="X47" s="690"/>
      <c r="Y47" s="690"/>
      <c r="Z47" s="690"/>
      <c r="AA47" s="690"/>
      <c r="AB47" s="690"/>
      <c r="AC47" s="690"/>
      <c r="AD47" s="690"/>
      <c r="AE47" s="690"/>
      <c r="AF47" s="690"/>
      <c r="AG47" s="690"/>
      <c r="AH47" s="690"/>
      <c r="AI47" s="690"/>
      <c r="AJ47" s="690"/>
      <c r="AK47" s="709"/>
      <c r="AL47" s="690"/>
      <c r="AM47" s="690"/>
      <c r="AN47" s="690"/>
      <c r="AO47" s="710"/>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c r="FW47" s="131"/>
      <c r="FX47" s="131"/>
      <c r="FY47" s="131"/>
      <c r="FZ47" s="131"/>
      <c r="GA47" s="131"/>
      <c r="GB47" s="131"/>
      <c r="GC47" s="131"/>
      <c r="GD47" s="131"/>
      <c r="GE47" s="131"/>
      <c r="GF47" s="131"/>
      <c r="GG47" s="131"/>
      <c r="GH47" s="131"/>
      <c r="GI47" s="131"/>
      <c r="GJ47" s="131"/>
      <c r="GK47" s="131"/>
      <c r="GL47" s="131"/>
      <c r="GM47" s="131"/>
      <c r="GN47" s="131"/>
      <c r="GO47" s="131"/>
      <c r="GP47" s="131"/>
      <c r="GQ47" s="131"/>
      <c r="GR47" s="131"/>
      <c r="GS47" s="131"/>
      <c r="GT47" s="131"/>
      <c r="GU47" s="131"/>
      <c r="GV47" s="131"/>
      <c r="GW47" s="131"/>
      <c r="GX47" s="131"/>
      <c r="GY47" s="131"/>
      <c r="GZ47" s="131"/>
      <c r="HA47" s="131"/>
      <c r="HB47" s="131"/>
      <c r="HC47" s="131"/>
      <c r="HD47" s="131"/>
      <c r="HE47" s="131"/>
      <c r="HF47" s="131"/>
      <c r="HG47" s="131"/>
      <c r="HH47" s="131"/>
      <c r="HI47" s="131"/>
      <c r="HJ47" s="131"/>
      <c r="HK47" s="131"/>
      <c r="HL47" s="131"/>
      <c r="HM47" s="131"/>
      <c r="HN47" s="131"/>
      <c r="HO47" s="131"/>
      <c r="HP47" s="131"/>
      <c r="HQ47" s="131"/>
      <c r="HR47" s="131"/>
      <c r="HS47" s="131"/>
      <c r="HT47" s="131"/>
      <c r="HU47" s="131"/>
      <c r="HV47" s="131"/>
      <c r="HW47" s="131"/>
      <c r="HX47" s="131"/>
      <c r="HY47" s="131"/>
      <c r="HZ47" s="131"/>
      <c r="IA47" s="131"/>
      <c r="IB47" s="131"/>
      <c r="IC47" s="131"/>
      <c r="ID47" s="131"/>
      <c r="IE47" s="131"/>
      <c r="IF47" s="131"/>
      <c r="IG47" s="131"/>
      <c r="IH47" s="131"/>
      <c r="II47" s="131"/>
      <c r="IJ47" s="131"/>
      <c r="IK47" s="131"/>
      <c r="IL47" s="131"/>
      <c r="IM47" s="131"/>
      <c r="IN47" s="131"/>
      <c r="IO47" s="131"/>
      <c r="IP47" s="131"/>
      <c r="IQ47" s="131"/>
      <c r="IR47" s="131"/>
      <c r="IS47" s="131"/>
      <c r="IT47" s="131"/>
      <c r="IU47" s="131"/>
      <c r="IV47" s="131"/>
    </row>
    <row r="48" spans="1:256" s="229" customFormat="1" ht="52.5" customHeight="1">
      <c r="A48" s="682"/>
      <c r="B48" s="683"/>
      <c r="C48" s="277"/>
      <c r="D48" s="706"/>
      <c r="E48" s="263"/>
      <c r="F48" s="711"/>
      <c r="G48" s="2124">
        <v>187</v>
      </c>
      <c r="H48" s="2093" t="s">
        <v>700</v>
      </c>
      <c r="I48" s="2337" t="s">
        <v>701</v>
      </c>
      <c r="J48" s="2299">
        <v>1</v>
      </c>
      <c r="K48" s="3127" t="s">
        <v>702</v>
      </c>
      <c r="L48" s="3187" t="s">
        <v>703</v>
      </c>
      <c r="M48" s="3125" t="s">
        <v>704</v>
      </c>
      <c r="N48" s="3181">
        <f>(S48+S49+S50+S51+S52)/O48</f>
        <v>0.24752475247524752</v>
      </c>
      <c r="O48" s="3156">
        <f>SUM(S48:S61)</f>
        <v>101000000</v>
      </c>
      <c r="P48" s="3125" t="s">
        <v>705</v>
      </c>
      <c r="Q48" s="2299" t="s">
        <v>706</v>
      </c>
      <c r="R48" s="735" t="s">
        <v>707</v>
      </c>
      <c r="S48" s="724">
        <v>7920000</v>
      </c>
      <c r="T48" s="2128" t="s">
        <v>708</v>
      </c>
      <c r="U48" s="2093" t="s">
        <v>64</v>
      </c>
      <c r="V48" s="2734">
        <v>10393</v>
      </c>
      <c r="W48" s="3188">
        <v>9467</v>
      </c>
      <c r="X48" s="2734"/>
      <c r="Y48" s="2734">
        <v>11780</v>
      </c>
      <c r="Z48" s="2734">
        <v>7897</v>
      </c>
      <c r="AA48" s="2734"/>
      <c r="AB48" s="3201" t="s">
        <v>709</v>
      </c>
      <c r="AC48" s="2734">
        <v>103</v>
      </c>
      <c r="AD48" s="2905"/>
      <c r="AE48" s="2905"/>
      <c r="AF48" s="2905"/>
      <c r="AG48" s="2905"/>
      <c r="AH48" s="2905"/>
      <c r="AI48" s="2905">
        <v>80</v>
      </c>
      <c r="AJ48" s="3196"/>
      <c r="AK48" s="3198">
        <f>V48+W48</f>
        <v>19860</v>
      </c>
      <c r="AL48" s="2406" t="s">
        <v>710</v>
      </c>
      <c r="AM48" s="2733">
        <v>43102</v>
      </c>
      <c r="AN48" s="2537">
        <v>43465</v>
      </c>
      <c r="AO48" s="2298" t="s">
        <v>639</v>
      </c>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c r="IS48" s="131"/>
      <c r="IT48" s="131"/>
      <c r="IU48" s="131"/>
      <c r="IV48" s="131"/>
    </row>
    <row r="49" spans="1:256" s="229" customFormat="1" ht="37.5" customHeight="1">
      <c r="A49" s="682"/>
      <c r="B49" s="683"/>
      <c r="C49" s="277"/>
      <c r="D49" s="706"/>
      <c r="E49" s="277"/>
      <c r="F49" s="706"/>
      <c r="G49" s="2125"/>
      <c r="H49" s="2128"/>
      <c r="I49" s="2318"/>
      <c r="J49" s="2336"/>
      <c r="K49" s="3128"/>
      <c r="L49" s="3187"/>
      <c r="M49" s="3125"/>
      <c r="N49" s="3182"/>
      <c r="O49" s="3156"/>
      <c r="P49" s="3125"/>
      <c r="Q49" s="2336"/>
      <c r="R49" s="735" t="s">
        <v>711</v>
      </c>
      <c r="S49" s="724">
        <f>5000000-5000000</f>
        <v>0</v>
      </c>
      <c r="T49" s="2128"/>
      <c r="U49" s="2128"/>
      <c r="V49" s="3047"/>
      <c r="W49" s="3065"/>
      <c r="X49" s="3047"/>
      <c r="Y49" s="3047"/>
      <c r="Z49" s="3047"/>
      <c r="AA49" s="3047"/>
      <c r="AB49" s="3202"/>
      <c r="AC49" s="3047"/>
      <c r="AD49" s="2939"/>
      <c r="AE49" s="2939"/>
      <c r="AF49" s="2939"/>
      <c r="AG49" s="2939"/>
      <c r="AH49" s="2939"/>
      <c r="AI49" s="2939"/>
      <c r="AJ49" s="3197"/>
      <c r="AK49" s="2939"/>
      <c r="AL49" s="3199"/>
      <c r="AM49" s="2733"/>
      <c r="AN49" s="2537"/>
      <c r="AO49" s="2298"/>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c r="FW49" s="131"/>
      <c r="FX49" s="131"/>
      <c r="FY49" s="131"/>
      <c r="FZ49" s="131"/>
      <c r="GA49" s="131"/>
      <c r="GB49" s="131"/>
      <c r="GC49" s="131"/>
      <c r="GD49" s="131"/>
      <c r="GE49" s="131"/>
      <c r="GF49" s="131"/>
      <c r="GG49" s="131"/>
      <c r="GH49" s="131"/>
      <c r="GI49" s="131"/>
      <c r="GJ49" s="131"/>
      <c r="GK49" s="131"/>
      <c r="GL49" s="131"/>
      <c r="GM49" s="131"/>
      <c r="GN49" s="131"/>
      <c r="GO49" s="131"/>
      <c r="GP49" s="131"/>
      <c r="GQ49" s="131"/>
      <c r="GR49" s="131"/>
      <c r="GS49" s="131"/>
      <c r="GT49" s="131"/>
      <c r="GU49" s="131"/>
      <c r="GV49" s="131"/>
      <c r="GW49" s="131"/>
      <c r="GX49" s="131"/>
      <c r="GY49" s="131"/>
      <c r="GZ49" s="131"/>
      <c r="HA49" s="131"/>
      <c r="HB49" s="131"/>
      <c r="HC49" s="131"/>
      <c r="HD49" s="131"/>
      <c r="HE49" s="131"/>
      <c r="HF49" s="131"/>
      <c r="HG49" s="131"/>
      <c r="HH49" s="131"/>
      <c r="HI49" s="131"/>
      <c r="HJ49" s="131"/>
      <c r="HK49" s="131"/>
      <c r="HL49" s="131"/>
      <c r="HM49" s="131"/>
      <c r="HN49" s="131"/>
      <c r="HO49" s="131"/>
      <c r="HP49" s="131"/>
      <c r="HQ49" s="131"/>
      <c r="HR49" s="131"/>
      <c r="HS49" s="131"/>
      <c r="HT49" s="131"/>
      <c r="HU49" s="131"/>
      <c r="HV49" s="131"/>
      <c r="HW49" s="131"/>
      <c r="HX49" s="131"/>
      <c r="HY49" s="131"/>
      <c r="HZ49" s="131"/>
      <c r="IA49" s="131"/>
      <c r="IB49" s="131"/>
      <c r="IC49" s="131"/>
      <c r="ID49" s="131"/>
      <c r="IE49" s="131"/>
      <c r="IF49" s="131"/>
      <c r="IG49" s="131"/>
      <c r="IH49" s="131"/>
      <c r="II49" s="131"/>
      <c r="IJ49" s="131"/>
      <c r="IK49" s="131"/>
      <c r="IL49" s="131"/>
      <c r="IM49" s="131"/>
      <c r="IN49" s="131"/>
      <c r="IO49" s="131"/>
      <c r="IP49" s="131"/>
      <c r="IQ49" s="131"/>
      <c r="IR49" s="131"/>
      <c r="IS49" s="131"/>
      <c r="IT49" s="131"/>
      <c r="IU49" s="131"/>
      <c r="IV49" s="131"/>
    </row>
    <row r="50" spans="1:256" s="229" customFormat="1" ht="51" customHeight="1">
      <c r="A50" s="682"/>
      <c r="B50" s="683"/>
      <c r="C50" s="277"/>
      <c r="D50" s="706"/>
      <c r="E50" s="277"/>
      <c r="F50" s="706"/>
      <c r="G50" s="2125"/>
      <c r="H50" s="2128"/>
      <c r="I50" s="2318"/>
      <c r="J50" s="2336"/>
      <c r="K50" s="3128"/>
      <c r="L50" s="3187"/>
      <c r="M50" s="3125"/>
      <c r="N50" s="3182"/>
      <c r="O50" s="3156"/>
      <c r="P50" s="3125"/>
      <c r="Q50" s="2336"/>
      <c r="R50" s="735" t="s">
        <v>712</v>
      </c>
      <c r="S50" s="724">
        <f>7920000+2000000-500000</f>
        <v>9420000</v>
      </c>
      <c r="T50" s="2128"/>
      <c r="U50" s="2128"/>
      <c r="V50" s="3047"/>
      <c r="W50" s="3065"/>
      <c r="X50" s="3047"/>
      <c r="Y50" s="3047"/>
      <c r="Z50" s="3047"/>
      <c r="AA50" s="3047"/>
      <c r="AB50" s="3202"/>
      <c r="AC50" s="3047"/>
      <c r="AD50" s="2939"/>
      <c r="AE50" s="2939"/>
      <c r="AF50" s="2939"/>
      <c r="AG50" s="2939"/>
      <c r="AH50" s="2939"/>
      <c r="AI50" s="2939"/>
      <c r="AJ50" s="3197"/>
      <c r="AK50" s="2939"/>
      <c r="AL50" s="3199"/>
      <c r="AM50" s="2733"/>
      <c r="AN50" s="2537"/>
      <c r="AO50" s="2298"/>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c r="FW50" s="131"/>
      <c r="FX50" s="131"/>
      <c r="FY50" s="131"/>
      <c r="FZ50" s="131"/>
      <c r="GA50" s="131"/>
      <c r="GB50" s="131"/>
      <c r="GC50" s="131"/>
      <c r="GD50" s="131"/>
      <c r="GE50" s="131"/>
      <c r="GF50" s="131"/>
      <c r="GG50" s="131"/>
      <c r="GH50" s="131"/>
      <c r="GI50" s="131"/>
      <c r="GJ50" s="131"/>
      <c r="GK50" s="131"/>
      <c r="GL50" s="131"/>
      <c r="GM50" s="131"/>
      <c r="GN50" s="131"/>
      <c r="GO50" s="131"/>
      <c r="GP50" s="131"/>
      <c r="GQ50" s="131"/>
      <c r="GR50" s="131"/>
      <c r="GS50" s="131"/>
      <c r="GT50" s="131"/>
      <c r="GU50" s="131"/>
      <c r="GV50" s="131"/>
      <c r="GW50" s="131"/>
      <c r="GX50" s="131"/>
      <c r="GY50" s="131"/>
      <c r="GZ50" s="131"/>
      <c r="HA50" s="131"/>
      <c r="HB50" s="131"/>
      <c r="HC50" s="131"/>
      <c r="HD50" s="131"/>
      <c r="HE50" s="131"/>
      <c r="HF50" s="131"/>
      <c r="HG50" s="131"/>
      <c r="HH50" s="131"/>
      <c r="HI50" s="131"/>
      <c r="HJ50" s="131"/>
      <c r="HK50" s="131"/>
      <c r="HL50" s="131"/>
      <c r="HM50" s="131"/>
      <c r="HN50" s="131"/>
      <c r="HO50" s="131"/>
      <c r="HP50" s="131"/>
      <c r="HQ50" s="131"/>
      <c r="HR50" s="131"/>
      <c r="HS50" s="131"/>
      <c r="HT50" s="131"/>
      <c r="HU50" s="131"/>
      <c r="HV50" s="131"/>
      <c r="HW50" s="131"/>
      <c r="HX50" s="131"/>
      <c r="HY50" s="131"/>
      <c r="HZ50" s="131"/>
      <c r="IA50" s="131"/>
      <c r="IB50" s="131"/>
      <c r="IC50" s="131"/>
      <c r="ID50" s="131"/>
      <c r="IE50" s="131"/>
      <c r="IF50" s="131"/>
      <c r="IG50" s="131"/>
      <c r="IH50" s="131"/>
      <c r="II50" s="131"/>
      <c r="IJ50" s="131"/>
      <c r="IK50" s="131"/>
      <c r="IL50" s="131"/>
      <c r="IM50" s="131"/>
      <c r="IN50" s="131"/>
      <c r="IO50" s="131"/>
      <c r="IP50" s="131"/>
      <c r="IQ50" s="131"/>
      <c r="IR50" s="131"/>
      <c r="IS50" s="131"/>
      <c r="IT50" s="131"/>
      <c r="IU50" s="131"/>
      <c r="IV50" s="131"/>
    </row>
    <row r="51" spans="1:256" s="229" customFormat="1" ht="63.75" customHeight="1">
      <c r="A51" s="682"/>
      <c r="B51" s="683"/>
      <c r="C51" s="277"/>
      <c r="D51" s="706"/>
      <c r="E51" s="277"/>
      <c r="F51" s="706"/>
      <c r="G51" s="2125"/>
      <c r="H51" s="2128"/>
      <c r="I51" s="2318"/>
      <c r="J51" s="2336"/>
      <c r="K51" s="3128"/>
      <c r="L51" s="3187"/>
      <c r="M51" s="3125"/>
      <c r="N51" s="3182"/>
      <c r="O51" s="3156"/>
      <c r="P51" s="3125"/>
      <c r="Q51" s="2336"/>
      <c r="R51" s="735" t="s">
        <v>713</v>
      </c>
      <c r="S51" s="724">
        <v>4160000</v>
      </c>
      <c r="T51" s="2128"/>
      <c r="U51" s="2128"/>
      <c r="V51" s="3047"/>
      <c r="W51" s="3065"/>
      <c r="X51" s="3047"/>
      <c r="Y51" s="3047"/>
      <c r="Z51" s="3047"/>
      <c r="AA51" s="3047"/>
      <c r="AB51" s="3202"/>
      <c r="AC51" s="3047"/>
      <c r="AD51" s="2939"/>
      <c r="AE51" s="2939"/>
      <c r="AF51" s="2939"/>
      <c r="AG51" s="2939"/>
      <c r="AH51" s="2939"/>
      <c r="AI51" s="2939"/>
      <c r="AJ51" s="3197"/>
      <c r="AK51" s="2939"/>
      <c r="AL51" s="3199"/>
      <c r="AM51" s="2733"/>
      <c r="AN51" s="2537"/>
      <c r="AO51" s="2298"/>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131"/>
      <c r="HM51" s="131"/>
      <c r="HN51" s="131"/>
      <c r="HO51" s="131"/>
      <c r="HP51" s="131"/>
      <c r="HQ51" s="131"/>
      <c r="HR51" s="131"/>
      <c r="HS51" s="131"/>
      <c r="HT51" s="131"/>
      <c r="HU51" s="131"/>
      <c r="HV51" s="131"/>
      <c r="HW51" s="131"/>
      <c r="HX51" s="131"/>
      <c r="HY51" s="131"/>
      <c r="HZ51" s="131"/>
      <c r="IA51" s="131"/>
      <c r="IB51" s="131"/>
      <c r="IC51" s="131"/>
      <c r="ID51" s="131"/>
      <c r="IE51" s="131"/>
      <c r="IF51" s="131"/>
      <c r="IG51" s="131"/>
      <c r="IH51" s="131"/>
      <c r="II51" s="131"/>
      <c r="IJ51" s="131"/>
      <c r="IK51" s="131"/>
      <c r="IL51" s="131"/>
      <c r="IM51" s="131"/>
      <c r="IN51" s="131"/>
      <c r="IO51" s="131"/>
      <c r="IP51" s="131"/>
      <c r="IQ51" s="131"/>
      <c r="IR51" s="131"/>
      <c r="IS51" s="131"/>
      <c r="IT51" s="131"/>
      <c r="IU51" s="131"/>
      <c r="IV51" s="131"/>
    </row>
    <row r="52" spans="1:256" s="229" customFormat="1" ht="63.75" customHeight="1">
      <c r="A52" s="682"/>
      <c r="B52" s="683"/>
      <c r="C52" s="277"/>
      <c r="D52" s="706"/>
      <c r="E52" s="277"/>
      <c r="F52" s="706"/>
      <c r="G52" s="2126"/>
      <c r="H52" s="2094"/>
      <c r="I52" s="2319"/>
      <c r="J52" s="2334"/>
      <c r="K52" s="3128"/>
      <c r="L52" s="3187"/>
      <c r="M52" s="3125"/>
      <c r="N52" s="3183"/>
      <c r="O52" s="3156"/>
      <c r="P52" s="3125"/>
      <c r="Q52" s="2334"/>
      <c r="R52" s="735" t="s">
        <v>714</v>
      </c>
      <c r="S52" s="724">
        <f>0+3000000+500000</f>
        <v>3500000</v>
      </c>
      <c r="T52" s="2128"/>
      <c r="U52" s="2128"/>
      <c r="V52" s="3047"/>
      <c r="W52" s="3065"/>
      <c r="X52" s="3047"/>
      <c r="Y52" s="3047"/>
      <c r="Z52" s="3047"/>
      <c r="AA52" s="3047"/>
      <c r="AB52" s="3202"/>
      <c r="AC52" s="3047"/>
      <c r="AD52" s="2939"/>
      <c r="AE52" s="2939"/>
      <c r="AF52" s="2939"/>
      <c r="AG52" s="2939"/>
      <c r="AH52" s="2939"/>
      <c r="AI52" s="2939"/>
      <c r="AJ52" s="3197"/>
      <c r="AK52" s="2939"/>
      <c r="AL52" s="3199"/>
      <c r="AM52" s="2733"/>
      <c r="AN52" s="2537"/>
      <c r="AO52" s="2298"/>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c r="IS52" s="131"/>
      <c r="IT52" s="131"/>
      <c r="IU52" s="131"/>
      <c r="IV52" s="131"/>
    </row>
    <row r="53" spans="1:256" s="229" customFormat="1" ht="89.25" customHeight="1">
      <c r="A53" s="682"/>
      <c r="B53" s="683"/>
      <c r="C53" s="277"/>
      <c r="D53" s="706"/>
      <c r="E53" s="277"/>
      <c r="F53" s="706"/>
      <c r="G53" s="2124">
        <v>188</v>
      </c>
      <c r="H53" s="2093" t="s">
        <v>715</v>
      </c>
      <c r="I53" s="2337" t="s">
        <v>716</v>
      </c>
      <c r="J53" s="3193">
        <v>2</v>
      </c>
      <c r="K53" s="3128"/>
      <c r="L53" s="3187"/>
      <c r="M53" s="3125"/>
      <c r="N53" s="3181">
        <f>(S53+S54+S55+S56)/O48</f>
        <v>0.37623762376237624</v>
      </c>
      <c r="O53" s="3156"/>
      <c r="P53" s="3125"/>
      <c r="Q53" s="2299" t="s">
        <v>715</v>
      </c>
      <c r="R53" s="289" t="s">
        <v>717</v>
      </c>
      <c r="S53" s="724">
        <f>27720000-3000000</f>
        <v>24720000</v>
      </c>
      <c r="T53" s="2128"/>
      <c r="U53" s="2128"/>
      <c r="V53" s="3047"/>
      <c r="W53" s="3065"/>
      <c r="X53" s="3047"/>
      <c r="Y53" s="3047"/>
      <c r="Z53" s="3047"/>
      <c r="AA53" s="3047"/>
      <c r="AB53" s="3202"/>
      <c r="AC53" s="3047"/>
      <c r="AD53" s="2939"/>
      <c r="AE53" s="2939"/>
      <c r="AF53" s="2939"/>
      <c r="AG53" s="2939"/>
      <c r="AH53" s="2939"/>
      <c r="AI53" s="2939"/>
      <c r="AJ53" s="3197"/>
      <c r="AK53" s="2939"/>
      <c r="AL53" s="3199"/>
      <c r="AM53" s="2733"/>
      <c r="AN53" s="2537"/>
      <c r="AO53" s="2298"/>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c r="GM53" s="131"/>
      <c r="GN53" s="131"/>
      <c r="GO53" s="131"/>
      <c r="GP53" s="131"/>
      <c r="GQ53" s="131"/>
      <c r="GR53" s="131"/>
      <c r="GS53" s="131"/>
      <c r="GT53" s="131"/>
      <c r="GU53" s="131"/>
      <c r="GV53" s="131"/>
      <c r="GW53" s="131"/>
      <c r="GX53" s="131"/>
      <c r="GY53" s="131"/>
      <c r="GZ53" s="131"/>
      <c r="HA53" s="131"/>
      <c r="HB53" s="131"/>
      <c r="HC53" s="131"/>
      <c r="HD53" s="131"/>
      <c r="HE53" s="131"/>
      <c r="HF53" s="131"/>
      <c r="HG53" s="131"/>
      <c r="HH53" s="131"/>
      <c r="HI53" s="131"/>
      <c r="HJ53" s="131"/>
      <c r="HK53" s="131"/>
      <c r="HL53" s="131"/>
      <c r="HM53" s="131"/>
      <c r="HN53" s="131"/>
      <c r="HO53" s="131"/>
      <c r="HP53" s="131"/>
      <c r="HQ53" s="131"/>
      <c r="HR53" s="131"/>
      <c r="HS53" s="131"/>
      <c r="HT53" s="131"/>
      <c r="HU53" s="131"/>
      <c r="HV53" s="131"/>
      <c r="HW53" s="131"/>
      <c r="HX53" s="131"/>
      <c r="HY53" s="131"/>
      <c r="HZ53" s="131"/>
      <c r="IA53" s="131"/>
      <c r="IB53" s="131"/>
      <c r="IC53" s="131"/>
      <c r="ID53" s="131"/>
      <c r="IE53" s="131"/>
      <c r="IF53" s="131"/>
      <c r="IG53" s="131"/>
      <c r="IH53" s="131"/>
      <c r="II53" s="131"/>
      <c r="IJ53" s="131"/>
      <c r="IK53" s="131"/>
      <c r="IL53" s="131"/>
      <c r="IM53" s="131"/>
      <c r="IN53" s="131"/>
      <c r="IO53" s="131"/>
      <c r="IP53" s="131"/>
      <c r="IQ53" s="131"/>
      <c r="IR53" s="131"/>
      <c r="IS53" s="131"/>
      <c r="IT53" s="131"/>
      <c r="IU53" s="131"/>
      <c r="IV53" s="131"/>
    </row>
    <row r="54" spans="1:256" s="229" customFormat="1" ht="52.5" customHeight="1">
      <c r="A54" s="682"/>
      <c r="B54" s="683"/>
      <c r="C54" s="277"/>
      <c r="D54" s="706"/>
      <c r="E54" s="277"/>
      <c r="F54" s="706"/>
      <c r="G54" s="2125"/>
      <c r="H54" s="2128"/>
      <c r="I54" s="2318"/>
      <c r="J54" s="3194"/>
      <c r="K54" s="3128"/>
      <c r="L54" s="3187"/>
      <c r="M54" s="3125"/>
      <c r="N54" s="3182"/>
      <c r="O54" s="3156"/>
      <c r="P54" s="3125"/>
      <c r="Q54" s="2336"/>
      <c r="R54" s="289" t="s">
        <v>718</v>
      </c>
      <c r="S54" s="724">
        <v>7920000</v>
      </c>
      <c r="T54" s="2128"/>
      <c r="U54" s="2128"/>
      <c r="V54" s="3047"/>
      <c r="W54" s="3065"/>
      <c r="X54" s="3047"/>
      <c r="Y54" s="3047"/>
      <c r="Z54" s="3047"/>
      <c r="AA54" s="3047"/>
      <c r="AB54" s="3202"/>
      <c r="AC54" s="3047"/>
      <c r="AD54" s="2939"/>
      <c r="AE54" s="2939"/>
      <c r="AF54" s="2939"/>
      <c r="AG54" s="2939"/>
      <c r="AH54" s="2939"/>
      <c r="AI54" s="2939"/>
      <c r="AJ54" s="3197"/>
      <c r="AK54" s="2939"/>
      <c r="AL54" s="3199"/>
      <c r="AM54" s="2733"/>
      <c r="AN54" s="2537"/>
      <c r="AO54" s="2298"/>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c r="GM54" s="131"/>
      <c r="GN54" s="131"/>
      <c r="GO54" s="131"/>
      <c r="GP54" s="131"/>
      <c r="GQ54" s="131"/>
      <c r="GR54" s="131"/>
      <c r="GS54" s="131"/>
      <c r="GT54" s="131"/>
      <c r="GU54" s="131"/>
      <c r="GV54" s="131"/>
      <c r="GW54" s="131"/>
      <c r="GX54" s="131"/>
      <c r="GY54" s="131"/>
      <c r="GZ54" s="131"/>
      <c r="HA54" s="131"/>
      <c r="HB54" s="131"/>
      <c r="HC54" s="131"/>
      <c r="HD54" s="131"/>
      <c r="HE54" s="131"/>
      <c r="HF54" s="131"/>
      <c r="HG54" s="131"/>
      <c r="HH54" s="131"/>
      <c r="HI54" s="131"/>
      <c r="HJ54" s="131"/>
      <c r="HK54" s="131"/>
      <c r="HL54" s="131"/>
      <c r="HM54" s="131"/>
      <c r="HN54" s="131"/>
      <c r="HO54" s="131"/>
      <c r="HP54" s="131"/>
      <c r="HQ54" s="131"/>
      <c r="HR54" s="131"/>
      <c r="HS54" s="131"/>
      <c r="HT54" s="131"/>
      <c r="HU54" s="131"/>
      <c r="HV54" s="131"/>
      <c r="HW54" s="131"/>
      <c r="HX54" s="131"/>
      <c r="HY54" s="131"/>
      <c r="HZ54" s="131"/>
      <c r="IA54" s="131"/>
      <c r="IB54" s="131"/>
      <c r="IC54" s="131"/>
      <c r="ID54" s="131"/>
      <c r="IE54" s="131"/>
      <c r="IF54" s="131"/>
      <c r="IG54" s="131"/>
      <c r="IH54" s="131"/>
      <c r="II54" s="131"/>
      <c r="IJ54" s="131"/>
      <c r="IK54" s="131"/>
      <c r="IL54" s="131"/>
      <c r="IM54" s="131"/>
      <c r="IN54" s="131"/>
      <c r="IO54" s="131"/>
      <c r="IP54" s="131"/>
      <c r="IQ54" s="131"/>
      <c r="IR54" s="131"/>
      <c r="IS54" s="131"/>
      <c r="IT54" s="131"/>
      <c r="IU54" s="131"/>
      <c r="IV54" s="131"/>
    </row>
    <row r="55" spans="1:256" s="229" customFormat="1" ht="45" customHeight="1">
      <c r="A55" s="682"/>
      <c r="B55" s="683"/>
      <c r="C55" s="277"/>
      <c r="D55" s="706"/>
      <c r="E55" s="277"/>
      <c r="F55" s="706"/>
      <c r="G55" s="2125"/>
      <c r="H55" s="2128"/>
      <c r="I55" s="2318"/>
      <c r="J55" s="3194"/>
      <c r="K55" s="3128"/>
      <c r="L55" s="3187"/>
      <c r="M55" s="3125"/>
      <c r="N55" s="3182"/>
      <c r="O55" s="3157"/>
      <c r="P55" s="3125"/>
      <c r="Q55" s="2336"/>
      <c r="R55" s="289" t="s">
        <v>719</v>
      </c>
      <c r="S55" s="724">
        <v>2360000</v>
      </c>
      <c r="T55" s="2128"/>
      <c r="U55" s="2128"/>
      <c r="V55" s="3047"/>
      <c r="W55" s="3065"/>
      <c r="X55" s="3047"/>
      <c r="Y55" s="3047"/>
      <c r="Z55" s="3047"/>
      <c r="AA55" s="3047"/>
      <c r="AB55" s="3202"/>
      <c r="AC55" s="3047"/>
      <c r="AD55" s="2939"/>
      <c r="AE55" s="2939"/>
      <c r="AF55" s="2939"/>
      <c r="AG55" s="2939"/>
      <c r="AH55" s="2939"/>
      <c r="AI55" s="2939"/>
      <c r="AJ55" s="3197"/>
      <c r="AK55" s="2939"/>
      <c r="AL55" s="3199"/>
      <c r="AM55" s="2925"/>
      <c r="AN55" s="2887"/>
      <c r="AO55" s="2298"/>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c r="IS55" s="131"/>
      <c r="IT55" s="131"/>
      <c r="IU55" s="131"/>
      <c r="IV55" s="131"/>
    </row>
    <row r="56" spans="1:256" s="229" customFormat="1" ht="45" customHeight="1">
      <c r="A56" s="682"/>
      <c r="B56" s="683"/>
      <c r="C56" s="277"/>
      <c r="D56" s="706"/>
      <c r="E56" s="277"/>
      <c r="F56" s="706"/>
      <c r="G56" s="2126"/>
      <c r="H56" s="2094"/>
      <c r="I56" s="2319"/>
      <c r="J56" s="3195"/>
      <c r="K56" s="3128"/>
      <c r="L56" s="3187"/>
      <c r="M56" s="3125"/>
      <c r="N56" s="3183"/>
      <c r="O56" s="3157"/>
      <c r="P56" s="3125"/>
      <c r="Q56" s="2334"/>
      <c r="R56" s="736" t="s">
        <v>720</v>
      </c>
      <c r="S56" s="724">
        <f>0+3000000</f>
        <v>3000000</v>
      </c>
      <c r="T56" s="2128"/>
      <c r="U56" s="2128"/>
      <c r="V56" s="3047"/>
      <c r="W56" s="3065"/>
      <c r="X56" s="3047"/>
      <c r="Y56" s="3047"/>
      <c r="Z56" s="3047"/>
      <c r="AA56" s="3047"/>
      <c r="AB56" s="3202"/>
      <c r="AC56" s="3047"/>
      <c r="AD56" s="2939"/>
      <c r="AE56" s="2939"/>
      <c r="AF56" s="2939"/>
      <c r="AG56" s="2939"/>
      <c r="AH56" s="2939"/>
      <c r="AI56" s="2939"/>
      <c r="AJ56" s="3197"/>
      <c r="AK56" s="2939"/>
      <c r="AL56" s="3199"/>
      <c r="AM56" s="2925"/>
      <c r="AN56" s="2887"/>
      <c r="AO56" s="2298"/>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c r="FW56" s="131"/>
      <c r="FX56" s="131"/>
      <c r="FY56" s="131"/>
      <c r="FZ56" s="131"/>
      <c r="GA56" s="131"/>
      <c r="GB56" s="131"/>
      <c r="GC56" s="131"/>
      <c r="GD56" s="131"/>
      <c r="GE56" s="131"/>
      <c r="GF56" s="131"/>
      <c r="GG56" s="131"/>
      <c r="GH56" s="131"/>
      <c r="GI56" s="131"/>
      <c r="GJ56" s="131"/>
      <c r="GK56" s="131"/>
      <c r="GL56" s="131"/>
      <c r="GM56" s="131"/>
      <c r="GN56" s="131"/>
      <c r="GO56" s="131"/>
      <c r="GP56" s="131"/>
      <c r="GQ56" s="131"/>
      <c r="GR56" s="131"/>
      <c r="GS56" s="131"/>
      <c r="GT56" s="131"/>
      <c r="GU56" s="131"/>
      <c r="GV56" s="131"/>
      <c r="GW56" s="131"/>
      <c r="GX56" s="131"/>
      <c r="GY56" s="131"/>
      <c r="GZ56" s="131"/>
      <c r="HA56" s="131"/>
      <c r="HB56" s="131"/>
      <c r="HC56" s="131"/>
      <c r="HD56" s="131"/>
      <c r="HE56" s="131"/>
      <c r="HF56" s="131"/>
      <c r="HG56" s="131"/>
      <c r="HH56" s="131"/>
      <c r="HI56" s="131"/>
      <c r="HJ56" s="131"/>
      <c r="HK56" s="131"/>
      <c r="HL56" s="131"/>
      <c r="HM56" s="131"/>
      <c r="HN56" s="131"/>
      <c r="HO56" s="131"/>
      <c r="HP56" s="131"/>
      <c r="HQ56" s="131"/>
      <c r="HR56" s="131"/>
      <c r="HS56" s="131"/>
      <c r="HT56" s="131"/>
      <c r="HU56" s="131"/>
      <c r="HV56" s="131"/>
      <c r="HW56" s="131"/>
      <c r="HX56" s="131"/>
      <c r="HY56" s="131"/>
      <c r="HZ56" s="131"/>
      <c r="IA56" s="131"/>
      <c r="IB56" s="131"/>
      <c r="IC56" s="131"/>
      <c r="ID56" s="131"/>
      <c r="IE56" s="131"/>
      <c r="IF56" s="131"/>
      <c r="IG56" s="131"/>
      <c r="IH56" s="131"/>
      <c r="II56" s="131"/>
      <c r="IJ56" s="131"/>
      <c r="IK56" s="131"/>
      <c r="IL56" s="131"/>
      <c r="IM56" s="131"/>
      <c r="IN56" s="131"/>
      <c r="IO56" s="131"/>
      <c r="IP56" s="131"/>
      <c r="IQ56" s="131"/>
      <c r="IR56" s="131"/>
      <c r="IS56" s="131"/>
      <c r="IT56" s="131"/>
      <c r="IU56" s="131"/>
      <c r="IV56" s="131"/>
    </row>
    <row r="57" spans="1:256" s="229" customFormat="1" ht="50.25" customHeight="1">
      <c r="A57" s="682"/>
      <c r="B57" s="683"/>
      <c r="C57" s="277"/>
      <c r="D57" s="706"/>
      <c r="E57" s="277"/>
      <c r="F57" s="706"/>
      <c r="G57" s="2124">
        <v>189</v>
      </c>
      <c r="H57" s="2095" t="s">
        <v>721</v>
      </c>
      <c r="I57" s="2375" t="s">
        <v>722</v>
      </c>
      <c r="J57" s="2734">
        <v>1</v>
      </c>
      <c r="K57" s="3128"/>
      <c r="L57" s="3187"/>
      <c r="M57" s="3125"/>
      <c r="N57" s="3184">
        <f>(S57+S58+S59+S60+S61)/O48</f>
        <v>0.37623762376237624</v>
      </c>
      <c r="O57" s="3157"/>
      <c r="P57" s="3125"/>
      <c r="Q57" s="2375" t="s">
        <v>723</v>
      </c>
      <c r="R57" s="737" t="s">
        <v>724</v>
      </c>
      <c r="S57" s="724">
        <v>20000000</v>
      </c>
      <c r="T57" s="2128"/>
      <c r="U57" s="2128"/>
      <c r="V57" s="3047"/>
      <c r="W57" s="3065"/>
      <c r="X57" s="3047"/>
      <c r="Y57" s="3047"/>
      <c r="Z57" s="3047"/>
      <c r="AA57" s="3047"/>
      <c r="AB57" s="3202"/>
      <c r="AC57" s="3047"/>
      <c r="AD57" s="2939"/>
      <c r="AE57" s="2939"/>
      <c r="AF57" s="2939"/>
      <c r="AG57" s="2939"/>
      <c r="AH57" s="2939"/>
      <c r="AI57" s="2939"/>
      <c r="AJ57" s="3197"/>
      <c r="AK57" s="2939"/>
      <c r="AL57" s="3199"/>
      <c r="AM57" s="2925"/>
      <c r="AN57" s="2887"/>
      <c r="AO57" s="2298"/>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1"/>
      <c r="IP57" s="131"/>
      <c r="IQ57" s="131"/>
      <c r="IR57" s="131"/>
      <c r="IS57" s="131"/>
      <c r="IT57" s="131"/>
      <c r="IU57" s="131"/>
      <c r="IV57" s="131"/>
    </row>
    <row r="58" spans="1:256" s="229" customFormat="1" ht="54" customHeight="1">
      <c r="A58" s="682"/>
      <c r="B58" s="683"/>
      <c r="C58" s="277"/>
      <c r="D58" s="706"/>
      <c r="E58" s="277"/>
      <c r="F58" s="706"/>
      <c r="G58" s="2125"/>
      <c r="H58" s="2129"/>
      <c r="I58" s="2376"/>
      <c r="J58" s="3047"/>
      <c r="K58" s="3128"/>
      <c r="L58" s="3187"/>
      <c r="M58" s="3125"/>
      <c r="N58" s="3185"/>
      <c r="O58" s="3157"/>
      <c r="P58" s="3125"/>
      <c r="Q58" s="2376"/>
      <c r="R58" s="737" t="s">
        <v>725</v>
      </c>
      <c r="S58" s="724">
        <v>4000000</v>
      </c>
      <c r="T58" s="2128"/>
      <c r="U58" s="2128"/>
      <c r="V58" s="3047"/>
      <c r="W58" s="3065"/>
      <c r="X58" s="3047"/>
      <c r="Y58" s="3047"/>
      <c r="Z58" s="3047"/>
      <c r="AA58" s="3047"/>
      <c r="AB58" s="3202"/>
      <c r="AC58" s="3047"/>
      <c r="AD58" s="2939"/>
      <c r="AE58" s="2939"/>
      <c r="AF58" s="2939"/>
      <c r="AG58" s="2939"/>
      <c r="AH58" s="2939"/>
      <c r="AI58" s="2939"/>
      <c r="AJ58" s="3197"/>
      <c r="AK58" s="2939"/>
      <c r="AL58" s="3199"/>
      <c r="AM58" s="2925"/>
      <c r="AN58" s="2887"/>
      <c r="AO58" s="2298"/>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row>
    <row r="59" spans="1:256" s="229" customFormat="1" ht="39.75" customHeight="1">
      <c r="A59" s="682"/>
      <c r="B59" s="683"/>
      <c r="C59" s="277"/>
      <c r="D59" s="706"/>
      <c r="E59" s="277"/>
      <c r="F59" s="706"/>
      <c r="G59" s="2125"/>
      <c r="H59" s="2129"/>
      <c r="I59" s="2376"/>
      <c r="J59" s="3047"/>
      <c r="K59" s="3128"/>
      <c r="L59" s="3187"/>
      <c r="M59" s="3125"/>
      <c r="N59" s="3185"/>
      <c r="O59" s="3157"/>
      <c r="P59" s="3125"/>
      <c r="Q59" s="2376"/>
      <c r="R59" s="737" t="s">
        <v>726</v>
      </c>
      <c r="S59" s="724">
        <v>4000000</v>
      </c>
      <c r="T59" s="2128"/>
      <c r="U59" s="2128"/>
      <c r="V59" s="3047"/>
      <c r="W59" s="3065"/>
      <c r="X59" s="3047"/>
      <c r="Y59" s="3047"/>
      <c r="Z59" s="3047"/>
      <c r="AA59" s="3047"/>
      <c r="AB59" s="3202"/>
      <c r="AC59" s="3047"/>
      <c r="AD59" s="2939"/>
      <c r="AE59" s="2939"/>
      <c r="AF59" s="2939"/>
      <c r="AG59" s="2939"/>
      <c r="AH59" s="2939"/>
      <c r="AI59" s="2939"/>
      <c r="AJ59" s="3197"/>
      <c r="AK59" s="2939"/>
      <c r="AL59" s="3199"/>
      <c r="AM59" s="2925"/>
      <c r="AN59" s="2887"/>
      <c r="AO59" s="2298"/>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row>
    <row r="60" spans="1:256" s="229" customFormat="1" ht="47.25" customHeight="1">
      <c r="A60" s="682"/>
      <c r="B60" s="683"/>
      <c r="C60" s="277"/>
      <c r="D60" s="706"/>
      <c r="E60" s="277"/>
      <c r="F60" s="706"/>
      <c r="G60" s="2125"/>
      <c r="H60" s="2129"/>
      <c r="I60" s="2376"/>
      <c r="J60" s="3047"/>
      <c r="K60" s="3128"/>
      <c r="L60" s="3187"/>
      <c r="M60" s="3125"/>
      <c r="N60" s="3185"/>
      <c r="O60" s="3157"/>
      <c r="P60" s="3125"/>
      <c r="Q60" s="2376"/>
      <c r="R60" s="291" t="s">
        <v>727</v>
      </c>
      <c r="S60" s="724">
        <v>9000000</v>
      </c>
      <c r="T60" s="2128"/>
      <c r="U60" s="2128"/>
      <c r="V60" s="3047"/>
      <c r="W60" s="3065"/>
      <c r="X60" s="3047"/>
      <c r="Y60" s="3047"/>
      <c r="Z60" s="3047"/>
      <c r="AA60" s="3047"/>
      <c r="AB60" s="3202"/>
      <c r="AC60" s="3047"/>
      <c r="AD60" s="2939"/>
      <c r="AE60" s="2939"/>
      <c r="AF60" s="2939"/>
      <c r="AG60" s="2939"/>
      <c r="AH60" s="2939"/>
      <c r="AI60" s="2939"/>
      <c r="AJ60" s="3197"/>
      <c r="AK60" s="2939"/>
      <c r="AL60" s="3199"/>
      <c r="AM60" s="2925"/>
      <c r="AN60" s="2887"/>
      <c r="AO60" s="2298"/>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c r="IK60" s="131"/>
      <c r="IL60" s="131"/>
      <c r="IM60" s="131"/>
      <c r="IN60" s="131"/>
      <c r="IO60" s="131"/>
      <c r="IP60" s="131"/>
      <c r="IQ60" s="131"/>
      <c r="IR60" s="131"/>
      <c r="IS60" s="131"/>
      <c r="IT60" s="131"/>
      <c r="IU60" s="131"/>
      <c r="IV60" s="131"/>
    </row>
    <row r="61" spans="1:256" s="229" customFormat="1" ht="27.75" customHeight="1">
      <c r="A61" s="682"/>
      <c r="B61" s="683"/>
      <c r="C61" s="277"/>
      <c r="D61" s="706"/>
      <c r="E61" s="277"/>
      <c r="F61" s="706"/>
      <c r="G61" s="2126"/>
      <c r="H61" s="2096"/>
      <c r="I61" s="2377"/>
      <c r="J61" s="2735"/>
      <c r="K61" s="3129"/>
      <c r="L61" s="3187"/>
      <c r="M61" s="3125"/>
      <c r="N61" s="3186"/>
      <c r="O61" s="3157"/>
      <c r="P61" s="3125"/>
      <c r="Q61" s="2377"/>
      <c r="R61" s="291" t="s">
        <v>728</v>
      </c>
      <c r="S61" s="724">
        <v>1000000</v>
      </c>
      <c r="T61" s="2128"/>
      <c r="U61" s="2094"/>
      <c r="V61" s="2735"/>
      <c r="W61" s="3189"/>
      <c r="X61" s="2735"/>
      <c r="Y61" s="2735"/>
      <c r="Z61" s="2735"/>
      <c r="AA61" s="2735"/>
      <c r="AB61" s="3203"/>
      <c r="AC61" s="2735"/>
      <c r="AD61" s="2939"/>
      <c r="AE61" s="2939"/>
      <c r="AF61" s="2939"/>
      <c r="AG61" s="2906"/>
      <c r="AH61" s="2939"/>
      <c r="AI61" s="2939"/>
      <c r="AJ61" s="3197"/>
      <c r="AK61" s="2906"/>
      <c r="AL61" s="3200"/>
      <c r="AM61" s="2925"/>
      <c r="AN61" s="2887"/>
      <c r="AO61" s="2298"/>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c r="IK61" s="131"/>
      <c r="IL61" s="131"/>
      <c r="IM61" s="131"/>
      <c r="IN61" s="131"/>
      <c r="IO61" s="131"/>
      <c r="IP61" s="131"/>
      <c r="IQ61" s="131"/>
      <c r="IR61" s="131"/>
      <c r="IS61" s="131"/>
      <c r="IT61" s="131"/>
      <c r="IU61" s="131"/>
      <c r="IV61" s="131"/>
    </row>
    <row r="62" spans="1:256" s="229" customFormat="1" ht="15.75">
      <c r="A62" s="682"/>
      <c r="B62" s="683"/>
      <c r="C62" s="277"/>
      <c r="D62" s="706"/>
      <c r="E62" s="181">
        <v>61</v>
      </c>
      <c r="F62" s="689" t="s">
        <v>729</v>
      </c>
      <c r="G62" s="690"/>
      <c r="H62" s="406"/>
      <c r="I62" s="388"/>
      <c r="J62" s="690"/>
      <c r="K62" s="690"/>
      <c r="L62" s="690"/>
      <c r="M62" s="388"/>
      <c r="N62" s="690"/>
      <c r="O62" s="707"/>
      <c r="P62" s="388"/>
      <c r="Q62" s="388"/>
      <c r="R62" s="388"/>
      <c r="S62" s="708"/>
      <c r="T62" s="395"/>
      <c r="U62" s="388"/>
      <c r="V62" s="690"/>
      <c r="W62" s="690"/>
      <c r="X62" s="690"/>
      <c r="Y62" s="690"/>
      <c r="Z62" s="690"/>
      <c r="AA62" s="690"/>
      <c r="AB62" s="690"/>
      <c r="AC62" s="690"/>
      <c r="AD62" s="690"/>
      <c r="AE62" s="690"/>
      <c r="AF62" s="690"/>
      <c r="AG62" s="690"/>
      <c r="AH62" s="690"/>
      <c r="AI62" s="690"/>
      <c r="AJ62" s="690"/>
      <c r="AK62" s="709"/>
      <c r="AL62" s="690"/>
      <c r="AM62" s="690"/>
      <c r="AN62" s="690"/>
      <c r="AO62" s="710"/>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c r="IS62" s="131"/>
      <c r="IT62" s="131"/>
      <c r="IU62" s="131"/>
      <c r="IV62" s="131"/>
    </row>
    <row r="63" spans="1:256" s="229" customFormat="1" ht="51" customHeight="1">
      <c r="A63" s="682"/>
      <c r="B63" s="683"/>
      <c r="C63" s="277"/>
      <c r="D63" s="706"/>
      <c r="E63" s="263"/>
      <c r="F63" s="706"/>
      <c r="G63" s="3190">
        <v>190</v>
      </c>
      <c r="H63" s="2109" t="s">
        <v>730</v>
      </c>
      <c r="I63" s="3158" t="s">
        <v>731</v>
      </c>
      <c r="J63" s="2378">
        <v>1</v>
      </c>
      <c r="K63" s="3127" t="s">
        <v>732</v>
      </c>
      <c r="L63" s="3192" t="s">
        <v>733</v>
      </c>
      <c r="M63" s="3124" t="s">
        <v>734</v>
      </c>
      <c r="N63" s="3096">
        <f>SUM(S63:S81)/O63</f>
        <v>1</v>
      </c>
      <c r="O63" s="3165">
        <f>SUM(S63:S81)</f>
        <v>190000000</v>
      </c>
      <c r="P63" s="3207" t="s">
        <v>735</v>
      </c>
      <c r="Q63" s="2300" t="s">
        <v>736</v>
      </c>
      <c r="R63" s="738" t="s">
        <v>737</v>
      </c>
      <c r="S63" s="739">
        <v>15000000</v>
      </c>
      <c r="T63" s="2093" t="s">
        <v>738</v>
      </c>
      <c r="U63" s="2108" t="s">
        <v>80</v>
      </c>
      <c r="V63" s="3204">
        <v>3257</v>
      </c>
      <c r="W63" s="3204">
        <v>2000</v>
      </c>
      <c r="X63" s="3204">
        <f>1588*30%</f>
        <v>476.4</v>
      </c>
      <c r="Y63" s="3204">
        <f>922*30%</f>
        <v>276.59999999999997</v>
      </c>
      <c r="Z63" s="3204">
        <f>6953*30%</f>
        <v>2085.9</v>
      </c>
      <c r="AA63" s="3204">
        <f>7792*30%</f>
        <v>2337.6</v>
      </c>
      <c r="AB63" s="3204">
        <v>50</v>
      </c>
      <c r="AC63" s="3204">
        <v>30</v>
      </c>
      <c r="AD63" s="3204"/>
      <c r="AE63" s="3204"/>
      <c r="AF63" s="3204"/>
      <c r="AG63" s="3204"/>
      <c r="AH63" s="3204">
        <v>5257</v>
      </c>
      <c r="AI63" s="2925"/>
      <c r="AJ63" s="3178"/>
      <c r="AK63" s="3212">
        <f>V63+W63</f>
        <v>5257</v>
      </c>
      <c r="AL63" s="2406" t="s">
        <v>739</v>
      </c>
      <c r="AM63" s="3153">
        <v>43102</v>
      </c>
      <c r="AN63" s="3209">
        <v>43465</v>
      </c>
      <c r="AO63" s="2298" t="s">
        <v>639</v>
      </c>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c r="IS63" s="131"/>
      <c r="IT63" s="131"/>
      <c r="IU63" s="131"/>
      <c r="IV63" s="131"/>
    </row>
    <row r="64" spans="1:256" s="229" customFormat="1" ht="53.25" customHeight="1">
      <c r="A64" s="682"/>
      <c r="B64" s="683"/>
      <c r="C64" s="277"/>
      <c r="D64" s="706"/>
      <c r="E64" s="277"/>
      <c r="F64" s="706"/>
      <c r="G64" s="3191"/>
      <c r="H64" s="2109"/>
      <c r="I64" s="3159"/>
      <c r="J64" s="2373"/>
      <c r="K64" s="3128"/>
      <c r="L64" s="3187"/>
      <c r="M64" s="3125"/>
      <c r="N64" s="2685"/>
      <c r="O64" s="3206"/>
      <c r="P64" s="3208"/>
      <c r="Q64" s="2300"/>
      <c r="R64" s="77" t="s">
        <v>740</v>
      </c>
      <c r="S64" s="739">
        <v>7920000</v>
      </c>
      <c r="T64" s="2128"/>
      <c r="U64" s="2108"/>
      <c r="V64" s="3204"/>
      <c r="W64" s="3204"/>
      <c r="X64" s="3204"/>
      <c r="Y64" s="3204"/>
      <c r="Z64" s="3204"/>
      <c r="AA64" s="3204"/>
      <c r="AB64" s="3204"/>
      <c r="AC64" s="3204"/>
      <c r="AD64" s="3204"/>
      <c r="AE64" s="3204"/>
      <c r="AF64" s="3204"/>
      <c r="AG64" s="3204"/>
      <c r="AH64" s="3204"/>
      <c r="AI64" s="2925"/>
      <c r="AJ64" s="3178"/>
      <c r="AK64" s="3047"/>
      <c r="AL64" s="3199"/>
      <c r="AM64" s="3153"/>
      <c r="AN64" s="3210"/>
      <c r="AO64" s="2298"/>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c r="IS64" s="131"/>
      <c r="IT64" s="131"/>
      <c r="IU64" s="131"/>
      <c r="IV64" s="131"/>
    </row>
    <row r="65" spans="1:256" s="229" customFormat="1" ht="49.5" customHeight="1">
      <c r="A65" s="682"/>
      <c r="B65" s="683"/>
      <c r="C65" s="277"/>
      <c r="D65" s="706"/>
      <c r="E65" s="277"/>
      <c r="F65" s="706"/>
      <c r="G65" s="3191"/>
      <c r="H65" s="2109"/>
      <c r="I65" s="3159"/>
      <c r="J65" s="2373"/>
      <c r="K65" s="3128"/>
      <c r="L65" s="3187"/>
      <c r="M65" s="3125"/>
      <c r="N65" s="2685"/>
      <c r="O65" s="3206"/>
      <c r="P65" s="3208"/>
      <c r="Q65" s="2300"/>
      <c r="R65" s="404" t="s">
        <v>741</v>
      </c>
      <c r="S65" s="739">
        <f>7920000+400000</f>
        <v>8320000</v>
      </c>
      <c r="T65" s="2128"/>
      <c r="U65" s="2108"/>
      <c r="V65" s="3204"/>
      <c r="W65" s="3204"/>
      <c r="X65" s="3204"/>
      <c r="Y65" s="3204"/>
      <c r="Z65" s="3204"/>
      <c r="AA65" s="3204"/>
      <c r="AB65" s="3204"/>
      <c r="AC65" s="3204"/>
      <c r="AD65" s="3204"/>
      <c r="AE65" s="3204"/>
      <c r="AF65" s="3204"/>
      <c r="AG65" s="3204"/>
      <c r="AH65" s="3204"/>
      <c r="AI65" s="2925"/>
      <c r="AJ65" s="3178"/>
      <c r="AK65" s="3047"/>
      <c r="AL65" s="3199"/>
      <c r="AM65" s="3153"/>
      <c r="AN65" s="3210"/>
      <c r="AO65" s="2298"/>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row>
    <row r="66" spans="1:256" s="229" customFormat="1" ht="72.75" customHeight="1">
      <c r="A66" s="682"/>
      <c r="B66" s="683"/>
      <c r="C66" s="277"/>
      <c r="D66" s="706"/>
      <c r="E66" s="277"/>
      <c r="F66" s="706"/>
      <c r="G66" s="3191"/>
      <c r="H66" s="2109"/>
      <c r="I66" s="3159"/>
      <c r="J66" s="2373"/>
      <c r="K66" s="3128"/>
      <c r="L66" s="3187"/>
      <c r="M66" s="3125"/>
      <c r="N66" s="2685"/>
      <c r="O66" s="3206"/>
      <c r="P66" s="3208"/>
      <c r="Q66" s="2300"/>
      <c r="R66" s="404" t="s">
        <v>742</v>
      </c>
      <c r="S66" s="739">
        <f>5000000-5000000</f>
        <v>0</v>
      </c>
      <c r="T66" s="2128"/>
      <c r="U66" s="2108"/>
      <c r="V66" s="3204"/>
      <c r="W66" s="3204"/>
      <c r="X66" s="3204"/>
      <c r="Y66" s="3204"/>
      <c r="Z66" s="3204"/>
      <c r="AA66" s="3204"/>
      <c r="AB66" s="3204"/>
      <c r="AC66" s="3204"/>
      <c r="AD66" s="3204"/>
      <c r="AE66" s="3204"/>
      <c r="AF66" s="3204"/>
      <c r="AG66" s="3204"/>
      <c r="AH66" s="3204"/>
      <c r="AI66" s="2925"/>
      <c r="AJ66" s="3178"/>
      <c r="AK66" s="3047"/>
      <c r="AL66" s="3199"/>
      <c r="AM66" s="3153"/>
      <c r="AN66" s="3210"/>
      <c r="AO66" s="2298"/>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131"/>
      <c r="GB66" s="131"/>
      <c r="GC66" s="131"/>
      <c r="GD66" s="131"/>
      <c r="GE66" s="131"/>
      <c r="GF66" s="131"/>
      <c r="GG66" s="131"/>
      <c r="GH66" s="131"/>
      <c r="GI66" s="131"/>
      <c r="GJ66" s="131"/>
      <c r="GK66" s="131"/>
      <c r="GL66" s="131"/>
      <c r="GM66" s="131"/>
      <c r="GN66" s="131"/>
      <c r="GO66" s="131"/>
      <c r="GP66" s="131"/>
      <c r="GQ66" s="131"/>
      <c r="GR66" s="131"/>
      <c r="GS66" s="131"/>
      <c r="GT66" s="131"/>
      <c r="GU66" s="131"/>
      <c r="GV66" s="131"/>
      <c r="GW66" s="131"/>
      <c r="GX66" s="131"/>
      <c r="GY66" s="131"/>
      <c r="GZ66" s="131"/>
      <c r="HA66" s="131"/>
      <c r="HB66" s="131"/>
      <c r="HC66" s="131"/>
      <c r="HD66" s="131"/>
      <c r="HE66" s="131"/>
      <c r="HF66" s="131"/>
      <c r="HG66" s="131"/>
      <c r="HH66" s="131"/>
      <c r="HI66" s="131"/>
      <c r="HJ66" s="131"/>
      <c r="HK66" s="131"/>
      <c r="HL66" s="131"/>
      <c r="HM66" s="131"/>
      <c r="HN66" s="131"/>
      <c r="HO66" s="131"/>
      <c r="HP66" s="131"/>
      <c r="HQ66" s="131"/>
      <c r="HR66" s="131"/>
      <c r="HS66" s="131"/>
      <c r="HT66" s="131"/>
      <c r="HU66" s="131"/>
      <c r="HV66" s="131"/>
      <c r="HW66" s="131"/>
      <c r="HX66" s="131"/>
      <c r="HY66" s="131"/>
      <c r="HZ66" s="131"/>
      <c r="IA66" s="131"/>
      <c r="IB66" s="131"/>
      <c r="IC66" s="131"/>
      <c r="ID66" s="131"/>
      <c r="IE66" s="131"/>
      <c r="IF66" s="131"/>
      <c r="IG66" s="131"/>
      <c r="IH66" s="131"/>
      <c r="II66" s="131"/>
      <c r="IJ66" s="131"/>
      <c r="IK66" s="131"/>
      <c r="IL66" s="131"/>
      <c r="IM66" s="131"/>
      <c r="IN66" s="131"/>
      <c r="IO66" s="131"/>
      <c r="IP66" s="131"/>
      <c r="IQ66" s="131"/>
      <c r="IR66" s="131"/>
      <c r="IS66" s="131"/>
      <c r="IT66" s="131"/>
      <c r="IU66" s="131"/>
      <c r="IV66" s="131"/>
    </row>
    <row r="67" spans="1:256" s="229" customFormat="1" ht="75" customHeight="1">
      <c r="A67" s="682"/>
      <c r="B67" s="683"/>
      <c r="C67" s="277"/>
      <c r="D67" s="706"/>
      <c r="E67" s="277"/>
      <c r="F67" s="706"/>
      <c r="G67" s="3191"/>
      <c r="H67" s="2109"/>
      <c r="I67" s="3159"/>
      <c r="J67" s="2373"/>
      <c r="K67" s="3128"/>
      <c r="L67" s="3187"/>
      <c r="M67" s="3125"/>
      <c r="N67" s="2685"/>
      <c r="O67" s="3206"/>
      <c r="P67" s="3208"/>
      <c r="Q67" s="2300" t="s">
        <v>743</v>
      </c>
      <c r="R67" s="404" t="s">
        <v>744</v>
      </c>
      <c r="S67" s="740">
        <v>5280000</v>
      </c>
      <c r="T67" s="2128"/>
      <c r="U67" s="2108"/>
      <c r="V67" s="3204"/>
      <c r="W67" s="3204"/>
      <c r="X67" s="3204"/>
      <c r="Y67" s="3204"/>
      <c r="Z67" s="3204"/>
      <c r="AA67" s="3204"/>
      <c r="AB67" s="3204"/>
      <c r="AC67" s="3204"/>
      <c r="AD67" s="3204"/>
      <c r="AE67" s="3204"/>
      <c r="AF67" s="3204"/>
      <c r="AG67" s="3204"/>
      <c r="AH67" s="3204"/>
      <c r="AI67" s="2925"/>
      <c r="AJ67" s="3178"/>
      <c r="AK67" s="3047"/>
      <c r="AL67" s="3199"/>
      <c r="AM67" s="3153"/>
      <c r="AN67" s="3210"/>
      <c r="AO67" s="2298"/>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row>
    <row r="68" spans="1:256" s="229" customFormat="1" ht="42.75" customHeight="1">
      <c r="A68" s="682"/>
      <c r="B68" s="683"/>
      <c r="C68" s="277"/>
      <c r="D68" s="706"/>
      <c r="E68" s="277"/>
      <c r="F68" s="706"/>
      <c r="G68" s="3191"/>
      <c r="H68" s="2109"/>
      <c r="I68" s="3159"/>
      <c r="J68" s="2373"/>
      <c r="K68" s="3128"/>
      <c r="L68" s="3187"/>
      <c r="M68" s="3125"/>
      <c r="N68" s="2685"/>
      <c r="O68" s="3206"/>
      <c r="P68" s="3208"/>
      <c r="Q68" s="2300"/>
      <c r="R68" s="404" t="s">
        <v>745</v>
      </c>
      <c r="S68" s="740">
        <f>5280000-200000</f>
        <v>5080000</v>
      </c>
      <c r="T68" s="2128"/>
      <c r="U68" s="2108"/>
      <c r="V68" s="3204"/>
      <c r="W68" s="3204"/>
      <c r="X68" s="3204"/>
      <c r="Y68" s="3204"/>
      <c r="Z68" s="3204"/>
      <c r="AA68" s="3204"/>
      <c r="AB68" s="3204"/>
      <c r="AC68" s="3204"/>
      <c r="AD68" s="3204"/>
      <c r="AE68" s="3204"/>
      <c r="AF68" s="3204"/>
      <c r="AG68" s="3204"/>
      <c r="AH68" s="3204"/>
      <c r="AI68" s="2925"/>
      <c r="AJ68" s="3178"/>
      <c r="AK68" s="3047"/>
      <c r="AL68" s="3199"/>
      <c r="AM68" s="3153"/>
      <c r="AN68" s="3210"/>
      <c r="AO68" s="2298"/>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c r="GK68" s="131"/>
      <c r="GL68" s="131"/>
      <c r="GM68" s="131"/>
      <c r="GN68" s="131"/>
      <c r="GO68" s="131"/>
      <c r="GP68" s="131"/>
      <c r="GQ68" s="131"/>
      <c r="GR68" s="131"/>
      <c r="GS68" s="131"/>
      <c r="GT68" s="131"/>
      <c r="GU68" s="131"/>
      <c r="GV68" s="131"/>
      <c r="GW68" s="131"/>
      <c r="GX68" s="131"/>
      <c r="GY68" s="131"/>
      <c r="GZ68" s="131"/>
      <c r="HA68" s="131"/>
      <c r="HB68" s="131"/>
      <c r="HC68" s="131"/>
      <c r="HD68" s="131"/>
      <c r="HE68" s="131"/>
      <c r="HF68" s="131"/>
      <c r="HG68" s="131"/>
      <c r="HH68" s="131"/>
      <c r="HI68" s="131"/>
      <c r="HJ68" s="131"/>
      <c r="HK68" s="131"/>
      <c r="HL68" s="131"/>
      <c r="HM68" s="131"/>
      <c r="HN68" s="131"/>
      <c r="HO68" s="131"/>
      <c r="HP68" s="131"/>
      <c r="HQ68" s="131"/>
      <c r="HR68" s="131"/>
      <c r="HS68" s="131"/>
      <c r="HT68" s="131"/>
      <c r="HU68" s="131"/>
      <c r="HV68" s="131"/>
      <c r="HW68" s="131"/>
      <c r="HX68" s="131"/>
      <c r="HY68" s="131"/>
      <c r="HZ68" s="131"/>
      <c r="IA68" s="131"/>
      <c r="IB68" s="131"/>
      <c r="IC68" s="131"/>
      <c r="ID68" s="131"/>
      <c r="IE68" s="131"/>
      <c r="IF68" s="131"/>
      <c r="IG68" s="131"/>
      <c r="IH68" s="131"/>
      <c r="II68" s="131"/>
      <c r="IJ68" s="131"/>
      <c r="IK68" s="131"/>
      <c r="IL68" s="131"/>
      <c r="IM68" s="131"/>
      <c r="IN68" s="131"/>
      <c r="IO68" s="131"/>
      <c r="IP68" s="131"/>
      <c r="IQ68" s="131"/>
      <c r="IR68" s="131"/>
      <c r="IS68" s="131"/>
      <c r="IT68" s="131"/>
      <c r="IU68" s="131"/>
      <c r="IV68" s="131"/>
    </row>
    <row r="69" spans="1:256" s="229" customFormat="1" ht="53.25" customHeight="1">
      <c r="A69" s="682"/>
      <c r="B69" s="683"/>
      <c r="C69" s="277"/>
      <c r="D69" s="706"/>
      <c r="E69" s="277"/>
      <c r="F69" s="706"/>
      <c r="G69" s="3191"/>
      <c r="H69" s="2109"/>
      <c r="I69" s="3159"/>
      <c r="J69" s="2373"/>
      <c r="K69" s="3128"/>
      <c r="L69" s="3187"/>
      <c r="M69" s="3125"/>
      <c r="N69" s="2685"/>
      <c r="O69" s="3206"/>
      <c r="P69" s="3208"/>
      <c r="Q69" s="2300"/>
      <c r="R69" s="404" t="s">
        <v>746</v>
      </c>
      <c r="S69" s="740">
        <f>7920000-7920000</f>
        <v>0</v>
      </c>
      <c r="T69" s="2128"/>
      <c r="U69" s="2108"/>
      <c r="V69" s="3204"/>
      <c r="W69" s="3204"/>
      <c r="X69" s="3204"/>
      <c r="Y69" s="3204"/>
      <c r="Z69" s="3204"/>
      <c r="AA69" s="3204"/>
      <c r="AB69" s="3204"/>
      <c r="AC69" s="3204"/>
      <c r="AD69" s="3204"/>
      <c r="AE69" s="3204"/>
      <c r="AF69" s="3204"/>
      <c r="AG69" s="3204"/>
      <c r="AH69" s="3204"/>
      <c r="AI69" s="2925"/>
      <c r="AJ69" s="3178"/>
      <c r="AK69" s="3047"/>
      <c r="AL69" s="3199"/>
      <c r="AM69" s="3153"/>
      <c r="AN69" s="3210"/>
      <c r="AO69" s="2298"/>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c r="IN69" s="131"/>
      <c r="IO69" s="131"/>
      <c r="IP69" s="131"/>
      <c r="IQ69" s="131"/>
      <c r="IR69" s="131"/>
      <c r="IS69" s="131"/>
      <c r="IT69" s="131"/>
      <c r="IU69" s="131"/>
      <c r="IV69" s="131"/>
    </row>
    <row r="70" spans="1:256" s="229" customFormat="1" ht="60">
      <c r="A70" s="682"/>
      <c r="B70" s="683"/>
      <c r="C70" s="277"/>
      <c r="D70" s="706"/>
      <c r="E70" s="277"/>
      <c r="F70" s="706"/>
      <c r="G70" s="3191"/>
      <c r="H70" s="2109"/>
      <c r="I70" s="3159"/>
      <c r="J70" s="2373"/>
      <c r="K70" s="3128"/>
      <c r="L70" s="3187"/>
      <c r="M70" s="3125"/>
      <c r="N70" s="2685"/>
      <c r="O70" s="3206"/>
      <c r="P70" s="3208"/>
      <c r="Q70" s="2300"/>
      <c r="R70" s="404" t="s">
        <v>747</v>
      </c>
      <c r="S70" s="740">
        <f>5280000-1280000</f>
        <v>4000000</v>
      </c>
      <c r="T70" s="2128"/>
      <c r="U70" s="2108"/>
      <c r="V70" s="3204"/>
      <c r="W70" s="3204"/>
      <c r="X70" s="3204"/>
      <c r="Y70" s="3204"/>
      <c r="Z70" s="3204"/>
      <c r="AA70" s="3204"/>
      <c r="AB70" s="3204"/>
      <c r="AC70" s="3204"/>
      <c r="AD70" s="3204"/>
      <c r="AE70" s="3204"/>
      <c r="AF70" s="3204"/>
      <c r="AG70" s="3204"/>
      <c r="AH70" s="3204"/>
      <c r="AI70" s="2925"/>
      <c r="AJ70" s="3178"/>
      <c r="AK70" s="3047"/>
      <c r="AL70" s="3199"/>
      <c r="AM70" s="3153"/>
      <c r="AN70" s="3210"/>
      <c r="AO70" s="2298"/>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1"/>
      <c r="IB70" s="131"/>
      <c r="IC70" s="131"/>
      <c r="ID70" s="131"/>
      <c r="IE70" s="131"/>
      <c r="IF70" s="131"/>
      <c r="IG70" s="131"/>
      <c r="IH70" s="131"/>
      <c r="II70" s="131"/>
      <c r="IJ70" s="131"/>
      <c r="IK70" s="131"/>
      <c r="IL70" s="131"/>
      <c r="IM70" s="131"/>
      <c r="IN70" s="131"/>
      <c r="IO70" s="131"/>
      <c r="IP70" s="131"/>
      <c r="IQ70" s="131"/>
      <c r="IR70" s="131"/>
      <c r="IS70" s="131"/>
      <c r="IT70" s="131"/>
      <c r="IU70" s="131"/>
      <c r="IV70" s="131"/>
    </row>
    <row r="71" spans="1:256" s="229" customFormat="1" ht="105" customHeight="1">
      <c r="A71" s="682"/>
      <c r="B71" s="683"/>
      <c r="C71" s="277"/>
      <c r="D71" s="706"/>
      <c r="E71" s="277"/>
      <c r="F71" s="706"/>
      <c r="G71" s="3191"/>
      <c r="H71" s="2109"/>
      <c r="I71" s="3159"/>
      <c r="J71" s="2373"/>
      <c r="K71" s="3128"/>
      <c r="L71" s="3187"/>
      <c r="M71" s="3125"/>
      <c r="N71" s="2685"/>
      <c r="O71" s="3206"/>
      <c r="P71" s="3208"/>
      <c r="Q71" s="2300"/>
      <c r="R71" s="404" t="s">
        <v>748</v>
      </c>
      <c r="S71" s="740">
        <f>17435000+10597000</f>
        <v>28032000</v>
      </c>
      <c r="T71" s="2128"/>
      <c r="U71" s="2108"/>
      <c r="V71" s="3204"/>
      <c r="W71" s="3204"/>
      <c r="X71" s="3204"/>
      <c r="Y71" s="3204"/>
      <c r="Z71" s="3204"/>
      <c r="AA71" s="3204"/>
      <c r="AB71" s="3204"/>
      <c r="AC71" s="3204"/>
      <c r="AD71" s="3204"/>
      <c r="AE71" s="3204"/>
      <c r="AF71" s="3204"/>
      <c r="AG71" s="3204"/>
      <c r="AH71" s="3204"/>
      <c r="AI71" s="2925"/>
      <c r="AJ71" s="3178"/>
      <c r="AK71" s="3047"/>
      <c r="AL71" s="3199"/>
      <c r="AM71" s="3153"/>
      <c r="AN71" s="3210"/>
      <c r="AO71" s="2298"/>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c r="GK71" s="131"/>
      <c r="GL71" s="131"/>
      <c r="GM71" s="131"/>
      <c r="GN71" s="131"/>
      <c r="GO71" s="131"/>
      <c r="GP71" s="131"/>
      <c r="GQ71" s="131"/>
      <c r="GR71" s="131"/>
      <c r="GS71" s="131"/>
      <c r="GT71" s="131"/>
      <c r="GU71" s="131"/>
      <c r="GV71" s="131"/>
      <c r="GW71" s="131"/>
      <c r="GX71" s="131"/>
      <c r="GY71" s="131"/>
      <c r="GZ71" s="131"/>
      <c r="HA71" s="131"/>
      <c r="HB71" s="131"/>
      <c r="HC71" s="131"/>
      <c r="HD71" s="131"/>
      <c r="HE71" s="131"/>
      <c r="HF71" s="131"/>
      <c r="HG71" s="131"/>
      <c r="HH71" s="131"/>
      <c r="HI71" s="131"/>
      <c r="HJ71" s="131"/>
      <c r="HK71" s="131"/>
      <c r="HL71" s="131"/>
      <c r="HM71" s="131"/>
      <c r="HN71" s="131"/>
      <c r="HO71" s="131"/>
      <c r="HP71" s="131"/>
      <c r="HQ71" s="131"/>
      <c r="HR71" s="131"/>
      <c r="HS71" s="131"/>
      <c r="HT71" s="131"/>
      <c r="HU71" s="131"/>
      <c r="HV71" s="131"/>
      <c r="HW71" s="131"/>
      <c r="HX71" s="131"/>
      <c r="HY71" s="131"/>
      <c r="HZ71" s="131"/>
      <c r="IA71" s="131"/>
      <c r="IB71" s="131"/>
      <c r="IC71" s="131"/>
      <c r="ID71" s="131"/>
      <c r="IE71" s="131"/>
      <c r="IF71" s="131"/>
      <c r="IG71" s="131"/>
      <c r="IH71" s="131"/>
      <c r="II71" s="131"/>
      <c r="IJ71" s="131"/>
      <c r="IK71" s="131"/>
      <c r="IL71" s="131"/>
      <c r="IM71" s="131"/>
      <c r="IN71" s="131"/>
      <c r="IO71" s="131"/>
      <c r="IP71" s="131"/>
      <c r="IQ71" s="131"/>
      <c r="IR71" s="131"/>
      <c r="IS71" s="131"/>
      <c r="IT71" s="131"/>
      <c r="IU71" s="131"/>
      <c r="IV71" s="131"/>
    </row>
    <row r="72" spans="1:256" s="229" customFormat="1" ht="45" customHeight="1">
      <c r="A72" s="682"/>
      <c r="B72" s="683"/>
      <c r="C72" s="277"/>
      <c r="D72" s="706"/>
      <c r="E72" s="277"/>
      <c r="F72" s="706"/>
      <c r="G72" s="3191"/>
      <c r="H72" s="2109"/>
      <c r="I72" s="3159"/>
      <c r="J72" s="2373"/>
      <c r="K72" s="3128"/>
      <c r="L72" s="3187"/>
      <c r="M72" s="3125"/>
      <c r="N72" s="2685"/>
      <c r="O72" s="3206"/>
      <c r="P72" s="3208"/>
      <c r="Q72" s="2300"/>
      <c r="R72" s="404" t="s">
        <v>749</v>
      </c>
      <c r="S72" s="740">
        <v>2285000</v>
      </c>
      <c r="T72" s="2128"/>
      <c r="U72" s="2108"/>
      <c r="V72" s="3204"/>
      <c r="W72" s="3204"/>
      <c r="X72" s="3204"/>
      <c r="Y72" s="3204"/>
      <c r="Z72" s="3204"/>
      <c r="AA72" s="3204"/>
      <c r="AB72" s="3204"/>
      <c r="AC72" s="3204"/>
      <c r="AD72" s="3204"/>
      <c r="AE72" s="3204"/>
      <c r="AF72" s="3204"/>
      <c r="AG72" s="3204"/>
      <c r="AH72" s="3204"/>
      <c r="AI72" s="2925"/>
      <c r="AJ72" s="3178"/>
      <c r="AK72" s="3047"/>
      <c r="AL72" s="3199"/>
      <c r="AM72" s="3153"/>
      <c r="AN72" s="3210"/>
      <c r="AO72" s="2298"/>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c r="IN72" s="131"/>
      <c r="IO72" s="131"/>
      <c r="IP72" s="131"/>
      <c r="IQ72" s="131"/>
      <c r="IR72" s="131"/>
      <c r="IS72" s="131"/>
      <c r="IT72" s="131"/>
      <c r="IU72" s="131"/>
      <c r="IV72" s="131"/>
    </row>
    <row r="73" spans="1:256" s="229" customFormat="1" ht="48" customHeight="1">
      <c r="A73" s="682"/>
      <c r="B73" s="683"/>
      <c r="C73" s="277"/>
      <c r="D73" s="706"/>
      <c r="E73" s="277"/>
      <c r="F73" s="706"/>
      <c r="G73" s="3191"/>
      <c r="H73" s="2109"/>
      <c r="I73" s="3159"/>
      <c r="J73" s="2373"/>
      <c r="K73" s="3128"/>
      <c r="L73" s="3187"/>
      <c r="M73" s="3125"/>
      <c r="N73" s="2685"/>
      <c r="O73" s="3206"/>
      <c r="P73" s="3208"/>
      <c r="Q73" s="2300"/>
      <c r="R73" s="404" t="s">
        <v>750</v>
      </c>
      <c r="S73" s="740">
        <v>5280000</v>
      </c>
      <c r="T73" s="2128"/>
      <c r="U73" s="2108"/>
      <c r="V73" s="3204"/>
      <c r="W73" s="3204"/>
      <c r="X73" s="3204"/>
      <c r="Y73" s="3204"/>
      <c r="Z73" s="3204"/>
      <c r="AA73" s="3204"/>
      <c r="AB73" s="3204"/>
      <c r="AC73" s="3204"/>
      <c r="AD73" s="3204"/>
      <c r="AE73" s="3204"/>
      <c r="AF73" s="3204"/>
      <c r="AG73" s="3204"/>
      <c r="AH73" s="3204"/>
      <c r="AI73" s="2925"/>
      <c r="AJ73" s="3178"/>
      <c r="AK73" s="3047"/>
      <c r="AL73" s="3199"/>
      <c r="AM73" s="3153"/>
      <c r="AN73" s="3210"/>
      <c r="AO73" s="2298"/>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c r="IS73" s="131"/>
      <c r="IT73" s="131"/>
      <c r="IU73" s="131"/>
      <c r="IV73" s="131"/>
    </row>
    <row r="74" spans="1:256" s="229" customFormat="1" ht="105" customHeight="1">
      <c r="A74" s="682"/>
      <c r="B74" s="683"/>
      <c r="C74" s="277"/>
      <c r="D74" s="706"/>
      <c r="E74" s="277"/>
      <c r="F74" s="706"/>
      <c r="G74" s="3191"/>
      <c r="H74" s="2109"/>
      <c r="I74" s="3159"/>
      <c r="J74" s="2373"/>
      <c r="K74" s="3128"/>
      <c r="L74" s="3187"/>
      <c r="M74" s="3125"/>
      <c r="N74" s="2685"/>
      <c r="O74" s="3206"/>
      <c r="P74" s="3208"/>
      <c r="Q74" s="2300"/>
      <c r="R74" s="77" t="s">
        <v>751</v>
      </c>
      <c r="S74" s="740">
        <v>5000000</v>
      </c>
      <c r="T74" s="2128"/>
      <c r="U74" s="2108"/>
      <c r="V74" s="3204"/>
      <c r="W74" s="3204"/>
      <c r="X74" s="3204"/>
      <c r="Y74" s="3204"/>
      <c r="Z74" s="3204"/>
      <c r="AA74" s="3204"/>
      <c r="AB74" s="3204"/>
      <c r="AC74" s="3204"/>
      <c r="AD74" s="3204"/>
      <c r="AE74" s="3204"/>
      <c r="AF74" s="3204"/>
      <c r="AG74" s="3204"/>
      <c r="AH74" s="3204"/>
      <c r="AI74" s="2925"/>
      <c r="AJ74" s="3178"/>
      <c r="AK74" s="3047"/>
      <c r="AL74" s="3199"/>
      <c r="AM74" s="3153"/>
      <c r="AN74" s="3210"/>
      <c r="AO74" s="2298"/>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c r="IS74" s="131"/>
      <c r="IT74" s="131"/>
      <c r="IU74" s="131"/>
      <c r="IV74" s="131"/>
    </row>
    <row r="75" spans="1:256" s="229" customFormat="1" ht="51.75" customHeight="1">
      <c r="A75" s="682"/>
      <c r="B75" s="683"/>
      <c r="C75" s="277"/>
      <c r="D75" s="706"/>
      <c r="E75" s="277"/>
      <c r="F75" s="706"/>
      <c r="G75" s="3191"/>
      <c r="H75" s="2109"/>
      <c r="I75" s="3159"/>
      <c r="J75" s="2373"/>
      <c r="K75" s="3128"/>
      <c r="L75" s="3187"/>
      <c r="M75" s="3125"/>
      <c r="N75" s="2685"/>
      <c r="O75" s="3206"/>
      <c r="P75" s="3208"/>
      <c r="Q75" s="2300"/>
      <c r="R75" s="77" t="s">
        <v>752</v>
      </c>
      <c r="S75" s="741">
        <v>15043000</v>
      </c>
      <c r="T75" s="2128"/>
      <c r="U75" s="2108"/>
      <c r="V75" s="3204"/>
      <c r="W75" s="3204"/>
      <c r="X75" s="3204"/>
      <c r="Y75" s="3204"/>
      <c r="Z75" s="3204"/>
      <c r="AA75" s="3204"/>
      <c r="AB75" s="3204"/>
      <c r="AC75" s="3204"/>
      <c r="AD75" s="3204"/>
      <c r="AE75" s="3204"/>
      <c r="AF75" s="3204"/>
      <c r="AG75" s="3204"/>
      <c r="AH75" s="3204"/>
      <c r="AI75" s="2925"/>
      <c r="AJ75" s="3178"/>
      <c r="AK75" s="3047"/>
      <c r="AL75" s="3199"/>
      <c r="AM75" s="3153"/>
      <c r="AN75" s="3210"/>
      <c r="AO75" s="2298"/>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131"/>
      <c r="GB75" s="131"/>
      <c r="GC75" s="131"/>
      <c r="GD75" s="131"/>
      <c r="GE75" s="131"/>
      <c r="GF75" s="131"/>
      <c r="GG75" s="131"/>
      <c r="GH75" s="131"/>
      <c r="GI75" s="131"/>
      <c r="GJ75" s="131"/>
      <c r="GK75" s="131"/>
      <c r="GL75" s="131"/>
      <c r="GM75" s="131"/>
      <c r="GN75" s="131"/>
      <c r="GO75" s="131"/>
      <c r="GP75" s="131"/>
      <c r="GQ75" s="131"/>
      <c r="GR75" s="131"/>
      <c r="GS75" s="131"/>
      <c r="GT75" s="131"/>
      <c r="GU75" s="131"/>
      <c r="GV75" s="131"/>
      <c r="GW75" s="131"/>
      <c r="GX75" s="131"/>
      <c r="GY75" s="131"/>
      <c r="GZ75" s="131"/>
      <c r="HA75" s="131"/>
      <c r="HB75" s="131"/>
      <c r="HC75" s="131"/>
      <c r="HD75" s="131"/>
      <c r="HE75" s="131"/>
      <c r="HF75" s="131"/>
      <c r="HG75" s="131"/>
      <c r="HH75" s="131"/>
      <c r="HI75" s="131"/>
      <c r="HJ75" s="131"/>
      <c r="HK75" s="131"/>
      <c r="HL75" s="131"/>
      <c r="HM75" s="131"/>
      <c r="HN75" s="131"/>
      <c r="HO75" s="131"/>
      <c r="HP75" s="131"/>
      <c r="HQ75" s="131"/>
      <c r="HR75" s="131"/>
      <c r="HS75" s="131"/>
      <c r="HT75" s="131"/>
      <c r="HU75" s="131"/>
      <c r="HV75" s="131"/>
      <c r="HW75" s="131"/>
      <c r="HX75" s="131"/>
      <c r="HY75" s="131"/>
      <c r="HZ75" s="131"/>
      <c r="IA75" s="131"/>
      <c r="IB75" s="131"/>
      <c r="IC75" s="131"/>
      <c r="ID75" s="131"/>
      <c r="IE75" s="131"/>
      <c r="IF75" s="131"/>
      <c r="IG75" s="131"/>
      <c r="IH75" s="131"/>
      <c r="II75" s="131"/>
      <c r="IJ75" s="131"/>
      <c r="IK75" s="131"/>
      <c r="IL75" s="131"/>
      <c r="IM75" s="131"/>
      <c r="IN75" s="131"/>
      <c r="IO75" s="131"/>
      <c r="IP75" s="131"/>
      <c r="IQ75" s="131"/>
      <c r="IR75" s="131"/>
      <c r="IS75" s="131"/>
      <c r="IT75" s="131"/>
      <c r="IU75" s="131"/>
      <c r="IV75" s="131"/>
    </row>
    <row r="76" spans="1:256" s="229" customFormat="1" ht="48.75" customHeight="1">
      <c r="A76" s="682"/>
      <c r="B76" s="683"/>
      <c r="C76" s="277"/>
      <c r="D76" s="706"/>
      <c r="E76" s="277"/>
      <c r="F76" s="706"/>
      <c r="G76" s="3191"/>
      <c r="H76" s="2109"/>
      <c r="I76" s="3159"/>
      <c r="J76" s="2373"/>
      <c r="K76" s="3128"/>
      <c r="L76" s="3187"/>
      <c r="M76" s="3125"/>
      <c r="N76" s="2685"/>
      <c r="O76" s="3206"/>
      <c r="P76" s="3208"/>
      <c r="Q76" s="2300"/>
      <c r="R76" s="77" t="s">
        <v>753</v>
      </c>
      <c r="S76" s="740">
        <v>22000000</v>
      </c>
      <c r="T76" s="2128"/>
      <c r="U76" s="2108"/>
      <c r="V76" s="3204"/>
      <c r="W76" s="3204"/>
      <c r="X76" s="3204"/>
      <c r="Y76" s="3204"/>
      <c r="Z76" s="3204"/>
      <c r="AA76" s="3204"/>
      <c r="AB76" s="3204"/>
      <c r="AC76" s="3204"/>
      <c r="AD76" s="3204"/>
      <c r="AE76" s="3204"/>
      <c r="AF76" s="3204"/>
      <c r="AG76" s="3204"/>
      <c r="AH76" s="3204"/>
      <c r="AI76" s="2925"/>
      <c r="AJ76" s="3178"/>
      <c r="AK76" s="3047"/>
      <c r="AL76" s="3199"/>
      <c r="AM76" s="3153"/>
      <c r="AN76" s="3210"/>
      <c r="AO76" s="2298"/>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row>
    <row r="77" spans="1:256" s="229" customFormat="1" ht="59.25" customHeight="1">
      <c r="A77" s="682"/>
      <c r="B77" s="683"/>
      <c r="C77" s="277"/>
      <c r="D77" s="706"/>
      <c r="E77" s="277"/>
      <c r="F77" s="706"/>
      <c r="G77" s="3191"/>
      <c r="H77" s="2109"/>
      <c r="I77" s="3159"/>
      <c r="J77" s="2373"/>
      <c r="K77" s="3128"/>
      <c r="L77" s="3187"/>
      <c r="M77" s="3125"/>
      <c r="N77" s="2685"/>
      <c r="O77" s="3206"/>
      <c r="P77" s="3208"/>
      <c r="Q77" s="2300"/>
      <c r="R77" s="742" t="s">
        <v>754</v>
      </c>
      <c r="S77" s="740">
        <v>5280000</v>
      </c>
      <c r="T77" s="2128"/>
      <c r="U77" s="2108"/>
      <c r="V77" s="3204"/>
      <c r="W77" s="3204"/>
      <c r="X77" s="3204"/>
      <c r="Y77" s="3204"/>
      <c r="Z77" s="3204"/>
      <c r="AA77" s="3204"/>
      <c r="AB77" s="3204"/>
      <c r="AC77" s="3204"/>
      <c r="AD77" s="3204"/>
      <c r="AE77" s="3204"/>
      <c r="AF77" s="3204"/>
      <c r="AG77" s="3204"/>
      <c r="AH77" s="3204"/>
      <c r="AI77" s="2925"/>
      <c r="AJ77" s="3178"/>
      <c r="AK77" s="3047"/>
      <c r="AL77" s="3199"/>
      <c r="AM77" s="3153"/>
      <c r="AN77" s="3210"/>
      <c r="AO77" s="2298"/>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c r="IU77" s="131"/>
      <c r="IV77" s="131"/>
    </row>
    <row r="78" spans="1:256" s="229" customFormat="1" ht="33" customHeight="1">
      <c r="A78" s="682"/>
      <c r="B78" s="683"/>
      <c r="C78" s="277"/>
      <c r="D78" s="706"/>
      <c r="E78" s="277"/>
      <c r="F78" s="706"/>
      <c r="G78" s="3191"/>
      <c r="H78" s="2109"/>
      <c r="I78" s="3159"/>
      <c r="J78" s="2373"/>
      <c r="K78" s="3128"/>
      <c r="L78" s="3187"/>
      <c r="M78" s="3125"/>
      <c r="N78" s="2685"/>
      <c r="O78" s="3206"/>
      <c r="P78" s="3208"/>
      <c r="Q78" s="2300"/>
      <c r="R78" s="742" t="s">
        <v>755</v>
      </c>
      <c r="S78" s="740">
        <f>5280000-2830000</f>
        <v>2450000</v>
      </c>
      <c r="T78" s="2128"/>
      <c r="U78" s="2108"/>
      <c r="V78" s="3204"/>
      <c r="W78" s="3204"/>
      <c r="X78" s="3204"/>
      <c r="Y78" s="3204"/>
      <c r="Z78" s="3204"/>
      <c r="AA78" s="3204"/>
      <c r="AB78" s="3204"/>
      <c r="AC78" s="3204"/>
      <c r="AD78" s="3204"/>
      <c r="AE78" s="3204"/>
      <c r="AF78" s="3204"/>
      <c r="AG78" s="3204"/>
      <c r="AH78" s="3204"/>
      <c r="AI78" s="2925"/>
      <c r="AJ78" s="3178"/>
      <c r="AK78" s="3047"/>
      <c r="AL78" s="3199"/>
      <c r="AM78" s="3153"/>
      <c r="AN78" s="3210"/>
      <c r="AO78" s="2298"/>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c r="IS78" s="131"/>
      <c r="IT78" s="131"/>
      <c r="IU78" s="131"/>
      <c r="IV78" s="131"/>
    </row>
    <row r="79" spans="1:256" s="229" customFormat="1" ht="45">
      <c r="A79" s="682"/>
      <c r="B79" s="683"/>
      <c r="C79" s="277"/>
      <c r="D79" s="706"/>
      <c r="E79" s="277"/>
      <c r="F79" s="706"/>
      <c r="G79" s="3191"/>
      <c r="H79" s="2109"/>
      <c r="I79" s="3159"/>
      <c r="J79" s="2373"/>
      <c r="K79" s="3128"/>
      <c r="L79" s="3187"/>
      <c r="M79" s="3125"/>
      <c r="N79" s="2685"/>
      <c r="O79" s="3206"/>
      <c r="P79" s="3208"/>
      <c r="Q79" s="2300"/>
      <c r="R79" s="742" t="s">
        <v>756</v>
      </c>
      <c r="S79" s="740">
        <v>13320000</v>
      </c>
      <c r="T79" s="2128"/>
      <c r="U79" s="2108"/>
      <c r="V79" s="3204"/>
      <c r="W79" s="3204"/>
      <c r="X79" s="3204"/>
      <c r="Y79" s="3204"/>
      <c r="Z79" s="3204"/>
      <c r="AA79" s="3204"/>
      <c r="AB79" s="3204"/>
      <c r="AC79" s="3204"/>
      <c r="AD79" s="3204"/>
      <c r="AE79" s="3204"/>
      <c r="AF79" s="3204"/>
      <c r="AG79" s="3204"/>
      <c r="AH79" s="3204"/>
      <c r="AI79" s="2925"/>
      <c r="AJ79" s="3178"/>
      <c r="AK79" s="3047"/>
      <c r="AL79" s="3199"/>
      <c r="AM79" s="3153"/>
      <c r="AN79" s="3210"/>
      <c r="AO79" s="2298"/>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c r="HL79" s="131"/>
      <c r="HM79" s="131"/>
      <c r="HN79" s="131"/>
      <c r="HO79" s="131"/>
      <c r="HP79" s="131"/>
      <c r="HQ79" s="131"/>
      <c r="HR79" s="131"/>
      <c r="HS79" s="131"/>
      <c r="HT79" s="131"/>
      <c r="HU79" s="131"/>
      <c r="HV79" s="131"/>
      <c r="HW79" s="131"/>
      <c r="HX79" s="131"/>
      <c r="HY79" s="131"/>
      <c r="HZ79" s="131"/>
      <c r="IA79" s="131"/>
      <c r="IB79" s="131"/>
      <c r="IC79" s="131"/>
      <c r="ID79" s="131"/>
      <c r="IE79" s="131"/>
      <c r="IF79" s="131"/>
      <c r="IG79" s="131"/>
      <c r="IH79" s="131"/>
      <c r="II79" s="131"/>
      <c r="IJ79" s="131"/>
      <c r="IK79" s="131"/>
      <c r="IL79" s="131"/>
      <c r="IM79" s="131"/>
      <c r="IN79" s="131"/>
      <c r="IO79" s="131"/>
      <c r="IP79" s="131"/>
      <c r="IQ79" s="131"/>
      <c r="IR79" s="131"/>
      <c r="IS79" s="131"/>
      <c r="IT79" s="131"/>
      <c r="IU79" s="131"/>
      <c r="IV79" s="131"/>
    </row>
    <row r="80" spans="1:41" ht="35.25" customHeight="1">
      <c r="A80" s="682"/>
      <c r="B80" s="683"/>
      <c r="C80" s="277"/>
      <c r="D80" s="706"/>
      <c r="E80" s="277"/>
      <c r="F80" s="706"/>
      <c r="G80" s="3191"/>
      <c r="H80" s="2109"/>
      <c r="I80" s="3159"/>
      <c r="J80" s="2373"/>
      <c r="K80" s="3128"/>
      <c r="L80" s="3187"/>
      <c r="M80" s="3125"/>
      <c r="N80" s="2685"/>
      <c r="O80" s="3206"/>
      <c r="P80" s="3208"/>
      <c r="Q80" s="2300"/>
      <c r="R80" s="742" t="s">
        <v>757</v>
      </c>
      <c r="S80" s="739">
        <v>5280000</v>
      </c>
      <c r="T80" s="2128"/>
      <c r="U80" s="2108"/>
      <c r="V80" s="3204"/>
      <c r="W80" s="3204"/>
      <c r="X80" s="3204"/>
      <c r="Y80" s="3204"/>
      <c r="Z80" s="3204"/>
      <c r="AA80" s="3204"/>
      <c r="AB80" s="3204"/>
      <c r="AC80" s="3204"/>
      <c r="AD80" s="3204"/>
      <c r="AE80" s="3204"/>
      <c r="AF80" s="3204"/>
      <c r="AG80" s="3204"/>
      <c r="AH80" s="3204"/>
      <c r="AI80" s="2925"/>
      <c r="AJ80" s="3178"/>
      <c r="AK80" s="3047"/>
      <c r="AL80" s="3199"/>
      <c r="AM80" s="3153"/>
      <c r="AN80" s="3210"/>
      <c r="AO80" s="2298"/>
    </row>
    <row r="81" spans="1:41" ht="42.75" customHeight="1">
      <c r="A81" s="682"/>
      <c r="B81" s="683"/>
      <c r="C81" s="277"/>
      <c r="D81" s="706"/>
      <c r="E81" s="277"/>
      <c r="F81" s="706"/>
      <c r="G81" s="3191"/>
      <c r="H81" s="2109"/>
      <c r="I81" s="3159"/>
      <c r="J81" s="2373"/>
      <c r="K81" s="3128"/>
      <c r="L81" s="3187"/>
      <c r="M81" s="3125"/>
      <c r="N81" s="2685"/>
      <c r="O81" s="3206"/>
      <c r="P81" s="3208"/>
      <c r="Q81" s="2337"/>
      <c r="R81" s="743" t="s">
        <v>758</v>
      </c>
      <c r="S81" s="744">
        <v>40430000</v>
      </c>
      <c r="T81" s="2128"/>
      <c r="U81" s="2093"/>
      <c r="V81" s="3205"/>
      <c r="W81" s="3205"/>
      <c r="X81" s="3205"/>
      <c r="Y81" s="3205"/>
      <c r="Z81" s="3205"/>
      <c r="AA81" s="3205"/>
      <c r="AB81" s="3205"/>
      <c r="AC81" s="3205"/>
      <c r="AD81" s="3205"/>
      <c r="AE81" s="3205"/>
      <c r="AF81" s="3205"/>
      <c r="AG81" s="3205"/>
      <c r="AH81" s="3205"/>
      <c r="AI81" s="2734"/>
      <c r="AJ81" s="3136"/>
      <c r="AK81" s="2735"/>
      <c r="AL81" s="3200"/>
      <c r="AM81" s="2535"/>
      <c r="AN81" s="3210"/>
      <c r="AO81" s="2298"/>
    </row>
    <row r="82" spans="1:256" ht="15.75">
      <c r="A82" s="682"/>
      <c r="B82" s="683"/>
      <c r="C82" s="684">
        <v>18</v>
      </c>
      <c r="D82" s="685" t="s">
        <v>759</v>
      </c>
      <c r="E82" s="301"/>
      <c r="F82" s="301"/>
      <c r="G82" s="301"/>
      <c r="H82" s="171"/>
      <c r="I82" s="699"/>
      <c r="J82" s="301"/>
      <c r="K82" s="301"/>
      <c r="L82" s="301"/>
      <c r="M82" s="699"/>
      <c r="N82" s="301"/>
      <c r="O82" s="745"/>
      <c r="P82" s="699"/>
      <c r="Q82" s="699"/>
      <c r="R82" s="699"/>
      <c r="S82" s="701"/>
      <c r="T82" s="702"/>
      <c r="U82" s="746" t="e">
        <f>T82-#REF!</f>
        <v>#REF!</v>
      </c>
      <c r="V82" s="747"/>
      <c r="W82" s="301"/>
      <c r="X82" s="301"/>
      <c r="Y82" s="301"/>
      <c r="Z82" s="301"/>
      <c r="AA82" s="301"/>
      <c r="AB82" s="301"/>
      <c r="AC82" s="301"/>
      <c r="AD82" s="301"/>
      <c r="AE82" s="301"/>
      <c r="AF82" s="301"/>
      <c r="AG82" s="301"/>
      <c r="AH82" s="301"/>
      <c r="AI82" s="301"/>
      <c r="AJ82" s="301"/>
      <c r="AK82" s="274"/>
      <c r="AL82" s="301"/>
      <c r="AM82" s="301"/>
      <c r="AN82" s="301"/>
      <c r="AO82" s="705"/>
      <c r="AP82" s="588"/>
      <c r="AQ82" s="588"/>
      <c r="AR82" s="588"/>
      <c r="AS82" s="588"/>
      <c r="AT82" s="588"/>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c r="GQ82" s="334"/>
      <c r="GR82" s="334"/>
      <c r="GS82" s="334"/>
      <c r="GT82" s="334"/>
      <c r="GU82" s="334"/>
      <c r="GV82" s="334"/>
      <c r="GW82" s="334"/>
      <c r="GX82" s="334"/>
      <c r="GY82" s="334"/>
      <c r="GZ82" s="334"/>
      <c r="HA82" s="334"/>
      <c r="HB82" s="334"/>
      <c r="HC82" s="334"/>
      <c r="HD82" s="334"/>
      <c r="HE82" s="334"/>
      <c r="HF82" s="334"/>
      <c r="HG82" s="334"/>
      <c r="HH82" s="334"/>
      <c r="HI82" s="334"/>
      <c r="HJ82" s="334"/>
      <c r="HK82" s="334"/>
      <c r="HL82" s="334"/>
      <c r="HM82" s="334"/>
      <c r="HN82" s="334"/>
      <c r="HO82" s="334"/>
      <c r="HP82" s="334"/>
      <c r="HQ82" s="334"/>
      <c r="HR82" s="334"/>
      <c r="HS82" s="334"/>
      <c r="HT82" s="334"/>
      <c r="HU82" s="334"/>
      <c r="HV82" s="334"/>
      <c r="HW82" s="334"/>
      <c r="HX82" s="334"/>
      <c r="HY82" s="334"/>
      <c r="HZ82" s="334"/>
      <c r="IA82" s="334"/>
      <c r="IB82" s="334"/>
      <c r="IC82" s="334"/>
      <c r="ID82" s="334"/>
      <c r="IE82" s="334"/>
      <c r="IF82" s="334"/>
      <c r="IG82" s="334"/>
      <c r="IH82" s="334"/>
      <c r="II82" s="334"/>
      <c r="IJ82" s="334"/>
      <c r="IK82" s="334"/>
      <c r="IL82" s="334"/>
      <c r="IM82" s="334"/>
      <c r="IN82" s="334"/>
      <c r="IO82" s="334"/>
      <c r="IP82" s="334"/>
      <c r="IQ82" s="334"/>
      <c r="IR82" s="334"/>
      <c r="IS82" s="334"/>
      <c r="IT82" s="334"/>
      <c r="IU82" s="334"/>
      <c r="IV82" s="334"/>
    </row>
    <row r="83" spans="1:41" ht="15.75">
      <c r="A83" s="682"/>
      <c r="B83" s="683"/>
      <c r="C83" s="277"/>
      <c r="D83" s="706"/>
      <c r="E83" s="181">
        <v>62</v>
      </c>
      <c r="F83" s="689" t="s">
        <v>760</v>
      </c>
      <c r="G83" s="690"/>
      <c r="H83" s="388"/>
      <c r="I83" s="388"/>
      <c r="J83" s="690"/>
      <c r="K83" s="690"/>
      <c r="L83" s="690"/>
      <c r="M83" s="388"/>
      <c r="N83" s="690"/>
      <c r="O83" s="707"/>
      <c r="P83" s="388"/>
      <c r="Q83" s="388"/>
      <c r="R83" s="388"/>
      <c r="S83" s="708"/>
      <c r="T83" s="422"/>
      <c r="U83" s="406"/>
      <c r="V83" s="718"/>
      <c r="W83" s="718"/>
      <c r="X83" s="690"/>
      <c r="Y83" s="690"/>
      <c r="Z83" s="690"/>
      <c r="AA83" s="690"/>
      <c r="AB83" s="690"/>
      <c r="AC83" s="690"/>
      <c r="AD83" s="690"/>
      <c r="AE83" s="690"/>
      <c r="AF83" s="690"/>
      <c r="AG83" s="690"/>
      <c r="AH83" s="690"/>
      <c r="AI83" s="690"/>
      <c r="AJ83" s="690"/>
      <c r="AK83" s="709"/>
      <c r="AL83" s="690"/>
      <c r="AM83" s="690"/>
      <c r="AN83" s="690"/>
      <c r="AO83" s="710"/>
    </row>
    <row r="84" spans="1:41" ht="46.5" customHeight="1">
      <c r="A84" s="682"/>
      <c r="B84" s="683"/>
      <c r="C84" s="277"/>
      <c r="D84" s="706"/>
      <c r="E84" s="263"/>
      <c r="F84" s="711"/>
      <c r="G84" s="3211">
        <v>191</v>
      </c>
      <c r="H84" s="3180" t="s">
        <v>761</v>
      </c>
      <c r="I84" s="2405" t="s">
        <v>762</v>
      </c>
      <c r="J84" s="2320">
        <v>1</v>
      </c>
      <c r="K84" s="720"/>
      <c r="L84" s="3187" t="s">
        <v>763</v>
      </c>
      <c r="M84" s="3126" t="s">
        <v>764</v>
      </c>
      <c r="N84" s="3096">
        <v>1</v>
      </c>
      <c r="O84" s="3216">
        <f>SUM(S84:S107)</f>
        <v>1284000000</v>
      </c>
      <c r="P84" s="3125" t="s">
        <v>765</v>
      </c>
      <c r="Q84" s="2375" t="s">
        <v>766</v>
      </c>
      <c r="R84" s="748" t="s">
        <v>767</v>
      </c>
      <c r="S84" s="749">
        <v>31680000</v>
      </c>
      <c r="T84" s="3139" t="s">
        <v>63</v>
      </c>
      <c r="U84" s="2093" t="s">
        <v>102</v>
      </c>
      <c r="V84" s="2905">
        <v>280</v>
      </c>
      <c r="W84" s="2905">
        <v>290</v>
      </c>
      <c r="X84" s="3213"/>
      <c r="Y84" s="3214"/>
      <c r="Z84" s="3214"/>
      <c r="AA84" s="3214"/>
      <c r="AB84" s="3214"/>
      <c r="AC84" s="3214"/>
      <c r="AD84" s="3214"/>
      <c r="AE84" s="3214"/>
      <c r="AF84" s="3214"/>
      <c r="AG84" s="3214"/>
      <c r="AH84" s="3214"/>
      <c r="AI84" s="3214"/>
      <c r="AJ84" s="2653"/>
      <c r="AK84" s="2905">
        <f>V84+W84</f>
        <v>570</v>
      </c>
      <c r="AL84" s="2406" t="s">
        <v>768</v>
      </c>
      <c r="AM84" s="2537">
        <v>43102</v>
      </c>
      <c r="AN84" s="2537">
        <v>43465</v>
      </c>
      <c r="AO84" s="2298" t="s">
        <v>639</v>
      </c>
    </row>
    <row r="85" spans="1:41" ht="29.25" customHeight="1">
      <c r="A85" s="682"/>
      <c r="B85" s="683"/>
      <c r="C85" s="277"/>
      <c r="D85" s="706"/>
      <c r="E85" s="277"/>
      <c r="F85" s="706"/>
      <c r="G85" s="3211"/>
      <c r="H85" s="3180"/>
      <c r="I85" s="2405"/>
      <c r="J85" s="2320"/>
      <c r="K85" s="722"/>
      <c r="L85" s="3187"/>
      <c r="M85" s="3126"/>
      <c r="N85" s="2685"/>
      <c r="O85" s="3216"/>
      <c r="P85" s="3125"/>
      <c r="Q85" s="2376"/>
      <c r="R85" s="748" t="s">
        <v>769</v>
      </c>
      <c r="S85" s="749">
        <f>15840000-14000000</f>
        <v>1840000</v>
      </c>
      <c r="T85" s="3140"/>
      <c r="U85" s="2128"/>
      <c r="V85" s="2939"/>
      <c r="W85" s="2939"/>
      <c r="X85" s="2658"/>
      <c r="Y85" s="3215"/>
      <c r="Z85" s="3215"/>
      <c r="AA85" s="3215"/>
      <c r="AB85" s="3215"/>
      <c r="AC85" s="3215"/>
      <c r="AD85" s="3215"/>
      <c r="AE85" s="3215"/>
      <c r="AF85" s="3215"/>
      <c r="AG85" s="3215"/>
      <c r="AH85" s="3215"/>
      <c r="AI85" s="3215"/>
      <c r="AJ85" s="2656"/>
      <c r="AK85" s="2939"/>
      <c r="AL85" s="3199"/>
      <c r="AM85" s="2537"/>
      <c r="AN85" s="2537"/>
      <c r="AO85" s="2298"/>
    </row>
    <row r="86" spans="1:41" ht="45" customHeight="1">
      <c r="A86" s="682"/>
      <c r="B86" s="683"/>
      <c r="C86" s="277"/>
      <c r="D86" s="706"/>
      <c r="E86" s="277"/>
      <c r="F86" s="706"/>
      <c r="G86" s="3211"/>
      <c r="H86" s="3180"/>
      <c r="I86" s="2405"/>
      <c r="J86" s="2320"/>
      <c r="K86" s="722"/>
      <c r="L86" s="3187"/>
      <c r="M86" s="3126"/>
      <c r="N86" s="2685"/>
      <c r="O86" s="3216"/>
      <c r="P86" s="3125"/>
      <c r="Q86" s="2376"/>
      <c r="R86" s="748" t="s">
        <v>770</v>
      </c>
      <c r="S86" s="749">
        <v>16020000</v>
      </c>
      <c r="T86" s="3140"/>
      <c r="U86" s="2128"/>
      <c r="V86" s="2939"/>
      <c r="W86" s="2939"/>
      <c r="X86" s="2658"/>
      <c r="Y86" s="3215"/>
      <c r="Z86" s="3215"/>
      <c r="AA86" s="3215"/>
      <c r="AB86" s="3215"/>
      <c r="AC86" s="3215"/>
      <c r="AD86" s="3215"/>
      <c r="AE86" s="3215"/>
      <c r="AF86" s="3215"/>
      <c r="AG86" s="3215"/>
      <c r="AH86" s="3215"/>
      <c r="AI86" s="3215"/>
      <c r="AJ86" s="2656"/>
      <c r="AK86" s="2939"/>
      <c r="AL86" s="3199"/>
      <c r="AM86" s="2537"/>
      <c r="AN86" s="2537"/>
      <c r="AO86" s="2298"/>
    </row>
    <row r="87" spans="1:41" ht="42.75" customHeight="1">
      <c r="A87" s="682"/>
      <c r="B87" s="683"/>
      <c r="C87" s="277"/>
      <c r="D87" s="706"/>
      <c r="E87" s="277"/>
      <c r="F87" s="706"/>
      <c r="G87" s="3211"/>
      <c r="H87" s="3180"/>
      <c r="I87" s="2405"/>
      <c r="J87" s="2320"/>
      <c r="K87" s="722"/>
      <c r="L87" s="3187"/>
      <c r="M87" s="3126"/>
      <c r="N87" s="2685"/>
      <c r="O87" s="3216"/>
      <c r="P87" s="3125"/>
      <c r="Q87" s="2376"/>
      <c r="R87" s="748" t="s">
        <v>771</v>
      </c>
      <c r="S87" s="749">
        <v>16020000</v>
      </c>
      <c r="T87" s="3140"/>
      <c r="U87" s="2128"/>
      <c r="V87" s="2939"/>
      <c r="W87" s="2939"/>
      <c r="X87" s="2658"/>
      <c r="Y87" s="3215"/>
      <c r="Z87" s="3215"/>
      <c r="AA87" s="3215"/>
      <c r="AB87" s="3215"/>
      <c r="AC87" s="3215"/>
      <c r="AD87" s="3215"/>
      <c r="AE87" s="3215"/>
      <c r="AF87" s="3215"/>
      <c r="AG87" s="3215"/>
      <c r="AH87" s="3215"/>
      <c r="AI87" s="3215"/>
      <c r="AJ87" s="2656"/>
      <c r="AK87" s="2939"/>
      <c r="AL87" s="3199"/>
      <c r="AM87" s="2537"/>
      <c r="AN87" s="2537"/>
      <c r="AO87" s="2298"/>
    </row>
    <row r="88" spans="1:41" ht="59.25" customHeight="1">
      <c r="A88" s="682"/>
      <c r="B88" s="683"/>
      <c r="C88" s="277"/>
      <c r="D88" s="706"/>
      <c r="E88" s="277"/>
      <c r="F88" s="706"/>
      <c r="G88" s="3211"/>
      <c r="H88" s="3180"/>
      <c r="I88" s="2405"/>
      <c r="J88" s="2320"/>
      <c r="K88" s="722"/>
      <c r="L88" s="3187"/>
      <c r="M88" s="3126"/>
      <c r="N88" s="2685"/>
      <c r="O88" s="3216"/>
      <c r="P88" s="3125"/>
      <c r="Q88" s="2376"/>
      <c r="R88" s="748" t="s">
        <v>772</v>
      </c>
      <c r="S88" s="749">
        <v>350000000</v>
      </c>
      <c r="T88" s="3140"/>
      <c r="U88" s="2128"/>
      <c r="V88" s="2939"/>
      <c r="W88" s="2939"/>
      <c r="X88" s="2658"/>
      <c r="Y88" s="3215"/>
      <c r="Z88" s="3215"/>
      <c r="AA88" s="3215"/>
      <c r="AB88" s="3215"/>
      <c r="AC88" s="3215"/>
      <c r="AD88" s="3215"/>
      <c r="AE88" s="3215"/>
      <c r="AF88" s="3215"/>
      <c r="AG88" s="3215"/>
      <c r="AH88" s="3215"/>
      <c r="AI88" s="3215"/>
      <c r="AJ88" s="2656"/>
      <c r="AK88" s="2939"/>
      <c r="AL88" s="3199"/>
      <c r="AM88" s="2537"/>
      <c r="AN88" s="2537"/>
      <c r="AO88" s="2298"/>
    </row>
    <row r="89" spans="1:41" ht="120" customHeight="1">
      <c r="A89" s="682"/>
      <c r="B89" s="683"/>
      <c r="C89" s="277"/>
      <c r="D89" s="706"/>
      <c r="E89" s="277"/>
      <c r="F89" s="706"/>
      <c r="G89" s="3211"/>
      <c r="H89" s="3180"/>
      <c r="I89" s="2405"/>
      <c r="J89" s="2320"/>
      <c r="K89" s="722"/>
      <c r="L89" s="3187"/>
      <c r="M89" s="3126"/>
      <c r="N89" s="2685"/>
      <c r="O89" s="3216"/>
      <c r="P89" s="3125"/>
      <c r="Q89" s="2376"/>
      <c r="R89" s="748" t="s">
        <v>773</v>
      </c>
      <c r="S89" s="749">
        <f>36120000-9480000</f>
        <v>26640000</v>
      </c>
      <c r="T89" s="3140"/>
      <c r="U89" s="2128"/>
      <c r="V89" s="2939"/>
      <c r="W89" s="2939"/>
      <c r="X89" s="2658"/>
      <c r="Y89" s="3215"/>
      <c r="Z89" s="3215"/>
      <c r="AA89" s="3215"/>
      <c r="AB89" s="3215"/>
      <c r="AC89" s="3215"/>
      <c r="AD89" s="3215"/>
      <c r="AE89" s="3215"/>
      <c r="AF89" s="3215"/>
      <c r="AG89" s="3215"/>
      <c r="AH89" s="3215"/>
      <c r="AI89" s="3215"/>
      <c r="AJ89" s="2656"/>
      <c r="AK89" s="2939"/>
      <c r="AL89" s="3199"/>
      <c r="AM89" s="2537"/>
      <c r="AN89" s="2537"/>
      <c r="AO89" s="2298"/>
    </row>
    <row r="90" spans="1:41" ht="59.25" customHeight="1">
      <c r="A90" s="682"/>
      <c r="B90" s="683"/>
      <c r="C90" s="277"/>
      <c r="D90" s="706"/>
      <c r="E90" s="277"/>
      <c r="F90" s="706"/>
      <c r="G90" s="3211"/>
      <c r="H90" s="3180"/>
      <c r="I90" s="2405"/>
      <c r="J90" s="2320"/>
      <c r="K90" s="722"/>
      <c r="L90" s="3187"/>
      <c r="M90" s="3126"/>
      <c r="N90" s="2685"/>
      <c r="O90" s="3216"/>
      <c r="P90" s="3125"/>
      <c r="Q90" s="2376"/>
      <c r="R90" s="748" t="s">
        <v>774</v>
      </c>
      <c r="S90" s="749">
        <v>21160000</v>
      </c>
      <c r="T90" s="3140"/>
      <c r="U90" s="2128"/>
      <c r="V90" s="2939"/>
      <c r="W90" s="2939"/>
      <c r="X90" s="2658"/>
      <c r="Y90" s="3215"/>
      <c r="Z90" s="3215"/>
      <c r="AA90" s="3215"/>
      <c r="AB90" s="3215"/>
      <c r="AC90" s="3215"/>
      <c r="AD90" s="3215"/>
      <c r="AE90" s="3215"/>
      <c r="AF90" s="3215"/>
      <c r="AG90" s="3215"/>
      <c r="AH90" s="3215"/>
      <c r="AI90" s="3215"/>
      <c r="AJ90" s="2656"/>
      <c r="AK90" s="2939"/>
      <c r="AL90" s="3199"/>
      <c r="AM90" s="2537"/>
      <c r="AN90" s="2537"/>
      <c r="AO90" s="2298"/>
    </row>
    <row r="91" spans="1:41" ht="47.25" customHeight="1">
      <c r="A91" s="682"/>
      <c r="B91" s="683"/>
      <c r="C91" s="277"/>
      <c r="D91" s="706"/>
      <c r="E91" s="277"/>
      <c r="F91" s="706"/>
      <c r="G91" s="3211"/>
      <c r="H91" s="3180"/>
      <c r="I91" s="2405"/>
      <c r="J91" s="2320"/>
      <c r="K91" s="722"/>
      <c r="L91" s="3187"/>
      <c r="M91" s="3126"/>
      <c r="N91" s="2685"/>
      <c r="O91" s="3216"/>
      <c r="P91" s="3125"/>
      <c r="Q91" s="2376"/>
      <c r="R91" s="748" t="s">
        <v>775</v>
      </c>
      <c r="S91" s="749">
        <v>15840000</v>
      </c>
      <c r="T91" s="3140"/>
      <c r="U91" s="2128"/>
      <c r="V91" s="2939"/>
      <c r="W91" s="2939"/>
      <c r="X91" s="2658"/>
      <c r="Y91" s="3215"/>
      <c r="Z91" s="3215"/>
      <c r="AA91" s="3215"/>
      <c r="AB91" s="3215"/>
      <c r="AC91" s="3215"/>
      <c r="AD91" s="3215"/>
      <c r="AE91" s="3215"/>
      <c r="AF91" s="3215"/>
      <c r="AG91" s="3215"/>
      <c r="AH91" s="3215"/>
      <c r="AI91" s="3215"/>
      <c r="AJ91" s="2656"/>
      <c r="AK91" s="2939"/>
      <c r="AL91" s="3199"/>
      <c r="AM91" s="2537"/>
      <c r="AN91" s="2537"/>
      <c r="AO91" s="2298"/>
    </row>
    <row r="92" spans="1:41" ht="33" customHeight="1">
      <c r="A92" s="682"/>
      <c r="B92" s="683"/>
      <c r="C92" s="277"/>
      <c r="D92" s="706"/>
      <c r="E92" s="277"/>
      <c r="F92" s="706"/>
      <c r="G92" s="3211"/>
      <c r="H92" s="3180"/>
      <c r="I92" s="2405"/>
      <c r="J92" s="2320"/>
      <c r="K92" s="722"/>
      <c r="L92" s="3187"/>
      <c r="M92" s="3126"/>
      <c r="N92" s="2685"/>
      <c r="O92" s="3216"/>
      <c r="P92" s="3125"/>
      <c r="Q92" s="2376"/>
      <c r="R92" s="748" t="s">
        <v>776</v>
      </c>
      <c r="S92" s="749">
        <v>15840000</v>
      </c>
      <c r="T92" s="3140"/>
      <c r="U92" s="2128"/>
      <c r="V92" s="2939"/>
      <c r="W92" s="2939"/>
      <c r="X92" s="2658"/>
      <c r="Y92" s="3215"/>
      <c r="Z92" s="3215"/>
      <c r="AA92" s="3215"/>
      <c r="AB92" s="3215"/>
      <c r="AC92" s="3215"/>
      <c r="AD92" s="3215"/>
      <c r="AE92" s="3215"/>
      <c r="AF92" s="3215"/>
      <c r="AG92" s="3215"/>
      <c r="AH92" s="3215"/>
      <c r="AI92" s="3215"/>
      <c r="AJ92" s="2656"/>
      <c r="AK92" s="2939"/>
      <c r="AL92" s="3199"/>
      <c r="AM92" s="2537"/>
      <c r="AN92" s="2537"/>
      <c r="AO92" s="2298"/>
    </row>
    <row r="93" spans="1:41" ht="71.25" customHeight="1">
      <c r="A93" s="682"/>
      <c r="B93" s="683"/>
      <c r="C93" s="277"/>
      <c r="D93" s="706"/>
      <c r="E93" s="277"/>
      <c r="F93" s="706"/>
      <c r="G93" s="3211"/>
      <c r="H93" s="3180"/>
      <c r="I93" s="2405"/>
      <c r="J93" s="2320"/>
      <c r="K93" s="722"/>
      <c r="L93" s="3187"/>
      <c r="M93" s="3126"/>
      <c r="N93" s="2685"/>
      <c r="O93" s="3216"/>
      <c r="P93" s="3125"/>
      <c r="Q93" s="2376"/>
      <c r="R93" s="748" t="s">
        <v>777</v>
      </c>
      <c r="S93" s="749">
        <f>95040000-21060000</f>
        <v>73980000</v>
      </c>
      <c r="T93" s="3140"/>
      <c r="U93" s="2128"/>
      <c r="V93" s="2939"/>
      <c r="W93" s="2939"/>
      <c r="X93" s="2658"/>
      <c r="Y93" s="3215"/>
      <c r="Z93" s="3215"/>
      <c r="AA93" s="3215"/>
      <c r="AB93" s="3215"/>
      <c r="AC93" s="3215"/>
      <c r="AD93" s="3215"/>
      <c r="AE93" s="3215"/>
      <c r="AF93" s="3215"/>
      <c r="AG93" s="3215"/>
      <c r="AH93" s="3215"/>
      <c r="AI93" s="3215"/>
      <c r="AJ93" s="2656"/>
      <c r="AK93" s="2939"/>
      <c r="AL93" s="3199"/>
      <c r="AM93" s="2537"/>
      <c r="AN93" s="2537"/>
      <c r="AO93" s="2298"/>
    </row>
    <row r="94" spans="1:41" ht="67.5" customHeight="1">
      <c r="A94" s="682"/>
      <c r="B94" s="683"/>
      <c r="C94" s="277"/>
      <c r="D94" s="706"/>
      <c r="E94" s="277"/>
      <c r="F94" s="706"/>
      <c r="G94" s="3211"/>
      <c r="H94" s="3180"/>
      <c r="I94" s="2405"/>
      <c r="J94" s="2320"/>
      <c r="K94" s="722"/>
      <c r="L94" s="3187"/>
      <c r="M94" s="3126"/>
      <c r="N94" s="2685"/>
      <c r="O94" s="3216"/>
      <c r="P94" s="3125"/>
      <c r="Q94" s="2376"/>
      <c r="R94" s="748" t="s">
        <v>778</v>
      </c>
      <c r="S94" s="749">
        <v>16150000</v>
      </c>
      <c r="T94" s="3140"/>
      <c r="U94" s="2128"/>
      <c r="V94" s="2939"/>
      <c r="W94" s="2939"/>
      <c r="X94" s="2658"/>
      <c r="Y94" s="3215"/>
      <c r="Z94" s="3215"/>
      <c r="AA94" s="3215"/>
      <c r="AB94" s="3215"/>
      <c r="AC94" s="3215"/>
      <c r="AD94" s="3215"/>
      <c r="AE94" s="3215"/>
      <c r="AF94" s="3215"/>
      <c r="AG94" s="3215"/>
      <c r="AH94" s="3215"/>
      <c r="AI94" s="3215"/>
      <c r="AJ94" s="2656"/>
      <c r="AK94" s="2939"/>
      <c r="AL94" s="3199"/>
      <c r="AM94" s="2537"/>
      <c r="AN94" s="2537"/>
      <c r="AO94" s="2298"/>
    </row>
    <row r="95" spans="1:41" ht="84" customHeight="1">
      <c r="A95" s="682"/>
      <c r="B95" s="683"/>
      <c r="C95" s="277"/>
      <c r="D95" s="706"/>
      <c r="E95" s="277"/>
      <c r="F95" s="706"/>
      <c r="G95" s="3211"/>
      <c r="H95" s="3180"/>
      <c r="I95" s="2405"/>
      <c r="J95" s="2320"/>
      <c r="K95" s="722" t="s">
        <v>779</v>
      </c>
      <c r="L95" s="3187"/>
      <c r="M95" s="3126"/>
      <c r="N95" s="2685"/>
      <c r="O95" s="3216"/>
      <c r="P95" s="3125"/>
      <c r="Q95" s="2376"/>
      <c r="R95" s="748" t="s">
        <v>780</v>
      </c>
      <c r="S95" s="749">
        <v>199265864</v>
      </c>
      <c r="T95" s="3140"/>
      <c r="U95" s="2128"/>
      <c r="V95" s="2939"/>
      <c r="W95" s="2939"/>
      <c r="X95" s="2658"/>
      <c r="Y95" s="3215"/>
      <c r="Z95" s="3215"/>
      <c r="AA95" s="3215"/>
      <c r="AB95" s="3215"/>
      <c r="AC95" s="3215"/>
      <c r="AD95" s="3215"/>
      <c r="AE95" s="3215"/>
      <c r="AF95" s="3215"/>
      <c r="AG95" s="3215"/>
      <c r="AH95" s="3215"/>
      <c r="AI95" s="3215"/>
      <c r="AJ95" s="2656"/>
      <c r="AK95" s="2939"/>
      <c r="AL95" s="3199"/>
      <c r="AM95" s="2537"/>
      <c r="AN95" s="2537"/>
      <c r="AO95" s="2298"/>
    </row>
    <row r="96" spans="1:256" s="229" customFormat="1" ht="99" customHeight="1">
      <c r="A96" s="682"/>
      <c r="B96" s="683"/>
      <c r="C96" s="277"/>
      <c r="D96" s="706"/>
      <c r="E96" s="277"/>
      <c r="F96" s="706"/>
      <c r="G96" s="3211"/>
      <c r="H96" s="3180"/>
      <c r="I96" s="2405"/>
      <c r="J96" s="2320"/>
      <c r="K96" s="722" t="s">
        <v>781</v>
      </c>
      <c r="L96" s="3187"/>
      <c r="M96" s="3126"/>
      <c r="N96" s="2685"/>
      <c r="O96" s="3216"/>
      <c r="P96" s="3125"/>
      <c r="Q96" s="2376"/>
      <c r="R96" s="748" t="s">
        <v>782</v>
      </c>
      <c r="S96" s="749">
        <f>32040000-29120000</f>
        <v>2920000</v>
      </c>
      <c r="T96" s="3140"/>
      <c r="U96" s="2128"/>
      <c r="V96" s="2939"/>
      <c r="W96" s="2939"/>
      <c r="X96" s="2658"/>
      <c r="Y96" s="3215"/>
      <c r="Z96" s="3215"/>
      <c r="AA96" s="3215"/>
      <c r="AB96" s="3215"/>
      <c r="AC96" s="3215"/>
      <c r="AD96" s="3215"/>
      <c r="AE96" s="3215"/>
      <c r="AF96" s="3215"/>
      <c r="AG96" s="3215"/>
      <c r="AH96" s="3215"/>
      <c r="AI96" s="3215"/>
      <c r="AJ96" s="2656"/>
      <c r="AK96" s="2939"/>
      <c r="AL96" s="3199"/>
      <c r="AM96" s="2537"/>
      <c r="AN96" s="2537"/>
      <c r="AO96" s="2298"/>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1"/>
      <c r="FA96" s="131"/>
      <c r="FB96" s="131"/>
      <c r="FC96" s="131"/>
      <c r="FD96" s="131"/>
      <c r="FE96" s="131"/>
      <c r="FF96" s="131"/>
      <c r="FG96" s="131"/>
      <c r="FH96" s="131"/>
      <c r="FI96" s="131"/>
      <c r="FJ96" s="131"/>
      <c r="FK96" s="131"/>
      <c r="FL96" s="131"/>
      <c r="FM96" s="131"/>
      <c r="FN96" s="131"/>
      <c r="FO96" s="131"/>
      <c r="FP96" s="131"/>
      <c r="FQ96" s="131"/>
      <c r="FR96" s="131"/>
      <c r="FS96" s="131"/>
      <c r="FT96" s="131"/>
      <c r="FU96" s="131"/>
      <c r="FV96" s="131"/>
      <c r="FW96" s="131"/>
      <c r="FX96" s="131"/>
      <c r="FY96" s="131"/>
      <c r="FZ96" s="131"/>
      <c r="GA96" s="131"/>
      <c r="GB96" s="131"/>
      <c r="GC96" s="131"/>
      <c r="GD96" s="131"/>
      <c r="GE96" s="131"/>
      <c r="GF96" s="131"/>
      <c r="GG96" s="131"/>
      <c r="GH96" s="131"/>
      <c r="GI96" s="131"/>
      <c r="GJ96" s="131"/>
      <c r="GK96" s="131"/>
      <c r="GL96" s="131"/>
      <c r="GM96" s="131"/>
      <c r="GN96" s="131"/>
      <c r="GO96" s="131"/>
      <c r="GP96" s="131"/>
      <c r="GQ96" s="131"/>
      <c r="GR96" s="131"/>
      <c r="GS96" s="131"/>
      <c r="GT96" s="131"/>
      <c r="GU96" s="131"/>
      <c r="GV96" s="131"/>
      <c r="GW96" s="131"/>
      <c r="GX96" s="131"/>
      <c r="GY96" s="131"/>
      <c r="GZ96" s="131"/>
      <c r="HA96" s="131"/>
      <c r="HB96" s="131"/>
      <c r="HC96" s="131"/>
      <c r="HD96" s="131"/>
      <c r="HE96" s="131"/>
      <c r="HF96" s="131"/>
      <c r="HG96" s="131"/>
      <c r="HH96" s="131"/>
      <c r="HI96" s="131"/>
      <c r="HJ96" s="131"/>
      <c r="HK96" s="131"/>
      <c r="HL96" s="131"/>
      <c r="HM96" s="131"/>
      <c r="HN96" s="131"/>
      <c r="HO96" s="131"/>
      <c r="HP96" s="131"/>
      <c r="HQ96" s="131"/>
      <c r="HR96" s="131"/>
      <c r="HS96" s="131"/>
      <c r="HT96" s="131"/>
      <c r="HU96" s="131"/>
      <c r="HV96" s="131"/>
      <c r="HW96" s="131"/>
      <c r="HX96" s="131"/>
      <c r="HY96" s="131"/>
      <c r="HZ96" s="131"/>
      <c r="IA96" s="131"/>
      <c r="IB96" s="131"/>
      <c r="IC96" s="131"/>
      <c r="ID96" s="131"/>
      <c r="IE96" s="131"/>
      <c r="IF96" s="131"/>
      <c r="IG96" s="131"/>
      <c r="IH96" s="131"/>
      <c r="II96" s="131"/>
      <c r="IJ96" s="131"/>
      <c r="IK96" s="131"/>
      <c r="IL96" s="131"/>
      <c r="IM96" s="131"/>
      <c r="IN96" s="131"/>
      <c r="IO96" s="131"/>
      <c r="IP96" s="131"/>
      <c r="IQ96" s="131"/>
      <c r="IR96" s="131"/>
      <c r="IS96" s="131"/>
      <c r="IT96" s="131"/>
      <c r="IU96" s="131"/>
      <c r="IV96" s="131"/>
    </row>
    <row r="97" spans="1:256" s="229" customFormat="1" ht="56.25" customHeight="1">
      <c r="A97" s="682"/>
      <c r="B97" s="683"/>
      <c r="C97" s="277"/>
      <c r="D97" s="706"/>
      <c r="E97" s="277"/>
      <c r="F97" s="706"/>
      <c r="G97" s="3211"/>
      <c r="H97" s="3180"/>
      <c r="I97" s="2405"/>
      <c r="J97" s="2320"/>
      <c r="K97" s="722"/>
      <c r="L97" s="3187"/>
      <c r="M97" s="3180"/>
      <c r="N97" s="2685"/>
      <c r="O97" s="3217"/>
      <c r="P97" s="3125"/>
      <c r="Q97" s="2376"/>
      <c r="R97" s="748" t="s">
        <v>783</v>
      </c>
      <c r="S97" s="749">
        <v>14360000</v>
      </c>
      <c r="T97" s="3140"/>
      <c r="U97" s="2128"/>
      <c r="V97" s="2939"/>
      <c r="W97" s="2939"/>
      <c r="X97" s="2658"/>
      <c r="Y97" s="3215"/>
      <c r="Z97" s="3215"/>
      <c r="AA97" s="3215"/>
      <c r="AB97" s="3215"/>
      <c r="AC97" s="3215"/>
      <c r="AD97" s="3215"/>
      <c r="AE97" s="3215"/>
      <c r="AF97" s="3215"/>
      <c r="AG97" s="3215"/>
      <c r="AH97" s="3215"/>
      <c r="AI97" s="3215"/>
      <c r="AJ97" s="2656"/>
      <c r="AK97" s="2939"/>
      <c r="AL97" s="3199"/>
      <c r="AM97" s="2887"/>
      <c r="AN97" s="2887"/>
      <c r="AO97" s="2298"/>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c r="EI97" s="131"/>
      <c r="EJ97" s="131"/>
      <c r="EK97" s="131"/>
      <c r="EL97" s="131"/>
      <c r="EM97" s="131"/>
      <c r="EN97" s="131"/>
      <c r="EO97" s="131"/>
      <c r="EP97" s="131"/>
      <c r="EQ97" s="131"/>
      <c r="ER97" s="131"/>
      <c r="ES97" s="131"/>
      <c r="ET97" s="131"/>
      <c r="EU97" s="131"/>
      <c r="EV97" s="131"/>
      <c r="EW97" s="131"/>
      <c r="EX97" s="131"/>
      <c r="EY97" s="131"/>
      <c r="EZ97" s="131"/>
      <c r="FA97" s="131"/>
      <c r="FB97" s="131"/>
      <c r="FC97" s="131"/>
      <c r="FD97" s="131"/>
      <c r="FE97" s="131"/>
      <c r="FF97" s="131"/>
      <c r="FG97" s="131"/>
      <c r="FH97" s="131"/>
      <c r="FI97" s="131"/>
      <c r="FJ97" s="131"/>
      <c r="FK97" s="131"/>
      <c r="FL97" s="131"/>
      <c r="FM97" s="131"/>
      <c r="FN97" s="131"/>
      <c r="FO97" s="131"/>
      <c r="FP97" s="131"/>
      <c r="FQ97" s="131"/>
      <c r="FR97" s="131"/>
      <c r="FS97" s="131"/>
      <c r="FT97" s="131"/>
      <c r="FU97" s="131"/>
      <c r="FV97" s="131"/>
      <c r="FW97" s="131"/>
      <c r="FX97" s="131"/>
      <c r="FY97" s="131"/>
      <c r="FZ97" s="131"/>
      <c r="GA97" s="131"/>
      <c r="GB97" s="131"/>
      <c r="GC97" s="131"/>
      <c r="GD97" s="131"/>
      <c r="GE97" s="131"/>
      <c r="GF97" s="131"/>
      <c r="GG97" s="131"/>
      <c r="GH97" s="131"/>
      <c r="GI97" s="131"/>
      <c r="GJ97" s="131"/>
      <c r="GK97" s="131"/>
      <c r="GL97" s="131"/>
      <c r="GM97" s="131"/>
      <c r="GN97" s="131"/>
      <c r="GO97" s="131"/>
      <c r="GP97" s="131"/>
      <c r="GQ97" s="131"/>
      <c r="GR97" s="131"/>
      <c r="GS97" s="131"/>
      <c r="GT97" s="131"/>
      <c r="GU97" s="131"/>
      <c r="GV97" s="131"/>
      <c r="GW97" s="131"/>
      <c r="GX97" s="131"/>
      <c r="GY97" s="131"/>
      <c r="GZ97" s="131"/>
      <c r="HA97" s="131"/>
      <c r="HB97" s="131"/>
      <c r="HC97" s="131"/>
      <c r="HD97" s="131"/>
      <c r="HE97" s="131"/>
      <c r="HF97" s="131"/>
      <c r="HG97" s="131"/>
      <c r="HH97" s="131"/>
      <c r="HI97" s="131"/>
      <c r="HJ97" s="131"/>
      <c r="HK97" s="131"/>
      <c r="HL97" s="131"/>
      <c r="HM97" s="131"/>
      <c r="HN97" s="131"/>
      <c r="HO97" s="131"/>
      <c r="HP97" s="131"/>
      <c r="HQ97" s="131"/>
      <c r="HR97" s="131"/>
      <c r="HS97" s="131"/>
      <c r="HT97" s="131"/>
      <c r="HU97" s="131"/>
      <c r="HV97" s="131"/>
      <c r="HW97" s="131"/>
      <c r="HX97" s="131"/>
      <c r="HY97" s="131"/>
      <c r="HZ97" s="131"/>
      <c r="IA97" s="131"/>
      <c r="IB97" s="131"/>
      <c r="IC97" s="131"/>
      <c r="ID97" s="131"/>
      <c r="IE97" s="131"/>
      <c r="IF97" s="131"/>
      <c r="IG97" s="131"/>
      <c r="IH97" s="131"/>
      <c r="II97" s="131"/>
      <c r="IJ97" s="131"/>
      <c r="IK97" s="131"/>
      <c r="IL97" s="131"/>
      <c r="IM97" s="131"/>
      <c r="IN97" s="131"/>
      <c r="IO97" s="131"/>
      <c r="IP97" s="131"/>
      <c r="IQ97" s="131"/>
      <c r="IR97" s="131"/>
      <c r="IS97" s="131"/>
      <c r="IT97" s="131"/>
      <c r="IU97" s="131"/>
      <c r="IV97" s="131"/>
    </row>
    <row r="98" spans="1:256" s="229" customFormat="1" ht="54.75" customHeight="1">
      <c r="A98" s="682"/>
      <c r="B98" s="683"/>
      <c r="C98" s="277"/>
      <c r="D98" s="706"/>
      <c r="E98" s="277"/>
      <c r="F98" s="706"/>
      <c r="G98" s="3211"/>
      <c r="H98" s="3180"/>
      <c r="I98" s="2405"/>
      <c r="J98" s="2320"/>
      <c r="K98" s="722"/>
      <c r="L98" s="3187"/>
      <c r="M98" s="3180"/>
      <c r="N98" s="2685"/>
      <c r="O98" s="3217"/>
      <c r="P98" s="3125"/>
      <c r="Q98" s="2376"/>
      <c r="R98" s="750" t="s">
        <v>784</v>
      </c>
      <c r="S98" s="749">
        <f>11040000-11040000</f>
        <v>0</v>
      </c>
      <c r="T98" s="3140"/>
      <c r="U98" s="2128"/>
      <c r="V98" s="2939"/>
      <c r="W98" s="2939"/>
      <c r="X98" s="2658"/>
      <c r="Y98" s="3215"/>
      <c r="Z98" s="3215"/>
      <c r="AA98" s="3215"/>
      <c r="AB98" s="3215"/>
      <c r="AC98" s="3215"/>
      <c r="AD98" s="3215"/>
      <c r="AE98" s="3215"/>
      <c r="AF98" s="3215"/>
      <c r="AG98" s="3215"/>
      <c r="AH98" s="3215"/>
      <c r="AI98" s="3215"/>
      <c r="AJ98" s="2656"/>
      <c r="AK98" s="2939"/>
      <c r="AL98" s="3199"/>
      <c r="AM98" s="2887"/>
      <c r="AN98" s="2887"/>
      <c r="AO98" s="2298"/>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c r="FP98" s="131"/>
      <c r="FQ98" s="131"/>
      <c r="FR98" s="131"/>
      <c r="FS98" s="131"/>
      <c r="FT98" s="131"/>
      <c r="FU98" s="131"/>
      <c r="FV98" s="131"/>
      <c r="FW98" s="131"/>
      <c r="FX98" s="131"/>
      <c r="FY98" s="131"/>
      <c r="FZ98" s="131"/>
      <c r="GA98" s="131"/>
      <c r="GB98" s="131"/>
      <c r="GC98" s="131"/>
      <c r="GD98" s="131"/>
      <c r="GE98" s="131"/>
      <c r="GF98" s="131"/>
      <c r="GG98" s="131"/>
      <c r="GH98" s="131"/>
      <c r="GI98" s="131"/>
      <c r="GJ98" s="131"/>
      <c r="GK98" s="131"/>
      <c r="GL98" s="131"/>
      <c r="GM98" s="131"/>
      <c r="GN98" s="131"/>
      <c r="GO98" s="131"/>
      <c r="GP98" s="131"/>
      <c r="GQ98" s="131"/>
      <c r="GR98" s="131"/>
      <c r="GS98" s="131"/>
      <c r="GT98" s="131"/>
      <c r="GU98" s="131"/>
      <c r="GV98" s="131"/>
      <c r="GW98" s="131"/>
      <c r="GX98" s="131"/>
      <c r="GY98" s="131"/>
      <c r="GZ98" s="131"/>
      <c r="HA98" s="131"/>
      <c r="HB98" s="131"/>
      <c r="HC98" s="131"/>
      <c r="HD98" s="131"/>
      <c r="HE98" s="131"/>
      <c r="HF98" s="131"/>
      <c r="HG98" s="131"/>
      <c r="HH98" s="131"/>
      <c r="HI98" s="131"/>
      <c r="HJ98" s="131"/>
      <c r="HK98" s="131"/>
      <c r="HL98" s="131"/>
      <c r="HM98" s="131"/>
      <c r="HN98" s="131"/>
      <c r="HO98" s="131"/>
      <c r="HP98" s="131"/>
      <c r="HQ98" s="131"/>
      <c r="HR98" s="131"/>
      <c r="HS98" s="131"/>
      <c r="HT98" s="131"/>
      <c r="HU98" s="131"/>
      <c r="HV98" s="131"/>
      <c r="HW98" s="131"/>
      <c r="HX98" s="131"/>
      <c r="HY98" s="131"/>
      <c r="HZ98" s="131"/>
      <c r="IA98" s="131"/>
      <c r="IB98" s="131"/>
      <c r="IC98" s="131"/>
      <c r="ID98" s="131"/>
      <c r="IE98" s="131"/>
      <c r="IF98" s="131"/>
      <c r="IG98" s="131"/>
      <c r="IH98" s="131"/>
      <c r="II98" s="131"/>
      <c r="IJ98" s="131"/>
      <c r="IK98" s="131"/>
      <c r="IL98" s="131"/>
      <c r="IM98" s="131"/>
      <c r="IN98" s="131"/>
      <c r="IO98" s="131"/>
      <c r="IP98" s="131"/>
      <c r="IQ98" s="131"/>
      <c r="IR98" s="131"/>
      <c r="IS98" s="131"/>
      <c r="IT98" s="131"/>
      <c r="IU98" s="131"/>
      <c r="IV98" s="131"/>
    </row>
    <row r="99" spans="1:256" s="229" customFormat="1" ht="80.25" customHeight="1">
      <c r="A99" s="682"/>
      <c r="B99" s="683"/>
      <c r="C99" s="277"/>
      <c r="D99" s="706"/>
      <c r="E99" s="277"/>
      <c r="F99" s="706"/>
      <c r="G99" s="3211"/>
      <c r="H99" s="3180"/>
      <c r="I99" s="2405"/>
      <c r="J99" s="2320"/>
      <c r="K99" s="722"/>
      <c r="L99" s="3187"/>
      <c r="M99" s="3180"/>
      <c r="N99" s="2685"/>
      <c r="O99" s="3217"/>
      <c r="P99" s="3125"/>
      <c r="Q99" s="2376"/>
      <c r="R99" s="751" t="s">
        <v>785</v>
      </c>
      <c r="S99" s="749">
        <f>12000000-12000000</f>
        <v>0</v>
      </c>
      <c r="T99" s="3140"/>
      <c r="U99" s="2128"/>
      <c r="V99" s="2939"/>
      <c r="W99" s="2939"/>
      <c r="X99" s="2658"/>
      <c r="Y99" s="3215"/>
      <c r="Z99" s="3215"/>
      <c r="AA99" s="3215"/>
      <c r="AB99" s="3215"/>
      <c r="AC99" s="3215"/>
      <c r="AD99" s="3215"/>
      <c r="AE99" s="3215"/>
      <c r="AF99" s="3215"/>
      <c r="AG99" s="3215"/>
      <c r="AH99" s="3215"/>
      <c r="AI99" s="3215"/>
      <c r="AJ99" s="2656"/>
      <c r="AK99" s="2939"/>
      <c r="AL99" s="3199"/>
      <c r="AM99" s="2887"/>
      <c r="AN99" s="2887"/>
      <c r="AO99" s="2298"/>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c r="CR99" s="131"/>
      <c r="CS99" s="131"/>
      <c r="CT99" s="131"/>
      <c r="CU99" s="131"/>
      <c r="CV99" s="131"/>
      <c r="CW99" s="131"/>
      <c r="CX99" s="131"/>
      <c r="CY99" s="131"/>
      <c r="CZ99" s="131"/>
      <c r="DA99" s="131"/>
      <c r="DB99" s="131"/>
      <c r="DC99" s="131"/>
      <c r="DD99" s="131"/>
      <c r="DE99" s="131"/>
      <c r="DF99" s="131"/>
      <c r="DG99" s="131"/>
      <c r="DH99" s="131"/>
      <c r="DI99" s="131"/>
      <c r="DJ99" s="131"/>
      <c r="DK99" s="131"/>
      <c r="DL99" s="131"/>
      <c r="DM99" s="131"/>
      <c r="DN99" s="131"/>
      <c r="DO99" s="131"/>
      <c r="DP99" s="131"/>
      <c r="DQ99" s="131"/>
      <c r="DR99" s="131"/>
      <c r="DS99" s="131"/>
      <c r="DT99" s="131"/>
      <c r="DU99" s="131"/>
      <c r="DV99" s="131"/>
      <c r="DW99" s="131"/>
      <c r="DX99" s="131"/>
      <c r="DY99" s="131"/>
      <c r="DZ99" s="131"/>
      <c r="EA99" s="131"/>
      <c r="EB99" s="131"/>
      <c r="EC99" s="131"/>
      <c r="ED99" s="131"/>
      <c r="EE99" s="131"/>
      <c r="EF99" s="131"/>
      <c r="EG99" s="131"/>
      <c r="EH99" s="131"/>
      <c r="EI99" s="131"/>
      <c r="EJ99" s="131"/>
      <c r="EK99" s="131"/>
      <c r="EL99" s="131"/>
      <c r="EM99" s="131"/>
      <c r="EN99" s="131"/>
      <c r="EO99" s="131"/>
      <c r="EP99" s="131"/>
      <c r="EQ99" s="131"/>
      <c r="ER99" s="131"/>
      <c r="ES99" s="131"/>
      <c r="ET99" s="131"/>
      <c r="EU99" s="131"/>
      <c r="EV99" s="131"/>
      <c r="EW99" s="131"/>
      <c r="EX99" s="131"/>
      <c r="EY99" s="131"/>
      <c r="EZ99" s="131"/>
      <c r="FA99" s="131"/>
      <c r="FB99" s="131"/>
      <c r="FC99" s="131"/>
      <c r="FD99" s="131"/>
      <c r="FE99" s="131"/>
      <c r="FF99" s="131"/>
      <c r="FG99" s="131"/>
      <c r="FH99" s="131"/>
      <c r="FI99" s="131"/>
      <c r="FJ99" s="131"/>
      <c r="FK99" s="131"/>
      <c r="FL99" s="131"/>
      <c r="FM99" s="131"/>
      <c r="FN99" s="131"/>
      <c r="FO99" s="131"/>
      <c r="FP99" s="131"/>
      <c r="FQ99" s="131"/>
      <c r="FR99" s="131"/>
      <c r="FS99" s="131"/>
      <c r="FT99" s="131"/>
      <c r="FU99" s="131"/>
      <c r="FV99" s="131"/>
      <c r="FW99" s="131"/>
      <c r="FX99" s="131"/>
      <c r="FY99" s="131"/>
      <c r="FZ99" s="131"/>
      <c r="GA99" s="131"/>
      <c r="GB99" s="131"/>
      <c r="GC99" s="131"/>
      <c r="GD99" s="131"/>
      <c r="GE99" s="131"/>
      <c r="GF99" s="131"/>
      <c r="GG99" s="131"/>
      <c r="GH99" s="131"/>
      <c r="GI99" s="131"/>
      <c r="GJ99" s="131"/>
      <c r="GK99" s="131"/>
      <c r="GL99" s="131"/>
      <c r="GM99" s="131"/>
      <c r="GN99" s="131"/>
      <c r="GO99" s="131"/>
      <c r="GP99" s="131"/>
      <c r="GQ99" s="131"/>
      <c r="GR99" s="131"/>
      <c r="GS99" s="131"/>
      <c r="GT99" s="131"/>
      <c r="GU99" s="131"/>
      <c r="GV99" s="131"/>
      <c r="GW99" s="131"/>
      <c r="GX99" s="131"/>
      <c r="GY99" s="131"/>
      <c r="GZ99" s="131"/>
      <c r="HA99" s="131"/>
      <c r="HB99" s="131"/>
      <c r="HC99" s="131"/>
      <c r="HD99" s="131"/>
      <c r="HE99" s="131"/>
      <c r="HF99" s="131"/>
      <c r="HG99" s="131"/>
      <c r="HH99" s="131"/>
      <c r="HI99" s="131"/>
      <c r="HJ99" s="131"/>
      <c r="HK99" s="131"/>
      <c r="HL99" s="131"/>
      <c r="HM99" s="131"/>
      <c r="HN99" s="131"/>
      <c r="HO99" s="131"/>
      <c r="HP99" s="131"/>
      <c r="HQ99" s="131"/>
      <c r="HR99" s="131"/>
      <c r="HS99" s="131"/>
      <c r="HT99" s="131"/>
      <c r="HU99" s="131"/>
      <c r="HV99" s="131"/>
      <c r="HW99" s="131"/>
      <c r="HX99" s="131"/>
      <c r="HY99" s="131"/>
      <c r="HZ99" s="131"/>
      <c r="IA99" s="131"/>
      <c r="IB99" s="131"/>
      <c r="IC99" s="131"/>
      <c r="ID99" s="131"/>
      <c r="IE99" s="131"/>
      <c r="IF99" s="131"/>
      <c r="IG99" s="131"/>
      <c r="IH99" s="131"/>
      <c r="II99" s="131"/>
      <c r="IJ99" s="131"/>
      <c r="IK99" s="131"/>
      <c r="IL99" s="131"/>
      <c r="IM99" s="131"/>
      <c r="IN99" s="131"/>
      <c r="IO99" s="131"/>
      <c r="IP99" s="131"/>
      <c r="IQ99" s="131"/>
      <c r="IR99" s="131"/>
      <c r="IS99" s="131"/>
      <c r="IT99" s="131"/>
      <c r="IU99" s="131"/>
      <c r="IV99" s="131"/>
    </row>
    <row r="100" spans="1:256" s="229" customFormat="1" ht="83.25" customHeight="1">
      <c r="A100" s="682"/>
      <c r="B100" s="683"/>
      <c r="C100" s="277"/>
      <c r="D100" s="706"/>
      <c r="E100" s="277"/>
      <c r="F100" s="706"/>
      <c r="G100" s="3211"/>
      <c r="H100" s="3180"/>
      <c r="I100" s="2405"/>
      <c r="J100" s="2320"/>
      <c r="K100" s="722"/>
      <c r="L100" s="3187"/>
      <c r="M100" s="3180"/>
      <c r="N100" s="2685"/>
      <c r="O100" s="3217"/>
      <c r="P100" s="3125"/>
      <c r="Q100" s="2376"/>
      <c r="R100" s="751" t="s">
        <v>786</v>
      </c>
      <c r="S100" s="749">
        <f>12000000-12000000</f>
        <v>0</v>
      </c>
      <c r="T100" s="3140"/>
      <c r="U100" s="2128"/>
      <c r="V100" s="2939"/>
      <c r="W100" s="2939"/>
      <c r="X100" s="2658"/>
      <c r="Y100" s="3215"/>
      <c r="Z100" s="3215"/>
      <c r="AA100" s="3215"/>
      <c r="AB100" s="3215"/>
      <c r="AC100" s="3215"/>
      <c r="AD100" s="3215"/>
      <c r="AE100" s="3215"/>
      <c r="AF100" s="3215"/>
      <c r="AG100" s="3215"/>
      <c r="AH100" s="3215"/>
      <c r="AI100" s="3215"/>
      <c r="AJ100" s="2656"/>
      <c r="AK100" s="2939"/>
      <c r="AL100" s="3199"/>
      <c r="AM100" s="2887"/>
      <c r="AN100" s="2887"/>
      <c r="AO100" s="2298"/>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1"/>
      <c r="DR100" s="131"/>
      <c r="DS100" s="131"/>
      <c r="DT100" s="131"/>
      <c r="DU100" s="131"/>
      <c r="DV100" s="131"/>
      <c r="DW100" s="131"/>
      <c r="DX100" s="131"/>
      <c r="DY100" s="131"/>
      <c r="DZ100" s="131"/>
      <c r="EA100" s="131"/>
      <c r="EB100" s="131"/>
      <c r="EC100" s="131"/>
      <c r="ED100" s="131"/>
      <c r="EE100" s="131"/>
      <c r="EF100" s="131"/>
      <c r="EG100" s="131"/>
      <c r="EH100" s="131"/>
      <c r="EI100" s="131"/>
      <c r="EJ100" s="131"/>
      <c r="EK100" s="131"/>
      <c r="EL100" s="131"/>
      <c r="EM100" s="131"/>
      <c r="EN100" s="131"/>
      <c r="EO100" s="131"/>
      <c r="EP100" s="131"/>
      <c r="EQ100" s="131"/>
      <c r="ER100" s="131"/>
      <c r="ES100" s="131"/>
      <c r="ET100" s="131"/>
      <c r="EU100" s="131"/>
      <c r="EV100" s="131"/>
      <c r="EW100" s="131"/>
      <c r="EX100" s="131"/>
      <c r="EY100" s="131"/>
      <c r="EZ100" s="131"/>
      <c r="FA100" s="131"/>
      <c r="FB100" s="131"/>
      <c r="FC100" s="131"/>
      <c r="FD100" s="131"/>
      <c r="FE100" s="131"/>
      <c r="FF100" s="131"/>
      <c r="FG100" s="131"/>
      <c r="FH100" s="131"/>
      <c r="FI100" s="131"/>
      <c r="FJ100" s="131"/>
      <c r="FK100" s="131"/>
      <c r="FL100" s="131"/>
      <c r="FM100" s="131"/>
      <c r="FN100" s="131"/>
      <c r="FO100" s="131"/>
      <c r="FP100" s="131"/>
      <c r="FQ100" s="131"/>
      <c r="FR100" s="131"/>
      <c r="FS100" s="131"/>
      <c r="FT100" s="131"/>
      <c r="FU100" s="131"/>
      <c r="FV100" s="131"/>
      <c r="FW100" s="131"/>
      <c r="FX100" s="131"/>
      <c r="FY100" s="131"/>
      <c r="FZ100" s="131"/>
      <c r="GA100" s="131"/>
      <c r="GB100" s="131"/>
      <c r="GC100" s="131"/>
      <c r="GD100" s="131"/>
      <c r="GE100" s="131"/>
      <c r="GF100" s="131"/>
      <c r="GG100" s="131"/>
      <c r="GH100" s="131"/>
      <c r="GI100" s="131"/>
      <c r="GJ100" s="131"/>
      <c r="GK100" s="131"/>
      <c r="GL100" s="131"/>
      <c r="GM100" s="131"/>
      <c r="GN100" s="131"/>
      <c r="GO100" s="131"/>
      <c r="GP100" s="131"/>
      <c r="GQ100" s="131"/>
      <c r="GR100" s="131"/>
      <c r="GS100" s="131"/>
      <c r="GT100" s="131"/>
      <c r="GU100" s="131"/>
      <c r="GV100" s="131"/>
      <c r="GW100" s="131"/>
      <c r="GX100" s="131"/>
      <c r="GY100" s="131"/>
      <c r="GZ100" s="131"/>
      <c r="HA100" s="131"/>
      <c r="HB100" s="131"/>
      <c r="HC100" s="131"/>
      <c r="HD100" s="131"/>
      <c r="HE100" s="131"/>
      <c r="HF100" s="131"/>
      <c r="HG100" s="131"/>
      <c r="HH100" s="131"/>
      <c r="HI100" s="131"/>
      <c r="HJ100" s="131"/>
      <c r="HK100" s="131"/>
      <c r="HL100" s="131"/>
      <c r="HM100" s="131"/>
      <c r="HN100" s="131"/>
      <c r="HO100" s="131"/>
      <c r="HP100" s="131"/>
      <c r="HQ100" s="131"/>
      <c r="HR100" s="131"/>
      <c r="HS100" s="131"/>
      <c r="HT100" s="131"/>
      <c r="HU100" s="131"/>
      <c r="HV100" s="131"/>
      <c r="HW100" s="131"/>
      <c r="HX100" s="131"/>
      <c r="HY100" s="131"/>
      <c r="HZ100" s="131"/>
      <c r="IA100" s="131"/>
      <c r="IB100" s="131"/>
      <c r="IC100" s="131"/>
      <c r="ID100" s="131"/>
      <c r="IE100" s="131"/>
      <c r="IF100" s="131"/>
      <c r="IG100" s="131"/>
      <c r="IH100" s="131"/>
      <c r="II100" s="131"/>
      <c r="IJ100" s="131"/>
      <c r="IK100" s="131"/>
      <c r="IL100" s="131"/>
      <c r="IM100" s="131"/>
      <c r="IN100" s="131"/>
      <c r="IO100" s="131"/>
      <c r="IP100" s="131"/>
      <c r="IQ100" s="131"/>
      <c r="IR100" s="131"/>
      <c r="IS100" s="131"/>
      <c r="IT100" s="131"/>
      <c r="IU100" s="131"/>
      <c r="IV100" s="131"/>
    </row>
    <row r="101" spans="1:256" s="229" customFormat="1" ht="53.25" customHeight="1">
      <c r="A101" s="682"/>
      <c r="B101" s="683"/>
      <c r="C101" s="277"/>
      <c r="D101" s="706"/>
      <c r="E101" s="277"/>
      <c r="F101" s="706"/>
      <c r="G101" s="3211"/>
      <c r="H101" s="3180"/>
      <c r="I101" s="2405"/>
      <c r="J101" s="2320"/>
      <c r="K101" s="722"/>
      <c r="L101" s="3187"/>
      <c r="M101" s="3180"/>
      <c r="N101" s="2685"/>
      <c r="O101" s="3217"/>
      <c r="P101" s="3125"/>
      <c r="Q101" s="2377"/>
      <c r="R101" s="752" t="s">
        <v>787</v>
      </c>
      <c r="S101" s="749">
        <v>12000000</v>
      </c>
      <c r="T101" s="3140"/>
      <c r="U101" s="2128"/>
      <c r="V101" s="2939"/>
      <c r="W101" s="2939"/>
      <c r="X101" s="2658"/>
      <c r="Y101" s="3215"/>
      <c r="Z101" s="3215"/>
      <c r="AA101" s="3215"/>
      <c r="AB101" s="3215"/>
      <c r="AC101" s="3215"/>
      <c r="AD101" s="3215"/>
      <c r="AE101" s="3215"/>
      <c r="AF101" s="3215"/>
      <c r="AG101" s="3215"/>
      <c r="AH101" s="3215"/>
      <c r="AI101" s="3215"/>
      <c r="AJ101" s="2656"/>
      <c r="AK101" s="2939"/>
      <c r="AL101" s="3199"/>
      <c r="AM101" s="2887"/>
      <c r="AN101" s="2887"/>
      <c r="AO101" s="2298"/>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131"/>
      <c r="DC101" s="131"/>
      <c r="DD101" s="131"/>
      <c r="DE101" s="131"/>
      <c r="DF101" s="131"/>
      <c r="DG101" s="131"/>
      <c r="DH101" s="131"/>
      <c r="DI101" s="131"/>
      <c r="DJ101" s="131"/>
      <c r="DK101" s="131"/>
      <c r="DL101" s="131"/>
      <c r="DM101" s="131"/>
      <c r="DN101" s="131"/>
      <c r="DO101" s="131"/>
      <c r="DP101" s="131"/>
      <c r="DQ101" s="131"/>
      <c r="DR101" s="131"/>
      <c r="DS101" s="131"/>
      <c r="DT101" s="131"/>
      <c r="DU101" s="131"/>
      <c r="DV101" s="131"/>
      <c r="DW101" s="131"/>
      <c r="DX101" s="131"/>
      <c r="DY101" s="131"/>
      <c r="DZ101" s="131"/>
      <c r="EA101" s="131"/>
      <c r="EB101" s="131"/>
      <c r="EC101" s="131"/>
      <c r="ED101" s="131"/>
      <c r="EE101" s="131"/>
      <c r="EF101" s="131"/>
      <c r="EG101" s="131"/>
      <c r="EH101" s="131"/>
      <c r="EI101" s="131"/>
      <c r="EJ101" s="131"/>
      <c r="EK101" s="131"/>
      <c r="EL101" s="131"/>
      <c r="EM101" s="131"/>
      <c r="EN101" s="131"/>
      <c r="EO101" s="131"/>
      <c r="EP101" s="131"/>
      <c r="EQ101" s="131"/>
      <c r="ER101" s="131"/>
      <c r="ES101" s="131"/>
      <c r="ET101" s="131"/>
      <c r="EU101" s="131"/>
      <c r="EV101" s="131"/>
      <c r="EW101" s="131"/>
      <c r="EX101" s="131"/>
      <c r="EY101" s="131"/>
      <c r="EZ101" s="131"/>
      <c r="FA101" s="131"/>
      <c r="FB101" s="131"/>
      <c r="FC101" s="131"/>
      <c r="FD101" s="131"/>
      <c r="FE101" s="131"/>
      <c r="FF101" s="131"/>
      <c r="FG101" s="131"/>
      <c r="FH101" s="131"/>
      <c r="FI101" s="131"/>
      <c r="FJ101" s="131"/>
      <c r="FK101" s="131"/>
      <c r="FL101" s="131"/>
      <c r="FM101" s="131"/>
      <c r="FN101" s="131"/>
      <c r="FO101" s="131"/>
      <c r="FP101" s="131"/>
      <c r="FQ101" s="131"/>
      <c r="FR101" s="131"/>
      <c r="FS101" s="131"/>
      <c r="FT101" s="131"/>
      <c r="FU101" s="131"/>
      <c r="FV101" s="131"/>
      <c r="FW101" s="131"/>
      <c r="FX101" s="131"/>
      <c r="FY101" s="131"/>
      <c r="FZ101" s="131"/>
      <c r="GA101" s="131"/>
      <c r="GB101" s="131"/>
      <c r="GC101" s="131"/>
      <c r="GD101" s="131"/>
      <c r="GE101" s="131"/>
      <c r="GF101" s="131"/>
      <c r="GG101" s="131"/>
      <c r="GH101" s="131"/>
      <c r="GI101" s="131"/>
      <c r="GJ101" s="131"/>
      <c r="GK101" s="131"/>
      <c r="GL101" s="131"/>
      <c r="GM101" s="131"/>
      <c r="GN101" s="131"/>
      <c r="GO101" s="131"/>
      <c r="GP101" s="131"/>
      <c r="GQ101" s="131"/>
      <c r="GR101" s="131"/>
      <c r="GS101" s="131"/>
      <c r="GT101" s="131"/>
      <c r="GU101" s="131"/>
      <c r="GV101" s="131"/>
      <c r="GW101" s="131"/>
      <c r="GX101" s="131"/>
      <c r="GY101" s="131"/>
      <c r="GZ101" s="131"/>
      <c r="HA101" s="131"/>
      <c r="HB101" s="131"/>
      <c r="HC101" s="131"/>
      <c r="HD101" s="131"/>
      <c r="HE101" s="131"/>
      <c r="HF101" s="131"/>
      <c r="HG101" s="131"/>
      <c r="HH101" s="131"/>
      <c r="HI101" s="131"/>
      <c r="HJ101" s="131"/>
      <c r="HK101" s="131"/>
      <c r="HL101" s="131"/>
      <c r="HM101" s="131"/>
      <c r="HN101" s="131"/>
      <c r="HO101" s="131"/>
      <c r="HP101" s="131"/>
      <c r="HQ101" s="131"/>
      <c r="HR101" s="131"/>
      <c r="HS101" s="131"/>
      <c r="HT101" s="131"/>
      <c r="HU101" s="131"/>
      <c r="HV101" s="131"/>
      <c r="HW101" s="131"/>
      <c r="HX101" s="131"/>
      <c r="HY101" s="131"/>
      <c r="HZ101" s="131"/>
      <c r="IA101" s="131"/>
      <c r="IB101" s="131"/>
      <c r="IC101" s="131"/>
      <c r="ID101" s="131"/>
      <c r="IE101" s="131"/>
      <c r="IF101" s="131"/>
      <c r="IG101" s="131"/>
      <c r="IH101" s="131"/>
      <c r="II101" s="131"/>
      <c r="IJ101" s="131"/>
      <c r="IK101" s="131"/>
      <c r="IL101" s="131"/>
      <c r="IM101" s="131"/>
      <c r="IN101" s="131"/>
      <c r="IO101" s="131"/>
      <c r="IP101" s="131"/>
      <c r="IQ101" s="131"/>
      <c r="IR101" s="131"/>
      <c r="IS101" s="131"/>
      <c r="IT101" s="131"/>
      <c r="IU101" s="131"/>
      <c r="IV101" s="131"/>
    </row>
    <row r="102" spans="1:256" s="229" customFormat="1" ht="70.5" customHeight="1">
      <c r="A102" s="682"/>
      <c r="B102" s="683"/>
      <c r="C102" s="277"/>
      <c r="D102" s="706"/>
      <c r="E102" s="277"/>
      <c r="F102" s="706"/>
      <c r="G102" s="3211"/>
      <c r="H102" s="3180"/>
      <c r="I102" s="2405"/>
      <c r="J102" s="2320"/>
      <c r="K102" s="722"/>
      <c r="L102" s="3187"/>
      <c r="M102" s="3180"/>
      <c r="N102" s="2685"/>
      <c r="O102" s="3217"/>
      <c r="P102" s="3125"/>
      <c r="Q102" s="2375" t="s">
        <v>788</v>
      </c>
      <c r="R102" s="751" t="s">
        <v>789</v>
      </c>
      <c r="S102" s="749">
        <v>199000000</v>
      </c>
      <c r="T102" s="3140"/>
      <c r="U102" s="2128"/>
      <c r="V102" s="2939"/>
      <c r="W102" s="2939"/>
      <c r="X102" s="2658"/>
      <c r="Y102" s="3215"/>
      <c r="Z102" s="3215"/>
      <c r="AA102" s="3215"/>
      <c r="AB102" s="3215"/>
      <c r="AC102" s="3215"/>
      <c r="AD102" s="3215"/>
      <c r="AE102" s="3215"/>
      <c r="AF102" s="3215"/>
      <c r="AG102" s="3215"/>
      <c r="AH102" s="3215"/>
      <c r="AI102" s="3215"/>
      <c r="AJ102" s="2656"/>
      <c r="AK102" s="2939"/>
      <c r="AL102" s="3199"/>
      <c r="AM102" s="2887"/>
      <c r="AN102" s="2887"/>
      <c r="AO102" s="2298"/>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c r="CS102" s="131"/>
      <c r="CT102" s="131"/>
      <c r="CU102" s="131"/>
      <c r="CV102" s="131"/>
      <c r="CW102" s="131"/>
      <c r="CX102" s="131"/>
      <c r="CY102" s="131"/>
      <c r="CZ102" s="131"/>
      <c r="DA102" s="131"/>
      <c r="DB102" s="131"/>
      <c r="DC102" s="131"/>
      <c r="DD102" s="131"/>
      <c r="DE102" s="131"/>
      <c r="DF102" s="131"/>
      <c r="DG102" s="131"/>
      <c r="DH102" s="131"/>
      <c r="DI102" s="131"/>
      <c r="DJ102" s="131"/>
      <c r="DK102" s="131"/>
      <c r="DL102" s="131"/>
      <c r="DM102" s="131"/>
      <c r="DN102" s="131"/>
      <c r="DO102" s="131"/>
      <c r="DP102" s="131"/>
      <c r="DQ102" s="131"/>
      <c r="DR102" s="131"/>
      <c r="DS102" s="131"/>
      <c r="DT102" s="131"/>
      <c r="DU102" s="131"/>
      <c r="DV102" s="131"/>
      <c r="DW102" s="131"/>
      <c r="DX102" s="131"/>
      <c r="DY102" s="131"/>
      <c r="DZ102" s="131"/>
      <c r="EA102" s="131"/>
      <c r="EB102" s="131"/>
      <c r="EC102" s="131"/>
      <c r="ED102" s="131"/>
      <c r="EE102" s="131"/>
      <c r="EF102" s="131"/>
      <c r="EG102" s="131"/>
      <c r="EH102" s="131"/>
      <c r="EI102" s="131"/>
      <c r="EJ102" s="131"/>
      <c r="EK102" s="131"/>
      <c r="EL102" s="131"/>
      <c r="EM102" s="131"/>
      <c r="EN102" s="131"/>
      <c r="EO102" s="131"/>
      <c r="EP102" s="131"/>
      <c r="EQ102" s="131"/>
      <c r="ER102" s="131"/>
      <c r="ES102" s="131"/>
      <c r="ET102" s="131"/>
      <c r="EU102" s="131"/>
      <c r="EV102" s="131"/>
      <c r="EW102" s="131"/>
      <c r="EX102" s="131"/>
      <c r="EY102" s="131"/>
      <c r="EZ102" s="131"/>
      <c r="FA102" s="131"/>
      <c r="FB102" s="131"/>
      <c r="FC102" s="131"/>
      <c r="FD102" s="131"/>
      <c r="FE102" s="131"/>
      <c r="FF102" s="131"/>
      <c r="FG102" s="131"/>
      <c r="FH102" s="131"/>
      <c r="FI102" s="131"/>
      <c r="FJ102" s="131"/>
      <c r="FK102" s="131"/>
      <c r="FL102" s="131"/>
      <c r="FM102" s="131"/>
      <c r="FN102" s="131"/>
      <c r="FO102" s="131"/>
      <c r="FP102" s="131"/>
      <c r="FQ102" s="131"/>
      <c r="FR102" s="131"/>
      <c r="FS102" s="131"/>
      <c r="FT102" s="131"/>
      <c r="FU102" s="131"/>
      <c r="FV102" s="131"/>
      <c r="FW102" s="131"/>
      <c r="FX102" s="131"/>
      <c r="FY102" s="131"/>
      <c r="FZ102" s="131"/>
      <c r="GA102" s="131"/>
      <c r="GB102" s="131"/>
      <c r="GC102" s="131"/>
      <c r="GD102" s="131"/>
      <c r="GE102" s="131"/>
      <c r="GF102" s="131"/>
      <c r="GG102" s="131"/>
      <c r="GH102" s="131"/>
      <c r="GI102" s="131"/>
      <c r="GJ102" s="131"/>
      <c r="GK102" s="131"/>
      <c r="GL102" s="131"/>
      <c r="GM102" s="131"/>
      <c r="GN102" s="131"/>
      <c r="GO102" s="131"/>
      <c r="GP102" s="131"/>
      <c r="GQ102" s="131"/>
      <c r="GR102" s="131"/>
      <c r="GS102" s="131"/>
      <c r="GT102" s="131"/>
      <c r="GU102" s="131"/>
      <c r="GV102" s="131"/>
      <c r="GW102" s="131"/>
      <c r="GX102" s="131"/>
      <c r="GY102" s="131"/>
      <c r="GZ102" s="131"/>
      <c r="HA102" s="131"/>
      <c r="HB102" s="131"/>
      <c r="HC102" s="131"/>
      <c r="HD102" s="131"/>
      <c r="HE102" s="131"/>
      <c r="HF102" s="131"/>
      <c r="HG102" s="131"/>
      <c r="HH102" s="131"/>
      <c r="HI102" s="131"/>
      <c r="HJ102" s="131"/>
      <c r="HK102" s="131"/>
      <c r="HL102" s="131"/>
      <c r="HM102" s="131"/>
      <c r="HN102" s="131"/>
      <c r="HO102" s="131"/>
      <c r="HP102" s="131"/>
      <c r="HQ102" s="131"/>
      <c r="HR102" s="131"/>
      <c r="HS102" s="131"/>
      <c r="HT102" s="131"/>
      <c r="HU102" s="131"/>
      <c r="HV102" s="131"/>
      <c r="HW102" s="131"/>
      <c r="HX102" s="131"/>
      <c r="HY102" s="131"/>
      <c r="HZ102" s="131"/>
      <c r="IA102" s="131"/>
      <c r="IB102" s="131"/>
      <c r="IC102" s="131"/>
      <c r="ID102" s="131"/>
      <c r="IE102" s="131"/>
      <c r="IF102" s="131"/>
      <c r="IG102" s="131"/>
      <c r="IH102" s="131"/>
      <c r="II102" s="131"/>
      <c r="IJ102" s="131"/>
      <c r="IK102" s="131"/>
      <c r="IL102" s="131"/>
      <c r="IM102" s="131"/>
      <c r="IN102" s="131"/>
      <c r="IO102" s="131"/>
      <c r="IP102" s="131"/>
      <c r="IQ102" s="131"/>
      <c r="IR102" s="131"/>
      <c r="IS102" s="131"/>
      <c r="IT102" s="131"/>
      <c r="IU102" s="131"/>
      <c r="IV102" s="131"/>
    </row>
    <row r="103" spans="1:256" s="229" customFormat="1" ht="83.25" customHeight="1">
      <c r="A103" s="682"/>
      <c r="B103" s="683"/>
      <c r="C103" s="277"/>
      <c r="D103" s="706"/>
      <c r="E103" s="277"/>
      <c r="F103" s="706"/>
      <c r="G103" s="3211"/>
      <c r="H103" s="3180"/>
      <c r="I103" s="2405"/>
      <c r="J103" s="2320"/>
      <c r="K103" s="722"/>
      <c r="L103" s="3187"/>
      <c r="M103" s="3180"/>
      <c r="N103" s="2685"/>
      <c r="O103" s="3217"/>
      <c r="P103" s="3125"/>
      <c r="Q103" s="2376"/>
      <c r="R103" s="751" t="s">
        <v>790</v>
      </c>
      <c r="S103" s="749">
        <v>0</v>
      </c>
      <c r="T103" s="3140"/>
      <c r="U103" s="2128"/>
      <c r="V103" s="2939"/>
      <c r="W103" s="2939"/>
      <c r="X103" s="2658"/>
      <c r="Y103" s="3215"/>
      <c r="Z103" s="3215"/>
      <c r="AA103" s="3215"/>
      <c r="AB103" s="3215"/>
      <c r="AC103" s="3215"/>
      <c r="AD103" s="3215"/>
      <c r="AE103" s="3215"/>
      <c r="AF103" s="3215"/>
      <c r="AG103" s="3215"/>
      <c r="AH103" s="3215"/>
      <c r="AI103" s="3215"/>
      <c r="AJ103" s="2656"/>
      <c r="AK103" s="2939"/>
      <c r="AL103" s="3199"/>
      <c r="AM103" s="2887"/>
      <c r="AN103" s="2887"/>
      <c r="AO103" s="2298"/>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c r="EI103" s="131"/>
      <c r="EJ103" s="131"/>
      <c r="EK103" s="131"/>
      <c r="EL103" s="131"/>
      <c r="EM103" s="131"/>
      <c r="EN103" s="131"/>
      <c r="EO103" s="131"/>
      <c r="EP103" s="131"/>
      <c r="EQ103" s="131"/>
      <c r="ER103" s="131"/>
      <c r="ES103" s="131"/>
      <c r="ET103" s="131"/>
      <c r="EU103" s="131"/>
      <c r="EV103" s="131"/>
      <c r="EW103" s="131"/>
      <c r="EX103" s="131"/>
      <c r="EY103" s="131"/>
      <c r="EZ103" s="131"/>
      <c r="FA103" s="131"/>
      <c r="FB103" s="131"/>
      <c r="FC103" s="131"/>
      <c r="FD103" s="131"/>
      <c r="FE103" s="131"/>
      <c r="FF103" s="131"/>
      <c r="FG103" s="131"/>
      <c r="FH103" s="131"/>
      <c r="FI103" s="131"/>
      <c r="FJ103" s="131"/>
      <c r="FK103" s="131"/>
      <c r="FL103" s="131"/>
      <c r="FM103" s="131"/>
      <c r="FN103" s="131"/>
      <c r="FO103" s="131"/>
      <c r="FP103" s="131"/>
      <c r="FQ103" s="131"/>
      <c r="FR103" s="131"/>
      <c r="FS103" s="131"/>
      <c r="FT103" s="131"/>
      <c r="FU103" s="131"/>
      <c r="FV103" s="131"/>
      <c r="FW103" s="131"/>
      <c r="FX103" s="131"/>
      <c r="FY103" s="131"/>
      <c r="FZ103" s="131"/>
      <c r="GA103" s="131"/>
      <c r="GB103" s="131"/>
      <c r="GC103" s="131"/>
      <c r="GD103" s="131"/>
      <c r="GE103" s="131"/>
      <c r="GF103" s="131"/>
      <c r="GG103" s="131"/>
      <c r="GH103" s="131"/>
      <c r="GI103" s="131"/>
      <c r="GJ103" s="131"/>
      <c r="GK103" s="131"/>
      <c r="GL103" s="131"/>
      <c r="GM103" s="131"/>
      <c r="GN103" s="131"/>
      <c r="GO103" s="131"/>
      <c r="GP103" s="131"/>
      <c r="GQ103" s="131"/>
      <c r="GR103" s="131"/>
      <c r="GS103" s="131"/>
      <c r="GT103" s="131"/>
      <c r="GU103" s="131"/>
      <c r="GV103" s="131"/>
      <c r="GW103" s="131"/>
      <c r="GX103" s="131"/>
      <c r="GY103" s="131"/>
      <c r="GZ103" s="131"/>
      <c r="HA103" s="131"/>
      <c r="HB103" s="131"/>
      <c r="HC103" s="131"/>
      <c r="HD103" s="131"/>
      <c r="HE103" s="131"/>
      <c r="HF103" s="131"/>
      <c r="HG103" s="131"/>
      <c r="HH103" s="131"/>
      <c r="HI103" s="131"/>
      <c r="HJ103" s="131"/>
      <c r="HK103" s="131"/>
      <c r="HL103" s="131"/>
      <c r="HM103" s="131"/>
      <c r="HN103" s="131"/>
      <c r="HO103" s="131"/>
      <c r="HP103" s="131"/>
      <c r="HQ103" s="131"/>
      <c r="HR103" s="131"/>
      <c r="HS103" s="131"/>
      <c r="HT103" s="131"/>
      <c r="HU103" s="131"/>
      <c r="HV103" s="131"/>
      <c r="HW103" s="131"/>
      <c r="HX103" s="131"/>
      <c r="HY103" s="131"/>
      <c r="HZ103" s="131"/>
      <c r="IA103" s="131"/>
      <c r="IB103" s="131"/>
      <c r="IC103" s="131"/>
      <c r="ID103" s="131"/>
      <c r="IE103" s="131"/>
      <c r="IF103" s="131"/>
      <c r="IG103" s="131"/>
      <c r="IH103" s="131"/>
      <c r="II103" s="131"/>
      <c r="IJ103" s="131"/>
      <c r="IK103" s="131"/>
      <c r="IL103" s="131"/>
      <c r="IM103" s="131"/>
      <c r="IN103" s="131"/>
      <c r="IO103" s="131"/>
      <c r="IP103" s="131"/>
      <c r="IQ103" s="131"/>
      <c r="IR103" s="131"/>
      <c r="IS103" s="131"/>
      <c r="IT103" s="131"/>
      <c r="IU103" s="131"/>
      <c r="IV103" s="131"/>
    </row>
    <row r="104" spans="1:256" s="229" customFormat="1" ht="79.5" customHeight="1">
      <c r="A104" s="682"/>
      <c r="B104" s="683"/>
      <c r="C104" s="277"/>
      <c r="D104" s="706"/>
      <c r="E104" s="277"/>
      <c r="F104" s="706"/>
      <c r="G104" s="3211"/>
      <c r="H104" s="3180"/>
      <c r="I104" s="2405"/>
      <c r="J104" s="2320"/>
      <c r="K104" s="722"/>
      <c r="L104" s="3187"/>
      <c r="M104" s="3180"/>
      <c r="N104" s="2685"/>
      <c r="O104" s="3217"/>
      <c r="P104" s="3125"/>
      <c r="Q104" s="2376"/>
      <c r="R104" s="751" t="s">
        <v>791</v>
      </c>
      <c r="S104" s="749">
        <f>0+29760000</f>
        <v>29760000</v>
      </c>
      <c r="T104" s="3140"/>
      <c r="U104" s="2128"/>
      <c r="V104" s="2939"/>
      <c r="W104" s="2939"/>
      <c r="X104" s="2658"/>
      <c r="Y104" s="3215"/>
      <c r="Z104" s="3215"/>
      <c r="AA104" s="3215"/>
      <c r="AB104" s="3215"/>
      <c r="AC104" s="3215"/>
      <c r="AD104" s="3215"/>
      <c r="AE104" s="3215"/>
      <c r="AF104" s="3215"/>
      <c r="AG104" s="3215"/>
      <c r="AH104" s="3215"/>
      <c r="AI104" s="3215"/>
      <c r="AJ104" s="2656"/>
      <c r="AK104" s="2939"/>
      <c r="AL104" s="3199"/>
      <c r="AM104" s="2887"/>
      <c r="AN104" s="2887"/>
      <c r="AO104" s="2298"/>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c r="FP104" s="131"/>
      <c r="FQ104" s="131"/>
      <c r="FR104" s="131"/>
      <c r="FS104" s="131"/>
      <c r="FT104" s="131"/>
      <c r="FU104" s="131"/>
      <c r="FV104" s="131"/>
      <c r="FW104" s="131"/>
      <c r="FX104" s="131"/>
      <c r="FY104" s="131"/>
      <c r="FZ104" s="131"/>
      <c r="GA104" s="131"/>
      <c r="GB104" s="131"/>
      <c r="GC104" s="131"/>
      <c r="GD104" s="131"/>
      <c r="GE104" s="131"/>
      <c r="GF104" s="131"/>
      <c r="GG104" s="131"/>
      <c r="GH104" s="131"/>
      <c r="GI104" s="131"/>
      <c r="GJ104" s="131"/>
      <c r="GK104" s="131"/>
      <c r="GL104" s="131"/>
      <c r="GM104" s="131"/>
      <c r="GN104" s="131"/>
      <c r="GO104" s="131"/>
      <c r="GP104" s="131"/>
      <c r="GQ104" s="131"/>
      <c r="GR104" s="131"/>
      <c r="GS104" s="131"/>
      <c r="GT104" s="131"/>
      <c r="GU104" s="131"/>
      <c r="GV104" s="131"/>
      <c r="GW104" s="131"/>
      <c r="GX104" s="131"/>
      <c r="GY104" s="131"/>
      <c r="GZ104" s="131"/>
      <c r="HA104" s="131"/>
      <c r="HB104" s="131"/>
      <c r="HC104" s="131"/>
      <c r="HD104" s="131"/>
      <c r="HE104" s="131"/>
      <c r="HF104" s="131"/>
      <c r="HG104" s="131"/>
      <c r="HH104" s="131"/>
      <c r="HI104" s="131"/>
      <c r="HJ104" s="131"/>
      <c r="HK104" s="131"/>
      <c r="HL104" s="131"/>
      <c r="HM104" s="131"/>
      <c r="HN104" s="131"/>
      <c r="HO104" s="131"/>
      <c r="HP104" s="131"/>
      <c r="HQ104" s="131"/>
      <c r="HR104" s="131"/>
      <c r="HS104" s="131"/>
      <c r="HT104" s="131"/>
      <c r="HU104" s="131"/>
      <c r="HV104" s="131"/>
      <c r="HW104" s="131"/>
      <c r="HX104" s="131"/>
      <c r="HY104" s="131"/>
      <c r="HZ104" s="131"/>
      <c r="IA104" s="131"/>
      <c r="IB104" s="131"/>
      <c r="IC104" s="131"/>
      <c r="ID104" s="131"/>
      <c r="IE104" s="131"/>
      <c r="IF104" s="131"/>
      <c r="IG104" s="131"/>
      <c r="IH104" s="131"/>
      <c r="II104" s="131"/>
      <c r="IJ104" s="131"/>
      <c r="IK104" s="131"/>
      <c r="IL104" s="131"/>
      <c r="IM104" s="131"/>
      <c r="IN104" s="131"/>
      <c r="IO104" s="131"/>
      <c r="IP104" s="131"/>
      <c r="IQ104" s="131"/>
      <c r="IR104" s="131"/>
      <c r="IS104" s="131"/>
      <c r="IT104" s="131"/>
      <c r="IU104" s="131"/>
      <c r="IV104" s="131"/>
    </row>
    <row r="105" spans="1:256" s="229" customFormat="1" ht="86.25" customHeight="1">
      <c r="A105" s="682"/>
      <c r="B105" s="683"/>
      <c r="C105" s="277"/>
      <c r="D105" s="706"/>
      <c r="E105" s="277"/>
      <c r="F105" s="706"/>
      <c r="G105" s="3211"/>
      <c r="H105" s="3180"/>
      <c r="I105" s="2405"/>
      <c r="J105" s="2320"/>
      <c r="K105" s="722"/>
      <c r="L105" s="3187"/>
      <c r="M105" s="3180"/>
      <c r="N105" s="2685"/>
      <c r="O105" s="3217"/>
      <c r="P105" s="3125"/>
      <c r="Q105" s="2376"/>
      <c r="R105" s="751" t="s">
        <v>792</v>
      </c>
      <c r="S105" s="749">
        <v>191524136</v>
      </c>
      <c r="T105" s="3140"/>
      <c r="U105" s="2128"/>
      <c r="V105" s="2939"/>
      <c r="W105" s="2939"/>
      <c r="X105" s="2658"/>
      <c r="Y105" s="3215"/>
      <c r="Z105" s="3215"/>
      <c r="AA105" s="3215"/>
      <c r="AB105" s="3215"/>
      <c r="AC105" s="3215"/>
      <c r="AD105" s="3215"/>
      <c r="AE105" s="3215"/>
      <c r="AF105" s="3215"/>
      <c r="AG105" s="3215"/>
      <c r="AH105" s="3215"/>
      <c r="AI105" s="3215"/>
      <c r="AJ105" s="2656"/>
      <c r="AK105" s="2939"/>
      <c r="AL105" s="3199"/>
      <c r="AM105" s="2887"/>
      <c r="AN105" s="2887"/>
      <c r="AO105" s="2298"/>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1"/>
      <c r="EP105" s="131"/>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1"/>
      <c r="FL105" s="131"/>
      <c r="FM105" s="131"/>
      <c r="FN105" s="131"/>
      <c r="FO105" s="131"/>
      <c r="FP105" s="131"/>
      <c r="FQ105" s="131"/>
      <c r="FR105" s="131"/>
      <c r="FS105" s="131"/>
      <c r="FT105" s="131"/>
      <c r="FU105" s="131"/>
      <c r="FV105" s="131"/>
      <c r="FW105" s="131"/>
      <c r="FX105" s="131"/>
      <c r="FY105" s="131"/>
      <c r="FZ105" s="131"/>
      <c r="GA105" s="131"/>
      <c r="GB105" s="131"/>
      <c r="GC105" s="131"/>
      <c r="GD105" s="131"/>
      <c r="GE105" s="131"/>
      <c r="GF105" s="131"/>
      <c r="GG105" s="131"/>
      <c r="GH105" s="131"/>
      <c r="GI105" s="131"/>
      <c r="GJ105" s="131"/>
      <c r="GK105" s="131"/>
      <c r="GL105" s="131"/>
      <c r="GM105" s="131"/>
      <c r="GN105" s="131"/>
      <c r="GO105" s="131"/>
      <c r="GP105" s="131"/>
      <c r="GQ105" s="131"/>
      <c r="GR105" s="131"/>
      <c r="GS105" s="131"/>
      <c r="GT105" s="131"/>
      <c r="GU105" s="131"/>
      <c r="GV105" s="131"/>
      <c r="GW105" s="131"/>
      <c r="GX105" s="131"/>
      <c r="GY105" s="131"/>
      <c r="GZ105" s="131"/>
      <c r="HA105" s="131"/>
      <c r="HB105" s="131"/>
      <c r="HC105" s="131"/>
      <c r="HD105" s="131"/>
      <c r="HE105" s="131"/>
      <c r="HF105" s="131"/>
      <c r="HG105" s="131"/>
      <c r="HH105" s="131"/>
      <c r="HI105" s="131"/>
      <c r="HJ105" s="131"/>
      <c r="HK105" s="131"/>
      <c r="HL105" s="131"/>
      <c r="HM105" s="131"/>
      <c r="HN105" s="131"/>
      <c r="HO105" s="131"/>
      <c r="HP105" s="131"/>
      <c r="HQ105" s="131"/>
      <c r="HR105" s="131"/>
      <c r="HS105" s="131"/>
      <c r="HT105" s="131"/>
      <c r="HU105" s="131"/>
      <c r="HV105" s="131"/>
      <c r="HW105" s="131"/>
      <c r="HX105" s="131"/>
      <c r="HY105" s="131"/>
      <c r="HZ105" s="131"/>
      <c r="IA105" s="131"/>
      <c r="IB105" s="131"/>
      <c r="IC105" s="131"/>
      <c r="ID105" s="131"/>
      <c r="IE105" s="131"/>
      <c r="IF105" s="131"/>
      <c r="IG105" s="131"/>
      <c r="IH105" s="131"/>
      <c r="II105" s="131"/>
      <c r="IJ105" s="131"/>
      <c r="IK105" s="131"/>
      <c r="IL105" s="131"/>
      <c r="IM105" s="131"/>
      <c r="IN105" s="131"/>
      <c r="IO105" s="131"/>
      <c r="IP105" s="131"/>
      <c r="IQ105" s="131"/>
      <c r="IR105" s="131"/>
      <c r="IS105" s="131"/>
      <c r="IT105" s="131"/>
      <c r="IU105" s="131"/>
      <c r="IV105" s="131"/>
    </row>
    <row r="106" spans="1:256" s="229" customFormat="1" ht="51.75" customHeight="1">
      <c r="A106" s="682"/>
      <c r="B106" s="683"/>
      <c r="C106" s="277"/>
      <c r="D106" s="706"/>
      <c r="E106" s="277"/>
      <c r="F106" s="706"/>
      <c r="G106" s="3211"/>
      <c r="H106" s="3180"/>
      <c r="I106" s="2405"/>
      <c r="J106" s="2320"/>
      <c r="K106" s="722"/>
      <c r="L106" s="3187"/>
      <c r="M106" s="3180"/>
      <c r="N106" s="2685"/>
      <c r="O106" s="3217"/>
      <c r="P106" s="3125"/>
      <c r="Q106" s="2376"/>
      <c r="R106" s="753" t="s">
        <v>793</v>
      </c>
      <c r="S106" s="754">
        <v>30000000</v>
      </c>
      <c r="T106" s="3140"/>
      <c r="U106" s="2128"/>
      <c r="V106" s="2939"/>
      <c r="W106" s="2939"/>
      <c r="X106" s="2658"/>
      <c r="Y106" s="3215"/>
      <c r="Z106" s="3215"/>
      <c r="AA106" s="3215"/>
      <c r="AB106" s="3215"/>
      <c r="AC106" s="3215"/>
      <c r="AD106" s="3215"/>
      <c r="AE106" s="3215"/>
      <c r="AF106" s="3215"/>
      <c r="AG106" s="3215"/>
      <c r="AH106" s="3215"/>
      <c r="AI106" s="3215"/>
      <c r="AJ106" s="2656"/>
      <c r="AK106" s="2939"/>
      <c r="AL106" s="3199"/>
      <c r="AM106" s="2887"/>
      <c r="AN106" s="2887"/>
      <c r="AO106" s="2298"/>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1"/>
      <c r="FA106" s="131"/>
      <c r="FB106" s="131"/>
      <c r="FC106" s="131"/>
      <c r="FD106" s="131"/>
      <c r="FE106" s="131"/>
      <c r="FF106" s="131"/>
      <c r="FG106" s="131"/>
      <c r="FH106" s="131"/>
      <c r="FI106" s="131"/>
      <c r="FJ106" s="131"/>
      <c r="FK106" s="131"/>
      <c r="FL106" s="131"/>
      <c r="FM106" s="131"/>
      <c r="FN106" s="131"/>
      <c r="FO106" s="131"/>
      <c r="FP106" s="131"/>
      <c r="FQ106" s="131"/>
      <c r="FR106" s="131"/>
      <c r="FS106" s="131"/>
      <c r="FT106" s="131"/>
      <c r="FU106" s="131"/>
      <c r="FV106" s="131"/>
      <c r="FW106" s="131"/>
      <c r="FX106" s="131"/>
      <c r="FY106" s="131"/>
      <c r="FZ106" s="131"/>
      <c r="GA106" s="131"/>
      <c r="GB106" s="131"/>
      <c r="GC106" s="131"/>
      <c r="GD106" s="131"/>
      <c r="GE106" s="131"/>
      <c r="GF106" s="131"/>
      <c r="GG106" s="131"/>
      <c r="GH106" s="131"/>
      <c r="GI106" s="131"/>
      <c r="GJ106" s="131"/>
      <c r="GK106" s="131"/>
      <c r="GL106" s="131"/>
      <c r="GM106" s="131"/>
      <c r="GN106" s="131"/>
      <c r="GO106" s="131"/>
      <c r="GP106" s="131"/>
      <c r="GQ106" s="131"/>
      <c r="GR106" s="131"/>
      <c r="GS106" s="131"/>
      <c r="GT106" s="131"/>
      <c r="GU106" s="131"/>
      <c r="GV106" s="131"/>
      <c r="GW106" s="131"/>
      <c r="GX106" s="131"/>
      <c r="GY106" s="131"/>
      <c r="GZ106" s="131"/>
      <c r="HA106" s="131"/>
      <c r="HB106" s="131"/>
      <c r="HC106" s="131"/>
      <c r="HD106" s="131"/>
      <c r="HE106" s="131"/>
      <c r="HF106" s="131"/>
      <c r="HG106" s="131"/>
      <c r="HH106" s="131"/>
      <c r="HI106" s="131"/>
      <c r="HJ106" s="131"/>
      <c r="HK106" s="131"/>
      <c r="HL106" s="131"/>
      <c r="HM106" s="131"/>
      <c r="HN106" s="131"/>
      <c r="HO106" s="131"/>
      <c r="HP106" s="131"/>
      <c r="HQ106" s="131"/>
      <c r="HR106" s="131"/>
      <c r="HS106" s="131"/>
      <c r="HT106" s="131"/>
      <c r="HU106" s="131"/>
      <c r="HV106" s="131"/>
      <c r="HW106" s="131"/>
      <c r="HX106" s="131"/>
      <c r="HY106" s="131"/>
      <c r="HZ106" s="131"/>
      <c r="IA106" s="131"/>
      <c r="IB106" s="131"/>
      <c r="IC106" s="131"/>
      <c r="ID106" s="131"/>
      <c r="IE106" s="131"/>
      <c r="IF106" s="131"/>
      <c r="IG106" s="131"/>
      <c r="IH106" s="131"/>
      <c r="II106" s="131"/>
      <c r="IJ106" s="131"/>
      <c r="IK106" s="131"/>
      <c r="IL106" s="131"/>
      <c r="IM106" s="131"/>
      <c r="IN106" s="131"/>
      <c r="IO106" s="131"/>
      <c r="IP106" s="131"/>
      <c r="IQ106" s="131"/>
      <c r="IR106" s="131"/>
      <c r="IS106" s="131"/>
      <c r="IT106" s="131"/>
      <c r="IU106" s="131"/>
      <c r="IV106" s="131"/>
    </row>
    <row r="107" spans="1:256" s="229" customFormat="1" ht="70.5" customHeight="1">
      <c r="A107" s="682"/>
      <c r="B107" s="683"/>
      <c r="C107" s="277"/>
      <c r="D107" s="706"/>
      <c r="E107" s="277"/>
      <c r="F107" s="706"/>
      <c r="G107" s="3211"/>
      <c r="H107" s="3180"/>
      <c r="I107" s="2405"/>
      <c r="J107" s="2320"/>
      <c r="K107" s="722"/>
      <c r="L107" s="3187"/>
      <c r="M107" s="3180"/>
      <c r="N107" s="2685"/>
      <c r="O107" s="3217"/>
      <c r="P107" s="3125"/>
      <c r="Q107" s="2377"/>
      <c r="R107" s="753" t="s">
        <v>794</v>
      </c>
      <c r="S107" s="754">
        <v>20000000</v>
      </c>
      <c r="T107" s="3141"/>
      <c r="U107" s="2094"/>
      <c r="V107" s="2906"/>
      <c r="W107" s="2906"/>
      <c r="X107" s="2658"/>
      <c r="Y107" s="3215"/>
      <c r="Z107" s="3215"/>
      <c r="AA107" s="3215"/>
      <c r="AB107" s="3215"/>
      <c r="AC107" s="3215"/>
      <c r="AD107" s="3215"/>
      <c r="AE107" s="3215"/>
      <c r="AF107" s="3215"/>
      <c r="AG107" s="3215"/>
      <c r="AH107" s="3215"/>
      <c r="AI107" s="3215"/>
      <c r="AJ107" s="2656"/>
      <c r="AK107" s="2906"/>
      <c r="AL107" s="3200"/>
      <c r="AM107" s="2887"/>
      <c r="AN107" s="2887"/>
      <c r="AO107" s="2298"/>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c r="FP107" s="131"/>
      <c r="FQ107" s="131"/>
      <c r="FR107" s="131"/>
      <c r="FS107" s="131"/>
      <c r="FT107" s="131"/>
      <c r="FU107" s="131"/>
      <c r="FV107" s="131"/>
      <c r="FW107" s="131"/>
      <c r="FX107" s="131"/>
      <c r="FY107" s="131"/>
      <c r="FZ107" s="131"/>
      <c r="GA107" s="131"/>
      <c r="GB107" s="131"/>
      <c r="GC107" s="131"/>
      <c r="GD107" s="131"/>
      <c r="GE107" s="131"/>
      <c r="GF107" s="131"/>
      <c r="GG107" s="131"/>
      <c r="GH107" s="131"/>
      <c r="GI107" s="131"/>
      <c r="GJ107" s="131"/>
      <c r="GK107" s="131"/>
      <c r="GL107" s="131"/>
      <c r="GM107" s="131"/>
      <c r="GN107" s="131"/>
      <c r="GO107" s="131"/>
      <c r="GP107" s="131"/>
      <c r="GQ107" s="131"/>
      <c r="GR107" s="131"/>
      <c r="GS107" s="131"/>
      <c r="GT107" s="131"/>
      <c r="GU107" s="131"/>
      <c r="GV107" s="131"/>
      <c r="GW107" s="131"/>
      <c r="GX107" s="131"/>
      <c r="GY107" s="131"/>
      <c r="GZ107" s="131"/>
      <c r="HA107" s="131"/>
      <c r="HB107" s="131"/>
      <c r="HC107" s="131"/>
      <c r="HD107" s="131"/>
      <c r="HE107" s="131"/>
      <c r="HF107" s="131"/>
      <c r="HG107" s="131"/>
      <c r="HH107" s="131"/>
      <c r="HI107" s="131"/>
      <c r="HJ107" s="131"/>
      <c r="HK107" s="131"/>
      <c r="HL107" s="131"/>
      <c r="HM107" s="131"/>
      <c r="HN107" s="131"/>
      <c r="HO107" s="131"/>
      <c r="HP107" s="131"/>
      <c r="HQ107" s="131"/>
      <c r="HR107" s="131"/>
      <c r="HS107" s="131"/>
      <c r="HT107" s="131"/>
      <c r="HU107" s="131"/>
      <c r="HV107" s="131"/>
      <c r="HW107" s="131"/>
      <c r="HX107" s="131"/>
      <c r="HY107" s="131"/>
      <c r="HZ107" s="131"/>
      <c r="IA107" s="131"/>
      <c r="IB107" s="131"/>
      <c r="IC107" s="131"/>
      <c r="ID107" s="131"/>
      <c r="IE107" s="131"/>
      <c r="IF107" s="131"/>
      <c r="IG107" s="131"/>
      <c r="IH107" s="131"/>
      <c r="II107" s="131"/>
      <c r="IJ107" s="131"/>
      <c r="IK107" s="131"/>
      <c r="IL107" s="131"/>
      <c r="IM107" s="131"/>
      <c r="IN107" s="131"/>
      <c r="IO107" s="131"/>
      <c r="IP107" s="131"/>
      <c r="IQ107" s="131"/>
      <c r="IR107" s="131"/>
      <c r="IS107" s="131"/>
      <c r="IT107" s="131"/>
      <c r="IU107" s="131"/>
      <c r="IV107" s="131"/>
    </row>
    <row r="108" spans="1:256" s="229" customFormat="1" ht="66" customHeight="1">
      <c r="A108" s="682"/>
      <c r="B108" s="683"/>
      <c r="C108" s="277"/>
      <c r="D108" s="706"/>
      <c r="E108" s="277"/>
      <c r="F108" s="706"/>
      <c r="G108" s="3211">
        <v>192</v>
      </c>
      <c r="H108" s="3124" t="s">
        <v>795</v>
      </c>
      <c r="I108" s="2095" t="s">
        <v>796</v>
      </c>
      <c r="J108" s="3218">
        <v>1</v>
      </c>
      <c r="K108" s="3127" t="s">
        <v>797</v>
      </c>
      <c r="L108" s="3192" t="s">
        <v>798</v>
      </c>
      <c r="M108" s="3124" t="s">
        <v>799</v>
      </c>
      <c r="N108" s="2660">
        <f>SUM(S108:S111)/O108</f>
        <v>1</v>
      </c>
      <c r="O108" s="3157">
        <f>SUM(S108:S111)</f>
        <v>80000000</v>
      </c>
      <c r="P108" s="3180" t="s">
        <v>800</v>
      </c>
      <c r="Q108" s="2337" t="s">
        <v>801</v>
      </c>
      <c r="R108" s="755" t="s">
        <v>802</v>
      </c>
      <c r="S108" s="724">
        <v>34000000</v>
      </c>
      <c r="T108" s="2128" t="s">
        <v>708</v>
      </c>
      <c r="U108" s="2128" t="s">
        <v>64</v>
      </c>
      <c r="V108" s="3226">
        <v>877</v>
      </c>
      <c r="W108" s="3226">
        <v>701</v>
      </c>
      <c r="X108" s="3214"/>
      <c r="Y108" s="3214"/>
      <c r="Z108" s="3214"/>
      <c r="AA108" s="3214"/>
      <c r="AB108" s="3214"/>
      <c r="AC108" s="3214"/>
      <c r="AD108" s="3214"/>
      <c r="AE108" s="3214"/>
      <c r="AF108" s="3214"/>
      <c r="AG108" s="3214"/>
      <c r="AH108" s="3214"/>
      <c r="AI108" s="3214"/>
      <c r="AJ108" s="2653"/>
      <c r="AK108" s="3222">
        <f>V108+W108</f>
        <v>1578</v>
      </c>
      <c r="AL108" s="3223" t="s">
        <v>803</v>
      </c>
      <c r="AM108" s="3153">
        <v>43102</v>
      </c>
      <c r="AN108" s="3153">
        <v>43465</v>
      </c>
      <c r="AO108" s="2298" t="s">
        <v>639</v>
      </c>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c r="EZ108" s="131"/>
      <c r="FA108" s="131"/>
      <c r="FB108" s="131"/>
      <c r="FC108" s="131"/>
      <c r="FD108" s="131"/>
      <c r="FE108" s="131"/>
      <c r="FF108" s="131"/>
      <c r="FG108" s="131"/>
      <c r="FH108" s="131"/>
      <c r="FI108" s="131"/>
      <c r="FJ108" s="131"/>
      <c r="FK108" s="131"/>
      <c r="FL108" s="131"/>
      <c r="FM108" s="131"/>
      <c r="FN108" s="131"/>
      <c r="FO108" s="131"/>
      <c r="FP108" s="131"/>
      <c r="FQ108" s="131"/>
      <c r="FR108" s="131"/>
      <c r="FS108" s="131"/>
      <c r="FT108" s="131"/>
      <c r="FU108" s="131"/>
      <c r="FV108" s="131"/>
      <c r="FW108" s="131"/>
      <c r="FX108" s="131"/>
      <c r="FY108" s="131"/>
      <c r="FZ108" s="131"/>
      <c r="GA108" s="131"/>
      <c r="GB108" s="131"/>
      <c r="GC108" s="131"/>
      <c r="GD108" s="131"/>
      <c r="GE108" s="131"/>
      <c r="GF108" s="131"/>
      <c r="GG108" s="131"/>
      <c r="GH108" s="131"/>
      <c r="GI108" s="131"/>
      <c r="GJ108" s="131"/>
      <c r="GK108" s="131"/>
      <c r="GL108" s="131"/>
      <c r="GM108" s="131"/>
      <c r="GN108" s="131"/>
      <c r="GO108" s="131"/>
      <c r="GP108" s="131"/>
      <c r="GQ108" s="131"/>
      <c r="GR108" s="131"/>
      <c r="GS108" s="131"/>
      <c r="GT108" s="131"/>
      <c r="GU108" s="131"/>
      <c r="GV108" s="131"/>
      <c r="GW108" s="131"/>
      <c r="GX108" s="131"/>
      <c r="GY108" s="131"/>
      <c r="GZ108" s="131"/>
      <c r="HA108" s="131"/>
      <c r="HB108" s="131"/>
      <c r="HC108" s="131"/>
      <c r="HD108" s="131"/>
      <c r="HE108" s="131"/>
      <c r="HF108" s="131"/>
      <c r="HG108" s="131"/>
      <c r="HH108" s="131"/>
      <c r="HI108" s="131"/>
      <c r="HJ108" s="131"/>
      <c r="HK108" s="131"/>
      <c r="HL108" s="131"/>
      <c r="HM108" s="131"/>
      <c r="HN108" s="131"/>
      <c r="HO108" s="131"/>
      <c r="HP108" s="131"/>
      <c r="HQ108" s="131"/>
      <c r="HR108" s="131"/>
      <c r="HS108" s="131"/>
      <c r="HT108" s="131"/>
      <c r="HU108" s="131"/>
      <c r="HV108" s="131"/>
      <c r="HW108" s="131"/>
      <c r="HX108" s="131"/>
      <c r="HY108" s="131"/>
      <c r="HZ108" s="131"/>
      <c r="IA108" s="131"/>
      <c r="IB108" s="131"/>
      <c r="IC108" s="131"/>
      <c r="ID108" s="131"/>
      <c r="IE108" s="131"/>
      <c r="IF108" s="131"/>
      <c r="IG108" s="131"/>
      <c r="IH108" s="131"/>
      <c r="II108" s="131"/>
      <c r="IJ108" s="131"/>
      <c r="IK108" s="131"/>
      <c r="IL108" s="131"/>
      <c r="IM108" s="131"/>
      <c r="IN108" s="131"/>
      <c r="IO108" s="131"/>
      <c r="IP108" s="131"/>
      <c r="IQ108" s="131"/>
      <c r="IR108" s="131"/>
      <c r="IS108" s="131"/>
      <c r="IT108" s="131"/>
      <c r="IU108" s="131"/>
      <c r="IV108" s="131"/>
    </row>
    <row r="109" spans="1:256" s="229" customFormat="1" ht="52.5" customHeight="1">
      <c r="A109" s="682"/>
      <c r="B109" s="683"/>
      <c r="C109" s="277"/>
      <c r="D109" s="706"/>
      <c r="E109" s="277"/>
      <c r="F109" s="706"/>
      <c r="G109" s="3211"/>
      <c r="H109" s="3125"/>
      <c r="I109" s="2129"/>
      <c r="J109" s="3218"/>
      <c r="K109" s="3128"/>
      <c r="L109" s="3187"/>
      <c r="M109" s="3125"/>
      <c r="N109" s="2660"/>
      <c r="O109" s="3157"/>
      <c r="P109" s="3180"/>
      <c r="Q109" s="2318"/>
      <c r="R109" s="753" t="s">
        <v>804</v>
      </c>
      <c r="S109" s="724">
        <v>0</v>
      </c>
      <c r="T109" s="2128"/>
      <c r="U109" s="2128"/>
      <c r="V109" s="3226"/>
      <c r="W109" s="3226"/>
      <c r="X109" s="3215"/>
      <c r="Y109" s="3215"/>
      <c r="Z109" s="3215"/>
      <c r="AA109" s="3215"/>
      <c r="AB109" s="3215"/>
      <c r="AC109" s="3215"/>
      <c r="AD109" s="3215"/>
      <c r="AE109" s="3215"/>
      <c r="AF109" s="3215"/>
      <c r="AG109" s="3215"/>
      <c r="AH109" s="3215"/>
      <c r="AI109" s="3215"/>
      <c r="AJ109" s="2656"/>
      <c r="AK109" s="2939"/>
      <c r="AL109" s="3224"/>
      <c r="AM109" s="3153"/>
      <c r="AN109" s="3153"/>
      <c r="AO109" s="2298"/>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c r="EZ109" s="131"/>
      <c r="FA109" s="131"/>
      <c r="FB109" s="131"/>
      <c r="FC109" s="131"/>
      <c r="FD109" s="131"/>
      <c r="FE109" s="131"/>
      <c r="FF109" s="131"/>
      <c r="FG109" s="131"/>
      <c r="FH109" s="131"/>
      <c r="FI109" s="131"/>
      <c r="FJ109" s="131"/>
      <c r="FK109" s="131"/>
      <c r="FL109" s="131"/>
      <c r="FM109" s="131"/>
      <c r="FN109" s="131"/>
      <c r="FO109" s="131"/>
      <c r="FP109" s="131"/>
      <c r="FQ109" s="131"/>
      <c r="FR109" s="131"/>
      <c r="FS109" s="131"/>
      <c r="FT109" s="131"/>
      <c r="FU109" s="131"/>
      <c r="FV109" s="131"/>
      <c r="FW109" s="131"/>
      <c r="FX109" s="131"/>
      <c r="FY109" s="131"/>
      <c r="FZ109" s="131"/>
      <c r="GA109" s="131"/>
      <c r="GB109" s="131"/>
      <c r="GC109" s="131"/>
      <c r="GD109" s="131"/>
      <c r="GE109" s="131"/>
      <c r="GF109" s="131"/>
      <c r="GG109" s="131"/>
      <c r="GH109" s="131"/>
      <c r="GI109" s="131"/>
      <c r="GJ109" s="131"/>
      <c r="GK109" s="131"/>
      <c r="GL109" s="131"/>
      <c r="GM109" s="131"/>
      <c r="GN109" s="131"/>
      <c r="GO109" s="131"/>
      <c r="GP109" s="131"/>
      <c r="GQ109" s="131"/>
      <c r="GR109" s="131"/>
      <c r="GS109" s="131"/>
      <c r="GT109" s="131"/>
      <c r="GU109" s="131"/>
      <c r="GV109" s="131"/>
      <c r="GW109" s="131"/>
      <c r="GX109" s="131"/>
      <c r="GY109" s="131"/>
      <c r="GZ109" s="131"/>
      <c r="HA109" s="131"/>
      <c r="HB109" s="131"/>
      <c r="HC109" s="131"/>
      <c r="HD109" s="131"/>
      <c r="HE109" s="131"/>
      <c r="HF109" s="131"/>
      <c r="HG109" s="131"/>
      <c r="HH109" s="131"/>
      <c r="HI109" s="131"/>
      <c r="HJ109" s="131"/>
      <c r="HK109" s="131"/>
      <c r="HL109" s="131"/>
      <c r="HM109" s="131"/>
      <c r="HN109" s="131"/>
      <c r="HO109" s="131"/>
      <c r="HP109" s="131"/>
      <c r="HQ109" s="131"/>
      <c r="HR109" s="131"/>
      <c r="HS109" s="131"/>
      <c r="HT109" s="131"/>
      <c r="HU109" s="131"/>
      <c r="HV109" s="131"/>
      <c r="HW109" s="131"/>
      <c r="HX109" s="131"/>
      <c r="HY109" s="131"/>
      <c r="HZ109" s="131"/>
      <c r="IA109" s="131"/>
      <c r="IB109" s="131"/>
      <c r="IC109" s="131"/>
      <c r="ID109" s="131"/>
      <c r="IE109" s="131"/>
      <c r="IF109" s="131"/>
      <c r="IG109" s="131"/>
      <c r="IH109" s="131"/>
      <c r="II109" s="131"/>
      <c r="IJ109" s="131"/>
      <c r="IK109" s="131"/>
      <c r="IL109" s="131"/>
      <c r="IM109" s="131"/>
      <c r="IN109" s="131"/>
      <c r="IO109" s="131"/>
      <c r="IP109" s="131"/>
      <c r="IQ109" s="131"/>
      <c r="IR109" s="131"/>
      <c r="IS109" s="131"/>
      <c r="IT109" s="131"/>
      <c r="IU109" s="131"/>
      <c r="IV109" s="131"/>
    </row>
    <row r="110" spans="1:256" s="229" customFormat="1" ht="53.25" customHeight="1">
      <c r="A110" s="682"/>
      <c r="B110" s="683"/>
      <c r="C110" s="277"/>
      <c r="D110" s="706"/>
      <c r="E110" s="277"/>
      <c r="F110" s="706"/>
      <c r="G110" s="3211"/>
      <c r="H110" s="3125"/>
      <c r="I110" s="2129"/>
      <c r="J110" s="3218"/>
      <c r="K110" s="3128"/>
      <c r="L110" s="3187"/>
      <c r="M110" s="3125"/>
      <c r="N110" s="2660"/>
      <c r="O110" s="3157"/>
      <c r="P110" s="3180"/>
      <c r="Q110" s="2318"/>
      <c r="R110" s="77" t="s">
        <v>805</v>
      </c>
      <c r="S110" s="724">
        <v>8000000</v>
      </c>
      <c r="T110" s="2128"/>
      <c r="U110" s="2128"/>
      <c r="V110" s="3226"/>
      <c r="W110" s="3226"/>
      <c r="X110" s="3215"/>
      <c r="Y110" s="3215"/>
      <c r="Z110" s="3215"/>
      <c r="AA110" s="3215"/>
      <c r="AB110" s="3215"/>
      <c r="AC110" s="3215"/>
      <c r="AD110" s="3215"/>
      <c r="AE110" s="3215"/>
      <c r="AF110" s="3215"/>
      <c r="AG110" s="3215"/>
      <c r="AH110" s="3215"/>
      <c r="AI110" s="3215"/>
      <c r="AJ110" s="2656"/>
      <c r="AK110" s="2939"/>
      <c r="AL110" s="3224"/>
      <c r="AM110" s="3153"/>
      <c r="AN110" s="3153"/>
      <c r="AO110" s="2298"/>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c r="EZ110" s="131"/>
      <c r="FA110" s="131"/>
      <c r="FB110" s="131"/>
      <c r="FC110" s="131"/>
      <c r="FD110" s="131"/>
      <c r="FE110" s="131"/>
      <c r="FF110" s="131"/>
      <c r="FG110" s="131"/>
      <c r="FH110" s="131"/>
      <c r="FI110" s="131"/>
      <c r="FJ110" s="131"/>
      <c r="FK110" s="131"/>
      <c r="FL110" s="131"/>
      <c r="FM110" s="131"/>
      <c r="FN110" s="131"/>
      <c r="FO110" s="131"/>
      <c r="FP110" s="131"/>
      <c r="FQ110" s="131"/>
      <c r="FR110" s="131"/>
      <c r="FS110" s="131"/>
      <c r="FT110" s="131"/>
      <c r="FU110" s="131"/>
      <c r="FV110" s="131"/>
      <c r="FW110" s="131"/>
      <c r="FX110" s="131"/>
      <c r="FY110" s="131"/>
      <c r="FZ110" s="131"/>
      <c r="GA110" s="131"/>
      <c r="GB110" s="131"/>
      <c r="GC110" s="131"/>
      <c r="GD110" s="131"/>
      <c r="GE110" s="131"/>
      <c r="GF110" s="131"/>
      <c r="GG110" s="131"/>
      <c r="GH110" s="131"/>
      <c r="GI110" s="131"/>
      <c r="GJ110" s="131"/>
      <c r="GK110" s="131"/>
      <c r="GL110" s="131"/>
      <c r="GM110" s="131"/>
      <c r="GN110" s="131"/>
      <c r="GO110" s="131"/>
      <c r="GP110" s="131"/>
      <c r="GQ110" s="131"/>
      <c r="GR110" s="131"/>
      <c r="GS110" s="131"/>
      <c r="GT110" s="131"/>
      <c r="GU110" s="131"/>
      <c r="GV110" s="131"/>
      <c r="GW110" s="131"/>
      <c r="GX110" s="131"/>
      <c r="GY110" s="131"/>
      <c r="GZ110" s="131"/>
      <c r="HA110" s="131"/>
      <c r="HB110" s="131"/>
      <c r="HC110" s="131"/>
      <c r="HD110" s="131"/>
      <c r="HE110" s="131"/>
      <c r="HF110" s="131"/>
      <c r="HG110" s="131"/>
      <c r="HH110" s="131"/>
      <c r="HI110" s="131"/>
      <c r="HJ110" s="131"/>
      <c r="HK110" s="131"/>
      <c r="HL110" s="131"/>
      <c r="HM110" s="131"/>
      <c r="HN110" s="131"/>
      <c r="HO110" s="131"/>
      <c r="HP110" s="131"/>
      <c r="HQ110" s="131"/>
      <c r="HR110" s="131"/>
      <c r="HS110" s="131"/>
      <c r="HT110" s="131"/>
      <c r="HU110" s="131"/>
      <c r="HV110" s="131"/>
      <c r="HW110" s="131"/>
      <c r="HX110" s="131"/>
      <c r="HY110" s="131"/>
      <c r="HZ110" s="131"/>
      <c r="IA110" s="131"/>
      <c r="IB110" s="131"/>
      <c r="IC110" s="131"/>
      <c r="ID110" s="131"/>
      <c r="IE110" s="131"/>
      <c r="IF110" s="131"/>
      <c r="IG110" s="131"/>
      <c r="IH110" s="131"/>
      <c r="II110" s="131"/>
      <c r="IJ110" s="131"/>
      <c r="IK110" s="131"/>
      <c r="IL110" s="131"/>
      <c r="IM110" s="131"/>
      <c r="IN110" s="131"/>
      <c r="IO110" s="131"/>
      <c r="IP110" s="131"/>
      <c r="IQ110" s="131"/>
      <c r="IR110" s="131"/>
      <c r="IS110" s="131"/>
      <c r="IT110" s="131"/>
      <c r="IU110" s="131"/>
      <c r="IV110" s="131"/>
    </row>
    <row r="111" spans="1:256" s="229" customFormat="1" ht="49.5" customHeight="1">
      <c r="A111" s="682"/>
      <c r="B111" s="683"/>
      <c r="C111" s="277"/>
      <c r="D111" s="706"/>
      <c r="E111" s="756"/>
      <c r="F111" s="706"/>
      <c r="G111" s="3211"/>
      <c r="H111" s="3126"/>
      <c r="I111" s="2096"/>
      <c r="J111" s="3218"/>
      <c r="K111" s="3129"/>
      <c r="L111" s="3219"/>
      <c r="M111" s="3126"/>
      <c r="N111" s="2660"/>
      <c r="O111" s="3157"/>
      <c r="P111" s="3180"/>
      <c r="Q111" s="2319"/>
      <c r="R111" s="201" t="s">
        <v>806</v>
      </c>
      <c r="S111" s="724">
        <v>38000000</v>
      </c>
      <c r="T111" s="2094"/>
      <c r="U111" s="2094"/>
      <c r="V111" s="3227"/>
      <c r="W111" s="3227"/>
      <c r="X111" s="3215"/>
      <c r="Y111" s="3215"/>
      <c r="Z111" s="3215"/>
      <c r="AA111" s="3215"/>
      <c r="AB111" s="3215"/>
      <c r="AC111" s="3215"/>
      <c r="AD111" s="3215"/>
      <c r="AE111" s="3215"/>
      <c r="AF111" s="3215"/>
      <c r="AG111" s="3215"/>
      <c r="AH111" s="3215"/>
      <c r="AI111" s="3215"/>
      <c r="AJ111" s="2656"/>
      <c r="AK111" s="2906"/>
      <c r="AL111" s="3225"/>
      <c r="AM111" s="2887"/>
      <c r="AN111" s="2887"/>
      <c r="AO111" s="2298"/>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1"/>
      <c r="FT111" s="131"/>
      <c r="FU111" s="131"/>
      <c r="FV111" s="131"/>
      <c r="FW111" s="131"/>
      <c r="FX111" s="131"/>
      <c r="FY111" s="131"/>
      <c r="FZ111" s="131"/>
      <c r="GA111" s="131"/>
      <c r="GB111" s="131"/>
      <c r="GC111" s="131"/>
      <c r="GD111" s="131"/>
      <c r="GE111" s="131"/>
      <c r="GF111" s="131"/>
      <c r="GG111" s="131"/>
      <c r="GH111" s="131"/>
      <c r="GI111" s="131"/>
      <c r="GJ111" s="131"/>
      <c r="GK111" s="131"/>
      <c r="GL111" s="131"/>
      <c r="GM111" s="131"/>
      <c r="GN111" s="131"/>
      <c r="GO111" s="131"/>
      <c r="GP111" s="131"/>
      <c r="GQ111" s="131"/>
      <c r="GR111" s="131"/>
      <c r="GS111" s="131"/>
      <c r="GT111" s="131"/>
      <c r="GU111" s="131"/>
      <c r="GV111" s="131"/>
      <c r="GW111" s="131"/>
      <c r="GX111" s="131"/>
      <c r="GY111" s="131"/>
      <c r="GZ111" s="131"/>
      <c r="HA111" s="131"/>
      <c r="HB111" s="131"/>
      <c r="HC111" s="131"/>
      <c r="HD111" s="131"/>
      <c r="HE111" s="131"/>
      <c r="HF111" s="131"/>
      <c r="HG111" s="131"/>
      <c r="HH111" s="131"/>
      <c r="HI111" s="131"/>
      <c r="HJ111" s="131"/>
      <c r="HK111" s="131"/>
      <c r="HL111" s="131"/>
      <c r="HM111" s="131"/>
      <c r="HN111" s="131"/>
      <c r="HO111" s="131"/>
      <c r="HP111" s="131"/>
      <c r="HQ111" s="131"/>
      <c r="HR111" s="131"/>
      <c r="HS111" s="131"/>
      <c r="HT111" s="131"/>
      <c r="HU111" s="131"/>
      <c r="HV111" s="131"/>
      <c r="HW111" s="131"/>
      <c r="HX111" s="131"/>
      <c r="HY111" s="131"/>
      <c r="HZ111" s="131"/>
      <c r="IA111" s="131"/>
      <c r="IB111" s="131"/>
      <c r="IC111" s="131"/>
      <c r="ID111" s="131"/>
      <c r="IE111" s="131"/>
      <c r="IF111" s="131"/>
      <c r="IG111" s="131"/>
      <c r="IH111" s="131"/>
      <c r="II111" s="131"/>
      <c r="IJ111" s="131"/>
      <c r="IK111" s="131"/>
      <c r="IL111" s="131"/>
      <c r="IM111" s="131"/>
      <c r="IN111" s="131"/>
      <c r="IO111" s="131"/>
      <c r="IP111" s="131"/>
      <c r="IQ111" s="131"/>
      <c r="IR111" s="131"/>
      <c r="IS111" s="131"/>
      <c r="IT111" s="131"/>
      <c r="IU111" s="131"/>
      <c r="IV111" s="131"/>
    </row>
    <row r="112" spans="1:256" s="229" customFormat="1" ht="15.75">
      <c r="A112" s="682"/>
      <c r="B112" s="683"/>
      <c r="C112" s="277"/>
      <c r="D112" s="706"/>
      <c r="E112" s="757">
        <v>63</v>
      </c>
      <c r="F112" s="758" t="s">
        <v>807</v>
      </c>
      <c r="G112" s="759"/>
      <c r="H112" s="760"/>
      <c r="I112" s="760"/>
      <c r="J112" s="759"/>
      <c r="K112" s="759"/>
      <c r="L112" s="759"/>
      <c r="M112" s="760"/>
      <c r="N112" s="759"/>
      <c r="O112" s="761"/>
      <c r="P112" s="760"/>
      <c r="Q112" s="760"/>
      <c r="R112" s="760"/>
      <c r="S112" s="762"/>
      <c r="T112" s="763"/>
      <c r="U112" s="764"/>
      <c r="V112" s="759"/>
      <c r="W112" s="759"/>
      <c r="X112" s="759"/>
      <c r="Y112" s="759"/>
      <c r="Z112" s="759"/>
      <c r="AA112" s="759"/>
      <c r="AB112" s="759"/>
      <c r="AC112" s="759"/>
      <c r="AD112" s="759"/>
      <c r="AE112" s="759"/>
      <c r="AF112" s="759"/>
      <c r="AG112" s="759"/>
      <c r="AH112" s="759"/>
      <c r="AI112" s="759"/>
      <c r="AJ112" s="759"/>
      <c r="AK112" s="765"/>
      <c r="AL112" s="759"/>
      <c r="AM112" s="759"/>
      <c r="AN112" s="759"/>
      <c r="AO112" s="766"/>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c r="FW112" s="131"/>
      <c r="FX112" s="131"/>
      <c r="FY112" s="131"/>
      <c r="FZ112" s="131"/>
      <c r="GA112" s="131"/>
      <c r="GB112" s="131"/>
      <c r="GC112" s="131"/>
      <c r="GD112" s="131"/>
      <c r="GE112" s="131"/>
      <c r="GF112" s="131"/>
      <c r="GG112" s="131"/>
      <c r="GH112" s="131"/>
      <c r="GI112" s="131"/>
      <c r="GJ112" s="131"/>
      <c r="GK112" s="131"/>
      <c r="GL112" s="131"/>
      <c r="GM112" s="131"/>
      <c r="GN112" s="131"/>
      <c r="GO112" s="131"/>
      <c r="GP112" s="131"/>
      <c r="GQ112" s="131"/>
      <c r="GR112" s="131"/>
      <c r="GS112" s="131"/>
      <c r="GT112" s="131"/>
      <c r="GU112" s="131"/>
      <c r="GV112" s="131"/>
      <c r="GW112" s="131"/>
      <c r="GX112" s="131"/>
      <c r="GY112" s="131"/>
      <c r="GZ112" s="131"/>
      <c r="HA112" s="131"/>
      <c r="HB112" s="131"/>
      <c r="HC112" s="131"/>
      <c r="HD112" s="131"/>
      <c r="HE112" s="131"/>
      <c r="HF112" s="131"/>
      <c r="HG112" s="131"/>
      <c r="HH112" s="131"/>
      <c r="HI112" s="131"/>
      <c r="HJ112" s="131"/>
      <c r="HK112" s="131"/>
      <c r="HL112" s="131"/>
      <c r="HM112" s="131"/>
      <c r="HN112" s="131"/>
      <c r="HO112" s="131"/>
      <c r="HP112" s="131"/>
      <c r="HQ112" s="131"/>
      <c r="HR112" s="131"/>
      <c r="HS112" s="131"/>
      <c r="HT112" s="131"/>
      <c r="HU112" s="131"/>
      <c r="HV112" s="131"/>
      <c r="HW112" s="131"/>
      <c r="HX112" s="131"/>
      <c r="HY112" s="131"/>
      <c r="HZ112" s="131"/>
      <c r="IA112" s="131"/>
      <c r="IB112" s="131"/>
      <c r="IC112" s="131"/>
      <c r="ID112" s="131"/>
      <c r="IE112" s="131"/>
      <c r="IF112" s="131"/>
      <c r="IG112" s="131"/>
      <c r="IH112" s="131"/>
      <c r="II112" s="131"/>
      <c r="IJ112" s="131"/>
      <c r="IK112" s="131"/>
      <c r="IL112" s="131"/>
      <c r="IM112" s="131"/>
      <c r="IN112" s="131"/>
      <c r="IO112" s="131"/>
      <c r="IP112" s="131"/>
      <c r="IQ112" s="131"/>
      <c r="IR112" s="131"/>
      <c r="IS112" s="131"/>
      <c r="IT112" s="131"/>
      <c r="IU112" s="131"/>
      <c r="IV112" s="131"/>
    </row>
    <row r="113" spans="1:256" s="229" customFormat="1" ht="72" customHeight="1">
      <c r="A113" s="682"/>
      <c r="B113" s="683"/>
      <c r="C113" s="277"/>
      <c r="D113" s="706"/>
      <c r="E113" s="263"/>
      <c r="F113" s="706"/>
      <c r="G113" s="3220">
        <v>193</v>
      </c>
      <c r="H113" s="2129" t="s">
        <v>808</v>
      </c>
      <c r="I113" s="2129" t="s">
        <v>809</v>
      </c>
      <c r="J113" s="2872">
        <v>1</v>
      </c>
      <c r="K113" s="3127" t="s">
        <v>810</v>
      </c>
      <c r="L113" s="3187" t="s">
        <v>811</v>
      </c>
      <c r="M113" s="2442" t="s">
        <v>812</v>
      </c>
      <c r="N113" s="2660">
        <f>SUM(S113:S114)/O113</f>
        <v>1</v>
      </c>
      <c r="O113" s="3156">
        <f>SUM(S113:S114)</f>
        <v>30000000</v>
      </c>
      <c r="P113" s="3180" t="s">
        <v>813</v>
      </c>
      <c r="Q113" s="2300" t="s">
        <v>814</v>
      </c>
      <c r="R113" s="77" t="s">
        <v>815</v>
      </c>
      <c r="S113" s="740">
        <v>15000000</v>
      </c>
      <c r="T113" s="2108">
        <v>20</v>
      </c>
      <c r="U113" s="2108" t="s">
        <v>80</v>
      </c>
      <c r="V113" s="2905">
        <v>15</v>
      </c>
      <c r="W113" s="2905">
        <v>17</v>
      </c>
      <c r="X113" s="3230"/>
      <c r="Y113" s="3230"/>
      <c r="Z113" s="3230"/>
      <c r="AA113" s="3230"/>
      <c r="AB113" s="3232">
        <v>32</v>
      </c>
      <c r="AC113" s="3230"/>
      <c r="AD113" s="3228"/>
      <c r="AE113" s="3228"/>
      <c r="AF113" s="3228"/>
      <c r="AG113" s="3228"/>
      <c r="AH113" s="3214"/>
      <c r="AI113" s="3214"/>
      <c r="AJ113" s="2653"/>
      <c r="AK113" s="2905">
        <f>V113+W113</f>
        <v>32</v>
      </c>
      <c r="AL113" s="3223"/>
      <c r="AM113" s="2535">
        <v>43102</v>
      </c>
      <c r="AN113" s="2535">
        <v>43465</v>
      </c>
      <c r="AO113" s="2298" t="s">
        <v>639</v>
      </c>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c r="EI113" s="131"/>
      <c r="EJ113" s="131"/>
      <c r="EK113" s="131"/>
      <c r="EL113" s="131"/>
      <c r="EM113" s="131"/>
      <c r="EN113" s="131"/>
      <c r="EO113" s="131"/>
      <c r="EP113" s="131"/>
      <c r="EQ113" s="131"/>
      <c r="ER113" s="131"/>
      <c r="ES113" s="131"/>
      <c r="ET113" s="131"/>
      <c r="EU113" s="131"/>
      <c r="EV113" s="131"/>
      <c r="EW113" s="131"/>
      <c r="EX113" s="131"/>
      <c r="EY113" s="131"/>
      <c r="EZ113" s="131"/>
      <c r="FA113" s="131"/>
      <c r="FB113" s="131"/>
      <c r="FC113" s="131"/>
      <c r="FD113" s="131"/>
      <c r="FE113" s="131"/>
      <c r="FF113" s="131"/>
      <c r="FG113" s="131"/>
      <c r="FH113" s="131"/>
      <c r="FI113" s="131"/>
      <c r="FJ113" s="131"/>
      <c r="FK113" s="131"/>
      <c r="FL113" s="131"/>
      <c r="FM113" s="131"/>
      <c r="FN113" s="131"/>
      <c r="FO113" s="131"/>
      <c r="FP113" s="131"/>
      <c r="FQ113" s="131"/>
      <c r="FR113" s="131"/>
      <c r="FS113" s="131"/>
      <c r="FT113" s="131"/>
      <c r="FU113" s="131"/>
      <c r="FV113" s="131"/>
      <c r="FW113" s="131"/>
      <c r="FX113" s="131"/>
      <c r="FY113" s="131"/>
      <c r="FZ113" s="131"/>
      <c r="GA113" s="131"/>
      <c r="GB113" s="131"/>
      <c r="GC113" s="131"/>
      <c r="GD113" s="131"/>
      <c r="GE113" s="131"/>
      <c r="GF113" s="131"/>
      <c r="GG113" s="131"/>
      <c r="GH113" s="131"/>
      <c r="GI113" s="131"/>
      <c r="GJ113" s="131"/>
      <c r="GK113" s="131"/>
      <c r="GL113" s="131"/>
      <c r="GM113" s="131"/>
      <c r="GN113" s="131"/>
      <c r="GO113" s="131"/>
      <c r="GP113" s="131"/>
      <c r="GQ113" s="131"/>
      <c r="GR113" s="131"/>
      <c r="GS113" s="131"/>
      <c r="GT113" s="131"/>
      <c r="GU113" s="131"/>
      <c r="GV113" s="131"/>
      <c r="GW113" s="131"/>
      <c r="GX113" s="131"/>
      <c r="GY113" s="131"/>
      <c r="GZ113" s="131"/>
      <c r="HA113" s="131"/>
      <c r="HB113" s="131"/>
      <c r="HC113" s="131"/>
      <c r="HD113" s="131"/>
      <c r="HE113" s="131"/>
      <c r="HF113" s="131"/>
      <c r="HG113" s="131"/>
      <c r="HH113" s="131"/>
      <c r="HI113" s="131"/>
      <c r="HJ113" s="131"/>
      <c r="HK113" s="131"/>
      <c r="HL113" s="131"/>
      <c r="HM113" s="131"/>
      <c r="HN113" s="131"/>
      <c r="HO113" s="131"/>
      <c r="HP113" s="131"/>
      <c r="HQ113" s="131"/>
      <c r="HR113" s="131"/>
      <c r="HS113" s="131"/>
      <c r="HT113" s="131"/>
      <c r="HU113" s="131"/>
      <c r="HV113" s="131"/>
      <c r="HW113" s="131"/>
      <c r="HX113" s="131"/>
      <c r="HY113" s="131"/>
      <c r="HZ113" s="131"/>
      <c r="IA113" s="131"/>
      <c r="IB113" s="131"/>
      <c r="IC113" s="131"/>
      <c r="ID113" s="131"/>
      <c r="IE113" s="131"/>
      <c r="IF113" s="131"/>
      <c r="IG113" s="131"/>
      <c r="IH113" s="131"/>
      <c r="II113" s="131"/>
      <c r="IJ113" s="131"/>
      <c r="IK113" s="131"/>
      <c r="IL113" s="131"/>
      <c r="IM113" s="131"/>
      <c r="IN113" s="131"/>
      <c r="IO113" s="131"/>
      <c r="IP113" s="131"/>
      <c r="IQ113" s="131"/>
      <c r="IR113" s="131"/>
      <c r="IS113" s="131"/>
      <c r="IT113" s="131"/>
      <c r="IU113" s="131"/>
      <c r="IV113" s="131"/>
    </row>
    <row r="114" spans="1:256" s="229" customFormat="1" ht="51.75" customHeight="1">
      <c r="A114" s="682"/>
      <c r="B114" s="683"/>
      <c r="C114" s="277"/>
      <c r="D114" s="706"/>
      <c r="E114" s="277"/>
      <c r="F114" s="706"/>
      <c r="G114" s="3221"/>
      <c r="H114" s="2096"/>
      <c r="I114" s="2096"/>
      <c r="J114" s="2320"/>
      <c r="K114" s="3129"/>
      <c r="L114" s="3219"/>
      <c r="M114" s="2463"/>
      <c r="N114" s="2660"/>
      <c r="O114" s="3157"/>
      <c r="P114" s="3180"/>
      <c r="Q114" s="2300"/>
      <c r="R114" s="77" t="s">
        <v>816</v>
      </c>
      <c r="S114" s="739">
        <v>15000000</v>
      </c>
      <c r="T114" s="2108"/>
      <c r="U114" s="2108"/>
      <c r="V114" s="2906"/>
      <c r="W114" s="2906"/>
      <c r="X114" s="3231"/>
      <c r="Y114" s="3231"/>
      <c r="Z114" s="3231"/>
      <c r="AA114" s="3231"/>
      <c r="AB114" s="3233"/>
      <c r="AC114" s="3231"/>
      <c r="AD114" s="3229"/>
      <c r="AE114" s="3229"/>
      <c r="AF114" s="3229"/>
      <c r="AG114" s="3229"/>
      <c r="AH114" s="3215"/>
      <c r="AI114" s="3215"/>
      <c r="AJ114" s="2656"/>
      <c r="AK114" s="2906"/>
      <c r="AL114" s="3236"/>
      <c r="AM114" s="2537"/>
      <c r="AN114" s="2537"/>
      <c r="AO114" s="2298"/>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c r="GG114" s="131"/>
      <c r="GH114" s="131"/>
      <c r="GI114" s="131"/>
      <c r="GJ114" s="131"/>
      <c r="GK114" s="131"/>
      <c r="GL114" s="131"/>
      <c r="GM114" s="131"/>
      <c r="GN114" s="131"/>
      <c r="GO114" s="131"/>
      <c r="GP114" s="131"/>
      <c r="GQ114" s="131"/>
      <c r="GR114" s="131"/>
      <c r="GS114" s="131"/>
      <c r="GT114" s="131"/>
      <c r="GU114" s="131"/>
      <c r="GV114" s="131"/>
      <c r="GW114" s="131"/>
      <c r="GX114" s="131"/>
      <c r="GY114" s="131"/>
      <c r="GZ114" s="131"/>
      <c r="HA114" s="131"/>
      <c r="HB114" s="131"/>
      <c r="HC114" s="131"/>
      <c r="HD114" s="131"/>
      <c r="HE114" s="131"/>
      <c r="HF114" s="131"/>
      <c r="HG114" s="131"/>
      <c r="HH114" s="131"/>
      <c r="HI114" s="131"/>
      <c r="HJ114" s="131"/>
      <c r="HK114" s="131"/>
      <c r="HL114" s="131"/>
      <c r="HM114" s="131"/>
      <c r="HN114" s="131"/>
      <c r="HO114" s="131"/>
      <c r="HP114" s="131"/>
      <c r="HQ114" s="131"/>
      <c r="HR114" s="131"/>
      <c r="HS114" s="131"/>
      <c r="HT114" s="131"/>
      <c r="HU114" s="131"/>
      <c r="HV114" s="131"/>
      <c r="HW114" s="131"/>
      <c r="HX114" s="131"/>
      <c r="HY114" s="131"/>
      <c r="HZ114" s="131"/>
      <c r="IA114" s="131"/>
      <c r="IB114" s="131"/>
      <c r="IC114" s="131"/>
      <c r="ID114" s="131"/>
      <c r="IE114" s="131"/>
      <c r="IF114" s="131"/>
      <c r="IG114" s="131"/>
      <c r="IH114" s="131"/>
      <c r="II114" s="131"/>
      <c r="IJ114" s="131"/>
      <c r="IK114" s="131"/>
      <c r="IL114" s="131"/>
      <c r="IM114" s="131"/>
      <c r="IN114" s="131"/>
      <c r="IO114" s="131"/>
      <c r="IP114" s="131"/>
      <c r="IQ114" s="131"/>
      <c r="IR114" s="131"/>
      <c r="IS114" s="131"/>
      <c r="IT114" s="131"/>
      <c r="IU114" s="131"/>
      <c r="IV114" s="131"/>
    </row>
    <row r="115" spans="1:256" s="229" customFormat="1" ht="60" customHeight="1">
      <c r="A115" s="682"/>
      <c r="B115" s="683"/>
      <c r="C115" s="277"/>
      <c r="D115" s="706"/>
      <c r="E115" s="277"/>
      <c r="F115" s="706"/>
      <c r="G115" s="3234">
        <v>194</v>
      </c>
      <c r="H115" s="2095" t="s">
        <v>817</v>
      </c>
      <c r="I115" s="3235" t="s">
        <v>818</v>
      </c>
      <c r="J115" s="2320">
        <v>1</v>
      </c>
      <c r="K115" s="3127" t="s">
        <v>819</v>
      </c>
      <c r="L115" s="3192" t="s">
        <v>820</v>
      </c>
      <c r="M115" s="3124" t="s">
        <v>821</v>
      </c>
      <c r="N115" s="2660">
        <f>SUM(S115:S116)/O115</f>
        <v>1</v>
      </c>
      <c r="O115" s="3157">
        <f>SUM(S115:S116)</f>
        <v>91000000</v>
      </c>
      <c r="P115" s="3124" t="s">
        <v>822</v>
      </c>
      <c r="Q115" s="201" t="s">
        <v>823</v>
      </c>
      <c r="R115" s="767" t="s">
        <v>824</v>
      </c>
      <c r="S115" s="768">
        <v>88000000</v>
      </c>
      <c r="T115" s="2108" t="s">
        <v>708</v>
      </c>
      <c r="U115" s="2093" t="s">
        <v>64</v>
      </c>
      <c r="V115" s="2887">
        <v>433</v>
      </c>
      <c r="W115" s="2887">
        <v>476</v>
      </c>
      <c r="X115" s="3214"/>
      <c r="Y115" s="3214"/>
      <c r="Z115" s="3214"/>
      <c r="AA115" s="3214"/>
      <c r="AB115" s="2905">
        <v>909</v>
      </c>
      <c r="AC115" s="3214"/>
      <c r="AD115" s="3214"/>
      <c r="AE115" s="3214"/>
      <c r="AF115" s="3214"/>
      <c r="AG115" s="3214"/>
      <c r="AH115" s="3214"/>
      <c r="AI115" s="3214"/>
      <c r="AJ115" s="2653"/>
      <c r="AK115" s="2905">
        <f>V115+W115</f>
        <v>909</v>
      </c>
      <c r="AL115" s="2406" t="s">
        <v>803</v>
      </c>
      <c r="AM115" s="2535">
        <v>43102</v>
      </c>
      <c r="AN115" s="2535">
        <v>43465</v>
      </c>
      <c r="AO115" s="2298" t="s">
        <v>639</v>
      </c>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131"/>
      <c r="HB115" s="131"/>
      <c r="HC115" s="131"/>
      <c r="HD115" s="131"/>
      <c r="HE115" s="131"/>
      <c r="HF115" s="131"/>
      <c r="HG115" s="131"/>
      <c r="HH115" s="131"/>
      <c r="HI115" s="131"/>
      <c r="HJ115" s="131"/>
      <c r="HK115" s="131"/>
      <c r="HL115" s="131"/>
      <c r="HM115" s="131"/>
      <c r="HN115" s="131"/>
      <c r="HO115" s="131"/>
      <c r="HP115" s="131"/>
      <c r="HQ115" s="131"/>
      <c r="HR115" s="131"/>
      <c r="HS115" s="131"/>
      <c r="HT115" s="131"/>
      <c r="HU115" s="131"/>
      <c r="HV115" s="131"/>
      <c r="HW115" s="131"/>
      <c r="HX115" s="131"/>
      <c r="HY115" s="131"/>
      <c r="HZ115" s="131"/>
      <c r="IA115" s="131"/>
      <c r="IB115" s="131"/>
      <c r="IC115" s="131"/>
      <c r="ID115" s="131"/>
      <c r="IE115" s="131"/>
      <c r="IF115" s="131"/>
      <c r="IG115" s="131"/>
      <c r="IH115" s="131"/>
      <c r="II115" s="131"/>
      <c r="IJ115" s="131"/>
      <c r="IK115" s="131"/>
      <c r="IL115" s="131"/>
      <c r="IM115" s="131"/>
      <c r="IN115" s="131"/>
      <c r="IO115" s="131"/>
      <c r="IP115" s="131"/>
      <c r="IQ115" s="131"/>
      <c r="IR115" s="131"/>
      <c r="IS115" s="131"/>
      <c r="IT115" s="131"/>
      <c r="IU115" s="131"/>
      <c r="IV115" s="131"/>
    </row>
    <row r="116" spans="1:256" s="229" customFormat="1" ht="51.75" customHeight="1">
      <c r="A116" s="682"/>
      <c r="B116" s="683"/>
      <c r="C116" s="277"/>
      <c r="D116" s="706"/>
      <c r="E116" s="277"/>
      <c r="F116" s="706"/>
      <c r="G116" s="3220"/>
      <c r="H116" s="2129"/>
      <c r="I116" s="3235"/>
      <c r="J116" s="2320"/>
      <c r="K116" s="3129"/>
      <c r="L116" s="3187"/>
      <c r="M116" s="3125"/>
      <c r="N116" s="2660"/>
      <c r="O116" s="3157"/>
      <c r="P116" s="3126"/>
      <c r="Q116" s="203" t="s">
        <v>825</v>
      </c>
      <c r="R116" s="769" t="s">
        <v>826</v>
      </c>
      <c r="S116" s="724">
        <v>3000000</v>
      </c>
      <c r="T116" s="2108"/>
      <c r="U116" s="2094"/>
      <c r="V116" s="2887"/>
      <c r="W116" s="2887"/>
      <c r="X116" s="3215"/>
      <c r="Y116" s="3215"/>
      <c r="Z116" s="3215"/>
      <c r="AA116" s="3215"/>
      <c r="AB116" s="2939"/>
      <c r="AC116" s="3215"/>
      <c r="AD116" s="3215"/>
      <c r="AE116" s="3215"/>
      <c r="AF116" s="3215"/>
      <c r="AG116" s="3215"/>
      <c r="AH116" s="3215"/>
      <c r="AI116" s="3215"/>
      <c r="AJ116" s="2656"/>
      <c r="AK116" s="2906"/>
      <c r="AL116" s="2408"/>
      <c r="AM116" s="2537"/>
      <c r="AN116" s="2536"/>
      <c r="AO116" s="2298"/>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1"/>
      <c r="FU116" s="131"/>
      <c r="FV116" s="131"/>
      <c r="FW116" s="131"/>
      <c r="FX116" s="131"/>
      <c r="FY116" s="131"/>
      <c r="FZ116" s="131"/>
      <c r="GA116" s="131"/>
      <c r="GB116" s="131"/>
      <c r="GC116" s="131"/>
      <c r="GD116" s="131"/>
      <c r="GE116" s="131"/>
      <c r="GF116" s="131"/>
      <c r="GG116" s="131"/>
      <c r="GH116" s="131"/>
      <c r="GI116" s="131"/>
      <c r="GJ116" s="131"/>
      <c r="GK116" s="131"/>
      <c r="GL116" s="131"/>
      <c r="GM116" s="131"/>
      <c r="GN116" s="131"/>
      <c r="GO116" s="131"/>
      <c r="GP116" s="131"/>
      <c r="GQ116" s="131"/>
      <c r="GR116" s="131"/>
      <c r="GS116" s="131"/>
      <c r="GT116" s="131"/>
      <c r="GU116" s="131"/>
      <c r="GV116" s="131"/>
      <c r="GW116" s="131"/>
      <c r="GX116" s="131"/>
      <c r="GY116" s="131"/>
      <c r="GZ116" s="131"/>
      <c r="HA116" s="131"/>
      <c r="HB116" s="131"/>
      <c r="HC116" s="131"/>
      <c r="HD116" s="131"/>
      <c r="HE116" s="131"/>
      <c r="HF116" s="131"/>
      <c r="HG116" s="131"/>
      <c r="HH116" s="131"/>
      <c r="HI116" s="131"/>
      <c r="HJ116" s="131"/>
      <c r="HK116" s="131"/>
      <c r="HL116" s="131"/>
      <c r="HM116" s="131"/>
      <c r="HN116" s="131"/>
      <c r="HO116" s="131"/>
      <c r="HP116" s="131"/>
      <c r="HQ116" s="131"/>
      <c r="HR116" s="131"/>
      <c r="HS116" s="131"/>
      <c r="HT116" s="131"/>
      <c r="HU116" s="131"/>
      <c r="HV116" s="131"/>
      <c r="HW116" s="131"/>
      <c r="HX116" s="131"/>
      <c r="HY116" s="131"/>
      <c r="HZ116" s="131"/>
      <c r="IA116" s="131"/>
      <c r="IB116" s="131"/>
      <c r="IC116" s="131"/>
      <c r="ID116" s="131"/>
      <c r="IE116" s="131"/>
      <c r="IF116" s="131"/>
      <c r="IG116" s="131"/>
      <c r="IH116" s="131"/>
      <c r="II116" s="131"/>
      <c r="IJ116" s="131"/>
      <c r="IK116" s="131"/>
      <c r="IL116" s="131"/>
      <c r="IM116" s="131"/>
      <c r="IN116" s="131"/>
      <c r="IO116" s="131"/>
      <c r="IP116" s="131"/>
      <c r="IQ116" s="131"/>
      <c r="IR116" s="131"/>
      <c r="IS116" s="131"/>
      <c r="IT116" s="131"/>
      <c r="IU116" s="131"/>
      <c r="IV116" s="131"/>
    </row>
    <row r="117" spans="1:256" s="229" customFormat="1" ht="15.75">
      <c r="A117" s="682"/>
      <c r="B117" s="683"/>
      <c r="C117" s="277"/>
      <c r="D117" s="706"/>
      <c r="E117" s="181">
        <v>64</v>
      </c>
      <c r="F117" s="770" t="s">
        <v>827</v>
      </c>
      <c r="G117" s="771"/>
      <c r="H117" s="760"/>
      <c r="I117" s="760"/>
      <c r="J117" s="771"/>
      <c r="K117" s="771"/>
      <c r="L117" s="771"/>
      <c r="M117" s="760"/>
      <c r="N117" s="771"/>
      <c r="O117" s="772"/>
      <c r="P117" s="760"/>
      <c r="Q117" s="760"/>
      <c r="R117" s="760"/>
      <c r="S117" s="762"/>
      <c r="T117" s="763"/>
      <c r="U117" s="763"/>
      <c r="V117" s="771"/>
      <c r="W117" s="771"/>
      <c r="X117" s="771"/>
      <c r="Y117" s="771"/>
      <c r="Z117" s="771"/>
      <c r="AA117" s="771"/>
      <c r="AB117" s="771"/>
      <c r="AC117" s="771"/>
      <c r="AD117" s="771"/>
      <c r="AE117" s="771"/>
      <c r="AF117" s="771"/>
      <c r="AG117" s="771"/>
      <c r="AH117" s="771"/>
      <c r="AI117" s="771"/>
      <c r="AJ117" s="771"/>
      <c r="AK117" s="773"/>
      <c r="AL117" s="771"/>
      <c r="AM117" s="771"/>
      <c r="AN117" s="771"/>
      <c r="AO117" s="766"/>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c r="FP117" s="131"/>
      <c r="FQ117" s="131"/>
      <c r="FR117" s="131"/>
      <c r="FS117" s="131"/>
      <c r="FT117" s="131"/>
      <c r="FU117" s="131"/>
      <c r="FV117" s="131"/>
      <c r="FW117" s="131"/>
      <c r="FX117" s="131"/>
      <c r="FY117" s="131"/>
      <c r="FZ117" s="131"/>
      <c r="GA117" s="131"/>
      <c r="GB117" s="131"/>
      <c r="GC117" s="131"/>
      <c r="GD117" s="131"/>
      <c r="GE117" s="131"/>
      <c r="GF117" s="131"/>
      <c r="GG117" s="131"/>
      <c r="GH117" s="131"/>
      <c r="GI117" s="131"/>
      <c r="GJ117" s="131"/>
      <c r="GK117" s="131"/>
      <c r="GL117" s="131"/>
      <c r="GM117" s="131"/>
      <c r="GN117" s="131"/>
      <c r="GO117" s="131"/>
      <c r="GP117" s="131"/>
      <c r="GQ117" s="131"/>
      <c r="GR117" s="131"/>
      <c r="GS117" s="131"/>
      <c r="GT117" s="131"/>
      <c r="GU117" s="131"/>
      <c r="GV117" s="131"/>
      <c r="GW117" s="131"/>
      <c r="GX117" s="131"/>
      <c r="GY117" s="131"/>
      <c r="GZ117" s="131"/>
      <c r="HA117" s="131"/>
      <c r="HB117" s="131"/>
      <c r="HC117" s="131"/>
      <c r="HD117" s="131"/>
      <c r="HE117" s="131"/>
      <c r="HF117" s="131"/>
      <c r="HG117" s="131"/>
      <c r="HH117" s="131"/>
      <c r="HI117" s="131"/>
      <c r="HJ117" s="131"/>
      <c r="HK117" s="131"/>
      <c r="HL117" s="131"/>
      <c r="HM117" s="131"/>
      <c r="HN117" s="131"/>
      <c r="HO117" s="131"/>
      <c r="HP117" s="131"/>
      <c r="HQ117" s="131"/>
      <c r="HR117" s="131"/>
      <c r="HS117" s="131"/>
      <c r="HT117" s="131"/>
      <c r="HU117" s="131"/>
      <c r="HV117" s="131"/>
      <c r="HW117" s="131"/>
      <c r="HX117" s="131"/>
      <c r="HY117" s="131"/>
      <c r="HZ117" s="131"/>
      <c r="IA117" s="131"/>
      <c r="IB117" s="131"/>
      <c r="IC117" s="131"/>
      <c r="ID117" s="131"/>
      <c r="IE117" s="131"/>
      <c r="IF117" s="131"/>
      <c r="IG117" s="131"/>
      <c r="IH117" s="131"/>
      <c r="II117" s="131"/>
      <c r="IJ117" s="131"/>
      <c r="IK117" s="131"/>
      <c r="IL117" s="131"/>
      <c r="IM117" s="131"/>
      <c r="IN117" s="131"/>
      <c r="IO117" s="131"/>
      <c r="IP117" s="131"/>
      <c r="IQ117" s="131"/>
      <c r="IR117" s="131"/>
      <c r="IS117" s="131"/>
      <c r="IT117" s="131"/>
      <c r="IU117" s="131"/>
      <c r="IV117" s="131"/>
    </row>
    <row r="118" spans="1:256" s="229" customFormat="1" ht="49.5" customHeight="1">
      <c r="A118" s="682"/>
      <c r="B118" s="683"/>
      <c r="C118" s="277"/>
      <c r="D118" s="706"/>
      <c r="E118" s="688"/>
      <c r="F118" s="683"/>
      <c r="G118" s="3234">
        <v>195</v>
      </c>
      <c r="H118" s="2095" t="s">
        <v>828</v>
      </c>
      <c r="I118" s="3237" t="s">
        <v>829</v>
      </c>
      <c r="J118" s="2950">
        <v>1</v>
      </c>
      <c r="K118" s="3127" t="s">
        <v>830</v>
      </c>
      <c r="L118" s="3192" t="s">
        <v>831</v>
      </c>
      <c r="M118" s="2441" t="s">
        <v>832</v>
      </c>
      <c r="N118" s="2660">
        <f>SUM(S118:S120)/O118</f>
        <v>1</v>
      </c>
      <c r="O118" s="3157">
        <f>SUM(S118:S120)</f>
        <v>90000000</v>
      </c>
      <c r="P118" s="3124" t="s">
        <v>833</v>
      </c>
      <c r="Q118" s="2337" t="s">
        <v>834</v>
      </c>
      <c r="R118" s="201" t="s">
        <v>835</v>
      </c>
      <c r="S118" s="724">
        <v>30000000</v>
      </c>
      <c r="T118" s="2093" t="s">
        <v>708</v>
      </c>
      <c r="U118" s="2093" t="s">
        <v>64</v>
      </c>
      <c r="V118" s="2905">
        <v>6364</v>
      </c>
      <c r="W118" s="2905">
        <v>6844</v>
      </c>
      <c r="X118" s="3214"/>
      <c r="Y118" s="3214"/>
      <c r="Z118" s="3214"/>
      <c r="AA118" s="3214"/>
      <c r="AB118" s="3214"/>
      <c r="AC118" s="2905">
        <v>13208</v>
      </c>
      <c r="AD118" s="3214"/>
      <c r="AE118" s="3214"/>
      <c r="AF118" s="3214"/>
      <c r="AG118" s="3214"/>
      <c r="AH118" s="3214"/>
      <c r="AI118" s="3214"/>
      <c r="AJ118" s="2653"/>
      <c r="AK118" s="2905">
        <f>V118+W118</f>
        <v>13208</v>
      </c>
      <c r="AL118" s="2406" t="s">
        <v>803</v>
      </c>
      <c r="AM118" s="3240">
        <v>43102</v>
      </c>
      <c r="AN118" s="2535">
        <v>43465</v>
      </c>
      <c r="AO118" s="2298" t="s">
        <v>639</v>
      </c>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c r="EI118" s="131"/>
      <c r="EJ118" s="131"/>
      <c r="EK118" s="131"/>
      <c r="EL118" s="131"/>
      <c r="EM118" s="131"/>
      <c r="EN118" s="131"/>
      <c r="EO118" s="131"/>
      <c r="EP118" s="131"/>
      <c r="EQ118" s="131"/>
      <c r="ER118" s="131"/>
      <c r="ES118" s="131"/>
      <c r="ET118" s="131"/>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1"/>
      <c r="FZ118" s="131"/>
      <c r="GA118" s="131"/>
      <c r="GB118" s="131"/>
      <c r="GC118" s="131"/>
      <c r="GD118" s="131"/>
      <c r="GE118" s="131"/>
      <c r="GF118" s="131"/>
      <c r="GG118" s="131"/>
      <c r="GH118" s="131"/>
      <c r="GI118" s="131"/>
      <c r="GJ118" s="131"/>
      <c r="GK118" s="131"/>
      <c r="GL118" s="131"/>
      <c r="GM118" s="131"/>
      <c r="GN118" s="131"/>
      <c r="GO118" s="131"/>
      <c r="GP118" s="131"/>
      <c r="GQ118" s="131"/>
      <c r="GR118" s="131"/>
      <c r="GS118" s="131"/>
      <c r="GT118" s="131"/>
      <c r="GU118" s="131"/>
      <c r="GV118" s="131"/>
      <c r="GW118" s="131"/>
      <c r="GX118" s="131"/>
      <c r="GY118" s="131"/>
      <c r="GZ118" s="131"/>
      <c r="HA118" s="131"/>
      <c r="HB118" s="131"/>
      <c r="HC118" s="131"/>
      <c r="HD118" s="131"/>
      <c r="HE118" s="131"/>
      <c r="HF118" s="131"/>
      <c r="HG118" s="131"/>
      <c r="HH118" s="131"/>
      <c r="HI118" s="131"/>
      <c r="HJ118" s="131"/>
      <c r="HK118" s="131"/>
      <c r="HL118" s="131"/>
      <c r="HM118" s="131"/>
      <c r="HN118" s="131"/>
      <c r="HO118" s="131"/>
      <c r="HP118" s="131"/>
      <c r="HQ118" s="131"/>
      <c r="HR118" s="131"/>
      <c r="HS118" s="131"/>
      <c r="HT118" s="131"/>
      <c r="HU118" s="131"/>
      <c r="HV118" s="131"/>
      <c r="HW118" s="131"/>
      <c r="HX118" s="131"/>
      <c r="HY118" s="131"/>
      <c r="HZ118" s="131"/>
      <c r="IA118" s="131"/>
      <c r="IB118" s="131"/>
      <c r="IC118" s="131"/>
      <c r="ID118" s="131"/>
      <c r="IE118" s="131"/>
      <c r="IF118" s="131"/>
      <c r="IG118" s="131"/>
      <c r="IH118" s="131"/>
      <c r="II118" s="131"/>
      <c r="IJ118" s="131"/>
      <c r="IK118" s="131"/>
      <c r="IL118" s="131"/>
      <c r="IM118" s="131"/>
      <c r="IN118" s="131"/>
      <c r="IO118" s="131"/>
      <c r="IP118" s="131"/>
      <c r="IQ118" s="131"/>
      <c r="IR118" s="131"/>
      <c r="IS118" s="131"/>
      <c r="IT118" s="131"/>
      <c r="IU118" s="131"/>
      <c r="IV118" s="131"/>
    </row>
    <row r="119" spans="1:256" s="229" customFormat="1" ht="63.75" customHeight="1">
      <c r="A119" s="682"/>
      <c r="B119" s="683"/>
      <c r="C119" s="277"/>
      <c r="D119" s="706"/>
      <c r="E119" s="688"/>
      <c r="F119" s="683"/>
      <c r="G119" s="3220"/>
      <c r="H119" s="2129"/>
      <c r="I119" s="3238"/>
      <c r="J119" s="2950"/>
      <c r="K119" s="3128"/>
      <c r="L119" s="3187"/>
      <c r="M119" s="2442"/>
      <c r="N119" s="2660"/>
      <c r="O119" s="3157"/>
      <c r="P119" s="3125"/>
      <c r="Q119" s="2318"/>
      <c r="R119" s="201" t="s">
        <v>836</v>
      </c>
      <c r="S119" s="724">
        <v>55000000</v>
      </c>
      <c r="T119" s="2128"/>
      <c r="U119" s="2128"/>
      <c r="V119" s="2939"/>
      <c r="W119" s="2939"/>
      <c r="X119" s="3215"/>
      <c r="Y119" s="3215"/>
      <c r="Z119" s="3215"/>
      <c r="AA119" s="3215"/>
      <c r="AB119" s="3215"/>
      <c r="AC119" s="2939"/>
      <c r="AD119" s="3215"/>
      <c r="AE119" s="3215"/>
      <c r="AF119" s="3215"/>
      <c r="AG119" s="3215"/>
      <c r="AH119" s="3215"/>
      <c r="AI119" s="3215"/>
      <c r="AJ119" s="2656"/>
      <c r="AK119" s="2939"/>
      <c r="AL119" s="2407"/>
      <c r="AM119" s="3241"/>
      <c r="AN119" s="2536"/>
      <c r="AO119" s="2298"/>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c r="FP119" s="131"/>
      <c r="FQ119" s="131"/>
      <c r="FR119" s="131"/>
      <c r="FS119" s="131"/>
      <c r="FT119" s="131"/>
      <c r="FU119" s="131"/>
      <c r="FV119" s="131"/>
      <c r="FW119" s="131"/>
      <c r="FX119" s="131"/>
      <c r="FY119" s="131"/>
      <c r="FZ119" s="131"/>
      <c r="GA119" s="131"/>
      <c r="GB119" s="131"/>
      <c r="GC119" s="131"/>
      <c r="GD119" s="131"/>
      <c r="GE119" s="131"/>
      <c r="GF119" s="131"/>
      <c r="GG119" s="131"/>
      <c r="GH119" s="131"/>
      <c r="GI119" s="131"/>
      <c r="GJ119" s="131"/>
      <c r="GK119" s="131"/>
      <c r="GL119" s="131"/>
      <c r="GM119" s="131"/>
      <c r="GN119" s="131"/>
      <c r="GO119" s="131"/>
      <c r="GP119" s="131"/>
      <c r="GQ119" s="131"/>
      <c r="GR119" s="131"/>
      <c r="GS119" s="131"/>
      <c r="GT119" s="131"/>
      <c r="GU119" s="131"/>
      <c r="GV119" s="131"/>
      <c r="GW119" s="131"/>
      <c r="GX119" s="131"/>
      <c r="GY119" s="131"/>
      <c r="GZ119" s="131"/>
      <c r="HA119" s="131"/>
      <c r="HB119" s="131"/>
      <c r="HC119" s="131"/>
      <c r="HD119" s="131"/>
      <c r="HE119" s="131"/>
      <c r="HF119" s="131"/>
      <c r="HG119" s="131"/>
      <c r="HH119" s="131"/>
      <c r="HI119" s="131"/>
      <c r="HJ119" s="131"/>
      <c r="HK119" s="131"/>
      <c r="HL119" s="131"/>
      <c r="HM119" s="131"/>
      <c r="HN119" s="131"/>
      <c r="HO119" s="131"/>
      <c r="HP119" s="131"/>
      <c r="HQ119" s="131"/>
      <c r="HR119" s="131"/>
      <c r="HS119" s="131"/>
      <c r="HT119" s="131"/>
      <c r="HU119" s="131"/>
      <c r="HV119" s="131"/>
      <c r="HW119" s="131"/>
      <c r="HX119" s="131"/>
      <c r="HY119" s="131"/>
      <c r="HZ119" s="131"/>
      <c r="IA119" s="131"/>
      <c r="IB119" s="131"/>
      <c r="IC119" s="131"/>
      <c r="ID119" s="131"/>
      <c r="IE119" s="131"/>
      <c r="IF119" s="131"/>
      <c r="IG119" s="131"/>
      <c r="IH119" s="131"/>
      <c r="II119" s="131"/>
      <c r="IJ119" s="131"/>
      <c r="IK119" s="131"/>
      <c r="IL119" s="131"/>
      <c r="IM119" s="131"/>
      <c r="IN119" s="131"/>
      <c r="IO119" s="131"/>
      <c r="IP119" s="131"/>
      <c r="IQ119" s="131"/>
      <c r="IR119" s="131"/>
      <c r="IS119" s="131"/>
      <c r="IT119" s="131"/>
      <c r="IU119" s="131"/>
      <c r="IV119" s="131"/>
    </row>
    <row r="120" spans="1:256" s="229" customFormat="1" ht="33.75" customHeight="1">
      <c r="A120" s="682"/>
      <c r="B120" s="683"/>
      <c r="C120" s="277"/>
      <c r="D120" s="706"/>
      <c r="E120" s="695"/>
      <c r="F120" s="696"/>
      <c r="G120" s="3221"/>
      <c r="H120" s="2096"/>
      <c r="I120" s="3239"/>
      <c r="J120" s="2950"/>
      <c r="K120" s="3129"/>
      <c r="L120" s="3219"/>
      <c r="M120" s="2463"/>
      <c r="N120" s="2660"/>
      <c r="O120" s="3157"/>
      <c r="P120" s="3126"/>
      <c r="Q120" s="2319"/>
      <c r="R120" s="201" t="s">
        <v>837</v>
      </c>
      <c r="S120" s="724">
        <v>5000000</v>
      </c>
      <c r="T120" s="2094"/>
      <c r="U120" s="2094"/>
      <c r="V120" s="2906"/>
      <c r="W120" s="2906"/>
      <c r="X120" s="3215"/>
      <c r="Y120" s="3215"/>
      <c r="Z120" s="3215"/>
      <c r="AA120" s="3215"/>
      <c r="AB120" s="3215"/>
      <c r="AC120" s="2939"/>
      <c r="AD120" s="3215"/>
      <c r="AE120" s="3215"/>
      <c r="AF120" s="3215"/>
      <c r="AG120" s="3215"/>
      <c r="AH120" s="3215"/>
      <c r="AI120" s="3215"/>
      <c r="AJ120" s="2656"/>
      <c r="AK120" s="2906"/>
      <c r="AL120" s="2408"/>
      <c r="AM120" s="3242"/>
      <c r="AN120" s="2537"/>
      <c r="AO120" s="2298"/>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1"/>
      <c r="FU120" s="131"/>
      <c r="FV120" s="131"/>
      <c r="FW120" s="131"/>
      <c r="FX120" s="131"/>
      <c r="FY120" s="131"/>
      <c r="FZ120" s="131"/>
      <c r="GA120" s="131"/>
      <c r="GB120" s="131"/>
      <c r="GC120" s="131"/>
      <c r="GD120" s="131"/>
      <c r="GE120" s="131"/>
      <c r="GF120" s="131"/>
      <c r="GG120" s="131"/>
      <c r="GH120" s="131"/>
      <c r="GI120" s="131"/>
      <c r="GJ120" s="131"/>
      <c r="GK120" s="131"/>
      <c r="GL120" s="131"/>
      <c r="GM120" s="131"/>
      <c r="GN120" s="131"/>
      <c r="GO120" s="131"/>
      <c r="GP120" s="131"/>
      <c r="GQ120" s="131"/>
      <c r="GR120" s="131"/>
      <c r="GS120" s="131"/>
      <c r="GT120" s="131"/>
      <c r="GU120" s="131"/>
      <c r="GV120" s="131"/>
      <c r="GW120" s="131"/>
      <c r="GX120" s="131"/>
      <c r="GY120" s="131"/>
      <c r="GZ120" s="131"/>
      <c r="HA120" s="131"/>
      <c r="HB120" s="131"/>
      <c r="HC120" s="131"/>
      <c r="HD120" s="131"/>
      <c r="HE120" s="131"/>
      <c r="HF120" s="131"/>
      <c r="HG120" s="131"/>
      <c r="HH120" s="131"/>
      <c r="HI120" s="131"/>
      <c r="HJ120" s="131"/>
      <c r="HK120" s="131"/>
      <c r="HL120" s="131"/>
      <c r="HM120" s="131"/>
      <c r="HN120" s="131"/>
      <c r="HO120" s="131"/>
      <c r="HP120" s="131"/>
      <c r="HQ120" s="131"/>
      <c r="HR120" s="131"/>
      <c r="HS120" s="131"/>
      <c r="HT120" s="131"/>
      <c r="HU120" s="131"/>
      <c r="HV120" s="131"/>
      <c r="HW120" s="131"/>
      <c r="HX120" s="131"/>
      <c r="HY120" s="131"/>
      <c r="HZ120" s="131"/>
      <c r="IA120" s="131"/>
      <c r="IB120" s="131"/>
      <c r="IC120" s="131"/>
      <c r="ID120" s="131"/>
      <c r="IE120" s="131"/>
      <c r="IF120" s="131"/>
      <c r="IG120" s="131"/>
      <c r="IH120" s="131"/>
      <c r="II120" s="131"/>
      <c r="IJ120" s="131"/>
      <c r="IK120" s="131"/>
      <c r="IL120" s="131"/>
      <c r="IM120" s="131"/>
      <c r="IN120" s="131"/>
      <c r="IO120" s="131"/>
      <c r="IP120" s="131"/>
      <c r="IQ120" s="131"/>
      <c r="IR120" s="131"/>
      <c r="IS120" s="131"/>
      <c r="IT120" s="131"/>
      <c r="IU120" s="131"/>
      <c r="IV120" s="131"/>
    </row>
    <row r="121" spans="1:256" s="229" customFormat="1" ht="15.75">
      <c r="A121" s="682"/>
      <c r="B121" s="683"/>
      <c r="C121" s="277"/>
      <c r="D121" s="706"/>
      <c r="E121" s="733">
        <v>65</v>
      </c>
      <c r="F121" s="758" t="s">
        <v>838</v>
      </c>
      <c r="G121" s="759"/>
      <c r="H121" s="760"/>
      <c r="I121" s="760"/>
      <c r="J121" s="759"/>
      <c r="K121" s="759"/>
      <c r="L121" s="759"/>
      <c r="M121" s="760"/>
      <c r="N121" s="759"/>
      <c r="O121" s="761"/>
      <c r="P121" s="760"/>
      <c r="Q121" s="760"/>
      <c r="R121" s="760"/>
      <c r="S121" s="762"/>
      <c r="T121" s="763"/>
      <c r="U121" s="760"/>
      <c r="V121" s="759"/>
      <c r="W121" s="759"/>
      <c r="X121" s="759"/>
      <c r="Y121" s="759"/>
      <c r="Z121" s="759"/>
      <c r="AA121" s="759"/>
      <c r="AB121" s="759"/>
      <c r="AC121" s="759"/>
      <c r="AD121" s="759"/>
      <c r="AE121" s="759"/>
      <c r="AF121" s="759"/>
      <c r="AG121" s="759"/>
      <c r="AH121" s="759"/>
      <c r="AI121" s="759"/>
      <c r="AJ121" s="759"/>
      <c r="AK121" s="765"/>
      <c r="AL121" s="774"/>
      <c r="AM121" s="759"/>
      <c r="AN121" s="759"/>
      <c r="AO121" s="766"/>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c r="EI121" s="131"/>
      <c r="EJ121" s="131"/>
      <c r="EK121" s="131"/>
      <c r="EL121" s="131"/>
      <c r="EM121" s="131"/>
      <c r="EN121" s="131"/>
      <c r="EO121" s="131"/>
      <c r="EP121" s="131"/>
      <c r="EQ121" s="131"/>
      <c r="ER121" s="131"/>
      <c r="ES121" s="131"/>
      <c r="ET121" s="131"/>
      <c r="EU121" s="131"/>
      <c r="EV121" s="131"/>
      <c r="EW121" s="131"/>
      <c r="EX121" s="131"/>
      <c r="EY121" s="131"/>
      <c r="EZ121" s="131"/>
      <c r="FA121" s="131"/>
      <c r="FB121" s="131"/>
      <c r="FC121" s="131"/>
      <c r="FD121" s="131"/>
      <c r="FE121" s="131"/>
      <c r="FF121" s="131"/>
      <c r="FG121" s="131"/>
      <c r="FH121" s="131"/>
      <c r="FI121" s="131"/>
      <c r="FJ121" s="131"/>
      <c r="FK121" s="131"/>
      <c r="FL121" s="131"/>
      <c r="FM121" s="131"/>
      <c r="FN121" s="131"/>
      <c r="FO121" s="131"/>
      <c r="FP121" s="131"/>
      <c r="FQ121" s="131"/>
      <c r="FR121" s="131"/>
      <c r="FS121" s="131"/>
      <c r="FT121" s="131"/>
      <c r="FU121" s="131"/>
      <c r="FV121" s="131"/>
      <c r="FW121" s="131"/>
      <c r="FX121" s="131"/>
      <c r="FY121" s="131"/>
      <c r="FZ121" s="131"/>
      <c r="GA121" s="131"/>
      <c r="GB121" s="131"/>
      <c r="GC121" s="131"/>
      <c r="GD121" s="131"/>
      <c r="GE121" s="131"/>
      <c r="GF121" s="131"/>
      <c r="GG121" s="131"/>
      <c r="GH121" s="131"/>
      <c r="GI121" s="131"/>
      <c r="GJ121" s="131"/>
      <c r="GK121" s="131"/>
      <c r="GL121" s="131"/>
      <c r="GM121" s="131"/>
      <c r="GN121" s="131"/>
      <c r="GO121" s="131"/>
      <c r="GP121" s="131"/>
      <c r="GQ121" s="131"/>
      <c r="GR121" s="131"/>
      <c r="GS121" s="131"/>
      <c r="GT121" s="131"/>
      <c r="GU121" s="131"/>
      <c r="GV121" s="131"/>
      <c r="GW121" s="131"/>
      <c r="GX121" s="131"/>
      <c r="GY121" s="131"/>
      <c r="GZ121" s="131"/>
      <c r="HA121" s="131"/>
      <c r="HB121" s="131"/>
      <c r="HC121" s="131"/>
      <c r="HD121" s="131"/>
      <c r="HE121" s="131"/>
      <c r="HF121" s="131"/>
      <c r="HG121" s="131"/>
      <c r="HH121" s="131"/>
      <c r="HI121" s="131"/>
      <c r="HJ121" s="131"/>
      <c r="HK121" s="131"/>
      <c r="HL121" s="131"/>
      <c r="HM121" s="131"/>
      <c r="HN121" s="131"/>
      <c r="HO121" s="131"/>
      <c r="HP121" s="131"/>
      <c r="HQ121" s="131"/>
      <c r="HR121" s="131"/>
      <c r="HS121" s="131"/>
      <c r="HT121" s="131"/>
      <c r="HU121" s="131"/>
      <c r="HV121" s="131"/>
      <c r="HW121" s="131"/>
      <c r="HX121" s="131"/>
      <c r="HY121" s="131"/>
      <c r="HZ121" s="131"/>
      <c r="IA121" s="131"/>
      <c r="IB121" s="131"/>
      <c r="IC121" s="131"/>
      <c r="ID121" s="131"/>
      <c r="IE121" s="131"/>
      <c r="IF121" s="131"/>
      <c r="IG121" s="131"/>
      <c r="IH121" s="131"/>
      <c r="II121" s="131"/>
      <c r="IJ121" s="131"/>
      <c r="IK121" s="131"/>
      <c r="IL121" s="131"/>
      <c r="IM121" s="131"/>
      <c r="IN121" s="131"/>
      <c r="IO121" s="131"/>
      <c r="IP121" s="131"/>
      <c r="IQ121" s="131"/>
      <c r="IR121" s="131"/>
      <c r="IS121" s="131"/>
      <c r="IT121" s="131"/>
      <c r="IU121" s="131"/>
      <c r="IV121" s="131"/>
    </row>
    <row r="122" spans="1:256" s="229" customFormat="1" ht="43.5" customHeight="1">
      <c r="A122" s="682"/>
      <c r="B122" s="683"/>
      <c r="C122" s="277"/>
      <c r="D122" s="706"/>
      <c r="E122" s="263"/>
      <c r="F122" s="711"/>
      <c r="G122" s="3234">
        <v>196</v>
      </c>
      <c r="H122" s="2095" t="s">
        <v>839</v>
      </c>
      <c r="I122" s="2095" t="s">
        <v>840</v>
      </c>
      <c r="J122" s="3243">
        <v>1</v>
      </c>
      <c r="K122" s="3127" t="s">
        <v>841</v>
      </c>
      <c r="L122" s="3192" t="s">
        <v>842</v>
      </c>
      <c r="M122" s="3124" t="s">
        <v>843</v>
      </c>
      <c r="N122" s="2660">
        <f>SUM(S122:S124)/O122</f>
        <v>1</v>
      </c>
      <c r="O122" s="3157">
        <f>SUM(S122:S124)</f>
        <v>56400000</v>
      </c>
      <c r="P122" s="3124" t="s">
        <v>844</v>
      </c>
      <c r="Q122" s="2337" t="s">
        <v>845</v>
      </c>
      <c r="R122" s="291" t="s">
        <v>846</v>
      </c>
      <c r="S122" s="697">
        <f>15000000+20120000</f>
        <v>35120000</v>
      </c>
      <c r="T122" s="3139" t="s">
        <v>63</v>
      </c>
      <c r="U122" s="2095" t="s">
        <v>847</v>
      </c>
      <c r="V122" s="2881">
        <v>900</v>
      </c>
      <c r="W122" s="2881">
        <v>1480</v>
      </c>
      <c r="X122" s="2881">
        <v>0</v>
      </c>
      <c r="Y122" s="2881">
        <v>755</v>
      </c>
      <c r="Z122" s="2881">
        <v>1500</v>
      </c>
      <c r="AA122" s="2881">
        <v>95</v>
      </c>
      <c r="AB122" s="3252">
        <v>10</v>
      </c>
      <c r="AC122" s="3252">
        <v>20</v>
      </c>
      <c r="AD122" s="2266"/>
      <c r="AE122" s="2266"/>
      <c r="AF122" s="2266"/>
      <c r="AG122" s="2266"/>
      <c r="AH122" s="2951"/>
      <c r="AI122" s="2951"/>
      <c r="AJ122" s="3246"/>
      <c r="AK122" s="3222">
        <f>SUM(V122+W122)</f>
        <v>2380</v>
      </c>
      <c r="AL122" s="3223" t="s">
        <v>803</v>
      </c>
      <c r="AM122" s="2535">
        <v>43102</v>
      </c>
      <c r="AN122" s="2535">
        <v>43465</v>
      </c>
      <c r="AO122" s="2298" t="s">
        <v>639</v>
      </c>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c r="EI122" s="131"/>
      <c r="EJ122" s="131"/>
      <c r="EK122" s="131"/>
      <c r="EL122" s="131"/>
      <c r="EM122" s="131"/>
      <c r="EN122" s="131"/>
      <c r="EO122" s="131"/>
      <c r="EP122" s="131"/>
      <c r="EQ122" s="131"/>
      <c r="ER122" s="131"/>
      <c r="ES122" s="131"/>
      <c r="ET122" s="131"/>
      <c r="EU122" s="131"/>
      <c r="EV122" s="131"/>
      <c r="EW122" s="131"/>
      <c r="EX122" s="131"/>
      <c r="EY122" s="131"/>
      <c r="EZ122" s="131"/>
      <c r="FA122" s="131"/>
      <c r="FB122" s="131"/>
      <c r="FC122" s="131"/>
      <c r="FD122" s="131"/>
      <c r="FE122" s="131"/>
      <c r="FF122" s="131"/>
      <c r="FG122" s="131"/>
      <c r="FH122" s="131"/>
      <c r="FI122" s="131"/>
      <c r="FJ122" s="131"/>
      <c r="FK122" s="131"/>
      <c r="FL122" s="131"/>
      <c r="FM122" s="131"/>
      <c r="FN122" s="131"/>
      <c r="FO122" s="131"/>
      <c r="FP122" s="131"/>
      <c r="FQ122" s="131"/>
      <c r="FR122" s="131"/>
      <c r="FS122" s="131"/>
      <c r="FT122" s="131"/>
      <c r="FU122" s="131"/>
      <c r="FV122" s="131"/>
      <c r="FW122" s="131"/>
      <c r="FX122" s="131"/>
      <c r="FY122" s="131"/>
      <c r="FZ122" s="131"/>
      <c r="GA122" s="131"/>
      <c r="GB122" s="131"/>
      <c r="GC122" s="131"/>
      <c r="GD122" s="131"/>
      <c r="GE122" s="131"/>
      <c r="GF122" s="131"/>
      <c r="GG122" s="131"/>
      <c r="GH122" s="131"/>
      <c r="GI122" s="131"/>
      <c r="GJ122" s="131"/>
      <c r="GK122" s="131"/>
      <c r="GL122" s="131"/>
      <c r="GM122" s="131"/>
      <c r="GN122" s="131"/>
      <c r="GO122" s="131"/>
      <c r="GP122" s="131"/>
      <c r="GQ122" s="131"/>
      <c r="GR122" s="131"/>
      <c r="GS122" s="131"/>
      <c r="GT122" s="131"/>
      <c r="GU122" s="131"/>
      <c r="GV122" s="131"/>
      <c r="GW122" s="131"/>
      <c r="GX122" s="131"/>
      <c r="GY122" s="131"/>
      <c r="GZ122" s="131"/>
      <c r="HA122" s="131"/>
      <c r="HB122" s="131"/>
      <c r="HC122" s="131"/>
      <c r="HD122" s="131"/>
      <c r="HE122" s="131"/>
      <c r="HF122" s="131"/>
      <c r="HG122" s="131"/>
      <c r="HH122" s="131"/>
      <c r="HI122" s="131"/>
      <c r="HJ122" s="131"/>
      <c r="HK122" s="131"/>
      <c r="HL122" s="131"/>
      <c r="HM122" s="131"/>
      <c r="HN122" s="131"/>
      <c r="HO122" s="131"/>
      <c r="HP122" s="131"/>
      <c r="HQ122" s="131"/>
      <c r="HR122" s="131"/>
      <c r="HS122" s="131"/>
      <c r="HT122" s="131"/>
      <c r="HU122" s="131"/>
      <c r="HV122" s="131"/>
      <c r="HW122" s="131"/>
      <c r="HX122" s="131"/>
      <c r="HY122" s="131"/>
      <c r="HZ122" s="131"/>
      <c r="IA122" s="131"/>
      <c r="IB122" s="131"/>
      <c r="IC122" s="131"/>
      <c r="ID122" s="131"/>
      <c r="IE122" s="131"/>
      <c r="IF122" s="131"/>
      <c r="IG122" s="131"/>
      <c r="IH122" s="131"/>
      <c r="II122" s="131"/>
      <c r="IJ122" s="131"/>
      <c r="IK122" s="131"/>
      <c r="IL122" s="131"/>
      <c r="IM122" s="131"/>
      <c r="IN122" s="131"/>
      <c r="IO122" s="131"/>
      <c r="IP122" s="131"/>
      <c r="IQ122" s="131"/>
      <c r="IR122" s="131"/>
      <c r="IS122" s="131"/>
      <c r="IT122" s="131"/>
      <c r="IU122" s="131"/>
      <c r="IV122" s="131"/>
    </row>
    <row r="123" spans="1:256" s="229" customFormat="1" ht="59.25" customHeight="1">
      <c r="A123" s="682"/>
      <c r="B123" s="683"/>
      <c r="C123" s="277"/>
      <c r="D123" s="706"/>
      <c r="E123" s="277"/>
      <c r="F123" s="706"/>
      <c r="G123" s="3220"/>
      <c r="H123" s="2129"/>
      <c r="I123" s="2129"/>
      <c r="J123" s="3243"/>
      <c r="K123" s="3128"/>
      <c r="L123" s="3187"/>
      <c r="M123" s="3125"/>
      <c r="N123" s="2660"/>
      <c r="O123" s="3157"/>
      <c r="P123" s="3125"/>
      <c r="Q123" s="2318"/>
      <c r="R123" s="291" t="s">
        <v>848</v>
      </c>
      <c r="S123" s="697">
        <f>10000000+11280000</f>
        <v>21280000</v>
      </c>
      <c r="T123" s="3140"/>
      <c r="U123" s="2129"/>
      <c r="V123" s="2882"/>
      <c r="W123" s="2882"/>
      <c r="X123" s="2882"/>
      <c r="Y123" s="2882"/>
      <c r="Z123" s="2882"/>
      <c r="AA123" s="2882"/>
      <c r="AB123" s="3253"/>
      <c r="AC123" s="3253"/>
      <c r="AD123" s="3244"/>
      <c r="AE123" s="3244"/>
      <c r="AF123" s="3244"/>
      <c r="AG123" s="3244"/>
      <c r="AH123" s="2990"/>
      <c r="AI123" s="2990"/>
      <c r="AJ123" s="3247"/>
      <c r="AK123" s="3249"/>
      <c r="AL123" s="3251"/>
      <c r="AM123" s="2536"/>
      <c r="AN123" s="2536"/>
      <c r="AO123" s="2298"/>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c r="EI123" s="131"/>
      <c r="EJ123" s="131"/>
      <c r="EK123" s="131"/>
      <c r="EL123" s="131"/>
      <c r="EM123" s="131"/>
      <c r="EN123" s="131"/>
      <c r="EO123" s="131"/>
      <c r="EP123" s="131"/>
      <c r="EQ123" s="131"/>
      <c r="ER123" s="131"/>
      <c r="ES123" s="131"/>
      <c r="ET123" s="131"/>
      <c r="EU123" s="131"/>
      <c r="EV123" s="131"/>
      <c r="EW123" s="131"/>
      <c r="EX123" s="131"/>
      <c r="EY123" s="131"/>
      <c r="EZ123" s="131"/>
      <c r="FA123" s="131"/>
      <c r="FB123" s="131"/>
      <c r="FC123" s="131"/>
      <c r="FD123" s="131"/>
      <c r="FE123" s="131"/>
      <c r="FF123" s="131"/>
      <c r="FG123" s="131"/>
      <c r="FH123" s="131"/>
      <c r="FI123" s="131"/>
      <c r="FJ123" s="131"/>
      <c r="FK123" s="131"/>
      <c r="FL123" s="131"/>
      <c r="FM123" s="131"/>
      <c r="FN123" s="131"/>
      <c r="FO123" s="131"/>
      <c r="FP123" s="131"/>
      <c r="FQ123" s="131"/>
      <c r="FR123" s="131"/>
      <c r="FS123" s="131"/>
      <c r="FT123" s="131"/>
      <c r="FU123" s="131"/>
      <c r="FV123" s="131"/>
      <c r="FW123" s="131"/>
      <c r="FX123" s="131"/>
      <c r="FY123" s="131"/>
      <c r="FZ123" s="131"/>
      <c r="GA123" s="131"/>
      <c r="GB123" s="131"/>
      <c r="GC123" s="131"/>
      <c r="GD123" s="131"/>
      <c r="GE123" s="131"/>
      <c r="GF123" s="131"/>
      <c r="GG123" s="131"/>
      <c r="GH123" s="131"/>
      <c r="GI123" s="131"/>
      <c r="GJ123" s="131"/>
      <c r="GK123" s="131"/>
      <c r="GL123" s="131"/>
      <c r="GM123" s="131"/>
      <c r="GN123" s="131"/>
      <c r="GO123" s="131"/>
      <c r="GP123" s="131"/>
      <c r="GQ123" s="131"/>
      <c r="GR123" s="131"/>
      <c r="GS123" s="131"/>
      <c r="GT123" s="131"/>
      <c r="GU123" s="131"/>
      <c r="GV123" s="131"/>
      <c r="GW123" s="131"/>
      <c r="GX123" s="131"/>
      <c r="GY123" s="131"/>
      <c r="GZ123" s="131"/>
      <c r="HA123" s="131"/>
      <c r="HB123" s="131"/>
      <c r="HC123" s="131"/>
      <c r="HD123" s="131"/>
      <c r="HE123" s="131"/>
      <c r="HF123" s="131"/>
      <c r="HG123" s="131"/>
      <c r="HH123" s="131"/>
      <c r="HI123" s="131"/>
      <c r="HJ123" s="131"/>
      <c r="HK123" s="131"/>
      <c r="HL123" s="131"/>
      <c r="HM123" s="131"/>
      <c r="HN123" s="131"/>
      <c r="HO123" s="131"/>
      <c r="HP123" s="131"/>
      <c r="HQ123" s="131"/>
      <c r="HR123" s="131"/>
      <c r="HS123" s="131"/>
      <c r="HT123" s="131"/>
      <c r="HU123" s="131"/>
      <c r="HV123" s="131"/>
      <c r="HW123" s="131"/>
      <c r="HX123" s="131"/>
      <c r="HY123" s="131"/>
      <c r="HZ123" s="131"/>
      <c r="IA123" s="131"/>
      <c r="IB123" s="131"/>
      <c r="IC123" s="131"/>
      <c r="ID123" s="131"/>
      <c r="IE123" s="131"/>
      <c r="IF123" s="131"/>
      <c r="IG123" s="131"/>
      <c r="IH123" s="131"/>
      <c r="II123" s="131"/>
      <c r="IJ123" s="131"/>
      <c r="IK123" s="131"/>
      <c r="IL123" s="131"/>
      <c r="IM123" s="131"/>
      <c r="IN123" s="131"/>
      <c r="IO123" s="131"/>
      <c r="IP123" s="131"/>
      <c r="IQ123" s="131"/>
      <c r="IR123" s="131"/>
      <c r="IS123" s="131"/>
      <c r="IT123" s="131"/>
      <c r="IU123" s="131"/>
      <c r="IV123" s="131"/>
    </row>
    <row r="124" spans="1:256" s="229" customFormat="1" ht="34.5" customHeight="1">
      <c r="A124" s="682"/>
      <c r="B124" s="683"/>
      <c r="C124" s="277"/>
      <c r="D124" s="706"/>
      <c r="E124" s="277"/>
      <c r="F124" s="706"/>
      <c r="G124" s="3220"/>
      <c r="H124" s="2129"/>
      <c r="I124" s="2129"/>
      <c r="J124" s="3243"/>
      <c r="K124" s="3129"/>
      <c r="L124" s="3187"/>
      <c r="M124" s="3125"/>
      <c r="N124" s="2660"/>
      <c r="O124" s="3157"/>
      <c r="P124" s="3125"/>
      <c r="Q124" s="2318"/>
      <c r="R124" s="291" t="s">
        <v>849</v>
      </c>
      <c r="S124" s="697">
        <f>1000000-1000000</f>
        <v>0</v>
      </c>
      <c r="T124" s="3140"/>
      <c r="U124" s="2096"/>
      <c r="V124" s="2883"/>
      <c r="W124" s="2883"/>
      <c r="X124" s="2883"/>
      <c r="Y124" s="2883"/>
      <c r="Z124" s="2883"/>
      <c r="AA124" s="2883"/>
      <c r="AB124" s="3254"/>
      <c r="AC124" s="3254"/>
      <c r="AD124" s="3245"/>
      <c r="AE124" s="3245"/>
      <c r="AF124" s="3245"/>
      <c r="AG124" s="3245"/>
      <c r="AH124" s="2952"/>
      <c r="AI124" s="2952"/>
      <c r="AJ124" s="3248"/>
      <c r="AK124" s="3250"/>
      <c r="AL124" s="3236"/>
      <c r="AM124" s="2537"/>
      <c r="AN124" s="2537"/>
      <c r="AO124" s="2298"/>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1"/>
      <c r="FU124" s="131"/>
      <c r="FV124" s="131"/>
      <c r="FW124" s="131"/>
      <c r="FX124" s="131"/>
      <c r="FY124" s="131"/>
      <c r="FZ124" s="131"/>
      <c r="GA124" s="131"/>
      <c r="GB124" s="131"/>
      <c r="GC124" s="131"/>
      <c r="GD124" s="131"/>
      <c r="GE124" s="131"/>
      <c r="GF124" s="131"/>
      <c r="GG124" s="131"/>
      <c r="GH124" s="131"/>
      <c r="GI124" s="131"/>
      <c r="GJ124" s="131"/>
      <c r="GK124" s="131"/>
      <c r="GL124" s="131"/>
      <c r="GM124" s="131"/>
      <c r="GN124" s="131"/>
      <c r="GO124" s="131"/>
      <c r="GP124" s="131"/>
      <c r="GQ124" s="131"/>
      <c r="GR124" s="131"/>
      <c r="GS124" s="131"/>
      <c r="GT124" s="131"/>
      <c r="GU124" s="131"/>
      <c r="GV124" s="131"/>
      <c r="GW124" s="131"/>
      <c r="GX124" s="131"/>
      <c r="GY124" s="131"/>
      <c r="GZ124" s="131"/>
      <c r="HA124" s="131"/>
      <c r="HB124" s="131"/>
      <c r="HC124" s="131"/>
      <c r="HD124" s="131"/>
      <c r="HE124" s="131"/>
      <c r="HF124" s="131"/>
      <c r="HG124" s="131"/>
      <c r="HH124" s="131"/>
      <c r="HI124" s="131"/>
      <c r="HJ124" s="131"/>
      <c r="HK124" s="131"/>
      <c r="HL124" s="131"/>
      <c r="HM124" s="131"/>
      <c r="HN124" s="131"/>
      <c r="HO124" s="131"/>
      <c r="HP124" s="131"/>
      <c r="HQ124" s="131"/>
      <c r="HR124" s="131"/>
      <c r="HS124" s="131"/>
      <c r="HT124" s="131"/>
      <c r="HU124" s="131"/>
      <c r="HV124" s="131"/>
      <c r="HW124" s="131"/>
      <c r="HX124" s="131"/>
      <c r="HY124" s="131"/>
      <c r="HZ124" s="131"/>
      <c r="IA124" s="131"/>
      <c r="IB124" s="131"/>
      <c r="IC124" s="131"/>
      <c r="ID124" s="131"/>
      <c r="IE124" s="131"/>
      <c r="IF124" s="131"/>
      <c r="IG124" s="131"/>
      <c r="IH124" s="131"/>
      <c r="II124" s="131"/>
      <c r="IJ124" s="131"/>
      <c r="IK124" s="131"/>
      <c r="IL124" s="131"/>
      <c r="IM124" s="131"/>
      <c r="IN124" s="131"/>
      <c r="IO124" s="131"/>
      <c r="IP124" s="131"/>
      <c r="IQ124" s="131"/>
      <c r="IR124" s="131"/>
      <c r="IS124" s="131"/>
      <c r="IT124" s="131"/>
      <c r="IU124" s="131"/>
      <c r="IV124" s="131"/>
    </row>
    <row r="125" spans="1:256" s="229" customFormat="1" ht="15.75">
      <c r="A125" s="682"/>
      <c r="B125" s="683"/>
      <c r="C125" s="277"/>
      <c r="D125" s="706"/>
      <c r="E125" s="283">
        <v>66</v>
      </c>
      <c r="F125" s="758" t="s">
        <v>850</v>
      </c>
      <c r="G125" s="759"/>
      <c r="H125" s="760"/>
      <c r="I125" s="760"/>
      <c r="J125" s="759"/>
      <c r="K125" s="759"/>
      <c r="L125" s="759"/>
      <c r="M125" s="760"/>
      <c r="N125" s="759"/>
      <c r="O125" s="761"/>
      <c r="P125" s="760"/>
      <c r="Q125" s="760"/>
      <c r="R125" s="760"/>
      <c r="S125" s="762"/>
      <c r="T125" s="763"/>
      <c r="U125" s="760"/>
      <c r="V125" s="759"/>
      <c r="W125" s="759"/>
      <c r="X125" s="759"/>
      <c r="Y125" s="759"/>
      <c r="Z125" s="759"/>
      <c r="AA125" s="759"/>
      <c r="AB125" s="759"/>
      <c r="AC125" s="759"/>
      <c r="AD125" s="759"/>
      <c r="AE125" s="759"/>
      <c r="AF125" s="759"/>
      <c r="AG125" s="759"/>
      <c r="AH125" s="759"/>
      <c r="AI125" s="759"/>
      <c r="AJ125" s="759"/>
      <c r="AK125" s="765"/>
      <c r="AL125" s="759"/>
      <c r="AM125" s="759"/>
      <c r="AN125" s="759"/>
      <c r="AO125" s="766"/>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c r="EI125" s="131"/>
      <c r="EJ125" s="131"/>
      <c r="EK125" s="131"/>
      <c r="EL125" s="131"/>
      <c r="EM125" s="131"/>
      <c r="EN125" s="131"/>
      <c r="EO125" s="131"/>
      <c r="EP125" s="131"/>
      <c r="EQ125" s="131"/>
      <c r="ER125" s="131"/>
      <c r="ES125" s="131"/>
      <c r="ET125" s="131"/>
      <c r="EU125" s="131"/>
      <c r="EV125" s="131"/>
      <c r="EW125" s="131"/>
      <c r="EX125" s="131"/>
      <c r="EY125" s="131"/>
      <c r="EZ125" s="131"/>
      <c r="FA125" s="131"/>
      <c r="FB125" s="131"/>
      <c r="FC125" s="131"/>
      <c r="FD125" s="131"/>
      <c r="FE125" s="131"/>
      <c r="FF125" s="131"/>
      <c r="FG125" s="131"/>
      <c r="FH125" s="131"/>
      <c r="FI125" s="131"/>
      <c r="FJ125" s="131"/>
      <c r="FK125" s="131"/>
      <c r="FL125" s="131"/>
      <c r="FM125" s="131"/>
      <c r="FN125" s="131"/>
      <c r="FO125" s="131"/>
      <c r="FP125" s="131"/>
      <c r="FQ125" s="131"/>
      <c r="FR125" s="131"/>
      <c r="FS125" s="131"/>
      <c r="FT125" s="131"/>
      <c r="FU125" s="131"/>
      <c r="FV125" s="131"/>
      <c r="FW125" s="131"/>
      <c r="FX125" s="131"/>
      <c r="FY125" s="131"/>
      <c r="FZ125" s="131"/>
      <c r="GA125" s="131"/>
      <c r="GB125" s="131"/>
      <c r="GC125" s="131"/>
      <c r="GD125" s="131"/>
      <c r="GE125" s="131"/>
      <c r="GF125" s="131"/>
      <c r="GG125" s="131"/>
      <c r="GH125" s="131"/>
      <c r="GI125" s="131"/>
      <c r="GJ125" s="131"/>
      <c r="GK125" s="131"/>
      <c r="GL125" s="131"/>
      <c r="GM125" s="131"/>
      <c r="GN125" s="131"/>
      <c r="GO125" s="131"/>
      <c r="GP125" s="131"/>
      <c r="GQ125" s="131"/>
      <c r="GR125" s="131"/>
      <c r="GS125" s="131"/>
      <c r="GT125" s="131"/>
      <c r="GU125" s="131"/>
      <c r="GV125" s="131"/>
      <c r="GW125" s="131"/>
      <c r="GX125" s="131"/>
      <c r="GY125" s="131"/>
      <c r="GZ125" s="131"/>
      <c r="HA125" s="131"/>
      <c r="HB125" s="131"/>
      <c r="HC125" s="131"/>
      <c r="HD125" s="131"/>
      <c r="HE125" s="131"/>
      <c r="HF125" s="131"/>
      <c r="HG125" s="131"/>
      <c r="HH125" s="131"/>
      <c r="HI125" s="131"/>
      <c r="HJ125" s="131"/>
      <c r="HK125" s="131"/>
      <c r="HL125" s="131"/>
      <c r="HM125" s="131"/>
      <c r="HN125" s="131"/>
      <c r="HO125" s="131"/>
      <c r="HP125" s="131"/>
      <c r="HQ125" s="131"/>
      <c r="HR125" s="131"/>
      <c r="HS125" s="131"/>
      <c r="HT125" s="131"/>
      <c r="HU125" s="131"/>
      <c r="HV125" s="131"/>
      <c r="HW125" s="131"/>
      <c r="HX125" s="131"/>
      <c r="HY125" s="131"/>
      <c r="HZ125" s="131"/>
      <c r="IA125" s="131"/>
      <c r="IB125" s="131"/>
      <c r="IC125" s="131"/>
      <c r="ID125" s="131"/>
      <c r="IE125" s="131"/>
      <c r="IF125" s="131"/>
      <c r="IG125" s="131"/>
      <c r="IH125" s="131"/>
      <c r="II125" s="131"/>
      <c r="IJ125" s="131"/>
      <c r="IK125" s="131"/>
      <c r="IL125" s="131"/>
      <c r="IM125" s="131"/>
      <c r="IN125" s="131"/>
      <c r="IO125" s="131"/>
      <c r="IP125" s="131"/>
      <c r="IQ125" s="131"/>
      <c r="IR125" s="131"/>
      <c r="IS125" s="131"/>
      <c r="IT125" s="131"/>
      <c r="IU125" s="131"/>
      <c r="IV125" s="131"/>
    </row>
    <row r="126" spans="1:256" s="229" customFormat="1" ht="45" customHeight="1">
      <c r="A126" s="682"/>
      <c r="B126" s="683"/>
      <c r="C126" s="277"/>
      <c r="D126" s="706"/>
      <c r="E126" s="277"/>
      <c r="F126" s="706"/>
      <c r="G126" s="3234">
        <v>197</v>
      </c>
      <c r="H126" s="2098" t="s">
        <v>851</v>
      </c>
      <c r="I126" s="2095" t="s">
        <v>852</v>
      </c>
      <c r="J126" s="2950">
        <v>1</v>
      </c>
      <c r="K126" s="720"/>
      <c r="L126" s="3187" t="s">
        <v>853</v>
      </c>
      <c r="M126" s="3124" t="s">
        <v>854</v>
      </c>
      <c r="N126" s="3096">
        <f>SUM(S126:S131)/O126</f>
        <v>1</v>
      </c>
      <c r="O126" s="3157">
        <f>SUM(S126:S131)</f>
        <v>177820000</v>
      </c>
      <c r="P126" s="3124" t="s">
        <v>855</v>
      </c>
      <c r="Q126" s="2300" t="s">
        <v>856</v>
      </c>
      <c r="R126" s="201" t="s">
        <v>857</v>
      </c>
      <c r="S126" s="775">
        <v>4900000</v>
      </c>
      <c r="T126" s="776"/>
      <c r="U126" s="2093" t="s">
        <v>847</v>
      </c>
      <c r="V126" s="3255">
        <v>142909</v>
      </c>
      <c r="W126" s="2951"/>
      <c r="X126" s="2951">
        <v>43252</v>
      </c>
      <c r="Y126" s="2951">
        <v>46770</v>
      </c>
      <c r="Z126" s="2951">
        <v>69532</v>
      </c>
      <c r="AA126" s="2951">
        <v>103</v>
      </c>
      <c r="AB126" s="2905">
        <v>215</v>
      </c>
      <c r="AC126" s="2951"/>
      <c r="AD126" s="2951">
        <v>12</v>
      </c>
      <c r="AE126" s="2734"/>
      <c r="AF126" s="2951"/>
      <c r="AG126" s="2951"/>
      <c r="AH126" s="2951"/>
      <c r="AI126" s="2951"/>
      <c r="AJ126" s="2616"/>
      <c r="AK126" s="2951">
        <f>SUM(V126)</f>
        <v>142909</v>
      </c>
      <c r="AL126" s="3260" t="s">
        <v>858</v>
      </c>
      <c r="AM126" s="3153">
        <v>43102</v>
      </c>
      <c r="AN126" s="3153">
        <v>43465</v>
      </c>
      <c r="AO126" s="2298" t="s">
        <v>639</v>
      </c>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c r="EI126" s="131"/>
      <c r="EJ126" s="131"/>
      <c r="EK126" s="131"/>
      <c r="EL126" s="131"/>
      <c r="EM126" s="131"/>
      <c r="EN126" s="131"/>
      <c r="EO126" s="131"/>
      <c r="EP126" s="131"/>
      <c r="EQ126" s="131"/>
      <c r="ER126" s="131"/>
      <c r="ES126" s="131"/>
      <c r="ET126" s="131"/>
      <c r="EU126" s="131"/>
      <c r="EV126" s="131"/>
      <c r="EW126" s="131"/>
      <c r="EX126" s="131"/>
      <c r="EY126" s="131"/>
      <c r="EZ126" s="131"/>
      <c r="FA126" s="131"/>
      <c r="FB126" s="131"/>
      <c r="FC126" s="131"/>
      <c r="FD126" s="131"/>
      <c r="FE126" s="131"/>
      <c r="FF126" s="131"/>
      <c r="FG126" s="131"/>
      <c r="FH126" s="131"/>
      <c r="FI126" s="131"/>
      <c r="FJ126" s="131"/>
      <c r="FK126" s="131"/>
      <c r="FL126" s="131"/>
      <c r="FM126" s="131"/>
      <c r="FN126" s="131"/>
      <c r="FO126" s="131"/>
      <c r="FP126" s="131"/>
      <c r="FQ126" s="131"/>
      <c r="FR126" s="131"/>
      <c r="FS126" s="131"/>
      <c r="FT126" s="131"/>
      <c r="FU126" s="131"/>
      <c r="FV126" s="131"/>
      <c r="FW126" s="131"/>
      <c r="FX126" s="131"/>
      <c r="FY126" s="131"/>
      <c r="FZ126" s="131"/>
      <c r="GA126" s="131"/>
      <c r="GB126" s="131"/>
      <c r="GC126" s="131"/>
      <c r="GD126" s="131"/>
      <c r="GE126" s="131"/>
      <c r="GF126" s="131"/>
      <c r="GG126" s="131"/>
      <c r="GH126" s="131"/>
      <c r="GI126" s="131"/>
      <c r="GJ126" s="131"/>
      <c r="GK126" s="131"/>
      <c r="GL126" s="131"/>
      <c r="GM126" s="131"/>
      <c r="GN126" s="131"/>
      <c r="GO126" s="131"/>
      <c r="GP126" s="131"/>
      <c r="GQ126" s="131"/>
      <c r="GR126" s="131"/>
      <c r="GS126" s="131"/>
      <c r="GT126" s="131"/>
      <c r="GU126" s="131"/>
      <c r="GV126" s="131"/>
      <c r="GW126" s="131"/>
      <c r="GX126" s="131"/>
      <c r="GY126" s="131"/>
      <c r="GZ126" s="131"/>
      <c r="HA126" s="131"/>
      <c r="HB126" s="131"/>
      <c r="HC126" s="131"/>
      <c r="HD126" s="131"/>
      <c r="HE126" s="131"/>
      <c r="HF126" s="131"/>
      <c r="HG126" s="131"/>
      <c r="HH126" s="131"/>
      <c r="HI126" s="131"/>
      <c r="HJ126" s="131"/>
      <c r="HK126" s="131"/>
      <c r="HL126" s="131"/>
      <c r="HM126" s="131"/>
      <c r="HN126" s="131"/>
      <c r="HO126" s="131"/>
      <c r="HP126" s="131"/>
      <c r="HQ126" s="131"/>
      <c r="HR126" s="131"/>
      <c r="HS126" s="131"/>
      <c r="HT126" s="131"/>
      <c r="HU126" s="131"/>
      <c r="HV126" s="131"/>
      <c r="HW126" s="131"/>
      <c r="HX126" s="131"/>
      <c r="HY126" s="131"/>
      <c r="HZ126" s="131"/>
      <c r="IA126" s="131"/>
      <c r="IB126" s="131"/>
      <c r="IC126" s="131"/>
      <c r="ID126" s="131"/>
      <c r="IE126" s="131"/>
      <c r="IF126" s="131"/>
      <c r="IG126" s="131"/>
      <c r="IH126" s="131"/>
      <c r="II126" s="131"/>
      <c r="IJ126" s="131"/>
      <c r="IK126" s="131"/>
      <c r="IL126" s="131"/>
      <c r="IM126" s="131"/>
      <c r="IN126" s="131"/>
      <c r="IO126" s="131"/>
      <c r="IP126" s="131"/>
      <c r="IQ126" s="131"/>
      <c r="IR126" s="131"/>
      <c r="IS126" s="131"/>
      <c r="IT126" s="131"/>
      <c r="IU126" s="131"/>
      <c r="IV126" s="131"/>
    </row>
    <row r="127" spans="1:256" s="229" customFormat="1" ht="39.75" customHeight="1">
      <c r="A127" s="682"/>
      <c r="B127" s="683"/>
      <c r="C127" s="277"/>
      <c r="D127" s="706"/>
      <c r="E127" s="277"/>
      <c r="F127" s="706"/>
      <c r="G127" s="3220"/>
      <c r="H127" s="2127"/>
      <c r="I127" s="2129"/>
      <c r="J127" s="2950"/>
      <c r="K127" s="722"/>
      <c r="L127" s="3187"/>
      <c r="M127" s="3125"/>
      <c r="N127" s="2685"/>
      <c r="O127" s="3157"/>
      <c r="P127" s="3125"/>
      <c r="Q127" s="2300"/>
      <c r="R127" s="201" t="s">
        <v>859</v>
      </c>
      <c r="S127" s="724">
        <v>17972000</v>
      </c>
      <c r="T127" s="777"/>
      <c r="U127" s="2128"/>
      <c r="V127" s="3256"/>
      <c r="W127" s="2990"/>
      <c r="X127" s="2990"/>
      <c r="Y127" s="2990"/>
      <c r="Z127" s="2990"/>
      <c r="AA127" s="2990"/>
      <c r="AB127" s="2939"/>
      <c r="AC127" s="2990"/>
      <c r="AD127" s="2990"/>
      <c r="AE127" s="3047"/>
      <c r="AF127" s="2990"/>
      <c r="AG127" s="2990"/>
      <c r="AH127" s="2990"/>
      <c r="AI127" s="2990"/>
      <c r="AJ127" s="3258"/>
      <c r="AK127" s="2990"/>
      <c r="AL127" s="3261"/>
      <c r="AM127" s="3153"/>
      <c r="AN127" s="3153"/>
      <c r="AO127" s="2298"/>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c r="EI127" s="131"/>
      <c r="EJ127" s="131"/>
      <c r="EK127" s="131"/>
      <c r="EL127" s="131"/>
      <c r="EM127" s="131"/>
      <c r="EN127" s="131"/>
      <c r="EO127" s="131"/>
      <c r="EP127" s="131"/>
      <c r="EQ127" s="131"/>
      <c r="ER127" s="131"/>
      <c r="ES127" s="131"/>
      <c r="ET127" s="131"/>
      <c r="EU127" s="131"/>
      <c r="EV127" s="131"/>
      <c r="EW127" s="131"/>
      <c r="EX127" s="131"/>
      <c r="EY127" s="131"/>
      <c r="EZ127" s="131"/>
      <c r="FA127" s="131"/>
      <c r="FB127" s="131"/>
      <c r="FC127" s="131"/>
      <c r="FD127" s="131"/>
      <c r="FE127" s="131"/>
      <c r="FF127" s="131"/>
      <c r="FG127" s="131"/>
      <c r="FH127" s="131"/>
      <c r="FI127" s="131"/>
      <c r="FJ127" s="131"/>
      <c r="FK127" s="131"/>
      <c r="FL127" s="131"/>
      <c r="FM127" s="131"/>
      <c r="FN127" s="131"/>
      <c r="FO127" s="131"/>
      <c r="FP127" s="131"/>
      <c r="FQ127" s="131"/>
      <c r="FR127" s="131"/>
      <c r="FS127" s="131"/>
      <c r="FT127" s="131"/>
      <c r="FU127" s="131"/>
      <c r="FV127" s="131"/>
      <c r="FW127" s="131"/>
      <c r="FX127" s="131"/>
      <c r="FY127" s="131"/>
      <c r="FZ127" s="131"/>
      <c r="GA127" s="131"/>
      <c r="GB127" s="131"/>
      <c r="GC127" s="131"/>
      <c r="GD127" s="131"/>
      <c r="GE127" s="131"/>
      <c r="GF127" s="131"/>
      <c r="GG127" s="131"/>
      <c r="GH127" s="131"/>
      <c r="GI127" s="131"/>
      <c r="GJ127" s="131"/>
      <c r="GK127" s="131"/>
      <c r="GL127" s="131"/>
      <c r="GM127" s="131"/>
      <c r="GN127" s="131"/>
      <c r="GO127" s="131"/>
      <c r="GP127" s="131"/>
      <c r="GQ127" s="131"/>
      <c r="GR127" s="131"/>
      <c r="GS127" s="131"/>
      <c r="GT127" s="131"/>
      <c r="GU127" s="131"/>
      <c r="GV127" s="131"/>
      <c r="GW127" s="131"/>
      <c r="GX127" s="131"/>
      <c r="GY127" s="131"/>
      <c r="GZ127" s="131"/>
      <c r="HA127" s="131"/>
      <c r="HB127" s="131"/>
      <c r="HC127" s="131"/>
      <c r="HD127" s="131"/>
      <c r="HE127" s="131"/>
      <c r="HF127" s="131"/>
      <c r="HG127" s="131"/>
      <c r="HH127" s="131"/>
      <c r="HI127" s="131"/>
      <c r="HJ127" s="131"/>
      <c r="HK127" s="131"/>
      <c r="HL127" s="131"/>
      <c r="HM127" s="131"/>
      <c r="HN127" s="131"/>
      <c r="HO127" s="131"/>
      <c r="HP127" s="131"/>
      <c r="HQ127" s="131"/>
      <c r="HR127" s="131"/>
      <c r="HS127" s="131"/>
      <c r="HT127" s="131"/>
      <c r="HU127" s="131"/>
      <c r="HV127" s="131"/>
      <c r="HW127" s="131"/>
      <c r="HX127" s="131"/>
      <c r="HY127" s="131"/>
      <c r="HZ127" s="131"/>
      <c r="IA127" s="131"/>
      <c r="IB127" s="131"/>
      <c r="IC127" s="131"/>
      <c r="ID127" s="131"/>
      <c r="IE127" s="131"/>
      <c r="IF127" s="131"/>
      <c r="IG127" s="131"/>
      <c r="IH127" s="131"/>
      <c r="II127" s="131"/>
      <c r="IJ127" s="131"/>
      <c r="IK127" s="131"/>
      <c r="IL127" s="131"/>
      <c r="IM127" s="131"/>
      <c r="IN127" s="131"/>
      <c r="IO127" s="131"/>
      <c r="IP127" s="131"/>
      <c r="IQ127" s="131"/>
      <c r="IR127" s="131"/>
      <c r="IS127" s="131"/>
      <c r="IT127" s="131"/>
      <c r="IU127" s="131"/>
      <c r="IV127" s="131"/>
    </row>
    <row r="128" spans="1:41" ht="51" customHeight="1">
      <c r="A128" s="682"/>
      <c r="B128" s="683"/>
      <c r="C128" s="277"/>
      <c r="D128" s="706"/>
      <c r="E128" s="277"/>
      <c r="F128" s="706"/>
      <c r="G128" s="3220"/>
      <c r="H128" s="2127"/>
      <c r="I128" s="2129"/>
      <c r="J128" s="2950"/>
      <c r="K128" s="722"/>
      <c r="L128" s="3187"/>
      <c r="M128" s="3125"/>
      <c r="N128" s="2685"/>
      <c r="O128" s="3157"/>
      <c r="P128" s="3125"/>
      <c r="Q128" s="2318" t="s">
        <v>860</v>
      </c>
      <c r="R128" s="778" t="s">
        <v>861</v>
      </c>
      <c r="S128" s="724">
        <v>3500000</v>
      </c>
      <c r="T128" s="75">
        <v>20</v>
      </c>
      <c r="U128" s="2128"/>
      <c r="V128" s="3256"/>
      <c r="W128" s="2990"/>
      <c r="X128" s="2990"/>
      <c r="Y128" s="2990"/>
      <c r="Z128" s="2990"/>
      <c r="AA128" s="2990"/>
      <c r="AB128" s="2939"/>
      <c r="AC128" s="2990"/>
      <c r="AD128" s="2990"/>
      <c r="AE128" s="3047"/>
      <c r="AF128" s="2990"/>
      <c r="AG128" s="2990"/>
      <c r="AH128" s="2990"/>
      <c r="AI128" s="2990"/>
      <c r="AJ128" s="3258"/>
      <c r="AK128" s="2990"/>
      <c r="AL128" s="3261"/>
      <c r="AM128" s="2887"/>
      <c r="AN128" s="2887"/>
      <c r="AO128" s="2298"/>
    </row>
    <row r="129" spans="1:41" ht="42.75" customHeight="1">
      <c r="A129" s="682"/>
      <c r="B129" s="683"/>
      <c r="C129" s="277"/>
      <c r="D129" s="706"/>
      <c r="E129" s="277"/>
      <c r="F129" s="706"/>
      <c r="G129" s="3220"/>
      <c r="H129" s="2127"/>
      <c r="I129" s="2129"/>
      <c r="J129" s="2950"/>
      <c r="K129" s="722" t="s">
        <v>862</v>
      </c>
      <c r="L129" s="3187"/>
      <c r="M129" s="3125"/>
      <c r="N129" s="2685"/>
      <c r="O129" s="3157"/>
      <c r="P129" s="3125"/>
      <c r="Q129" s="2318"/>
      <c r="R129" s="77" t="s">
        <v>863</v>
      </c>
      <c r="S129" s="724">
        <v>122148000</v>
      </c>
      <c r="T129" s="75">
        <v>88</v>
      </c>
      <c r="U129" s="2128"/>
      <c r="V129" s="3256"/>
      <c r="W129" s="2990"/>
      <c r="X129" s="2990"/>
      <c r="Y129" s="2990"/>
      <c r="Z129" s="2990"/>
      <c r="AA129" s="2990"/>
      <c r="AB129" s="2939"/>
      <c r="AC129" s="2990"/>
      <c r="AD129" s="2990"/>
      <c r="AE129" s="3047"/>
      <c r="AF129" s="2990"/>
      <c r="AG129" s="2990"/>
      <c r="AH129" s="2990"/>
      <c r="AI129" s="2990"/>
      <c r="AJ129" s="3258"/>
      <c r="AK129" s="2990"/>
      <c r="AL129" s="3261"/>
      <c r="AM129" s="2887"/>
      <c r="AN129" s="2887"/>
      <c r="AO129" s="2298"/>
    </row>
    <row r="130" spans="1:41" ht="62.25" customHeight="1">
      <c r="A130" s="682"/>
      <c r="B130" s="683"/>
      <c r="C130" s="277"/>
      <c r="D130" s="706"/>
      <c r="E130" s="277"/>
      <c r="F130" s="706"/>
      <c r="G130" s="3220"/>
      <c r="H130" s="2127"/>
      <c r="I130" s="2129"/>
      <c r="J130" s="2950"/>
      <c r="K130" s="722" t="s">
        <v>864</v>
      </c>
      <c r="L130" s="3187"/>
      <c r="M130" s="3125"/>
      <c r="N130" s="2685"/>
      <c r="O130" s="3157"/>
      <c r="P130" s="3125"/>
      <c r="Q130" s="2318"/>
      <c r="R130" s="779" t="s">
        <v>865</v>
      </c>
      <c r="S130" s="724">
        <f>2500000+12300000</f>
        <v>14800000</v>
      </c>
      <c r="T130" s="777"/>
      <c r="U130" s="2128"/>
      <c r="V130" s="3256"/>
      <c r="W130" s="2990"/>
      <c r="X130" s="2990"/>
      <c r="Y130" s="2990"/>
      <c r="Z130" s="2990"/>
      <c r="AA130" s="2990"/>
      <c r="AB130" s="2939"/>
      <c r="AC130" s="2990"/>
      <c r="AD130" s="2990"/>
      <c r="AE130" s="3047"/>
      <c r="AF130" s="2990"/>
      <c r="AG130" s="2990"/>
      <c r="AH130" s="2990"/>
      <c r="AI130" s="2990"/>
      <c r="AJ130" s="3258"/>
      <c r="AK130" s="2990"/>
      <c r="AL130" s="3261"/>
      <c r="AM130" s="2887"/>
      <c r="AN130" s="2887"/>
      <c r="AO130" s="2298"/>
    </row>
    <row r="131" spans="1:41" ht="51" customHeight="1">
      <c r="A131" s="682"/>
      <c r="B131" s="683"/>
      <c r="C131" s="756"/>
      <c r="D131" s="780"/>
      <c r="E131" s="756"/>
      <c r="F131" s="780"/>
      <c r="G131" s="3221"/>
      <c r="H131" s="2099"/>
      <c r="I131" s="2096"/>
      <c r="J131" s="2950"/>
      <c r="K131" s="731"/>
      <c r="L131" s="3219"/>
      <c r="M131" s="3126"/>
      <c r="N131" s="3097"/>
      <c r="O131" s="3157"/>
      <c r="P131" s="3126"/>
      <c r="Q131" s="2319"/>
      <c r="R131" s="779" t="s">
        <v>866</v>
      </c>
      <c r="S131" s="697">
        <f>2500000+12000000</f>
        <v>14500000</v>
      </c>
      <c r="T131" s="781"/>
      <c r="U131" s="2094"/>
      <c r="V131" s="3257"/>
      <c r="W131" s="2952"/>
      <c r="X131" s="2952"/>
      <c r="Y131" s="2952"/>
      <c r="Z131" s="2952"/>
      <c r="AA131" s="2952"/>
      <c r="AB131" s="2906"/>
      <c r="AC131" s="2952"/>
      <c r="AD131" s="2952"/>
      <c r="AE131" s="2735"/>
      <c r="AF131" s="2952"/>
      <c r="AG131" s="2952"/>
      <c r="AH131" s="2952"/>
      <c r="AI131" s="2952"/>
      <c r="AJ131" s="3259"/>
      <c r="AK131" s="2952"/>
      <c r="AL131" s="3262"/>
      <c r="AM131" s="2887"/>
      <c r="AN131" s="2887"/>
      <c r="AO131" s="2298"/>
    </row>
    <row r="132" spans="1:41" ht="15.75">
      <c r="A132" s="682"/>
      <c r="B132" s="683"/>
      <c r="C132" s="782">
        <v>19</v>
      </c>
      <c r="D132" s="685" t="s">
        <v>867</v>
      </c>
      <c r="E132" s="301"/>
      <c r="F132" s="301"/>
      <c r="G132" s="301"/>
      <c r="H132" s="699"/>
      <c r="I132" s="699"/>
      <c r="J132" s="301"/>
      <c r="K132" s="301"/>
      <c r="L132" s="301"/>
      <c r="M132" s="699"/>
      <c r="N132" s="301"/>
      <c r="O132" s="745"/>
      <c r="P132" s="699"/>
      <c r="Q132" s="699"/>
      <c r="R132" s="699"/>
      <c r="S132" s="701"/>
      <c r="T132" s="702"/>
      <c r="U132" s="699"/>
      <c r="V132" s="301"/>
      <c r="W132" s="301"/>
      <c r="X132" s="301"/>
      <c r="Y132" s="301"/>
      <c r="Z132" s="301"/>
      <c r="AA132" s="301"/>
      <c r="AB132" s="301"/>
      <c r="AC132" s="301"/>
      <c r="AD132" s="301"/>
      <c r="AE132" s="301"/>
      <c r="AF132" s="301"/>
      <c r="AG132" s="301"/>
      <c r="AH132" s="301"/>
      <c r="AI132" s="301"/>
      <c r="AJ132" s="301"/>
      <c r="AK132" s="274"/>
      <c r="AL132" s="301"/>
      <c r="AM132" s="301"/>
      <c r="AN132" s="301"/>
      <c r="AO132" s="705"/>
    </row>
    <row r="133" spans="1:41" ht="15.75">
      <c r="A133" s="682"/>
      <c r="B133" s="683"/>
      <c r="C133" s="3122"/>
      <c r="D133" s="2407"/>
      <c r="E133" s="181">
        <v>67</v>
      </c>
      <c r="F133" s="770" t="s">
        <v>868</v>
      </c>
      <c r="G133" s="771"/>
      <c r="H133" s="760"/>
      <c r="I133" s="760"/>
      <c r="J133" s="771"/>
      <c r="K133" s="783"/>
      <c r="L133" s="771"/>
      <c r="M133" s="760"/>
      <c r="N133" s="771"/>
      <c r="O133" s="772"/>
      <c r="P133" s="760"/>
      <c r="Q133" s="760"/>
      <c r="R133" s="760"/>
      <c r="S133" s="762"/>
      <c r="T133" s="784"/>
      <c r="U133" s="785"/>
      <c r="V133" s="771"/>
      <c r="W133" s="771"/>
      <c r="X133" s="771"/>
      <c r="Y133" s="771"/>
      <c r="Z133" s="771"/>
      <c r="AA133" s="771"/>
      <c r="AB133" s="771"/>
      <c r="AC133" s="771"/>
      <c r="AD133" s="771"/>
      <c r="AE133" s="771"/>
      <c r="AF133" s="771"/>
      <c r="AG133" s="771"/>
      <c r="AH133" s="771"/>
      <c r="AI133" s="771"/>
      <c r="AJ133" s="771"/>
      <c r="AK133" s="773"/>
      <c r="AL133" s="771"/>
      <c r="AM133" s="771"/>
      <c r="AN133" s="771"/>
      <c r="AO133" s="766"/>
    </row>
    <row r="134" spans="1:46" ht="72.75" customHeight="1">
      <c r="A134" s="682"/>
      <c r="B134" s="683"/>
      <c r="C134" s="3122"/>
      <c r="D134" s="2407"/>
      <c r="E134" s="263"/>
      <c r="F134" s="711"/>
      <c r="G134" s="2093">
        <v>198</v>
      </c>
      <c r="H134" s="2095" t="s">
        <v>869</v>
      </c>
      <c r="I134" s="2337" t="s">
        <v>870</v>
      </c>
      <c r="J134" s="3282">
        <v>1</v>
      </c>
      <c r="K134" s="786"/>
      <c r="L134" s="3285" t="s">
        <v>871</v>
      </c>
      <c r="M134" s="2129" t="s">
        <v>872</v>
      </c>
      <c r="N134" s="2624">
        <f>SUM(S134:S142)/O134</f>
        <v>0.020956483485480588</v>
      </c>
      <c r="O134" s="3280">
        <f>SUM(S134:S145)</f>
        <v>4031210678</v>
      </c>
      <c r="P134" s="2129" t="s">
        <v>873</v>
      </c>
      <c r="Q134" s="2318" t="s">
        <v>874</v>
      </c>
      <c r="R134" s="752" t="s">
        <v>875</v>
      </c>
      <c r="S134" s="787">
        <f>2400000+1120000+1280000</f>
        <v>4800000</v>
      </c>
      <c r="T134" s="788"/>
      <c r="U134" s="776"/>
      <c r="V134" s="2905">
        <v>43498</v>
      </c>
      <c r="W134" s="2905">
        <f>38184+200</f>
        <v>38384</v>
      </c>
      <c r="X134" s="789"/>
      <c r="Y134" s="3265"/>
      <c r="Z134" s="3265"/>
      <c r="AA134" s="2905">
        <v>81882</v>
      </c>
      <c r="AB134" s="3267"/>
      <c r="AC134" s="3265"/>
      <c r="AD134" s="3265"/>
      <c r="AE134" s="3267"/>
      <c r="AF134" s="3267"/>
      <c r="AG134" s="3267"/>
      <c r="AH134" s="3267"/>
      <c r="AI134" s="3267"/>
      <c r="AJ134" s="3277"/>
      <c r="AK134" s="2222">
        <f>V134+W134</f>
        <v>81882</v>
      </c>
      <c r="AL134" s="2406" t="s">
        <v>739</v>
      </c>
      <c r="AM134" s="3263">
        <v>43102</v>
      </c>
      <c r="AN134" s="3263">
        <v>43465</v>
      </c>
      <c r="AO134" s="2298" t="s">
        <v>639</v>
      </c>
      <c r="AT134" s="131"/>
    </row>
    <row r="135" spans="1:46" ht="66.75" customHeight="1">
      <c r="A135" s="682"/>
      <c r="B135" s="683"/>
      <c r="C135" s="3122"/>
      <c r="D135" s="2407"/>
      <c r="E135" s="277"/>
      <c r="F135" s="706"/>
      <c r="G135" s="2128"/>
      <c r="H135" s="2129"/>
      <c r="I135" s="2318"/>
      <c r="J135" s="3283"/>
      <c r="K135" s="790"/>
      <c r="L135" s="3285"/>
      <c r="M135" s="2129"/>
      <c r="N135" s="2625"/>
      <c r="O135" s="3281"/>
      <c r="P135" s="2129"/>
      <c r="Q135" s="2318"/>
      <c r="R135" s="752" t="s">
        <v>876</v>
      </c>
      <c r="S135" s="787">
        <f>7920000+5500000+2640000</f>
        <v>16060000</v>
      </c>
      <c r="T135" s="777"/>
      <c r="U135" s="791"/>
      <c r="V135" s="2939"/>
      <c r="W135" s="2939"/>
      <c r="X135" s="792"/>
      <c r="Y135" s="3266"/>
      <c r="Z135" s="3266"/>
      <c r="AA135" s="2939"/>
      <c r="AB135" s="3268"/>
      <c r="AC135" s="3266"/>
      <c r="AD135" s="3266"/>
      <c r="AE135" s="3268"/>
      <c r="AF135" s="3268"/>
      <c r="AG135" s="3268"/>
      <c r="AH135" s="3268"/>
      <c r="AI135" s="3268"/>
      <c r="AJ135" s="3278"/>
      <c r="AK135" s="2223"/>
      <c r="AL135" s="3199"/>
      <c r="AM135" s="3264"/>
      <c r="AN135" s="3264"/>
      <c r="AO135" s="2298"/>
      <c r="AT135" s="131"/>
    </row>
    <row r="136" spans="1:46" ht="66.75" customHeight="1">
      <c r="A136" s="682"/>
      <c r="B136" s="683"/>
      <c r="C136" s="3122"/>
      <c r="D136" s="2407"/>
      <c r="E136" s="277"/>
      <c r="F136" s="706"/>
      <c r="G136" s="2128"/>
      <c r="H136" s="2129"/>
      <c r="I136" s="2318"/>
      <c r="J136" s="3283"/>
      <c r="K136" s="790"/>
      <c r="L136" s="3285"/>
      <c r="M136" s="2129"/>
      <c r="N136" s="2625"/>
      <c r="O136" s="3281"/>
      <c r="P136" s="2129"/>
      <c r="Q136" s="2318"/>
      <c r="R136" s="752" t="s">
        <v>877</v>
      </c>
      <c r="S136" s="787">
        <f>0+500000-500000</f>
        <v>0</v>
      </c>
      <c r="T136" s="777"/>
      <c r="U136" s="791"/>
      <c r="V136" s="2939"/>
      <c r="W136" s="2939"/>
      <c r="X136" s="792"/>
      <c r="Y136" s="3266"/>
      <c r="Z136" s="3266"/>
      <c r="AA136" s="2939"/>
      <c r="AB136" s="3268"/>
      <c r="AC136" s="3266"/>
      <c r="AD136" s="3266"/>
      <c r="AE136" s="3268"/>
      <c r="AF136" s="3268"/>
      <c r="AG136" s="3268"/>
      <c r="AH136" s="3268"/>
      <c r="AI136" s="3268"/>
      <c r="AJ136" s="3278"/>
      <c r="AK136" s="2223"/>
      <c r="AL136" s="3199"/>
      <c r="AM136" s="3264"/>
      <c r="AN136" s="3264"/>
      <c r="AO136" s="2298"/>
      <c r="AT136" s="131"/>
    </row>
    <row r="137" spans="1:46" ht="85.5" customHeight="1">
      <c r="A137" s="682"/>
      <c r="B137" s="683"/>
      <c r="C137" s="3122"/>
      <c r="D137" s="2407"/>
      <c r="E137" s="277"/>
      <c r="F137" s="706"/>
      <c r="G137" s="2128"/>
      <c r="H137" s="2129"/>
      <c r="I137" s="2318"/>
      <c r="J137" s="3283"/>
      <c r="K137" s="790"/>
      <c r="L137" s="3285"/>
      <c r="M137" s="2129"/>
      <c r="N137" s="2625"/>
      <c r="O137" s="3281"/>
      <c r="P137" s="2129"/>
      <c r="Q137" s="2318"/>
      <c r="R137" s="752" t="s">
        <v>878</v>
      </c>
      <c r="S137" s="793">
        <f>4600000+1340000+7178667</f>
        <v>13118667</v>
      </c>
      <c r="T137" s="777"/>
      <c r="U137" s="777"/>
      <c r="V137" s="2939"/>
      <c r="W137" s="2939"/>
      <c r="X137" s="792"/>
      <c r="Y137" s="3266"/>
      <c r="Z137" s="3266"/>
      <c r="AA137" s="2939"/>
      <c r="AB137" s="3268"/>
      <c r="AC137" s="3266"/>
      <c r="AD137" s="3266"/>
      <c r="AE137" s="3268"/>
      <c r="AF137" s="3268"/>
      <c r="AG137" s="3268"/>
      <c r="AH137" s="3268"/>
      <c r="AI137" s="3268"/>
      <c r="AJ137" s="3278"/>
      <c r="AK137" s="2223"/>
      <c r="AL137" s="3199"/>
      <c r="AM137" s="3264"/>
      <c r="AN137" s="3264"/>
      <c r="AO137" s="2298"/>
      <c r="AT137" s="131"/>
    </row>
    <row r="138" spans="1:46" ht="75" customHeight="1">
      <c r="A138" s="682"/>
      <c r="B138" s="683"/>
      <c r="C138" s="3122"/>
      <c r="D138" s="2407"/>
      <c r="E138" s="277"/>
      <c r="F138" s="706"/>
      <c r="G138" s="2128"/>
      <c r="H138" s="2129"/>
      <c r="I138" s="2318"/>
      <c r="J138" s="3283"/>
      <c r="K138" s="794" t="s">
        <v>879</v>
      </c>
      <c r="L138" s="3285"/>
      <c r="M138" s="2129"/>
      <c r="N138" s="2625"/>
      <c r="O138" s="3281"/>
      <c r="P138" s="2129"/>
      <c r="Q138" s="2318"/>
      <c r="R138" s="752" t="s">
        <v>880</v>
      </c>
      <c r="S138" s="793">
        <f>6000000-6000000</f>
        <v>0</v>
      </c>
      <c r="T138" s="75">
        <v>20</v>
      </c>
      <c r="U138" s="75" t="s">
        <v>80</v>
      </c>
      <c r="V138" s="2939"/>
      <c r="W138" s="2939"/>
      <c r="X138" s="792"/>
      <c r="Y138" s="3266"/>
      <c r="Z138" s="3266"/>
      <c r="AA138" s="2939"/>
      <c r="AB138" s="3268"/>
      <c r="AC138" s="3266"/>
      <c r="AD138" s="3266"/>
      <c r="AE138" s="3268"/>
      <c r="AF138" s="3268"/>
      <c r="AG138" s="3268"/>
      <c r="AH138" s="3268"/>
      <c r="AI138" s="3268"/>
      <c r="AJ138" s="3278"/>
      <c r="AK138" s="2223"/>
      <c r="AL138" s="3199"/>
      <c r="AM138" s="3264"/>
      <c r="AN138" s="3264"/>
      <c r="AO138" s="2298"/>
      <c r="AT138" s="131"/>
    </row>
    <row r="139" spans="1:46" ht="58.5" customHeight="1">
      <c r="A139" s="682"/>
      <c r="B139" s="683"/>
      <c r="C139" s="3122"/>
      <c r="D139" s="2407"/>
      <c r="E139" s="277"/>
      <c r="F139" s="706"/>
      <c r="G139" s="2128"/>
      <c r="H139" s="2129"/>
      <c r="I139" s="2318"/>
      <c r="J139" s="3283"/>
      <c r="K139" s="794"/>
      <c r="L139" s="3285"/>
      <c r="M139" s="2129"/>
      <c r="N139" s="2625"/>
      <c r="O139" s="3281"/>
      <c r="P139" s="2129"/>
      <c r="Q139" s="2318"/>
      <c r="R139" s="752" t="s">
        <v>881</v>
      </c>
      <c r="S139" s="793">
        <v>7920000</v>
      </c>
      <c r="T139" s="75">
        <v>88</v>
      </c>
      <c r="U139" s="75" t="s">
        <v>882</v>
      </c>
      <c r="V139" s="2939"/>
      <c r="W139" s="2939"/>
      <c r="X139" s="792"/>
      <c r="Y139" s="3266"/>
      <c r="Z139" s="3266"/>
      <c r="AA139" s="2939"/>
      <c r="AB139" s="3268"/>
      <c r="AC139" s="3266"/>
      <c r="AD139" s="3266"/>
      <c r="AE139" s="3268"/>
      <c r="AF139" s="3268"/>
      <c r="AG139" s="3268"/>
      <c r="AH139" s="3268"/>
      <c r="AI139" s="3268"/>
      <c r="AJ139" s="3278"/>
      <c r="AK139" s="2223"/>
      <c r="AL139" s="3199"/>
      <c r="AM139" s="3264"/>
      <c r="AN139" s="3264"/>
      <c r="AO139" s="2298"/>
      <c r="AT139" s="131"/>
    </row>
    <row r="140" spans="1:46" ht="60" customHeight="1">
      <c r="A140" s="682"/>
      <c r="B140" s="683"/>
      <c r="C140" s="3122"/>
      <c r="D140" s="2407"/>
      <c r="E140" s="277"/>
      <c r="F140" s="706"/>
      <c r="G140" s="2128"/>
      <c r="H140" s="2129"/>
      <c r="I140" s="2318"/>
      <c r="J140" s="3283"/>
      <c r="K140" s="794" t="s">
        <v>883</v>
      </c>
      <c r="L140" s="3285"/>
      <c r="M140" s="2129"/>
      <c r="N140" s="2625"/>
      <c r="O140" s="3281"/>
      <c r="P140" s="2129"/>
      <c r="Q140" s="2318"/>
      <c r="R140" s="795" t="s">
        <v>884</v>
      </c>
      <c r="S140" s="793">
        <v>7200000</v>
      </c>
      <c r="T140" s="75">
        <v>6</v>
      </c>
      <c r="U140" s="75" t="s">
        <v>885</v>
      </c>
      <c r="V140" s="2939"/>
      <c r="W140" s="2939"/>
      <c r="X140" s="792"/>
      <c r="Y140" s="3266"/>
      <c r="Z140" s="3266"/>
      <c r="AA140" s="2939"/>
      <c r="AB140" s="3268"/>
      <c r="AC140" s="3266"/>
      <c r="AD140" s="3266"/>
      <c r="AE140" s="3268"/>
      <c r="AF140" s="3268"/>
      <c r="AG140" s="3268"/>
      <c r="AH140" s="3268"/>
      <c r="AI140" s="3268"/>
      <c r="AJ140" s="3278"/>
      <c r="AK140" s="2223"/>
      <c r="AL140" s="3199"/>
      <c r="AM140" s="3264"/>
      <c r="AN140" s="3264"/>
      <c r="AO140" s="2298"/>
      <c r="AT140" s="131"/>
    </row>
    <row r="141" spans="1:46" ht="66.75" customHeight="1">
      <c r="A141" s="682"/>
      <c r="B141" s="683"/>
      <c r="C141" s="3122"/>
      <c r="D141" s="2407"/>
      <c r="E141" s="277"/>
      <c r="F141" s="706"/>
      <c r="G141" s="2128"/>
      <c r="H141" s="2129"/>
      <c r="I141" s="2318"/>
      <c r="J141" s="3283"/>
      <c r="K141" s="794"/>
      <c r="L141" s="3285"/>
      <c r="M141" s="2129"/>
      <c r="N141" s="2625"/>
      <c r="O141" s="3281"/>
      <c r="P141" s="2129"/>
      <c r="Q141" s="2318"/>
      <c r="R141" s="735" t="s">
        <v>886</v>
      </c>
      <c r="S141" s="793">
        <v>2000000</v>
      </c>
      <c r="T141" s="75">
        <v>84</v>
      </c>
      <c r="U141" s="75" t="s">
        <v>887</v>
      </c>
      <c r="V141" s="2939"/>
      <c r="W141" s="2939"/>
      <c r="X141" s="792"/>
      <c r="Y141" s="3266"/>
      <c r="Z141" s="3266"/>
      <c r="AA141" s="2939"/>
      <c r="AB141" s="3268"/>
      <c r="AC141" s="3266"/>
      <c r="AD141" s="3266"/>
      <c r="AE141" s="3268"/>
      <c r="AF141" s="3268"/>
      <c r="AG141" s="3268"/>
      <c r="AH141" s="3268"/>
      <c r="AI141" s="3268"/>
      <c r="AJ141" s="3278"/>
      <c r="AK141" s="2223"/>
      <c r="AL141" s="3199"/>
      <c r="AM141" s="3264"/>
      <c r="AN141" s="3264"/>
      <c r="AO141" s="2298"/>
      <c r="AT141" s="131"/>
    </row>
    <row r="142" spans="1:46" ht="63.75" customHeight="1">
      <c r="A142" s="682"/>
      <c r="B142" s="683"/>
      <c r="C142" s="3122"/>
      <c r="D142" s="2407"/>
      <c r="E142" s="277"/>
      <c r="F142" s="706"/>
      <c r="G142" s="2094"/>
      <c r="H142" s="2096"/>
      <c r="I142" s="2319"/>
      <c r="J142" s="3284"/>
      <c r="K142" s="794" t="s">
        <v>888</v>
      </c>
      <c r="L142" s="3285"/>
      <c r="M142" s="2129"/>
      <c r="N142" s="2633"/>
      <c r="O142" s="3281"/>
      <c r="P142" s="2129"/>
      <c r="Q142" s="2318"/>
      <c r="R142" s="735" t="s">
        <v>889</v>
      </c>
      <c r="S142" s="793">
        <f>5960000-2460000+29881333</f>
        <v>33381333</v>
      </c>
      <c r="T142" s="777"/>
      <c r="U142" s="777"/>
      <c r="V142" s="2939"/>
      <c r="W142" s="2939"/>
      <c r="X142" s="792"/>
      <c r="Y142" s="3266"/>
      <c r="Z142" s="3266"/>
      <c r="AA142" s="2939"/>
      <c r="AB142" s="3268"/>
      <c r="AC142" s="3266"/>
      <c r="AD142" s="3266"/>
      <c r="AE142" s="3268"/>
      <c r="AF142" s="3268"/>
      <c r="AG142" s="3268"/>
      <c r="AH142" s="3268"/>
      <c r="AI142" s="3268"/>
      <c r="AJ142" s="3278"/>
      <c r="AK142" s="2223"/>
      <c r="AL142" s="3199"/>
      <c r="AM142" s="3264"/>
      <c r="AN142" s="3264"/>
      <c r="AO142" s="2298"/>
      <c r="AT142" s="131"/>
    </row>
    <row r="143" spans="1:46" ht="86.25" customHeight="1">
      <c r="A143" s="682"/>
      <c r="B143" s="683"/>
      <c r="C143" s="3122"/>
      <c r="D143" s="2407"/>
      <c r="E143" s="277"/>
      <c r="F143" s="706"/>
      <c r="G143" s="72">
        <v>199</v>
      </c>
      <c r="H143" s="62" t="s">
        <v>890</v>
      </c>
      <c r="I143" s="201" t="s">
        <v>891</v>
      </c>
      <c r="J143" s="78">
        <v>4</v>
      </c>
      <c r="K143" s="790" t="s">
        <v>892</v>
      </c>
      <c r="L143" s="3285"/>
      <c r="M143" s="2129"/>
      <c r="N143" s="615">
        <f>+S143/O134</f>
        <v>0.015206349877603694</v>
      </c>
      <c r="O143" s="3281"/>
      <c r="P143" s="2129"/>
      <c r="Q143" s="2318"/>
      <c r="R143" s="738" t="s">
        <v>893</v>
      </c>
      <c r="S143" s="793">
        <f>37000000+24300000</f>
        <v>61300000</v>
      </c>
      <c r="T143" s="75"/>
      <c r="U143" s="796"/>
      <c r="V143" s="2939"/>
      <c r="W143" s="2939"/>
      <c r="X143" s="792"/>
      <c r="Y143" s="3266"/>
      <c r="Z143" s="3266"/>
      <c r="AA143" s="2939"/>
      <c r="AB143" s="3268"/>
      <c r="AC143" s="3266"/>
      <c r="AD143" s="3266"/>
      <c r="AE143" s="3268"/>
      <c r="AF143" s="3268"/>
      <c r="AG143" s="3268"/>
      <c r="AH143" s="3268"/>
      <c r="AI143" s="3268"/>
      <c r="AJ143" s="3278"/>
      <c r="AK143" s="2223"/>
      <c r="AL143" s="3199"/>
      <c r="AM143" s="3264"/>
      <c r="AN143" s="3264"/>
      <c r="AO143" s="2298"/>
      <c r="AT143" s="131"/>
    </row>
    <row r="144" spans="1:46" ht="55.5" customHeight="1">
      <c r="A144" s="682"/>
      <c r="B144" s="683"/>
      <c r="C144" s="3122"/>
      <c r="D144" s="2407"/>
      <c r="E144" s="277"/>
      <c r="F144" s="706"/>
      <c r="G144" s="797">
        <v>200</v>
      </c>
      <c r="H144" s="62" t="s">
        <v>894</v>
      </c>
      <c r="I144" s="201" t="s">
        <v>895</v>
      </c>
      <c r="J144" s="202">
        <v>12</v>
      </c>
      <c r="K144" s="2128"/>
      <c r="L144" s="3285"/>
      <c r="M144" s="2129"/>
      <c r="N144" s="615">
        <f>+S144/O134</f>
        <v>0.28026863283675796</v>
      </c>
      <c r="O144" s="3281"/>
      <c r="P144" s="2129"/>
      <c r="Q144" s="2318"/>
      <c r="R144" s="404" t="s">
        <v>896</v>
      </c>
      <c r="S144" s="739">
        <v>1129821905.4</v>
      </c>
      <c r="T144" s="798"/>
      <c r="U144" s="75"/>
      <c r="V144" s="2939"/>
      <c r="W144" s="2939"/>
      <c r="X144" s="792"/>
      <c r="Y144" s="3266"/>
      <c r="Z144" s="3266"/>
      <c r="AA144" s="2939"/>
      <c r="AB144" s="3268"/>
      <c r="AC144" s="3266"/>
      <c r="AD144" s="3266"/>
      <c r="AE144" s="3268"/>
      <c r="AF144" s="3268"/>
      <c r="AG144" s="3268"/>
      <c r="AH144" s="3268"/>
      <c r="AI144" s="3268"/>
      <c r="AJ144" s="3278"/>
      <c r="AK144" s="2223"/>
      <c r="AL144" s="3199"/>
      <c r="AM144" s="3264"/>
      <c r="AN144" s="3264"/>
      <c r="AO144" s="2298"/>
      <c r="AT144" s="131"/>
    </row>
    <row r="145" spans="1:46" ht="60.75" customHeight="1" thickBot="1">
      <c r="A145" s="682"/>
      <c r="B145" s="683"/>
      <c r="C145" s="3122"/>
      <c r="D145" s="2407"/>
      <c r="E145" s="277"/>
      <c r="F145" s="706"/>
      <c r="G145" s="799">
        <v>201</v>
      </c>
      <c r="H145" s="91" t="s">
        <v>897</v>
      </c>
      <c r="I145" s="91" t="s">
        <v>898</v>
      </c>
      <c r="J145" s="800">
        <v>14</v>
      </c>
      <c r="K145" s="2128"/>
      <c r="L145" s="3285"/>
      <c r="M145" s="2129"/>
      <c r="N145" s="801">
        <f>+S145/O134</f>
        <v>0.6835685338001578</v>
      </c>
      <c r="O145" s="3281"/>
      <c r="P145" s="2129"/>
      <c r="Q145" s="2318"/>
      <c r="R145" s="743" t="s">
        <v>899</v>
      </c>
      <c r="S145" s="802">
        <v>2755608772.6</v>
      </c>
      <c r="T145" s="798"/>
      <c r="U145" s="75"/>
      <c r="V145" s="3269"/>
      <c r="W145" s="3269"/>
      <c r="X145" s="792"/>
      <c r="Y145" s="3266"/>
      <c r="Z145" s="3266"/>
      <c r="AA145" s="2939"/>
      <c r="AB145" s="3268"/>
      <c r="AC145" s="3266"/>
      <c r="AD145" s="3266"/>
      <c r="AE145" s="3268"/>
      <c r="AF145" s="3268"/>
      <c r="AG145" s="3268"/>
      <c r="AH145" s="3268"/>
      <c r="AI145" s="3268"/>
      <c r="AJ145" s="3278"/>
      <c r="AK145" s="3279"/>
      <c r="AL145" s="3199"/>
      <c r="AM145" s="3264"/>
      <c r="AN145" s="3264"/>
      <c r="AO145" s="2299"/>
      <c r="AT145" s="131"/>
    </row>
    <row r="146" spans="1:256" s="810" customFormat="1" ht="35.25" customHeight="1" thickBot="1">
      <c r="A146" s="3270"/>
      <c r="B146" s="3271"/>
      <c r="C146" s="3271"/>
      <c r="D146" s="3271"/>
      <c r="E146" s="3271"/>
      <c r="F146" s="3271"/>
      <c r="G146" s="3271"/>
      <c r="H146" s="3271"/>
      <c r="I146" s="3271"/>
      <c r="J146" s="3271"/>
      <c r="K146" s="3271"/>
      <c r="L146" s="3271"/>
      <c r="M146" s="3271"/>
      <c r="N146" s="3272"/>
      <c r="O146" s="803">
        <f>SUM(O12:O145)</f>
        <v>6896430678</v>
      </c>
      <c r="P146" s="804"/>
      <c r="Q146" s="805"/>
      <c r="R146" s="806"/>
      <c r="S146" s="803">
        <f>SUM(S12:S145)</f>
        <v>6896430678</v>
      </c>
      <c r="T146" s="807"/>
      <c r="U146" s="805"/>
      <c r="V146" s="808"/>
      <c r="W146" s="808"/>
      <c r="X146" s="808"/>
      <c r="Y146" s="808"/>
      <c r="Z146" s="808"/>
      <c r="AA146" s="808"/>
      <c r="AB146" s="808"/>
      <c r="AC146" s="808"/>
      <c r="AD146" s="808"/>
      <c r="AE146" s="808"/>
      <c r="AF146" s="808"/>
      <c r="AG146" s="808"/>
      <c r="AH146" s="808"/>
      <c r="AI146" s="808"/>
      <c r="AJ146" s="808"/>
      <c r="AK146" s="808"/>
      <c r="AL146" s="808"/>
      <c r="AM146" s="808"/>
      <c r="AN146" s="808"/>
      <c r="AO146" s="809"/>
      <c r="AP146" s="229"/>
      <c r="AQ146" s="229"/>
      <c r="AR146" s="229"/>
      <c r="AS146" s="229"/>
      <c r="AT146" s="229"/>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c r="FP146" s="131"/>
      <c r="FQ146" s="131"/>
      <c r="FR146" s="131"/>
      <c r="FS146" s="131"/>
      <c r="FT146" s="131"/>
      <c r="FU146" s="131"/>
      <c r="FV146" s="131"/>
      <c r="FW146" s="131"/>
      <c r="FX146" s="131"/>
      <c r="FY146" s="131"/>
      <c r="FZ146" s="131"/>
      <c r="GA146" s="131"/>
      <c r="GB146" s="131"/>
      <c r="GC146" s="131"/>
      <c r="GD146" s="131"/>
      <c r="GE146" s="131"/>
      <c r="GF146" s="131"/>
      <c r="GG146" s="131"/>
      <c r="GH146" s="131"/>
      <c r="GI146" s="131"/>
      <c r="GJ146" s="131"/>
      <c r="GK146" s="131"/>
      <c r="GL146" s="131"/>
      <c r="GM146" s="131"/>
      <c r="GN146" s="131"/>
      <c r="GO146" s="131"/>
      <c r="GP146" s="131"/>
      <c r="GQ146" s="131"/>
      <c r="GR146" s="131"/>
      <c r="GS146" s="131"/>
      <c r="GT146" s="131"/>
      <c r="GU146" s="131"/>
      <c r="GV146" s="131"/>
      <c r="GW146" s="131"/>
      <c r="GX146" s="131"/>
      <c r="GY146" s="131"/>
      <c r="GZ146" s="131"/>
      <c r="HA146" s="131"/>
      <c r="HB146" s="131"/>
      <c r="HC146" s="131"/>
      <c r="HD146" s="131"/>
      <c r="HE146" s="131"/>
      <c r="HF146" s="131"/>
      <c r="HG146" s="131"/>
      <c r="HH146" s="131"/>
      <c r="HI146" s="131"/>
      <c r="HJ146" s="131"/>
      <c r="HK146" s="131"/>
      <c r="HL146" s="131"/>
      <c r="HM146" s="131"/>
      <c r="HN146" s="131"/>
      <c r="HO146" s="131"/>
      <c r="HP146" s="131"/>
      <c r="HQ146" s="131"/>
      <c r="HR146" s="131"/>
      <c r="HS146" s="131"/>
      <c r="HT146" s="131"/>
      <c r="HU146" s="131"/>
      <c r="HV146" s="131"/>
      <c r="HW146" s="131"/>
      <c r="HX146" s="131"/>
      <c r="HY146" s="131"/>
      <c r="HZ146" s="131"/>
      <c r="IA146" s="131"/>
      <c r="IB146" s="131"/>
      <c r="IC146" s="131"/>
      <c r="ID146" s="131"/>
      <c r="IE146" s="131"/>
      <c r="IF146" s="131"/>
      <c r="IG146" s="131"/>
      <c r="IH146" s="131"/>
      <c r="II146" s="131"/>
      <c r="IJ146" s="131"/>
      <c r="IK146" s="131"/>
      <c r="IL146" s="131"/>
      <c r="IM146" s="131"/>
      <c r="IN146" s="131"/>
      <c r="IO146" s="131"/>
      <c r="IP146" s="131"/>
      <c r="IQ146" s="131"/>
      <c r="IR146" s="131"/>
      <c r="IS146" s="131"/>
      <c r="IT146" s="131"/>
      <c r="IU146" s="131"/>
      <c r="IV146" s="131"/>
    </row>
    <row r="147" spans="1:41" ht="15.75">
      <c r="A147" s="247"/>
      <c r="B147" s="247"/>
      <c r="C147" s="247"/>
      <c r="D147" s="247"/>
      <c r="E147" s="247"/>
      <c r="F147" s="811"/>
      <c r="G147" s="812"/>
      <c r="H147" s="813"/>
      <c r="I147" s="659"/>
      <c r="J147" s="247"/>
      <c r="K147" s="247"/>
      <c r="L147" s="247"/>
      <c r="M147" s="659"/>
      <c r="N147" s="247"/>
      <c r="O147" s="814"/>
      <c r="P147" s="813"/>
      <c r="Q147" s="664"/>
      <c r="S147" s="815">
        <v>6896430678</v>
      </c>
      <c r="T147" s="811"/>
      <c r="U147" s="816"/>
      <c r="V147" s="247"/>
      <c r="W147" s="247"/>
      <c r="X147" s="247"/>
      <c r="Y147" s="247"/>
      <c r="Z147" s="247"/>
      <c r="AA147" s="247"/>
      <c r="AB147" s="247"/>
      <c r="AC147" s="247"/>
      <c r="AD147" s="247"/>
      <c r="AE147" s="247"/>
      <c r="AF147" s="247"/>
      <c r="AG147" s="247"/>
      <c r="AH147" s="247"/>
      <c r="AI147" s="247"/>
      <c r="AJ147" s="247"/>
      <c r="AK147" s="247"/>
      <c r="AO147" s="664"/>
    </row>
    <row r="148" spans="1:41" ht="15.75">
      <c r="A148" s="247"/>
      <c r="B148" s="817"/>
      <c r="C148" s="817"/>
      <c r="D148" s="247"/>
      <c r="E148" s="247"/>
      <c r="F148" s="811"/>
      <c r="G148" s="247"/>
      <c r="H148" s="816"/>
      <c r="I148" s="816"/>
      <c r="J148" s="247"/>
      <c r="K148" s="247"/>
      <c r="L148" s="247"/>
      <c r="M148" s="659"/>
      <c r="N148" s="247"/>
      <c r="O148" s="814"/>
      <c r="P148" s="813"/>
      <c r="Q148" s="664"/>
      <c r="R148" s="659"/>
      <c r="S148" s="818">
        <f>+S146-S147</f>
        <v>0</v>
      </c>
      <c r="T148" s="818"/>
      <c r="U148" s="816"/>
      <c r="V148" s="247"/>
      <c r="W148" s="247"/>
      <c r="X148" s="247"/>
      <c r="Y148" s="247"/>
      <c r="Z148" s="247"/>
      <c r="AA148" s="247"/>
      <c r="AB148" s="247"/>
      <c r="AC148" s="247"/>
      <c r="AD148" s="247"/>
      <c r="AE148" s="247"/>
      <c r="AF148" s="247"/>
      <c r="AG148" s="247"/>
      <c r="AH148" s="247"/>
      <c r="AI148" s="247"/>
      <c r="AJ148" s="247"/>
      <c r="AK148" s="247"/>
      <c r="AO148" s="664"/>
    </row>
    <row r="149" spans="2:41" ht="15" customHeight="1">
      <c r="B149" s="3273"/>
      <c r="C149" s="3273"/>
      <c r="D149" s="3273"/>
      <c r="E149" s="3273"/>
      <c r="F149" s="3273"/>
      <c r="G149" s="3273"/>
      <c r="H149" s="3273"/>
      <c r="I149" s="3273"/>
      <c r="J149" s="247"/>
      <c r="K149" s="247"/>
      <c r="L149" s="247"/>
      <c r="M149" s="816"/>
      <c r="N149" s="247"/>
      <c r="O149" s="819"/>
      <c r="P149" s="813"/>
      <c r="Q149" s="664"/>
      <c r="R149" s="235"/>
      <c r="S149" s="820"/>
      <c r="T149" s="821"/>
      <c r="U149" s="816"/>
      <c r="V149" s="247"/>
      <c r="W149" s="247"/>
      <c r="X149" s="247"/>
      <c r="Y149" s="247"/>
      <c r="Z149" s="247"/>
      <c r="AA149" s="247"/>
      <c r="AB149" s="247"/>
      <c r="AC149" s="247"/>
      <c r="AD149" s="247"/>
      <c r="AE149" s="247"/>
      <c r="AF149" s="247"/>
      <c r="AG149" s="247"/>
      <c r="AH149" s="247"/>
      <c r="AI149" s="247"/>
      <c r="AJ149" s="247"/>
      <c r="AK149" s="247"/>
      <c r="AO149" s="664"/>
    </row>
    <row r="150" spans="1:41" ht="28.5" customHeight="1">
      <c r="A150" s="247"/>
      <c r="B150" s="817"/>
      <c r="C150" s="817"/>
      <c r="D150" s="247"/>
      <c r="E150" s="247"/>
      <c r="F150" s="811"/>
      <c r="G150" s="247"/>
      <c r="H150" s="816"/>
      <c r="I150" s="816"/>
      <c r="J150" s="247"/>
      <c r="K150" s="247"/>
      <c r="L150" s="247"/>
      <c r="M150" s="816"/>
      <c r="N150" s="247"/>
      <c r="O150" s="822"/>
      <c r="P150" s="816"/>
      <c r="Q150" s="816"/>
      <c r="R150" s="664"/>
      <c r="S150" s="823"/>
      <c r="T150" s="811"/>
      <c r="U150" s="816"/>
      <c r="V150" s="247"/>
      <c r="W150" s="247"/>
      <c r="X150" s="247"/>
      <c r="Y150" s="247"/>
      <c r="Z150" s="247"/>
      <c r="AA150" s="247"/>
      <c r="AB150" s="247"/>
      <c r="AC150" s="247"/>
      <c r="AD150" s="247"/>
      <c r="AE150" s="247"/>
      <c r="AF150" s="247"/>
      <c r="AG150" s="247"/>
      <c r="AH150" s="247"/>
      <c r="AI150" s="247"/>
      <c r="AJ150" s="247"/>
      <c r="AK150" s="247"/>
      <c r="AO150" s="664"/>
    </row>
    <row r="151" spans="1:37" ht="15">
      <c r="A151" s="247"/>
      <c r="B151" s="247"/>
      <c r="C151" s="247"/>
      <c r="D151" s="247"/>
      <c r="E151" s="247"/>
      <c r="F151" s="811"/>
      <c r="G151" s="247"/>
      <c r="H151" s="816"/>
      <c r="I151" s="816"/>
      <c r="J151" s="247"/>
      <c r="K151" s="247"/>
      <c r="L151" s="247"/>
      <c r="M151" s="816"/>
      <c r="N151" s="247"/>
      <c r="O151" s="822"/>
      <c r="P151" s="816"/>
      <c r="Q151" s="816"/>
      <c r="R151" s="664"/>
      <c r="S151" s="822"/>
      <c r="T151" s="811"/>
      <c r="U151" s="816"/>
      <c r="V151" s="247"/>
      <c r="W151" s="247"/>
      <c r="X151" s="247"/>
      <c r="Y151" s="247"/>
      <c r="Z151" s="247"/>
      <c r="AA151" s="247"/>
      <c r="AB151" s="247"/>
      <c r="AC151" s="247"/>
      <c r="AD151" s="247"/>
      <c r="AE151" s="247"/>
      <c r="AF151" s="247"/>
      <c r="AG151" s="247"/>
      <c r="AH151" s="247"/>
      <c r="AI151" s="247"/>
      <c r="AJ151" s="247"/>
      <c r="AK151" s="247"/>
    </row>
    <row r="152" spans="1:37" ht="15">
      <c r="A152" s="247"/>
      <c r="B152" s="247"/>
      <c r="C152" s="247"/>
      <c r="D152" s="247"/>
      <c r="E152" s="247"/>
      <c r="F152" s="811"/>
      <c r="G152" s="247"/>
      <c r="H152" s="816"/>
      <c r="I152" s="816"/>
      <c r="J152" s="247"/>
      <c r="K152" s="247"/>
      <c r="L152" s="247"/>
      <c r="M152" s="816"/>
      <c r="N152" s="247"/>
      <c r="O152" s="822"/>
      <c r="P152" s="816"/>
      <c r="Q152" s="816"/>
      <c r="R152" s="664"/>
      <c r="S152" s="822"/>
      <c r="T152" s="811"/>
      <c r="U152" s="816"/>
      <c r="V152" s="247"/>
      <c r="W152" s="247"/>
      <c r="X152" s="247"/>
      <c r="Y152" s="247"/>
      <c r="Z152" s="247"/>
      <c r="AA152" s="247"/>
      <c r="AB152" s="247"/>
      <c r="AC152" s="247"/>
      <c r="AD152" s="247"/>
      <c r="AE152" s="247"/>
      <c r="AF152" s="247"/>
      <c r="AG152" s="247"/>
      <c r="AH152" s="247"/>
      <c r="AI152" s="247"/>
      <c r="AJ152" s="247"/>
      <c r="AK152" s="247"/>
    </row>
    <row r="153" spans="1:37" ht="15.75">
      <c r="A153" s="247"/>
      <c r="B153" s="247"/>
      <c r="C153" s="247"/>
      <c r="D153" s="247"/>
      <c r="E153" s="247"/>
      <c r="F153" s="811"/>
      <c r="G153" s="247"/>
      <c r="H153" s="3274" t="s">
        <v>900</v>
      </c>
      <c r="I153" s="3274"/>
      <c r="J153" s="247"/>
      <c r="K153" s="247"/>
      <c r="L153" s="247"/>
      <c r="M153" s="816"/>
      <c r="N153" s="247"/>
      <c r="O153" s="822"/>
      <c r="P153" s="816"/>
      <c r="Q153" s="816"/>
      <c r="R153" s="664"/>
      <c r="S153" s="822"/>
      <c r="T153" s="811"/>
      <c r="U153" s="816"/>
      <c r="V153" s="247"/>
      <c r="W153" s="247"/>
      <c r="X153" s="247"/>
      <c r="Y153" s="247"/>
      <c r="Z153" s="247"/>
      <c r="AA153" s="247"/>
      <c r="AB153" s="247"/>
      <c r="AC153" s="247"/>
      <c r="AD153" s="247"/>
      <c r="AE153" s="247"/>
      <c r="AF153" s="247"/>
      <c r="AG153" s="247"/>
      <c r="AH153" s="247"/>
      <c r="AI153" s="247"/>
      <c r="AJ153" s="247"/>
      <c r="AK153" s="247"/>
    </row>
    <row r="154" spans="1:37" ht="15.75">
      <c r="A154" s="247"/>
      <c r="B154" s="247"/>
      <c r="C154" s="247"/>
      <c r="D154" s="247"/>
      <c r="E154" s="247"/>
      <c r="F154" s="811"/>
      <c r="G154" s="247"/>
      <c r="H154" s="3275" t="s">
        <v>901</v>
      </c>
      <c r="I154" s="3275"/>
      <c r="J154" s="247"/>
      <c r="K154" s="247"/>
      <c r="L154" s="247"/>
      <c r="M154" s="816"/>
      <c r="N154" s="247"/>
      <c r="O154" s="822"/>
      <c r="P154" s="816"/>
      <c r="Q154" s="816"/>
      <c r="R154" s="664"/>
      <c r="S154" s="822"/>
      <c r="T154" s="811"/>
      <c r="U154" s="816"/>
      <c r="V154" s="247"/>
      <c r="W154" s="247"/>
      <c r="X154" s="247"/>
      <c r="Y154" s="247"/>
      <c r="Z154" s="247"/>
      <c r="AA154" s="247"/>
      <c r="AB154" s="247"/>
      <c r="AC154" s="247"/>
      <c r="AD154" s="247"/>
      <c r="AE154" s="247"/>
      <c r="AF154" s="247"/>
      <c r="AG154" s="247"/>
      <c r="AH154" s="247"/>
      <c r="AI154" s="247"/>
      <c r="AJ154" s="247"/>
      <c r="AK154" s="247"/>
    </row>
    <row r="155" spans="5:37" ht="15">
      <c r="E155" s="247"/>
      <c r="F155" s="811"/>
      <c r="G155" s="247"/>
      <c r="H155" s="816"/>
      <c r="I155" s="816"/>
      <c r="J155" s="247"/>
      <c r="K155" s="247"/>
      <c r="L155" s="247"/>
      <c r="M155" s="816"/>
      <c r="N155" s="247"/>
      <c r="O155" s="822"/>
      <c r="P155" s="816"/>
      <c r="Q155" s="816"/>
      <c r="R155" s="664"/>
      <c r="S155" s="822"/>
      <c r="T155" s="811"/>
      <c r="U155" s="816"/>
      <c r="V155" s="247"/>
      <c r="W155" s="247"/>
      <c r="X155" s="247"/>
      <c r="Y155" s="247"/>
      <c r="Z155" s="247"/>
      <c r="AA155" s="247"/>
      <c r="AB155" s="247"/>
      <c r="AC155" s="247"/>
      <c r="AD155" s="247"/>
      <c r="AE155" s="247"/>
      <c r="AF155" s="247"/>
      <c r="AG155" s="247"/>
      <c r="AH155" s="247"/>
      <c r="AI155" s="247"/>
      <c r="AJ155" s="247"/>
      <c r="AK155" s="247"/>
    </row>
    <row r="156" spans="1:37" ht="15">
      <c r="A156" s="247"/>
      <c r="B156" s="247"/>
      <c r="C156" s="247"/>
      <c r="D156" s="247"/>
      <c r="E156" s="247"/>
      <c r="F156" s="811"/>
      <c r="G156" s="247"/>
      <c r="H156" s="816"/>
      <c r="I156" s="816"/>
      <c r="J156" s="247"/>
      <c r="K156" s="247"/>
      <c r="L156" s="247"/>
      <c r="M156" s="816"/>
      <c r="N156" s="247"/>
      <c r="O156" s="822"/>
      <c r="P156" s="816"/>
      <c r="Q156" s="816"/>
      <c r="R156" s="664"/>
      <c r="S156" s="822"/>
      <c r="T156" s="811"/>
      <c r="U156" s="816"/>
      <c r="V156" s="247"/>
      <c r="W156" s="247"/>
      <c r="X156" s="247"/>
      <c r="Y156" s="247"/>
      <c r="Z156" s="247"/>
      <c r="AA156" s="247"/>
      <c r="AB156" s="247"/>
      <c r="AC156" s="247"/>
      <c r="AD156" s="247"/>
      <c r="AE156" s="247"/>
      <c r="AF156" s="247"/>
      <c r="AG156" s="247"/>
      <c r="AH156" s="247"/>
      <c r="AI156" s="247"/>
      <c r="AJ156" s="247"/>
      <c r="AK156" s="247"/>
    </row>
    <row r="157" spans="1:37" ht="15">
      <c r="A157" s="247"/>
      <c r="B157" s="247"/>
      <c r="C157" s="247"/>
      <c r="D157" s="247"/>
      <c r="E157" s="247"/>
      <c r="F157" s="811"/>
      <c r="G157" s="247"/>
      <c r="H157" s="816"/>
      <c r="I157" s="816"/>
      <c r="J157" s="247"/>
      <c r="K157" s="247"/>
      <c r="L157" s="247"/>
      <c r="M157" s="816"/>
      <c r="N157" s="247"/>
      <c r="O157" s="822"/>
      <c r="P157" s="816"/>
      <c r="Q157" s="816"/>
      <c r="R157" s="664"/>
      <c r="S157" s="822"/>
      <c r="T157" s="811"/>
      <c r="U157" s="816"/>
      <c r="V157" s="247"/>
      <c r="W157" s="247"/>
      <c r="X157" s="247"/>
      <c r="Y157" s="247"/>
      <c r="Z157" s="247"/>
      <c r="AA157" s="247"/>
      <c r="AB157" s="247"/>
      <c r="AC157" s="247"/>
      <c r="AD157" s="247"/>
      <c r="AE157" s="247"/>
      <c r="AF157" s="247"/>
      <c r="AG157" s="247"/>
      <c r="AH157" s="247"/>
      <c r="AI157" s="247"/>
      <c r="AJ157" s="247"/>
      <c r="AK157" s="247"/>
    </row>
    <row r="158" spans="1:37" ht="15">
      <c r="A158" s="247"/>
      <c r="B158" s="247"/>
      <c r="C158" s="247"/>
      <c r="D158" s="247"/>
      <c r="E158" s="247"/>
      <c r="F158" s="811"/>
      <c r="G158" s="247"/>
      <c r="H158" s="816"/>
      <c r="I158" s="816"/>
      <c r="J158" s="247"/>
      <c r="K158" s="247"/>
      <c r="L158" s="247"/>
      <c r="M158" s="816"/>
      <c r="N158" s="247"/>
      <c r="O158" s="822"/>
      <c r="P158" s="816"/>
      <c r="Q158" s="816"/>
      <c r="R158" s="664"/>
      <c r="S158" s="822"/>
      <c r="T158" s="811"/>
      <c r="U158" s="816"/>
      <c r="V158" s="247"/>
      <c r="W158" s="247"/>
      <c r="X158" s="247"/>
      <c r="Y158" s="247"/>
      <c r="Z158" s="247"/>
      <c r="AA158" s="247"/>
      <c r="AB158" s="247"/>
      <c r="AC158" s="247"/>
      <c r="AD158" s="247"/>
      <c r="AE158" s="247"/>
      <c r="AF158" s="247"/>
      <c r="AG158" s="247"/>
      <c r="AH158" s="247"/>
      <c r="AI158" s="247"/>
      <c r="AJ158" s="247"/>
      <c r="AK158" s="247"/>
    </row>
    <row r="159" spans="1:37" ht="15">
      <c r="A159" s="3276" t="s">
        <v>902</v>
      </c>
      <c r="B159" s="3276"/>
      <c r="C159" s="3276"/>
      <c r="D159" s="3276"/>
      <c r="E159" s="3276"/>
      <c r="F159" s="3276"/>
      <c r="G159" s="3276"/>
      <c r="H159" s="3276"/>
      <c r="I159" s="816"/>
      <c r="J159" s="247"/>
      <c r="K159" s="247"/>
      <c r="L159" s="247"/>
      <c r="M159" s="816"/>
      <c r="N159" s="247"/>
      <c r="O159" s="822"/>
      <c r="P159" s="816"/>
      <c r="Q159" s="816"/>
      <c r="R159" s="664"/>
      <c r="S159" s="822"/>
      <c r="T159" s="811"/>
      <c r="U159" s="816"/>
      <c r="V159" s="247"/>
      <c r="W159" s="247"/>
      <c r="X159" s="247"/>
      <c r="Y159" s="247"/>
      <c r="Z159" s="247"/>
      <c r="AA159" s="247"/>
      <c r="AB159" s="247"/>
      <c r="AC159" s="247"/>
      <c r="AD159" s="247"/>
      <c r="AE159" s="247"/>
      <c r="AF159" s="247"/>
      <c r="AG159" s="247"/>
      <c r="AH159" s="247"/>
      <c r="AI159" s="247"/>
      <c r="AJ159" s="247"/>
      <c r="AK159" s="247"/>
    </row>
    <row r="160" spans="1:37" ht="15">
      <c r="A160" s="247"/>
      <c r="B160" s="247"/>
      <c r="C160" s="247"/>
      <c r="D160" s="247"/>
      <c r="E160" s="247"/>
      <c r="F160" s="811"/>
      <c r="G160" s="247"/>
      <c r="H160" s="816"/>
      <c r="I160" s="816"/>
      <c r="J160" s="247"/>
      <c r="K160" s="247"/>
      <c r="L160" s="247"/>
      <c r="M160" s="816"/>
      <c r="N160" s="247"/>
      <c r="O160" s="822"/>
      <c r="P160" s="816"/>
      <c r="Q160" s="816"/>
      <c r="R160" s="664"/>
      <c r="S160" s="822"/>
      <c r="T160" s="811"/>
      <c r="U160" s="816"/>
      <c r="V160" s="247"/>
      <c r="W160" s="247"/>
      <c r="X160" s="247"/>
      <c r="Y160" s="247"/>
      <c r="Z160" s="247"/>
      <c r="AA160" s="247"/>
      <c r="AB160" s="247"/>
      <c r="AC160" s="247"/>
      <c r="AD160" s="247"/>
      <c r="AE160" s="247"/>
      <c r="AF160" s="247"/>
      <c r="AG160" s="247"/>
      <c r="AH160" s="247"/>
      <c r="AI160" s="247"/>
      <c r="AJ160" s="247"/>
      <c r="AK160" s="247"/>
    </row>
    <row r="161" spans="1:37" ht="15">
      <c r="A161" s="247"/>
      <c r="B161" s="247"/>
      <c r="C161" s="247"/>
      <c r="D161" s="247"/>
      <c r="E161" s="247"/>
      <c r="F161" s="811"/>
      <c r="G161" s="247"/>
      <c r="H161" s="816"/>
      <c r="I161" s="816"/>
      <c r="J161" s="247"/>
      <c r="K161" s="247"/>
      <c r="L161" s="247"/>
      <c r="M161" s="816"/>
      <c r="N161" s="247"/>
      <c r="O161" s="822"/>
      <c r="P161" s="816"/>
      <c r="Q161" s="816"/>
      <c r="R161" s="664"/>
      <c r="S161" s="822"/>
      <c r="T161" s="811"/>
      <c r="U161" s="816"/>
      <c r="V161" s="247"/>
      <c r="W161" s="247"/>
      <c r="X161" s="247"/>
      <c r="Y161" s="247"/>
      <c r="Z161" s="247"/>
      <c r="AA161" s="247"/>
      <c r="AB161" s="247"/>
      <c r="AC161" s="247"/>
      <c r="AD161" s="247"/>
      <c r="AE161" s="247"/>
      <c r="AF161" s="247"/>
      <c r="AG161" s="247"/>
      <c r="AH161" s="247"/>
      <c r="AI161" s="247"/>
      <c r="AJ161" s="247"/>
      <c r="AK161" s="247"/>
    </row>
    <row r="162" spans="1:37" ht="15">
      <c r="A162" s="247"/>
      <c r="B162" s="247"/>
      <c r="C162" s="247"/>
      <c r="D162" s="247"/>
      <c r="E162" s="247"/>
      <c r="F162" s="811"/>
      <c r="G162" s="247"/>
      <c r="H162" s="816"/>
      <c r="I162" s="816"/>
      <c r="J162" s="247"/>
      <c r="K162" s="247"/>
      <c r="L162" s="247"/>
      <c r="M162" s="816"/>
      <c r="N162" s="247"/>
      <c r="O162" s="822"/>
      <c r="P162" s="816"/>
      <c r="Q162" s="816"/>
      <c r="R162" s="664"/>
      <c r="S162" s="822"/>
      <c r="T162" s="811"/>
      <c r="U162" s="816"/>
      <c r="V162" s="247"/>
      <c r="W162" s="247"/>
      <c r="X162" s="247"/>
      <c r="Y162" s="247"/>
      <c r="Z162" s="247"/>
      <c r="AA162" s="247"/>
      <c r="AB162" s="247"/>
      <c r="AC162" s="247"/>
      <c r="AD162" s="247"/>
      <c r="AE162" s="247"/>
      <c r="AF162" s="247"/>
      <c r="AG162" s="247"/>
      <c r="AH162" s="247"/>
      <c r="AI162" s="247"/>
      <c r="AJ162" s="247"/>
      <c r="AK162" s="247"/>
    </row>
    <row r="163" spans="1:37" ht="15">
      <c r="A163" s="247"/>
      <c r="B163" s="247"/>
      <c r="C163" s="247"/>
      <c r="D163" s="247"/>
      <c r="E163" s="247"/>
      <c r="F163" s="811"/>
      <c r="G163" s="247"/>
      <c r="H163" s="816"/>
      <c r="I163" s="816"/>
      <c r="J163" s="247"/>
      <c r="K163" s="247"/>
      <c r="L163" s="247"/>
      <c r="M163" s="816"/>
      <c r="N163" s="247"/>
      <c r="O163" s="822"/>
      <c r="P163" s="816"/>
      <c r="Q163" s="816"/>
      <c r="R163" s="664"/>
      <c r="S163" s="822"/>
      <c r="T163" s="811"/>
      <c r="U163" s="816"/>
      <c r="V163" s="247"/>
      <c r="W163" s="247"/>
      <c r="X163" s="247"/>
      <c r="Y163" s="247"/>
      <c r="Z163" s="247"/>
      <c r="AA163" s="247"/>
      <c r="AB163" s="247"/>
      <c r="AC163" s="247"/>
      <c r="AD163" s="247"/>
      <c r="AE163" s="247"/>
      <c r="AF163" s="247"/>
      <c r="AG163" s="247"/>
      <c r="AH163" s="247"/>
      <c r="AI163" s="247"/>
      <c r="AJ163" s="247"/>
      <c r="AK163" s="247"/>
    </row>
    <row r="164" spans="1:37" ht="15">
      <c r="A164" s="247"/>
      <c r="B164" s="247"/>
      <c r="C164" s="247"/>
      <c r="D164" s="247"/>
      <c r="E164" s="247"/>
      <c r="F164" s="811"/>
      <c r="G164" s="247"/>
      <c r="H164" s="816"/>
      <c r="I164" s="816"/>
      <c r="J164" s="247"/>
      <c r="K164" s="247"/>
      <c r="L164" s="247"/>
      <c r="M164" s="816"/>
      <c r="N164" s="247"/>
      <c r="O164" s="822"/>
      <c r="P164" s="816"/>
      <c r="Q164" s="816"/>
      <c r="R164" s="664"/>
      <c r="S164" s="822"/>
      <c r="T164" s="811"/>
      <c r="U164" s="816"/>
      <c r="V164" s="247"/>
      <c r="W164" s="247"/>
      <c r="X164" s="247"/>
      <c r="Y164" s="247"/>
      <c r="Z164" s="247"/>
      <c r="AA164" s="247"/>
      <c r="AB164" s="247"/>
      <c r="AC164" s="247"/>
      <c r="AD164" s="247"/>
      <c r="AE164" s="247"/>
      <c r="AF164" s="247"/>
      <c r="AG164" s="247"/>
      <c r="AH164" s="247"/>
      <c r="AI164" s="247"/>
      <c r="AJ164" s="247"/>
      <c r="AK164" s="247"/>
    </row>
    <row r="165" spans="1:37" ht="15">
      <c r="A165" s="247"/>
      <c r="B165" s="247"/>
      <c r="C165" s="247"/>
      <c r="D165" s="247"/>
      <c r="E165" s="247"/>
      <c r="F165" s="811"/>
      <c r="G165" s="247"/>
      <c r="H165" s="816"/>
      <c r="I165" s="816"/>
      <c r="J165" s="247"/>
      <c r="K165" s="247"/>
      <c r="L165" s="247"/>
      <c r="M165" s="816"/>
      <c r="N165" s="247"/>
      <c r="O165" s="822"/>
      <c r="P165" s="816"/>
      <c r="Q165" s="816"/>
      <c r="R165" s="664"/>
      <c r="S165" s="822"/>
      <c r="T165" s="811"/>
      <c r="U165" s="816"/>
      <c r="V165" s="247"/>
      <c r="W165" s="247"/>
      <c r="X165" s="247"/>
      <c r="Y165" s="247"/>
      <c r="Z165" s="247"/>
      <c r="AA165" s="247"/>
      <c r="AB165" s="247"/>
      <c r="AC165" s="247"/>
      <c r="AD165" s="247"/>
      <c r="AE165" s="247"/>
      <c r="AF165" s="247"/>
      <c r="AG165" s="247"/>
      <c r="AH165" s="247"/>
      <c r="AI165" s="247"/>
      <c r="AJ165" s="247"/>
      <c r="AK165" s="247"/>
    </row>
    <row r="166" spans="1:37" ht="15">
      <c r="A166" s="247"/>
      <c r="B166" s="247"/>
      <c r="C166" s="247"/>
      <c r="D166" s="247"/>
      <c r="E166" s="247"/>
      <c r="F166" s="811"/>
      <c r="G166" s="247"/>
      <c r="H166" s="816"/>
      <c r="I166" s="816"/>
      <c r="J166" s="247"/>
      <c r="K166" s="247"/>
      <c r="L166" s="247"/>
      <c r="M166" s="816"/>
      <c r="N166" s="247"/>
      <c r="O166" s="822"/>
      <c r="P166" s="816"/>
      <c r="Q166" s="816"/>
      <c r="R166" s="664"/>
      <c r="S166" s="822"/>
      <c r="T166" s="811"/>
      <c r="U166" s="816"/>
      <c r="V166" s="247"/>
      <c r="W166" s="247"/>
      <c r="X166" s="247"/>
      <c r="Y166" s="247"/>
      <c r="Z166" s="247"/>
      <c r="AA166" s="247"/>
      <c r="AB166" s="247"/>
      <c r="AC166" s="247"/>
      <c r="AD166" s="247"/>
      <c r="AE166" s="247"/>
      <c r="AF166" s="247"/>
      <c r="AG166" s="247"/>
      <c r="AH166" s="247"/>
      <c r="AI166" s="247"/>
      <c r="AJ166" s="247"/>
      <c r="AK166" s="247"/>
    </row>
    <row r="167" spans="1:37" ht="15">
      <c r="A167" s="247"/>
      <c r="B167" s="247"/>
      <c r="C167" s="247"/>
      <c r="D167" s="247"/>
      <c r="E167" s="247"/>
      <c r="F167" s="811"/>
      <c r="G167" s="247"/>
      <c r="H167" s="816"/>
      <c r="I167" s="816"/>
      <c r="J167" s="247"/>
      <c r="K167" s="247"/>
      <c r="L167" s="247"/>
      <c r="M167" s="816"/>
      <c r="N167" s="247"/>
      <c r="O167" s="822"/>
      <c r="P167" s="816"/>
      <c r="Q167" s="816"/>
      <c r="R167" s="664"/>
      <c r="S167" s="822"/>
      <c r="T167" s="811"/>
      <c r="U167" s="816"/>
      <c r="V167" s="247"/>
      <c r="W167" s="247"/>
      <c r="X167" s="247"/>
      <c r="Y167" s="247"/>
      <c r="Z167" s="247"/>
      <c r="AA167" s="247"/>
      <c r="AB167" s="247"/>
      <c r="AC167" s="247"/>
      <c r="AD167" s="247"/>
      <c r="AE167" s="247"/>
      <c r="AF167" s="247"/>
      <c r="AG167" s="247"/>
      <c r="AH167" s="247"/>
      <c r="AI167" s="247"/>
      <c r="AJ167" s="247"/>
      <c r="AK167" s="247"/>
    </row>
    <row r="168" spans="1:37" ht="15">
      <c r="A168" s="247"/>
      <c r="B168" s="247"/>
      <c r="C168" s="247"/>
      <c r="D168" s="247"/>
      <c r="E168" s="247"/>
      <c r="F168" s="811"/>
      <c r="G168" s="247"/>
      <c r="H168" s="816"/>
      <c r="I168" s="816"/>
      <c r="J168" s="247"/>
      <c r="K168" s="247"/>
      <c r="L168" s="247"/>
      <c r="M168" s="816"/>
      <c r="N168" s="247"/>
      <c r="O168" s="822"/>
      <c r="P168" s="816"/>
      <c r="Q168" s="816"/>
      <c r="R168" s="664"/>
      <c r="S168" s="822"/>
      <c r="T168" s="811"/>
      <c r="U168" s="816"/>
      <c r="V168" s="247"/>
      <c r="W168" s="247"/>
      <c r="X168" s="247"/>
      <c r="Y168" s="247"/>
      <c r="Z168" s="247"/>
      <c r="AA168" s="247"/>
      <c r="AB168" s="247"/>
      <c r="AC168" s="247"/>
      <c r="AD168" s="247"/>
      <c r="AE168" s="247"/>
      <c r="AF168" s="247"/>
      <c r="AG168" s="247"/>
      <c r="AH168" s="247"/>
      <c r="AI168" s="247"/>
      <c r="AJ168" s="247"/>
      <c r="AK168" s="247"/>
    </row>
    <row r="169" spans="1:37" ht="15">
      <c r="A169" s="247"/>
      <c r="B169" s="247"/>
      <c r="C169" s="247"/>
      <c r="D169" s="247"/>
      <c r="E169" s="247"/>
      <c r="F169" s="811"/>
      <c r="G169" s="247"/>
      <c r="H169" s="816"/>
      <c r="I169" s="816"/>
      <c r="J169" s="247"/>
      <c r="K169" s="247"/>
      <c r="L169" s="247"/>
      <c r="M169" s="816"/>
      <c r="N169" s="247"/>
      <c r="O169" s="822"/>
      <c r="P169" s="816"/>
      <c r="Q169" s="816"/>
      <c r="R169" s="664"/>
      <c r="S169" s="822"/>
      <c r="T169" s="811"/>
      <c r="U169" s="816"/>
      <c r="V169" s="247"/>
      <c r="W169" s="247"/>
      <c r="X169" s="247"/>
      <c r="Y169" s="247"/>
      <c r="Z169" s="247"/>
      <c r="AA169" s="247"/>
      <c r="AB169" s="247"/>
      <c r="AC169" s="247"/>
      <c r="AD169" s="247"/>
      <c r="AE169" s="247"/>
      <c r="AF169" s="247"/>
      <c r="AG169" s="247"/>
      <c r="AH169" s="247"/>
      <c r="AI169" s="247"/>
      <c r="AJ169" s="247"/>
      <c r="AK169" s="247"/>
    </row>
    <row r="170" spans="1:37" ht="15">
      <c r="A170" s="247"/>
      <c r="B170" s="247"/>
      <c r="C170" s="247"/>
      <c r="D170" s="247"/>
      <c r="E170" s="247"/>
      <c r="F170" s="811"/>
      <c r="G170" s="247"/>
      <c r="H170" s="816"/>
      <c r="I170" s="816"/>
      <c r="J170" s="247"/>
      <c r="K170" s="247"/>
      <c r="L170" s="247"/>
      <c r="M170" s="816"/>
      <c r="N170" s="247"/>
      <c r="O170" s="822"/>
      <c r="P170" s="816"/>
      <c r="Q170" s="816"/>
      <c r="R170" s="664"/>
      <c r="S170" s="822"/>
      <c r="T170" s="811"/>
      <c r="U170" s="816"/>
      <c r="V170" s="247"/>
      <c r="W170" s="247"/>
      <c r="X170" s="247"/>
      <c r="Y170" s="247"/>
      <c r="Z170" s="247"/>
      <c r="AA170" s="247"/>
      <c r="AB170" s="247"/>
      <c r="AC170" s="247"/>
      <c r="AD170" s="247"/>
      <c r="AE170" s="247"/>
      <c r="AF170" s="247"/>
      <c r="AG170" s="247"/>
      <c r="AH170" s="247"/>
      <c r="AI170" s="247"/>
      <c r="AJ170" s="247"/>
      <c r="AK170" s="247"/>
    </row>
    <row r="171" spans="1:17" ht="15">
      <c r="A171" s="247"/>
      <c r="B171" s="247"/>
      <c r="C171" s="247"/>
      <c r="D171" s="247"/>
      <c r="E171" s="247"/>
      <c r="F171" s="811"/>
      <c r="G171" s="247"/>
      <c r="H171" s="816"/>
      <c r="I171" s="816"/>
      <c r="J171" s="247"/>
      <c r="K171" s="247"/>
      <c r="L171" s="247"/>
      <c r="M171" s="816"/>
      <c r="N171" s="247"/>
      <c r="O171" s="822"/>
      <c r="P171" s="816"/>
      <c r="Q171" s="816"/>
    </row>
    <row r="172" spans="1:17" ht="15">
      <c r="A172" s="247"/>
      <c r="B172" s="247"/>
      <c r="C172" s="247"/>
      <c r="D172" s="247"/>
      <c r="E172" s="247"/>
      <c r="F172" s="811"/>
      <c r="G172" s="247"/>
      <c r="H172" s="816"/>
      <c r="I172" s="816"/>
      <c r="J172" s="247"/>
      <c r="K172" s="247"/>
      <c r="L172" s="247"/>
      <c r="M172" s="816"/>
      <c r="N172" s="247"/>
      <c r="O172" s="822"/>
      <c r="P172" s="816"/>
      <c r="Q172" s="816"/>
    </row>
  </sheetData>
  <sheetProtection password="CBEB" sheet="1" objects="1" scenarios="1"/>
  <mergeCells count="496">
    <mergeCell ref="A146:N146"/>
    <mergeCell ref="B149:I149"/>
    <mergeCell ref="H153:I153"/>
    <mergeCell ref="H154:I154"/>
    <mergeCell ref="A159:H159"/>
    <mergeCell ref="AJ134:AJ145"/>
    <mergeCell ref="AK134:AK145"/>
    <mergeCell ref="AL134:AL145"/>
    <mergeCell ref="AM134:AM145"/>
    <mergeCell ref="M134:M145"/>
    <mergeCell ref="N134:N142"/>
    <mergeCell ref="O134:O145"/>
    <mergeCell ref="P134:P145"/>
    <mergeCell ref="Q134:Q145"/>
    <mergeCell ref="V134:V145"/>
    <mergeCell ref="C133:D145"/>
    <mergeCell ref="G134:G142"/>
    <mergeCell ref="H134:H142"/>
    <mergeCell ref="I134:I142"/>
    <mergeCell ref="J134:J142"/>
    <mergeCell ref="L134:L145"/>
    <mergeCell ref="K144:K145"/>
    <mergeCell ref="AN134:AN145"/>
    <mergeCell ref="AO134:AO145"/>
    <mergeCell ref="AD134:AD145"/>
    <mergeCell ref="AE134:AE145"/>
    <mergeCell ref="AF134:AF145"/>
    <mergeCell ref="AG134:AG145"/>
    <mergeCell ref="AH134:AH145"/>
    <mergeCell ref="AI134:AI145"/>
    <mergeCell ref="W134:W145"/>
    <mergeCell ref="Y134:Y145"/>
    <mergeCell ref="Z134:Z145"/>
    <mergeCell ref="AA134:AA145"/>
    <mergeCell ref="AB134:AB145"/>
    <mergeCell ref="AC134:AC145"/>
    <mergeCell ref="AJ126:AJ131"/>
    <mergeCell ref="AK126:AK131"/>
    <mergeCell ref="AL126:AL131"/>
    <mergeCell ref="AM126:AM131"/>
    <mergeCell ref="AN126:AN131"/>
    <mergeCell ref="AO126:AO131"/>
    <mergeCell ref="AD126:AD131"/>
    <mergeCell ref="AE126:AE131"/>
    <mergeCell ref="AF126:AF131"/>
    <mergeCell ref="AG126:AG131"/>
    <mergeCell ref="AH126:AH131"/>
    <mergeCell ref="AI126:AI131"/>
    <mergeCell ref="X126:X131"/>
    <mergeCell ref="Y126:Y131"/>
    <mergeCell ref="Z126:Z131"/>
    <mergeCell ref="AA126:AA131"/>
    <mergeCell ref="AB126:AB131"/>
    <mergeCell ref="AC126:AC131"/>
    <mergeCell ref="O126:O131"/>
    <mergeCell ref="P126:P131"/>
    <mergeCell ref="Q126:Q127"/>
    <mergeCell ref="U126:U131"/>
    <mergeCell ref="V126:V131"/>
    <mergeCell ref="W126:W131"/>
    <mergeCell ref="Q128:Q131"/>
    <mergeCell ref="AM122:AM124"/>
    <mergeCell ref="AN122:AN124"/>
    <mergeCell ref="AO122:AO124"/>
    <mergeCell ref="G126:G131"/>
    <mergeCell ref="H126:H131"/>
    <mergeCell ref="I126:I131"/>
    <mergeCell ref="J126:J131"/>
    <mergeCell ref="L126:L131"/>
    <mergeCell ref="M126:M131"/>
    <mergeCell ref="N126:N131"/>
    <mergeCell ref="AG122:AG124"/>
    <mergeCell ref="AH122:AH124"/>
    <mergeCell ref="AI122:AI124"/>
    <mergeCell ref="AJ122:AJ124"/>
    <mergeCell ref="AK122:AK124"/>
    <mergeCell ref="AL122:AL124"/>
    <mergeCell ref="AA122:AA124"/>
    <mergeCell ref="AB122:AB124"/>
    <mergeCell ref="AC122:AC124"/>
    <mergeCell ref="AD122:AD124"/>
    <mergeCell ref="AE122:AE124"/>
    <mergeCell ref="AF122:AF124"/>
    <mergeCell ref="U122:U124"/>
    <mergeCell ref="V122:V124"/>
    <mergeCell ref="W122:W124"/>
    <mergeCell ref="X122:X124"/>
    <mergeCell ref="Y122:Y124"/>
    <mergeCell ref="Z122:Z124"/>
    <mergeCell ref="M122:M124"/>
    <mergeCell ref="N122:N124"/>
    <mergeCell ref="O122:O124"/>
    <mergeCell ref="P122:P124"/>
    <mergeCell ref="Q122:Q124"/>
    <mergeCell ref="T122:T124"/>
    <mergeCell ref="AL118:AL120"/>
    <mergeCell ref="AM118:AM120"/>
    <mergeCell ref="AN118:AN120"/>
    <mergeCell ref="AO118:AO120"/>
    <mergeCell ref="G122:G124"/>
    <mergeCell ref="H122:H124"/>
    <mergeCell ref="I122:I124"/>
    <mergeCell ref="J122:J124"/>
    <mergeCell ref="K122:K124"/>
    <mergeCell ref="L122:L124"/>
    <mergeCell ref="AF118:AF120"/>
    <mergeCell ref="AG118:AG120"/>
    <mergeCell ref="AH118:AH120"/>
    <mergeCell ref="AI118:AI120"/>
    <mergeCell ref="AJ118:AJ120"/>
    <mergeCell ref="AK118:AK120"/>
    <mergeCell ref="Z118:Z120"/>
    <mergeCell ref="AA118:AA120"/>
    <mergeCell ref="AB118:AB120"/>
    <mergeCell ref="AC118:AC120"/>
    <mergeCell ref="AD118:AD120"/>
    <mergeCell ref="AE118:AE120"/>
    <mergeCell ref="T118:T120"/>
    <mergeCell ref="U118:U120"/>
    <mergeCell ref="V118:V120"/>
    <mergeCell ref="W118:W120"/>
    <mergeCell ref="X118:X120"/>
    <mergeCell ref="Y118:Y120"/>
    <mergeCell ref="L118:L120"/>
    <mergeCell ref="M118:M120"/>
    <mergeCell ref="N118:N120"/>
    <mergeCell ref="O118:O120"/>
    <mergeCell ref="P118:P120"/>
    <mergeCell ref="Q118:Q120"/>
    <mergeCell ref="AK115:AK116"/>
    <mergeCell ref="AL115:AL116"/>
    <mergeCell ref="AM115:AM116"/>
    <mergeCell ref="AN115:AN116"/>
    <mergeCell ref="AO115:AO116"/>
    <mergeCell ref="G118:G120"/>
    <mergeCell ref="H118:H120"/>
    <mergeCell ref="I118:I120"/>
    <mergeCell ref="J118:J120"/>
    <mergeCell ref="K118:K120"/>
    <mergeCell ref="AE115:AE116"/>
    <mergeCell ref="AF115:AF116"/>
    <mergeCell ref="AG115:AG116"/>
    <mergeCell ref="AH115:AH116"/>
    <mergeCell ref="AI115:AI116"/>
    <mergeCell ref="AJ115:AJ116"/>
    <mergeCell ref="Y115:Y116"/>
    <mergeCell ref="Z115:Z116"/>
    <mergeCell ref="AA115:AA116"/>
    <mergeCell ref="AB115:AB116"/>
    <mergeCell ref="AC115:AC116"/>
    <mergeCell ref="AD115:AD116"/>
    <mergeCell ref="P115:P116"/>
    <mergeCell ref="T115:T116"/>
    <mergeCell ref="U115:U116"/>
    <mergeCell ref="V115:V116"/>
    <mergeCell ref="W115:W116"/>
    <mergeCell ref="X115:X116"/>
    <mergeCell ref="AO113:AO114"/>
    <mergeCell ref="G115:G116"/>
    <mergeCell ref="H115:H116"/>
    <mergeCell ref="I115:I116"/>
    <mergeCell ref="J115:J116"/>
    <mergeCell ref="K115:K116"/>
    <mergeCell ref="L115:L116"/>
    <mergeCell ref="M115:M116"/>
    <mergeCell ref="N115:N116"/>
    <mergeCell ref="O115:O116"/>
    <mergeCell ref="AI113:AI114"/>
    <mergeCell ref="AJ113:AJ114"/>
    <mergeCell ref="AK113:AK114"/>
    <mergeCell ref="AL113:AL114"/>
    <mergeCell ref="AM113:AM114"/>
    <mergeCell ref="AN113:AN114"/>
    <mergeCell ref="AC113:AC114"/>
    <mergeCell ref="AD113:AD114"/>
    <mergeCell ref="AE113:AE114"/>
    <mergeCell ref="AF113:AF114"/>
    <mergeCell ref="AG113:AG114"/>
    <mergeCell ref="AH113:AH114"/>
    <mergeCell ref="W113:W114"/>
    <mergeCell ref="X113:X114"/>
    <mergeCell ref="Y113:Y114"/>
    <mergeCell ref="Z113:Z114"/>
    <mergeCell ref="AA113:AA114"/>
    <mergeCell ref="AB113:AB114"/>
    <mergeCell ref="O113:O114"/>
    <mergeCell ref="P113:P114"/>
    <mergeCell ref="Q113:Q114"/>
    <mergeCell ref="T113:T114"/>
    <mergeCell ref="U113:U114"/>
    <mergeCell ref="V113:V114"/>
    <mergeCell ref="AN108:AN111"/>
    <mergeCell ref="AO108:AO111"/>
    <mergeCell ref="G113:G114"/>
    <mergeCell ref="H113:H114"/>
    <mergeCell ref="I113:I114"/>
    <mergeCell ref="J113:J114"/>
    <mergeCell ref="K113:K114"/>
    <mergeCell ref="L113:L114"/>
    <mergeCell ref="M113:M114"/>
    <mergeCell ref="N113:N114"/>
    <mergeCell ref="AH108:AH111"/>
    <mergeCell ref="AI108:AI111"/>
    <mergeCell ref="AJ108:AJ111"/>
    <mergeCell ref="AK108:AK111"/>
    <mergeCell ref="AL108:AL111"/>
    <mergeCell ref="AM108:AM111"/>
    <mergeCell ref="AB108:AB111"/>
    <mergeCell ref="AC108:AC111"/>
    <mergeCell ref="AD108:AD111"/>
    <mergeCell ref="AE108:AE111"/>
    <mergeCell ref="AF108:AF111"/>
    <mergeCell ref="AG108:AG111"/>
    <mergeCell ref="V108:V111"/>
    <mergeCell ref="W108:W111"/>
    <mergeCell ref="X108:X111"/>
    <mergeCell ref="Y108:Y111"/>
    <mergeCell ref="Z108:Z111"/>
    <mergeCell ref="AA108:AA111"/>
    <mergeCell ref="N108:N111"/>
    <mergeCell ref="O108:O111"/>
    <mergeCell ref="P108:P111"/>
    <mergeCell ref="Q108:Q111"/>
    <mergeCell ref="T108:T111"/>
    <mergeCell ref="U108:U111"/>
    <mergeCell ref="AN84:AN107"/>
    <mergeCell ref="AO84:AO107"/>
    <mergeCell ref="Q102:Q107"/>
    <mergeCell ref="G108:G111"/>
    <mergeCell ref="H108:H111"/>
    <mergeCell ref="I108:I111"/>
    <mergeCell ref="J108:J111"/>
    <mergeCell ref="K108:K111"/>
    <mergeCell ref="L108:L111"/>
    <mergeCell ref="M108:M111"/>
    <mergeCell ref="AH84:AH107"/>
    <mergeCell ref="AI84:AI107"/>
    <mergeCell ref="AJ84:AJ107"/>
    <mergeCell ref="AK84:AK107"/>
    <mergeCell ref="AL84:AL107"/>
    <mergeCell ref="AM84:AM107"/>
    <mergeCell ref="AB84:AB107"/>
    <mergeCell ref="AC84:AC107"/>
    <mergeCell ref="AD84:AD107"/>
    <mergeCell ref="AE84:AE107"/>
    <mergeCell ref="AF84:AF107"/>
    <mergeCell ref="AG84:AG107"/>
    <mergeCell ref="V84:V107"/>
    <mergeCell ref="W84:W107"/>
    <mergeCell ref="X84:X107"/>
    <mergeCell ref="Y84:Y107"/>
    <mergeCell ref="Z84:Z107"/>
    <mergeCell ref="AA84:AA107"/>
    <mergeCell ref="N84:N107"/>
    <mergeCell ref="O84:O107"/>
    <mergeCell ref="P84:P107"/>
    <mergeCell ref="Q84:Q101"/>
    <mergeCell ref="T84:T107"/>
    <mergeCell ref="U84:U107"/>
    <mergeCell ref="AM63:AM81"/>
    <mergeCell ref="AN63:AN81"/>
    <mergeCell ref="AO63:AO81"/>
    <mergeCell ref="Q67:Q81"/>
    <mergeCell ref="G84:G107"/>
    <mergeCell ref="H84:H107"/>
    <mergeCell ref="I84:I107"/>
    <mergeCell ref="J84:J107"/>
    <mergeCell ref="L84:L107"/>
    <mergeCell ref="M84:M107"/>
    <mergeCell ref="AG63:AG81"/>
    <mergeCell ref="AH63:AH81"/>
    <mergeCell ref="AI63:AI81"/>
    <mergeCell ref="AJ63:AJ81"/>
    <mergeCell ref="AK63:AK81"/>
    <mergeCell ref="AL63:AL81"/>
    <mergeCell ref="AA63:AA81"/>
    <mergeCell ref="AB63:AB81"/>
    <mergeCell ref="AC63:AC81"/>
    <mergeCell ref="AD63:AD81"/>
    <mergeCell ref="AE63:AE81"/>
    <mergeCell ref="AF63:AF81"/>
    <mergeCell ref="U63:U81"/>
    <mergeCell ref="V63:V81"/>
    <mergeCell ref="W63:W81"/>
    <mergeCell ref="X63:X81"/>
    <mergeCell ref="Y63:Y81"/>
    <mergeCell ref="Z63:Z81"/>
    <mergeCell ref="M63:M81"/>
    <mergeCell ref="N63:N81"/>
    <mergeCell ref="O63:O81"/>
    <mergeCell ref="P63:P81"/>
    <mergeCell ref="Q63:Q66"/>
    <mergeCell ref="T63:T81"/>
    <mergeCell ref="G63:G81"/>
    <mergeCell ref="H63:H81"/>
    <mergeCell ref="I63:I81"/>
    <mergeCell ref="J63:J81"/>
    <mergeCell ref="K63:K81"/>
    <mergeCell ref="L63:L81"/>
    <mergeCell ref="AM48:AM61"/>
    <mergeCell ref="AN48:AN61"/>
    <mergeCell ref="AO48:AO61"/>
    <mergeCell ref="G53:G56"/>
    <mergeCell ref="H53:H56"/>
    <mergeCell ref="I53:I56"/>
    <mergeCell ref="J53:J56"/>
    <mergeCell ref="N53:N56"/>
    <mergeCell ref="Q53:Q56"/>
    <mergeCell ref="G57:G61"/>
    <mergeCell ref="AG48:AG61"/>
    <mergeCell ref="AH48:AH61"/>
    <mergeCell ref="AI48:AI61"/>
    <mergeCell ref="AJ48:AJ61"/>
    <mergeCell ref="AK48:AK61"/>
    <mergeCell ref="AL48:AL61"/>
    <mergeCell ref="AA48:AA61"/>
    <mergeCell ref="AB48:AB61"/>
    <mergeCell ref="AC48:AC61"/>
    <mergeCell ref="AD48:AD61"/>
    <mergeCell ref="AE48:AE61"/>
    <mergeCell ref="AF48:AF61"/>
    <mergeCell ref="U48:U61"/>
    <mergeCell ref="V48:V61"/>
    <mergeCell ref="W48:W61"/>
    <mergeCell ref="X48:X61"/>
    <mergeCell ref="Y48:Y61"/>
    <mergeCell ref="Z48:Z61"/>
    <mergeCell ref="M48:M61"/>
    <mergeCell ref="N48:N52"/>
    <mergeCell ref="O48:O61"/>
    <mergeCell ref="P48:P61"/>
    <mergeCell ref="Q48:Q52"/>
    <mergeCell ref="T48:T61"/>
    <mergeCell ref="N57:N61"/>
    <mergeCell ref="Q57:Q61"/>
    <mergeCell ref="G48:G52"/>
    <mergeCell ref="H48:H52"/>
    <mergeCell ref="I48:I52"/>
    <mergeCell ref="J48:J52"/>
    <mergeCell ref="K48:K61"/>
    <mergeCell ref="L48:L61"/>
    <mergeCell ref="H57:H61"/>
    <mergeCell ref="I57:I61"/>
    <mergeCell ref="J57:J61"/>
    <mergeCell ref="G41:G43"/>
    <mergeCell ref="H41:H43"/>
    <mergeCell ref="I41:I43"/>
    <mergeCell ref="J41:J43"/>
    <mergeCell ref="N41:N43"/>
    <mergeCell ref="Q41:Q43"/>
    <mergeCell ref="AH33:AH46"/>
    <mergeCell ref="AI33:AI46"/>
    <mergeCell ref="AJ33:AJ46"/>
    <mergeCell ref="AB33:AB46"/>
    <mergeCell ref="AC33:AC46"/>
    <mergeCell ref="Z33:Z46"/>
    <mergeCell ref="AA33:AA46"/>
    <mergeCell ref="G44:G46"/>
    <mergeCell ref="H44:H46"/>
    <mergeCell ref="I44:I46"/>
    <mergeCell ref="J44:J46"/>
    <mergeCell ref="N44:N46"/>
    <mergeCell ref="N33:N40"/>
    <mergeCell ref="O33:O46"/>
    <mergeCell ref="P33:P46"/>
    <mergeCell ref="Q33:Q40"/>
    <mergeCell ref="T33:T38"/>
    <mergeCell ref="U33:U38"/>
    <mergeCell ref="AN22:AN31"/>
    <mergeCell ref="AO33:AO46"/>
    <mergeCell ref="T40:T46"/>
    <mergeCell ref="U40:U46"/>
    <mergeCell ref="AK33:AK46"/>
    <mergeCell ref="AL33:AL46"/>
    <mergeCell ref="AM33:AM46"/>
    <mergeCell ref="AO22:AO31"/>
    <mergeCell ref="AN33:AN46"/>
    <mergeCell ref="AD33:AD46"/>
    <mergeCell ref="AE33:AE46"/>
    <mergeCell ref="AF33:AF46"/>
    <mergeCell ref="AG33:AG46"/>
    <mergeCell ref="V33:V46"/>
    <mergeCell ref="W33:W46"/>
    <mergeCell ref="X33:X46"/>
    <mergeCell ref="Y33:Y46"/>
    <mergeCell ref="Q44:Q46"/>
    <mergeCell ref="G33:G40"/>
    <mergeCell ref="H33:H40"/>
    <mergeCell ref="I33:I40"/>
    <mergeCell ref="J33:J40"/>
    <mergeCell ref="L33:L46"/>
    <mergeCell ref="M33:M46"/>
    <mergeCell ref="AG22:AG31"/>
    <mergeCell ref="AH22:AH31"/>
    <mergeCell ref="AI22:AI31"/>
    <mergeCell ref="AA22:AA31"/>
    <mergeCell ref="AB22:AB31"/>
    <mergeCell ref="AC22:AC31"/>
    <mergeCell ref="AD22:AD31"/>
    <mergeCell ref="AE22:AE31"/>
    <mergeCell ref="AF22:AF31"/>
    <mergeCell ref="U22:U31"/>
    <mergeCell ref="V22:V31"/>
    <mergeCell ref="W22:W31"/>
    <mergeCell ref="X22:X31"/>
    <mergeCell ref="Y22:Y31"/>
    <mergeCell ref="Z22:Z31"/>
    <mergeCell ref="M22:M31"/>
    <mergeCell ref="N22:N31"/>
    <mergeCell ref="O22:O31"/>
    <mergeCell ref="G22:G31"/>
    <mergeCell ref="H22:H31"/>
    <mergeCell ref="I22:I31"/>
    <mergeCell ref="J22:J31"/>
    <mergeCell ref="K22:K31"/>
    <mergeCell ref="L22:L31"/>
    <mergeCell ref="AL12:AL19"/>
    <mergeCell ref="AM12:AM19"/>
    <mergeCell ref="AN12:AN19"/>
    <mergeCell ref="Y12:Y19"/>
    <mergeCell ref="L12:L19"/>
    <mergeCell ref="M12:M19"/>
    <mergeCell ref="N12:N15"/>
    <mergeCell ref="O12:O19"/>
    <mergeCell ref="P12:P19"/>
    <mergeCell ref="Q12:Q15"/>
    <mergeCell ref="Q30:Q31"/>
    <mergeCell ref="AJ22:AJ31"/>
    <mergeCell ref="AK22:AK31"/>
    <mergeCell ref="AL22:AL31"/>
    <mergeCell ref="P22:P31"/>
    <mergeCell ref="Q22:Q29"/>
    <mergeCell ref="T22:T31"/>
    <mergeCell ref="AM22:AM31"/>
    <mergeCell ref="AO12:AO19"/>
    <mergeCell ref="G16:G19"/>
    <mergeCell ref="H16:H19"/>
    <mergeCell ref="I16:I19"/>
    <mergeCell ref="J16:J19"/>
    <mergeCell ref="N16:N19"/>
    <mergeCell ref="Q16:Q19"/>
    <mergeCell ref="AF12:AF19"/>
    <mergeCell ref="AG12:AG19"/>
    <mergeCell ref="AH12:AH19"/>
    <mergeCell ref="AI12:AI19"/>
    <mergeCell ref="AJ12:AJ19"/>
    <mergeCell ref="AK12:AK19"/>
    <mergeCell ref="Z12:Z19"/>
    <mergeCell ref="AA12:AA19"/>
    <mergeCell ref="AB12:AB19"/>
    <mergeCell ref="AC12:AC19"/>
    <mergeCell ref="AD12:AD19"/>
    <mergeCell ref="AE12:AE19"/>
    <mergeCell ref="T12:T19"/>
    <mergeCell ref="U12:U19"/>
    <mergeCell ref="V12:V19"/>
    <mergeCell ref="W12:W19"/>
    <mergeCell ref="X12:X19"/>
    <mergeCell ref="E12:F19"/>
    <mergeCell ref="G12:G15"/>
    <mergeCell ref="H12:H15"/>
    <mergeCell ref="I12:I15"/>
    <mergeCell ref="J12:J15"/>
    <mergeCell ref="K12:K19"/>
    <mergeCell ref="T7:T8"/>
    <mergeCell ref="U7:U8"/>
    <mergeCell ref="V7:W7"/>
    <mergeCell ref="N7:N8"/>
    <mergeCell ref="O7:O8"/>
    <mergeCell ref="P7:P8"/>
    <mergeCell ref="Q7:Q8"/>
    <mergeCell ref="R7:R8"/>
    <mergeCell ref="S7:S8"/>
    <mergeCell ref="H7:H8"/>
    <mergeCell ref="I7:I8"/>
    <mergeCell ref="J7:J8"/>
    <mergeCell ref="K7:K8"/>
    <mergeCell ref="L7:L8"/>
    <mergeCell ref="M7:M8"/>
    <mergeCell ref="A1:AM4"/>
    <mergeCell ref="A5:M6"/>
    <mergeCell ref="N5:AO5"/>
    <mergeCell ref="A7:A8"/>
    <mergeCell ref="B7:B8"/>
    <mergeCell ref="C7:C8"/>
    <mergeCell ref="D7:D8"/>
    <mergeCell ref="E7:E8"/>
    <mergeCell ref="F7:F8"/>
    <mergeCell ref="G7:G8"/>
    <mergeCell ref="AK7:AK8"/>
    <mergeCell ref="AM7:AM8"/>
    <mergeCell ref="AN7:AN8"/>
    <mergeCell ref="AO7:AO8"/>
    <mergeCell ref="X7:AA7"/>
    <mergeCell ref="AB7:AG7"/>
    <mergeCell ref="AH7:AJ7"/>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Q27"/>
  <sheetViews>
    <sheetView showGridLines="0" zoomScale="55" zoomScaleNormal="55" zoomScalePageLayoutView="0" workbookViewId="0" topLeftCell="H1">
      <selection activeCell="S12" sqref="S12:S19"/>
    </sheetView>
  </sheetViews>
  <sheetFormatPr defaultColWidth="11.421875" defaultRowHeight="15"/>
  <cols>
    <col min="1" max="1" width="13.28125" style="1762" customWidth="1"/>
    <col min="2" max="2" width="8.421875" style="1762" customWidth="1"/>
    <col min="3" max="3" width="14.57421875" style="1762" customWidth="1"/>
    <col min="4" max="4" width="15.57421875" style="1762" customWidth="1"/>
    <col min="5" max="5" width="8.00390625" style="1762" customWidth="1"/>
    <col min="6" max="6" width="12.140625" style="1762" customWidth="1"/>
    <col min="7" max="7" width="15.140625" style="1762" customWidth="1"/>
    <col min="8" max="8" width="25.140625" style="1762" customWidth="1"/>
    <col min="9" max="9" width="1.28515625" style="1762" customWidth="1"/>
    <col min="10" max="10" width="16.00390625" style="1762" customWidth="1"/>
    <col min="11" max="11" width="23.00390625" style="1762" customWidth="1"/>
    <col min="12" max="12" width="20.57421875" style="1762" customWidth="1"/>
    <col min="13" max="13" width="27.00390625" style="1762" customWidth="1"/>
    <col min="14" max="14" width="33.421875" style="1762" customWidth="1"/>
    <col min="15" max="15" width="21.7109375" style="1762" customWidth="1"/>
    <col min="16" max="16" width="19.8515625" style="1762" customWidth="1"/>
    <col min="17" max="17" width="20.28125" style="1762" customWidth="1"/>
    <col min="18" max="18" width="23.28125" style="1762" customWidth="1"/>
    <col min="19" max="19" width="24.57421875" style="1762" customWidth="1"/>
    <col min="20" max="20" width="26.57421875" style="1762" customWidth="1"/>
    <col min="21" max="21" width="40.00390625" style="1762" customWidth="1"/>
    <col min="22" max="22" width="23.8515625" style="1762" customWidth="1"/>
    <col min="23" max="23" width="21.8515625" style="1762" customWidth="1"/>
    <col min="24" max="24" width="21.140625" style="1762" customWidth="1"/>
    <col min="25" max="40" width="10.7109375" style="1762" customWidth="1"/>
    <col min="41" max="41" width="19.421875" style="1762" customWidth="1"/>
    <col min="42" max="42" width="26.7109375" style="1762" customWidth="1"/>
    <col min="43" max="43" width="24.421875" style="1762" customWidth="1"/>
    <col min="44" max="56" width="14.8515625" style="1762" customWidth="1"/>
    <col min="57" max="16384" width="11.421875" style="1762" customWidth="1"/>
  </cols>
  <sheetData>
    <row r="1" spans="1:43" ht="15" customHeight="1">
      <c r="A1" s="2277" t="s">
        <v>2528</v>
      </c>
      <c r="B1" s="2278"/>
      <c r="C1" s="2278"/>
      <c r="D1" s="2278"/>
      <c r="E1" s="2278"/>
      <c r="F1" s="2278"/>
      <c r="G1" s="2278"/>
      <c r="H1" s="2278"/>
      <c r="I1" s="2278"/>
      <c r="J1" s="2278"/>
      <c r="K1" s="2278"/>
      <c r="L1" s="2278"/>
      <c r="M1" s="2278"/>
      <c r="N1" s="2278"/>
      <c r="O1" s="2278"/>
      <c r="P1" s="2278"/>
      <c r="Q1" s="2278"/>
      <c r="R1" s="2278"/>
      <c r="S1" s="2278"/>
      <c r="T1" s="2278"/>
      <c r="U1" s="2278"/>
      <c r="V1" s="2278"/>
      <c r="W1" s="2278"/>
      <c r="X1" s="2278"/>
      <c r="Y1" s="2278"/>
      <c r="Z1" s="2278"/>
      <c r="AA1" s="2278"/>
      <c r="AB1" s="2278"/>
      <c r="AC1" s="2278"/>
      <c r="AD1" s="2278"/>
      <c r="AE1" s="2278"/>
      <c r="AF1" s="2278"/>
      <c r="AG1" s="2278"/>
      <c r="AH1" s="2278"/>
      <c r="AI1" s="2278"/>
      <c r="AJ1" s="2278"/>
      <c r="AK1" s="2278"/>
      <c r="AL1" s="2278"/>
      <c r="AM1" s="2278"/>
      <c r="AN1" s="2278"/>
      <c r="AO1" s="2278"/>
      <c r="AP1" s="2048" t="s">
        <v>1</v>
      </c>
      <c r="AQ1" s="2047" t="s">
        <v>2</v>
      </c>
    </row>
    <row r="2" spans="1:43" ht="1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278"/>
      <c r="AP2" s="2046" t="s">
        <v>3</v>
      </c>
      <c r="AQ2" s="2045">
        <v>6</v>
      </c>
    </row>
    <row r="3" spans="1:43" ht="1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278"/>
      <c r="AP3" s="2044" t="s">
        <v>5</v>
      </c>
      <c r="AQ3" s="2043" t="s">
        <v>6</v>
      </c>
    </row>
    <row r="4" spans="1:43" s="1763" customFormat="1" ht="1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2042" t="s">
        <v>7</v>
      </c>
      <c r="AQ4" s="2041" t="s">
        <v>184</v>
      </c>
    </row>
    <row r="5" spans="1:43" ht="15.75">
      <c r="A5" s="2281" t="s">
        <v>9</v>
      </c>
      <c r="B5" s="2282"/>
      <c r="C5" s="2282"/>
      <c r="D5" s="2282"/>
      <c r="E5" s="2282"/>
      <c r="F5" s="2282"/>
      <c r="G5" s="2282"/>
      <c r="H5" s="2282"/>
      <c r="I5" s="2282"/>
      <c r="J5" s="2282"/>
      <c r="K5" s="2282"/>
      <c r="L5" s="2282"/>
      <c r="M5" s="2282"/>
      <c r="N5" s="248"/>
      <c r="O5" s="248"/>
      <c r="P5" s="2285" t="s">
        <v>10</v>
      </c>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6"/>
    </row>
    <row r="6" spans="1:43" ht="15.75">
      <c r="A6" s="2283"/>
      <c r="B6" s="2284"/>
      <c r="C6" s="2284"/>
      <c r="D6" s="2284"/>
      <c r="E6" s="2284"/>
      <c r="F6" s="2284"/>
      <c r="G6" s="2284"/>
      <c r="H6" s="2284"/>
      <c r="I6" s="2284"/>
      <c r="J6" s="2284"/>
      <c r="K6" s="2284"/>
      <c r="L6" s="2284"/>
      <c r="M6" s="2284"/>
      <c r="N6" s="248"/>
      <c r="O6" s="249"/>
      <c r="P6" s="2694"/>
      <c r="Q6" s="2354"/>
      <c r="R6" s="2354"/>
      <c r="S6" s="2354"/>
      <c r="T6" s="2354"/>
      <c r="U6" s="2354"/>
      <c r="V6" s="2354"/>
      <c r="W6" s="2354"/>
      <c r="X6" s="2356"/>
      <c r="Y6" s="250"/>
      <c r="Z6" s="250"/>
      <c r="AA6" s="250"/>
      <c r="AB6" s="250"/>
      <c r="AC6" s="250"/>
      <c r="AD6" s="250"/>
      <c r="AE6" s="250"/>
      <c r="AF6" s="250"/>
      <c r="AG6" s="250"/>
      <c r="AH6" s="250"/>
      <c r="AI6" s="250"/>
      <c r="AJ6" s="250"/>
      <c r="AK6" s="250"/>
      <c r="AL6" s="250"/>
      <c r="AM6" s="250"/>
      <c r="AN6" s="250"/>
      <c r="AO6" s="2694"/>
      <c r="AP6" s="2354"/>
      <c r="AQ6" s="2355"/>
    </row>
    <row r="7" spans="1:43" ht="42.75" customHeight="1">
      <c r="A7" s="3303" t="s">
        <v>12</v>
      </c>
      <c r="B7" s="3293" t="s">
        <v>13</v>
      </c>
      <c r="C7" s="3293"/>
      <c r="D7" s="3293" t="s">
        <v>12</v>
      </c>
      <c r="E7" s="3293" t="s">
        <v>14</v>
      </c>
      <c r="F7" s="3293"/>
      <c r="G7" s="3293" t="s">
        <v>12</v>
      </c>
      <c r="H7" s="3293" t="s">
        <v>15</v>
      </c>
      <c r="I7" s="3293"/>
      <c r="J7" s="3293" t="s">
        <v>12</v>
      </c>
      <c r="K7" s="3293" t="s">
        <v>16</v>
      </c>
      <c r="L7" s="3293" t="s">
        <v>17</v>
      </c>
      <c r="M7" s="3134" t="s">
        <v>18</v>
      </c>
      <c r="N7" s="3293" t="s">
        <v>19</v>
      </c>
      <c r="O7" s="3111" t="s">
        <v>185</v>
      </c>
      <c r="P7" s="3293" t="s">
        <v>10</v>
      </c>
      <c r="Q7" s="3293" t="s">
        <v>21</v>
      </c>
      <c r="R7" s="3293" t="s">
        <v>22</v>
      </c>
      <c r="S7" s="3293" t="s">
        <v>23</v>
      </c>
      <c r="T7" s="3293" t="s">
        <v>24</v>
      </c>
      <c r="U7" s="3293" t="s">
        <v>25</v>
      </c>
      <c r="V7" s="3134" t="s">
        <v>22</v>
      </c>
      <c r="W7" s="3111" t="s">
        <v>12</v>
      </c>
      <c r="X7" s="3293" t="s">
        <v>26</v>
      </c>
      <c r="Y7" s="2178" t="s">
        <v>27</v>
      </c>
      <c r="Z7" s="2179"/>
      <c r="AA7" s="2180" t="s">
        <v>28</v>
      </c>
      <c r="AB7" s="2181"/>
      <c r="AC7" s="2181"/>
      <c r="AD7" s="2181"/>
      <c r="AE7" s="2182" t="s">
        <v>29</v>
      </c>
      <c r="AF7" s="2183"/>
      <c r="AG7" s="2183"/>
      <c r="AH7" s="2183"/>
      <c r="AI7" s="2183"/>
      <c r="AJ7" s="2183"/>
      <c r="AK7" s="2180" t="s">
        <v>30</v>
      </c>
      <c r="AL7" s="2181"/>
      <c r="AM7" s="2181"/>
      <c r="AN7" s="2291" t="s">
        <v>31</v>
      </c>
      <c r="AO7" s="3116" t="s">
        <v>32</v>
      </c>
      <c r="AP7" s="3116" t="s">
        <v>33</v>
      </c>
      <c r="AQ7" s="3304" t="s">
        <v>34</v>
      </c>
    </row>
    <row r="8" spans="1:43" ht="141.75">
      <c r="A8" s="3303"/>
      <c r="B8" s="3293"/>
      <c r="C8" s="3293"/>
      <c r="D8" s="3293"/>
      <c r="E8" s="3293"/>
      <c r="F8" s="3293"/>
      <c r="G8" s="3293"/>
      <c r="H8" s="3293"/>
      <c r="I8" s="3293"/>
      <c r="J8" s="3293"/>
      <c r="K8" s="3293"/>
      <c r="L8" s="3293"/>
      <c r="M8" s="3135"/>
      <c r="N8" s="3293"/>
      <c r="O8" s="3302"/>
      <c r="P8" s="3293"/>
      <c r="Q8" s="3293"/>
      <c r="R8" s="3293"/>
      <c r="S8" s="3293"/>
      <c r="T8" s="3293"/>
      <c r="U8" s="3293"/>
      <c r="V8" s="3301"/>
      <c r="W8" s="3302"/>
      <c r="X8" s="3293"/>
      <c r="Y8" s="673" t="s">
        <v>35</v>
      </c>
      <c r="Z8" s="674" t="s">
        <v>36</v>
      </c>
      <c r="AA8" s="2040" t="s">
        <v>37</v>
      </c>
      <c r="AB8" s="673" t="s">
        <v>137</v>
      </c>
      <c r="AC8" s="2040" t="s">
        <v>39</v>
      </c>
      <c r="AD8" s="673" t="s">
        <v>139</v>
      </c>
      <c r="AE8" s="673" t="s">
        <v>41</v>
      </c>
      <c r="AF8" s="673" t="s">
        <v>42</v>
      </c>
      <c r="AG8" s="673" t="s">
        <v>43</v>
      </c>
      <c r="AH8" s="673" t="s">
        <v>44</v>
      </c>
      <c r="AI8" s="673" t="s">
        <v>45</v>
      </c>
      <c r="AJ8" s="673" t="s">
        <v>46</v>
      </c>
      <c r="AK8" s="673" t="s">
        <v>47</v>
      </c>
      <c r="AL8" s="673" t="s">
        <v>48</v>
      </c>
      <c r="AM8" s="673" t="s">
        <v>49</v>
      </c>
      <c r="AN8" s="2293"/>
      <c r="AO8" s="3117"/>
      <c r="AP8" s="3117"/>
      <c r="AQ8" s="3304"/>
    </row>
    <row r="9" spans="1:43" ht="15.75">
      <c r="A9" s="2039">
        <v>5</v>
      </c>
      <c r="B9" s="2038" t="s">
        <v>52</v>
      </c>
      <c r="C9" s="2038"/>
      <c r="D9" s="2038"/>
      <c r="E9" s="2038"/>
      <c r="F9" s="2038"/>
      <c r="G9" s="2038"/>
      <c r="H9" s="2038"/>
      <c r="I9" s="2038"/>
      <c r="J9" s="2038"/>
      <c r="K9" s="2038"/>
      <c r="L9" s="2038"/>
      <c r="M9" s="2038"/>
      <c r="N9" s="2038"/>
      <c r="O9" s="2038"/>
      <c r="P9" s="2038"/>
      <c r="Q9" s="2038"/>
      <c r="R9" s="2038"/>
      <c r="S9" s="2038"/>
      <c r="T9" s="2038"/>
      <c r="U9" s="2038"/>
      <c r="V9" s="2038"/>
      <c r="W9" s="2038"/>
      <c r="X9" s="2038"/>
      <c r="Y9" s="2038"/>
      <c r="Z9" s="2038"/>
      <c r="AA9" s="2038"/>
      <c r="AB9" s="2038"/>
      <c r="AC9" s="2038"/>
      <c r="AD9" s="2038"/>
      <c r="AE9" s="2038"/>
      <c r="AF9" s="2038"/>
      <c r="AG9" s="2037"/>
      <c r="AH9" s="2037"/>
      <c r="AI9" s="2037"/>
      <c r="AJ9" s="2037"/>
      <c r="AK9" s="2037"/>
      <c r="AL9" s="2037"/>
      <c r="AM9" s="2037"/>
      <c r="AN9" s="2037"/>
      <c r="AO9" s="2037"/>
      <c r="AP9" s="2037"/>
      <c r="AQ9" s="2036"/>
    </row>
    <row r="10" spans="1:43" s="1773" customFormat="1" ht="15.75">
      <c r="A10" s="3296"/>
      <c r="B10" s="2404"/>
      <c r="C10" s="2404"/>
      <c r="D10" s="2035">
        <v>25</v>
      </c>
      <c r="E10" s="3298" t="s">
        <v>186</v>
      </c>
      <c r="F10" s="3298"/>
      <c r="G10" s="3298"/>
      <c r="H10" s="3298"/>
      <c r="I10" s="3298"/>
      <c r="J10" s="3298"/>
      <c r="K10" s="3298"/>
      <c r="L10" s="3298"/>
      <c r="M10" s="3298"/>
      <c r="N10" s="3298"/>
      <c r="O10" s="3298"/>
      <c r="P10" s="3298"/>
      <c r="Q10" s="3298"/>
      <c r="R10" s="3298"/>
      <c r="S10" s="3298"/>
      <c r="T10" s="3298"/>
      <c r="U10" s="3298"/>
      <c r="V10" s="3298"/>
      <c r="W10" s="3298"/>
      <c r="X10" s="3298"/>
      <c r="Y10" s="3298"/>
      <c r="Z10" s="3298"/>
      <c r="AA10" s="3298"/>
      <c r="AB10" s="3298"/>
      <c r="AC10" s="3298"/>
      <c r="AD10" s="3298"/>
      <c r="AE10" s="3298"/>
      <c r="AF10" s="3298"/>
      <c r="AG10" s="2034"/>
      <c r="AH10" s="2034"/>
      <c r="AI10" s="2034"/>
      <c r="AJ10" s="2034"/>
      <c r="AK10" s="2034"/>
      <c r="AL10" s="2034"/>
      <c r="AM10" s="2034"/>
      <c r="AN10" s="2034"/>
      <c r="AO10" s="2034"/>
      <c r="AP10" s="2034"/>
      <c r="AQ10" s="2033"/>
    </row>
    <row r="11" spans="1:43" s="1773" customFormat="1" ht="15.75">
      <c r="A11" s="3296"/>
      <c r="B11" s="2404"/>
      <c r="C11" s="2404"/>
      <c r="D11" s="2404"/>
      <c r="E11" s="2404"/>
      <c r="F11" s="2404"/>
      <c r="G11" s="2032">
        <v>83</v>
      </c>
      <c r="H11" s="3299" t="s">
        <v>1914</v>
      </c>
      <c r="I11" s="3300"/>
      <c r="J11" s="3300"/>
      <c r="K11" s="3300"/>
      <c r="L11" s="3300"/>
      <c r="M11" s="3300"/>
      <c r="N11" s="3300"/>
      <c r="O11" s="3300"/>
      <c r="P11" s="3300"/>
      <c r="Q11" s="3300"/>
      <c r="R11" s="3300"/>
      <c r="S11" s="3300"/>
      <c r="T11" s="3300"/>
      <c r="U11" s="3300"/>
      <c r="V11" s="3300"/>
      <c r="W11" s="3300"/>
      <c r="X11" s="3300"/>
      <c r="Y11" s="3300"/>
      <c r="Z11" s="3300"/>
      <c r="AA11" s="3300"/>
      <c r="AB11" s="3300"/>
      <c r="AC11" s="3300"/>
      <c r="AD11" s="3300"/>
      <c r="AE11" s="3300"/>
      <c r="AF11" s="3300"/>
      <c r="AG11" s="2031"/>
      <c r="AH11" s="2031"/>
      <c r="AI11" s="2031"/>
      <c r="AJ11" s="2031"/>
      <c r="AK11" s="2031"/>
      <c r="AL11" s="2031"/>
      <c r="AM11" s="2031"/>
      <c r="AN11" s="2031"/>
      <c r="AO11" s="2031"/>
      <c r="AP11" s="2031"/>
      <c r="AQ11" s="2030"/>
    </row>
    <row r="12" spans="1:43" ht="172.5" customHeight="1">
      <c r="A12" s="3296"/>
      <c r="B12" s="2404"/>
      <c r="C12" s="2404"/>
      <c r="D12" s="2404"/>
      <c r="E12" s="2404"/>
      <c r="F12" s="2404"/>
      <c r="G12" s="2404"/>
      <c r="H12" s="2404"/>
      <c r="I12" s="2404"/>
      <c r="J12" s="2378">
        <v>243</v>
      </c>
      <c r="K12" s="2371" t="s">
        <v>2527</v>
      </c>
      <c r="L12" s="2375" t="s">
        <v>2526</v>
      </c>
      <c r="M12" s="2404">
        <v>6</v>
      </c>
      <c r="N12" s="2375" t="s">
        <v>2525</v>
      </c>
      <c r="O12" s="2375" t="s">
        <v>2524</v>
      </c>
      <c r="P12" s="2375" t="s">
        <v>2523</v>
      </c>
      <c r="Q12" s="3294">
        <v>1</v>
      </c>
      <c r="R12" s="2418">
        <v>72000000</v>
      </c>
      <c r="S12" s="2375" t="s">
        <v>2522</v>
      </c>
      <c r="T12" s="2098" t="s">
        <v>2521</v>
      </c>
      <c r="U12" s="2375" t="s">
        <v>2520</v>
      </c>
      <c r="V12" s="2418">
        <v>18000000</v>
      </c>
      <c r="W12" s="2919">
        <v>20</v>
      </c>
      <c r="X12" s="2378" t="s">
        <v>1719</v>
      </c>
      <c r="Y12" s="2742">
        <v>292684</v>
      </c>
      <c r="Z12" s="2727">
        <v>282326</v>
      </c>
      <c r="AA12" s="2727">
        <v>135912</v>
      </c>
      <c r="AB12" s="2727">
        <v>45122</v>
      </c>
      <c r="AC12" s="2727">
        <v>307101</v>
      </c>
      <c r="AD12" s="2727">
        <v>86875</v>
      </c>
      <c r="AE12" s="2727">
        <v>2145</v>
      </c>
      <c r="AF12" s="2727">
        <v>12718</v>
      </c>
      <c r="AG12" s="2727">
        <v>26</v>
      </c>
      <c r="AH12" s="2727">
        <v>37</v>
      </c>
      <c r="AI12" s="2742"/>
      <c r="AJ12" s="2742"/>
      <c r="AK12" s="2727">
        <v>43029</v>
      </c>
      <c r="AL12" s="2727">
        <v>16982</v>
      </c>
      <c r="AM12" s="2727">
        <v>60013</v>
      </c>
      <c r="AN12" s="2727">
        <f>+Y12+Z12</f>
        <v>575010</v>
      </c>
      <c r="AO12" s="3286">
        <v>43102</v>
      </c>
      <c r="AP12" s="3286">
        <v>43465</v>
      </c>
      <c r="AQ12" s="3288" t="s">
        <v>2514</v>
      </c>
    </row>
    <row r="13" spans="1:43" ht="22.5" customHeight="1">
      <c r="A13" s="3296"/>
      <c r="B13" s="2404"/>
      <c r="C13" s="2404"/>
      <c r="D13" s="2404"/>
      <c r="E13" s="2404"/>
      <c r="F13" s="2404"/>
      <c r="G13" s="2404"/>
      <c r="H13" s="2404"/>
      <c r="I13" s="2404"/>
      <c r="J13" s="2373"/>
      <c r="K13" s="2398"/>
      <c r="L13" s="2376"/>
      <c r="M13" s="2404"/>
      <c r="N13" s="2376"/>
      <c r="O13" s="2376"/>
      <c r="P13" s="2376"/>
      <c r="Q13" s="3295"/>
      <c r="R13" s="2416"/>
      <c r="S13" s="2376"/>
      <c r="T13" s="2127"/>
      <c r="U13" s="2377"/>
      <c r="V13" s="2417"/>
      <c r="W13" s="2929"/>
      <c r="X13" s="2373"/>
      <c r="Y13" s="2474"/>
      <c r="Z13" s="3290"/>
      <c r="AA13" s="3290"/>
      <c r="AB13" s="3290"/>
      <c r="AC13" s="3290"/>
      <c r="AD13" s="3290"/>
      <c r="AE13" s="3290"/>
      <c r="AF13" s="3290"/>
      <c r="AG13" s="3290"/>
      <c r="AH13" s="3290"/>
      <c r="AI13" s="2474"/>
      <c r="AJ13" s="2474"/>
      <c r="AK13" s="3290"/>
      <c r="AL13" s="3290"/>
      <c r="AM13" s="3290"/>
      <c r="AN13" s="3290"/>
      <c r="AO13" s="3287"/>
      <c r="AP13" s="3287"/>
      <c r="AQ13" s="3289"/>
    </row>
    <row r="14" spans="1:43" ht="62.25" customHeight="1">
      <c r="A14" s="3296"/>
      <c r="B14" s="2404"/>
      <c r="C14" s="2404"/>
      <c r="D14" s="2404"/>
      <c r="E14" s="2404"/>
      <c r="F14" s="2404"/>
      <c r="G14" s="2404"/>
      <c r="H14" s="2404"/>
      <c r="I14" s="2404"/>
      <c r="J14" s="2373"/>
      <c r="K14" s="2398"/>
      <c r="L14" s="2376"/>
      <c r="M14" s="2404"/>
      <c r="N14" s="2376"/>
      <c r="O14" s="2376"/>
      <c r="P14" s="2376"/>
      <c r="Q14" s="3295"/>
      <c r="R14" s="2416"/>
      <c r="S14" s="2376"/>
      <c r="T14" s="2127"/>
      <c r="U14" s="2375" t="s">
        <v>2519</v>
      </c>
      <c r="V14" s="2418">
        <v>18000000</v>
      </c>
      <c r="W14" s="2929"/>
      <c r="X14" s="2373"/>
      <c r="Y14" s="2474"/>
      <c r="Z14" s="3290"/>
      <c r="AA14" s="3290"/>
      <c r="AB14" s="3290"/>
      <c r="AC14" s="3290"/>
      <c r="AD14" s="3290"/>
      <c r="AE14" s="3290"/>
      <c r="AF14" s="3290"/>
      <c r="AG14" s="3290"/>
      <c r="AH14" s="3290"/>
      <c r="AI14" s="2474"/>
      <c r="AJ14" s="2474"/>
      <c r="AK14" s="3290"/>
      <c r="AL14" s="3290"/>
      <c r="AM14" s="3290"/>
      <c r="AN14" s="3290"/>
      <c r="AO14" s="3287"/>
      <c r="AP14" s="3287"/>
      <c r="AQ14" s="3289"/>
    </row>
    <row r="15" spans="1:43" ht="33.75" customHeight="1">
      <c r="A15" s="3296"/>
      <c r="B15" s="2404"/>
      <c r="C15" s="2404"/>
      <c r="D15" s="2404"/>
      <c r="E15" s="2404"/>
      <c r="F15" s="2404"/>
      <c r="G15" s="2404"/>
      <c r="H15" s="2404"/>
      <c r="I15" s="2404"/>
      <c r="J15" s="2373"/>
      <c r="K15" s="2398"/>
      <c r="L15" s="2376"/>
      <c r="M15" s="2404"/>
      <c r="N15" s="2376"/>
      <c r="O15" s="2376"/>
      <c r="P15" s="2376"/>
      <c r="Q15" s="3295"/>
      <c r="R15" s="2416"/>
      <c r="S15" s="2376"/>
      <c r="T15" s="2099"/>
      <c r="U15" s="2377"/>
      <c r="V15" s="2417"/>
      <c r="W15" s="2929"/>
      <c r="X15" s="2373"/>
      <c r="Y15" s="2474"/>
      <c r="Z15" s="3290"/>
      <c r="AA15" s="3290"/>
      <c r="AB15" s="3290"/>
      <c r="AC15" s="3290"/>
      <c r="AD15" s="3290"/>
      <c r="AE15" s="3290"/>
      <c r="AF15" s="3290"/>
      <c r="AG15" s="3290"/>
      <c r="AH15" s="3290"/>
      <c r="AI15" s="2474"/>
      <c r="AJ15" s="2474"/>
      <c r="AK15" s="3290"/>
      <c r="AL15" s="3290"/>
      <c r="AM15" s="3290"/>
      <c r="AN15" s="3290"/>
      <c r="AO15" s="3287"/>
      <c r="AP15" s="3287"/>
      <c r="AQ15" s="3289"/>
    </row>
    <row r="16" spans="1:43" ht="60.75" customHeight="1">
      <c r="A16" s="3296"/>
      <c r="B16" s="2404"/>
      <c r="C16" s="2404"/>
      <c r="D16" s="2404"/>
      <c r="E16" s="2404"/>
      <c r="F16" s="2404"/>
      <c r="G16" s="2404"/>
      <c r="H16" s="2404"/>
      <c r="I16" s="2404"/>
      <c r="J16" s="2373"/>
      <c r="K16" s="2398"/>
      <c r="L16" s="2376"/>
      <c r="M16" s="2404"/>
      <c r="N16" s="2376"/>
      <c r="O16" s="2376"/>
      <c r="P16" s="2376"/>
      <c r="Q16" s="3295"/>
      <c r="R16" s="2416"/>
      <c r="S16" s="2376"/>
      <c r="T16" s="2375" t="s">
        <v>2518</v>
      </c>
      <c r="U16" s="2375" t="s">
        <v>2517</v>
      </c>
      <c r="V16" s="2418">
        <v>18000000</v>
      </c>
      <c r="W16" s="2929"/>
      <c r="X16" s="2373"/>
      <c r="Y16" s="2474"/>
      <c r="Z16" s="3290"/>
      <c r="AA16" s="3290"/>
      <c r="AB16" s="3290"/>
      <c r="AC16" s="3290"/>
      <c r="AD16" s="3290"/>
      <c r="AE16" s="3290"/>
      <c r="AF16" s="3290"/>
      <c r="AG16" s="3290"/>
      <c r="AH16" s="3290"/>
      <c r="AI16" s="2474"/>
      <c r="AJ16" s="2474"/>
      <c r="AK16" s="3290"/>
      <c r="AL16" s="3290"/>
      <c r="AM16" s="3290"/>
      <c r="AN16" s="3290"/>
      <c r="AO16" s="3287"/>
      <c r="AP16" s="3287"/>
      <c r="AQ16" s="3289"/>
    </row>
    <row r="17" spans="1:43" ht="78" customHeight="1">
      <c r="A17" s="3296"/>
      <c r="B17" s="2404"/>
      <c r="C17" s="2404"/>
      <c r="D17" s="2404"/>
      <c r="E17" s="2404"/>
      <c r="F17" s="2404"/>
      <c r="G17" s="2404"/>
      <c r="H17" s="2404"/>
      <c r="I17" s="2404"/>
      <c r="J17" s="2373"/>
      <c r="K17" s="2398"/>
      <c r="L17" s="2376"/>
      <c r="M17" s="2404"/>
      <c r="N17" s="2376"/>
      <c r="O17" s="2376"/>
      <c r="P17" s="2376"/>
      <c r="Q17" s="3295"/>
      <c r="R17" s="2416"/>
      <c r="S17" s="2376"/>
      <c r="T17" s="2376"/>
      <c r="U17" s="2377"/>
      <c r="V17" s="2417"/>
      <c r="W17" s="2929"/>
      <c r="X17" s="2373"/>
      <c r="Y17" s="2474"/>
      <c r="Z17" s="3290"/>
      <c r="AA17" s="3290"/>
      <c r="AB17" s="3290"/>
      <c r="AC17" s="3290"/>
      <c r="AD17" s="3290"/>
      <c r="AE17" s="3290"/>
      <c r="AF17" s="3290"/>
      <c r="AG17" s="3290"/>
      <c r="AH17" s="3290"/>
      <c r="AI17" s="2474"/>
      <c r="AJ17" s="2474"/>
      <c r="AK17" s="3290"/>
      <c r="AL17" s="3290"/>
      <c r="AM17" s="3290"/>
      <c r="AN17" s="3290"/>
      <c r="AO17" s="3287"/>
      <c r="AP17" s="3287"/>
      <c r="AQ17" s="3289"/>
    </row>
    <row r="18" spans="1:43" ht="36" customHeight="1">
      <c r="A18" s="3296"/>
      <c r="B18" s="2404"/>
      <c r="C18" s="2404"/>
      <c r="D18" s="2404"/>
      <c r="E18" s="2404"/>
      <c r="F18" s="2404"/>
      <c r="G18" s="2404"/>
      <c r="H18" s="2404"/>
      <c r="I18" s="2404"/>
      <c r="J18" s="2373"/>
      <c r="K18" s="2398"/>
      <c r="L18" s="2376"/>
      <c r="M18" s="2404"/>
      <c r="N18" s="2376"/>
      <c r="O18" s="2376"/>
      <c r="P18" s="2376"/>
      <c r="Q18" s="3295"/>
      <c r="R18" s="2416"/>
      <c r="S18" s="2376"/>
      <c r="T18" s="2376"/>
      <c r="U18" s="2375" t="s">
        <v>2516</v>
      </c>
      <c r="V18" s="2418">
        <v>18000000</v>
      </c>
      <c r="W18" s="2929"/>
      <c r="X18" s="2373"/>
      <c r="Y18" s="2474"/>
      <c r="Z18" s="3290"/>
      <c r="AA18" s="3290"/>
      <c r="AB18" s="3290"/>
      <c r="AC18" s="3290"/>
      <c r="AD18" s="3290"/>
      <c r="AE18" s="3290"/>
      <c r="AF18" s="3290"/>
      <c r="AG18" s="3290"/>
      <c r="AH18" s="3290"/>
      <c r="AI18" s="2474"/>
      <c r="AJ18" s="2474"/>
      <c r="AK18" s="3290"/>
      <c r="AL18" s="3290"/>
      <c r="AM18" s="3290"/>
      <c r="AN18" s="3290"/>
      <c r="AO18" s="3287"/>
      <c r="AP18" s="3287"/>
      <c r="AQ18" s="3289"/>
    </row>
    <row r="19" spans="1:43" ht="70.5" customHeight="1" thickBot="1">
      <c r="A19" s="3297"/>
      <c r="B19" s="2378"/>
      <c r="C19" s="2378"/>
      <c r="D19" s="2378"/>
      <c r="E19" s="2378"/>
      <c r="F19" s="2378"/>
      <c r="G19" s="2378"/>
      <c r="H19" s="2378"/>
      <c r="I19" s="2378"/>
      <c r="J19" s="2373"/>
      <c r="K19" s="2398"/>
      <c r="L19" s="2376"/>
      <c r="M19" s="2378"/>
      <c r="N19" s="2376"/>
      <c r="O19" s="2376"/>
      <c r="P19" s="2376"/>
      <c r="Q19" s="3295"/>
      <c r="R19" s="2417"/>
      <c r="S19" s="2377"/>
      <c r="T19" s="2377"/>
      <c r="U19" s="2377"/>
      <c r="V19" s="2417"/>
      <c r="W19" s="2920"/>
      <c r="X19" s="2374"/>
      <c r="Y19" s="3291"/>
      <c r="Z19" s="3292"/>
      <c r="AA19" s="3292"/>
      <c r="AB19" s="2728"/>
      <c r="AC19" s="2728"/>
      <c r="AD19" s="2728"/>
      <c r="AE19" s="2728"/>
      <c r="AF19" s="2728"/>
      <c r="AG19" s="2728"/>
      <c r="AH19" s="2728"/>
      <c r="AI19" s="3291"/>
      <c r="AJ19" s="3291"/>
      <c r="AK19" s="2728"/>
      <c r="AL19" s="2728"/>
      <c r="AM19" s="2728"/>
      <c r="AN19" s="2728"/>
      <c r="AO19" s="3287"/>
      <c r="AP19" s="3287"/>
      <c r="AQ19" s="3289"/>
    </row>
    <row r="20" spans="1:43" s="2027" customFormat="1" ht="16.5" thickBot="1">
      <c r="A20" s="317"/>
      <c r="B20" s="318"/>
      <c r="C20" s="318"/>
      <c r="D20" s="318"/>
      <c r="E20" s="1921"/>
      <c r="F20" s="1921"/>
      <c r="G20" s="2483" t="s">
        <v>225</v>
      </c>
      <c r="H20" s="2483"/>
      <c r="I20" s="2483"/>
      <c r="J20" s="2483"/>
      <c r="K20" s="2483"/>
      <c r="L20" s="2483"/>
      <c r="M20" s="2483"/>
      <c r="N20" s="2483"/>
      <c r="O20" s="2483"/>
      <c r="P20" s="2483"/>
      <c r="Q20" s="2484"/>
      <c r="R20" s="2029">
        <f>SUM(R12)</f>
        <v>72000000</v>
      </c>
      <c r="S20" s="317"/>
      <c r="T20" s="318"/>
      <c r="U20" s="321"/>
      <c r="V20" s="2028">
        <f>SUM(V12:V19)</f>
        <v>72000000</v>
      </c>
      <c r="W20" s="323"/>
      <c r="X20" s="324"/>
      <c r="Y20" s="324"/>
      <c r="Z20" s="324"/>
      <c r="AA20" s="324"/>
      <c r="AB20" s="324"/>
      <c r="AC20" s="324"/>
      <c r="AD20" s="324"/>
      <c r="AE20" s="324"/>
      <c r="AF20" s="324"/>
      <c r="AG20" s="324"/>
      <c r="AH20" s="324"/>
      <c r="AI20" s="324"/>
      <c r="AJ20" s="324"/>
      <c r="AK20" s="324"/>
      <c r="AL20" s="324"/>
      <c r="AM20" s="324"/>
      <c r="AN20" s="324"/>
      <c r="AO20" s="325"/>
      <c r="AP20" s="326"/>
      <c r="AQ20" s="327"/>
    </row>
    <row r="21" ht="14.25">
      <c r="R21" s="2026"/>
    </row>
    <row r="22" ht="14.25">
      <c r="R22" s="2025"/>
    </row>
    <row r="23" ht="14.25">
      <c r="V23" s="2025"/>
    </row>
    <row r="26" spans="13:19" ht="15.75">
      <c r="M26" s="333" t="s">
        <v>2515</v>
      </c>
      <c r="N26" s="2024"/>
      <c r="O26" s="2024"/>
      <c r="P26" s="2024"/>
      <c r="S26" s="1839"/>
    </row>
    <row r="27" spans="13:19" ht="15.75">
      <c r="M27" s="334" t="s">
        <v>2514</v>
      </c>
      <c r="S27" s="1839"/>
    </row>
  </sheetData>
  <sheetProtection password="CBEB" sheet="1" objects="1" scenarios="1"/>
  <mergeCells count="84">
    <mergeCell ref="P5:AQ5"/>
    <mergeCell ref="P6:X6"/>
    <mergeCell ref="AO6:AQ6"/>
    <mergeCell ref="A7:A8"/>
    <mergeCell ref="B7:C8"/>
    <mergeCell ref="D7:D8"/>
    <mergeCell ref="E7:F8"/>
    <mergeCell ref="G7:G8"/>
    <mergeCell ref="AQ7:AQ8"/>
    <mergeCell ref="AP7:AP8"/>
    <mergeCell ref="Y7:Z7"/>
    <mergeCell ref="AA7:AD7"/>
    <mergeCell ref="AE7:AJ7"/>
    <mergeCell ref="AK7:AM7"/>
    <mergeCell ref="AN7:AN8"/>
    <mergeCell ref="AO7:AO8"/>
    <mergeCell ref="A1:AO4"/>
    <mergeCell ref="S7:S8"/>
    <mergeCell ref="T7:T8"/>
    <mergeCell ref="H7:I8"/>
    <mergeCell ref="J7:J8"/>
    <mergeCell ref="K7:K8"/>
    <mergeCell ref="L7:L8"/>
    <mergeCell ref="M7:M8"/>
    <mergeCell ref="N7:N8"/>
    <mergeCell ref="A5:M6"/>
    <mergeCell ref="U7:U8"/>
    <mergeCell ref="V7:V8"/>
    <mergeCell ref="W7:W8"/>
    <mergeCell ref="X7:X8"/>
    <mergeCell ref="O7:O8"/>
    <mergeCell ref="P7:P8"/>
    <mergeCell ref="L12:L19"/>
    <mergeCell ref="M12:M19"/>
    <mergeCell ref="W12:W19"/>
    <mergeCell ref="X12:X19"/>
    <mergeCell ref="Y12:Y19"/>
    <mergeCell ref="U18:U19"/>
    <mergeCell ref="V18:V19"/>
    <mergeCell ref="Z12:Z19"/>
    <mergeCell ref="A10:A19"/>
    <mergeCell ref="B10:C19"/>
    <mergeCell ref="E10:AF10"/>
    <mergeCell ref="D11:D19"/>
    <mergeCell ref="E11:F19"/>
    <mergeCell ref="H11:AF11"/>
    <mergeCell ref="G12:G19"/>
    <mergeCell ref="H12:I19"/>
    <mergeCell ref="J12:J19"/>
    <mergeCell ref="K12:K19"/>
    <mergeCell ref="S12:S19"/>
    <mergeCell ref="T12:T15"/>
    <mergeCell ref="U12:U13"/>
    <mergeCell ref="V12:V13"/>
    <mergeCell ref="T16:T19"/>
    <mergeCell ref="Q7:Q8"/>
    <mergeCell ref="R7:R8"/>
    <mergeCell ref="N12:N19"/>
    <mergeCell ref="O12:O19"/>
    <mergeCell ref="P12:P19"/>
    <mergeCell ref="Q12:Q19"/>
    <mergeCell ref="R12:R19"/>
    <mergeCell ref="AD12:AD19"/>
    <mergeCell ref="AE12:AE19"/>
    <mergeCell ref="AF12:AF19"/>
    <mergeCell ref="AA12:AA19"/>
    <mergeCell ref="AB12:AB19"/>
    <mergeCell ref="AC12:AC19"/>
    <mergeCell ref="G20:Q20"/>
    <mergeCell ref="AP12:AP19"/>
    <mergeCell ref="AQ12:AQ19"/>
    <mergeCell ref="U14:U15"/>
    <mergeCell ref="V14:V15"/>
    <mergeCell ref="U16:U17"/>
    <mergeCell ref="V16:V17"/>
    <mergeCell ref="AO12:AO19"/>
    <mergeCell ref="AM12:AM19"/>
    <mergeCell ref="AN12:AN19"/>
    <mergeCell ref="AJ12:AJ19"/>
    <mergeCell ref="AK12:AK19"/>
    <mergeCell ref="AL12:AL19"/>
    <mergeCell ref="AG12:AG19"/>
    <mergeCell ref="AH12:AH19"/>
    <mergeCell ref="AI12:AI19"/>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280"/>
  <sheetViews>
    <sheetView showGridLines="0" zoomScale="55" zoomScaleNormal="55" zoomScalePageLayoutView="0" workbookViewId="0" topLeftCell="A1">
      <selection activeCell="A5" sqref="A5:O6"/>
    </sheetView>
  </sheetViews>
  <sheetFormatPr defaultColWidth="11.421875" defaultRowHeight="15"/>
  <cols>
    <col min="1" max="1" width="15.00390625" style="842" customWidth="1"/>
    <col min="2" max="2" width="8.57421875" style="842" customWidth="1"/>
    <col min="3" max="3" width="15.00390625" style="842" customWidth="1"/>
    <col min="4" max="4" width="21.00390625" style="842" customWidth="1"/>
    <col min="5" max="5" width="6.00390625" style="842" customWidth="1"/>
    <col min="6" max="6" width="19.28125" style="842" customWidth="1"/>
    <col min="7" max="7" width="17.28125" style="842" customWidth="1"/>
    <col min="8" max="8" width="2.8515625" style="842" customWidth="1"/>
    <col min="9" max="9" width="35.57421875" style="842" customWidth="1"/>
    <col min="10" max="10" width="24.140625" style="842" customWidth="1"/>
    <col min="11" max="11" width="31.00390625" style="1070" customWidth="1"/>
    <col min="12" max="12" width="22.28125" style="876" customWidth="1"/>
    <col min="13" max="13" width="34.28125" style="876" customWidth="1"/>
    <col min="14" max="14" width="34.28125" style="954" customWidth="1"/>
    <col min="15" max="15" width="8.28125" style="876" customWidth="1"/>
    <col min="16" max="16" width="29.7109375" style="1070" customWidth="1"/>
    <col min="17" max="17" width="13.421875" style="1071" customWidth="1"/>
    <col min="18" max="18" width="29.00390625" style="954" customWidth="1"/>
    <col min="19" max="19" width="28.140625" style="876" customWidth="1"/>
    <col min="20" max="20" width="37.7109375" style="1070" customWidth="1"/>
    <col min="21" max="21" width="50.8515625" style="1072" customWidth="1"/>
    <col min="22" max="22" width="29.28125" style="1072" customWidth="1"/>
    <col min="23" max="23" width="18.00390625" style="1071" customWidth="1"/>
    <col min="24" max="24" width="16.28125" style="1071" customWidth="1"/>
    <col min="25" max="26" width="11.140625" style="1074" customWidth="1"/>
    <col min="27" max="27" width="11.421875" style="1075" customWidth="1"/>
    <col min="28" max="30" width="11.421875" style="1074" customWidth="1"/>
    <col min="31" max="31" width="11.140625" style="1074" customWidth="1"/>
    <col min="32" max="32" width="11.140625" style="1076" customWidth="1"/>
    <col min="33" max="33" width="11.140625" style="1074" customWidth="1"/>
    <col min="34" max="34" width="11.140625" style="1075" customWidth="1"/>
    <col min="35" max="36" width="11.140625" style="1074" customWidth="1"/>
    <col min="37" max="40" width="11.140625" style="1075" customWidth="1"/>
    <col min="41" max="41" width="18.7109375" style="842" customWidth="1"/>
    <col min="42" max="42" width="23.7109375" style="842" customWidth="1"/>
    <col min="43" max="43" width="28.7109375" style="842" customWidth="1"/>
    <col min="44" max="44" width="22.8515625" style="842" customWidth="1"/>
    <col min="45" max="45" width="22.00390625" style="842" hidden="1" customWidth="1"/>
    <col min="46" max="46" width="21.28125" style="842" hidden="1" customWidth="1"/>
    <col min="47" max="47" width="22.57421875" style="842" bestFit="1" customWidth="1"/>
    <col min="48" max="48" width="26.7109375" style="842" customWidth="1"/>
    <col min="49" max="49" width="23.140625" style="842" customWidth="1"/>
    <col min="50" max="50" width="23.7109375" style="842" customWidth="1"/>
    <col min="51" max="16384" width="11.421875" style="842" customWidth="1"/>
  </cols>
  <sheetData>
    <row r="1" spans="1:43" s="131" customFormat="1" ht="15" customHeight="1">
      <c r="A1" s="2275" t="s">
        <v>2531</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276"/>
      <c r="AP1" s="824" t="s">
        <v>1</v>
      </c>
      <c r="AQ1" s="825" t="s">
        <v>2</v>
      </c>
    </row>
    <row r="2" spans="1:43" s="131" customFormat="1" ht="20.2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278"/>
      <c r="AP2" s="826" t="s">
        <v>3</v>
      </c>
      <c r="AQ2" s="827">
        <v>6</v>
      </c>
    </row>
    <row r="3" spans="1:43" s="131" customFormat="1" ht="15.7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278"/>
      <c r="AP3" s="828" t="s">
        <v>5</v>
      </c>
      <c r="AQ3" s="829" t="s">
        <v>6</v>
      </c>
    </row>
    <row r="4" spans="1:43" s="247" customFormat="1" ht="15.7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830" t="s">
        <v>7</v>
      </c>
      <c r="AQ4" s="831" t="s">
        <v>184</v>
      </c>
    </row>
    <row r="5" spans="1:43" s="131" customFormat="1" ht="31.5" customHeight="1">
      <c r="A5" s="2281" t="s">
        <v>9</v>
      </c>
      <c r="B5" s="2282"/>
      <c r="C5" s="2282"/>
      <c r="D5" s="2282"/>
      <c r="E5" s="2282"/>
      <c r="F5" s="2282"/>
      <c r="G5" s="2282"/>
      <c r="H5" s="2282"/>
      <c r="I5" s="2282"/>
      <c r="J5" s="2282"/>
      <c r="K5" s="2282"/>
      <c r="L5" s="2282"/>
      <c r="M5" s="2282"/>
      <c r="N5" s="2282"/>
      <c r="O5" s="3110"/>
      <c r="P5" s="2968" t="s">
        <v>10</v>
      </c>
      <c r="Q5" s="2282"/>
      <c r="R5" s="2282"/>
      <c r="S5" s="2282"/>
      <c r="T5" s="2282"/>
      <c r="U5" s="2282"/>
      <c r="V5" s="2282"/>
      <c r="W5" s="2282"/>
      <c r="X5" s="2282"/>
      <c r="Y5" s="2282"/>
      <c r="Z5" s="2282"/>
      <c r="AA5" s="2282"/>
      <c r="AB5" s="2282"/>
      <c r="AC5" s="2282"/>
      <c r="AD5" s="2282"/>
      <c r="AE5" s="2282"/>
      <c r="AF5" s="2282"/>
      <c r="AG5" s="2282"/>
      <c r="AH5" s="2282"/>
      <c r="AI5" s="2282"/>
      <c r="AJ5" s="2282"/>
      <c r="AK5" s="2282"/>
      <c r="AL5" s="2282"/>
      <c r="AM5" s="2282"/>
      <c r="AN5" s="2282"/>
      <c r="AO5" s="2282"/>
      <c r="AP5" s="2282"/>
      <c r="AQ5" s="3305"/>
    </row>
    <row r="6" spans="1:43" s="131" customFormat="1" ht="30.75" customHeight="1">
      <c r="A6" s="2283"/>
      <c r="B6" s="2284"/>
      <c r="C6" s="2284"/>
      <c r="D6" s="2284"/>
      <c r="E6" s="2284"/>
      <c r="F6" s="2284"/>
      <c r="G6" s="2284"/>
      <c r="H6" s="2284"/>
      <c r="I6" s="2284"/>
      <c r="J6" s="2284"/>
      <c r="K6" s="2284"/>
      <c r="L6" s="2284"/>
      <c r="M6" s="2284"/>
      <c r="N6" s="2284"/>
      <c r="O6" s="2288"/>
      <c r="P6" s="3306"/>
      <c r="Q6" s="2344"/>
      <c r="R6" s="2344"/>
      <c r="S6" s="2344"/>
      <c r="T6" s="2344"/>
      <c r="U6" s="2344"/>
      <c r="V6" s="2344"/>
      <c r="W6" s="2344"/>
      <c r="X6" s="2344"/>
      <c r="Y6" s="2344"/>
      <c r="Z6" s="2344"/>
      <c r="AA6" s="2344"/>
      <c r="AB6" s="2344"/>
      <c r="AC6" s="2344"/>
      <c r="AD6" s="2344"/>
      <c r="AE6" s="2344"/>
      <c r="AF6" s="2344"/>
      <c r="AG6" s="2344"/>
      <c r="AH6" s="2344"/>
      <c r="AI6" s="2344"/>
      <c r="AJ6" s="2344"/>
      <c r="AK6" s="2344"/>
      <c r="AL6" s="2344"/>
      <c r="AM6" s="2344"/>
      <c r="AN6" s="2344"/>
      <c r="AO6" s="2344"/>
      <c r="AP6" s="2344"/>
      <c r="AQ6" s="3307"/>
    </row>
    <row r="7" spans="1:43" s="666" customFormat="1" ht="36.75" customHeight="1">
      <c r="A7" s="2357" t="s">
        <v>12</v>
      </c>
      <c r="B7" s="2358" t="s">
        <v>13</v>
      </c>
      <c r="C7" s="2358"/>
      <c r="D7" s="2358" t="s">
        <v>12</v>
      </c>
      <c r="E7" s="2358" t="s">
        <v>14</v>
      </c>
      <c r="F7" s="2358"/>
      <c r="G7" s="2358" t="s">
        <v>12</v>
      </c>
      <c r="H7" s="2358" t="s">
        <v>15</v>
      </c>
      <c r="I7" s="2358"/>
      <c r="J7" s="2358" t="s">
        <v>12</v>
      </c>
      <c r="K7" s="2358" t="s">
        <v>16</v>
      </c>
      <c r="L7" s="2358" t="s">
        <v>17</v>
      </c>
      <c r="M7" s="2364" t="s">
        <v>18</v>
      </c>
      <c r="N7" s="2358" t="s">
        <v>19</v>
      </c>
      <c r="O7" s="2271" t="s">
        <v>185</v>
      </c>
      <c r="P7" s="2358" t="s">
        <v>10</v>
      </c>
      <c r="Q7" s="2358" t="s">
        <v>21</v>
      </c>
      <c r="R7" s="2358" t="s">
        <v>22</v>
      </c>
      <c r="S7" s="2358" t="s">
        <v>23</v>
      </c>
      <c r="T7" s="2358" t="s">
        <v>24</v>
      </c>
      <c r="U7" s="2358" t="s">
        <v>25</v>
      </c>
      <c r="V7" s="2364" t="s">
        <v>22</v>
      </c>
      <c r="W7" s="2271" t="s">
        <v>12</v>
      </c>
      <c r="X7" s="2358" t="s">
        <v>26</v>
      </c>
      <c r="Y7" s="2366" t="s">
        <v>27</v>
      </c>
      <c r="Z7" s="2367"/>
      <c r="AA7" s="2359" t="s">
        <v>28</v>
      </c>
      <c r="AB7" s="2360"/>
      <c r="AC7" s="2360"/>
      <c r="AD7" s="2360"/>
      <c r="AE7" s="2368" t="s">
        <v>29</v>
      </c>
      <c r="AF7" s="2369"/>
      <c r="AG7" s="2369"/>
      <c r="AH7" s="2369"/>
      <c r="AI7" s="2369"/>
      <c r="AJ7" s="2369"/>
      <c r="AK7" s="2359" t="s">
        <v>30</v>
      </c>
      <c r="AL7" s="2360"/>
      <c r="AM7" s="2360"/>
      <c r="AN7" s="3017" t="s">
        <v>31</v>
      </c>
      <c r="AO7" s="3013" t="s">
        <v>32</v>
      </c>
      <c r="AP7" s="3013" t="s">
        <v>33</v>
      </c>
      <c r="AQ7" s="2294" t="s">
        <v>34</v>
      </c>
    </row>
    <row r="8" spans="1:43" s="666" customFormat="1" ht="159" customHeight="1">
      <c r="A8" s="2357"/>
      <c r="B8" s="2358"/>
      <c r="C8" s="2358"/>
      <c r="D8" s="2358"/>
      <c r="E8" s="2358"/>
      <c r="F8" s="2358"/>
      <c r="G8" s="2358"/>
      <c r="H8" s="2358"/>
      <c r="I8" s="2358"/>
      <c r="J8" s="2358"/>
      <c r="K8" s="2358"/>
      <c r="L8" s="2358"/>
      <c r="M8" s="3317"/>
      <c r="N8" s="2358"/>
      <c r="O8" s="2272"/>
      <c r="P8" s="2358"/>
      <c r="Q8" s="2358"/>
      <c r="R8" s="2358"/>
      <c r="S8" s="2358"/>
      <c r="T8" s="2358"/>
      <c r="U8" s="2358"/>
      <c r="V8" s="2365"/>
      <c r="W8" s="2272"/>
      <c r="X8" s="2358"/>
      <c r="Y8" s="832" t="s">
        <v>35</v>
      </c>
      <c r="Z8" s="832" t="s">
        <v>36</v>
      </c>
      <c r="AA8" s="832" t="s">
        <v>37</v>
      </c>
      <c r="AB8" s="832" t="s">
        <v>137</v>
      </c>
      <c r="AC8" s="832" t="s">
        <v>903</v>
      </c>
      <c r="AD8" s="832" t="s">
        <v>139</v>
      </c>
      <c r="AE8" s="832" t="s">
        <v>41</v>
      </c>
      <c r="AF8" s="832" t="s">
        <v>42</v>
      </c>
      <c r="AG8" s="832" t="s">
        <v>43</v>
      </c>
      <c r="AH8" s="832" t="s">
        <v>44</v>
      </c>
      <c r="AI8" s="832" t="s">
        <v>45</v>
      </c>
      <c r="AJ8" s="832" t="s">
        <v>46</v>
      </c>
      <c r="AK8" s="832" t="s">
        <v>47</v>
      </c>
      <c r="AL8" s="832" t="s">
        <v>48</v>
      </c>
      <c r="AM8" s="832" t="s">
        <v>49</v>
      </c>
      <c r="AN8" s="3018"/>
      <c r="AO8" s="3014"/>
      <c r="AP8" s="3014"/>
      <c r="AQ8" s="2295"/>
    </row>
    <row r="9" spans="1:43" ht="21" customHeight="1">
      <c r="A9" s="833">
        <v>3</v>
      </c>
      <c r="B9" s="834" t="s">
        <v>904</v>
      </c>
      <c r="C9" s="834"/>
      <c r="D9" s="834"/>
      <c r="E9" s="834"/>
      <c r="F9" s="834"/>
      <c r="G9" s="834"/>
      <c r="H9" s="834"/>
      <c r="I9" s="834"/>
      <c r="J9" s="834"/>
      <c r="K9" s="835"/>
      <c r="L9" s="834"/>
      <c r="M9" s="834"/>
      <c r="N9" s="836"/>
      <c r="O9" s="834"/>
      <c r="P9" s="835"/>
      <c r="Q9" s="834"/>
      <c r="R9" s="836"/>
      <c r="S9" s="834"/>
      <c r="T9" s="835"/>
      <c r="U9" s="835"/>
      <c r="V9" s="837"/>
      <c r="W9" s="836"/>
      <c r="X9" s="836"/>
      <c r="Y9" s="838"/>
      <c r="Z9" s="838"/>
      <c r="AA9" s="839"/>
      <c r="AB9" s="838"/>
      <c r="AC9" s="838"/>
      <c r="AD9" s="838"/>
      <c r="AE9" s="838"/>
      <c r="AF9" s="840"/>
      <c r="AG9" s="838"/>
      <c r="AH9" s="839"/>
      <c r="AI9" s="838"/>
      <c r="AJ9" s="838"/>
      <c r="AK9" s="839"/>
      <c r="AL9" s="839"/>
      <c r="AM9" s="839"/>
      <c r="AN9" s="839"/>
      <c r="AO9" s="834"/>
      <c r="AP9" s="834"/>
      <c r="AQ9" s="841"/>
    </row>
    <row r="10" spans="1:43" ht="13.5" customHeight="1">
      <c r="A10" s="3308"/>
      <c r="B10" s="3309"/>
      <c r="C10" s="3310"/>
      <c r="D10" s="843">
        <v>11</v>
      </c>
      <c r="E10" s="844" t="s">
        <v>905</v>
      </c>
      <c r="F10" s="844"/>
      <c r="G10" s="845"/>
      <c r="H10" s="845"/>
      <c r="I10" s="845"/>
      <c r="J10" s="845"/>
      <c r="K10" s="846"/>
      <c r="L10" s="845"/>
      <c r="M10" s="845"/>
      <c r="N10" s="847"/>
      <c r="O10" s="845"/>
      <c r="P10" s="846"/>
      <c r="Q10" s="845"/>
      <c r="R10" s="847"/>
      <c r="S10" s="845"/>
      <c r="T10" s="846"/>
      <c r="U10" s="846"/>
      <c r="V10" s="848"/>
      <c r="W10" s="847"/>
      <c r="X10" s="847"/>
      <c r="Y10" s="849"/>
      <c r="Z10" s="849"/>
      <c r="AA10" s="850"/>
      <c r="AB10" s="849"/>
      <c r="AC10" s="849"/>
      <c r="AD10" s="849"/>
      <c r="AE10" s="849"/>
      <c r="AF10" s="851"/>
      <c r="AG10" s="849"/>
      <c r="AH10" s="850"/>
      <c r="AI10" s="849"/>
      <c r="AJ10" s="849"/>
      <c r="AK10" s="850"/>
      <c r="AL10" s="850"/>
      <c r="AM10" s="850"/>
      <c r="AN10" s="850"/>
      <c r="AO10" s="845"/>
      <c r="AP10" s="845"/>
      <c r="AQ10" s="852"/>
    </row>
    <row r="11" spans="1:43" ht="27.75" customHeight="1">
      <c r="A11" s="853"/>
      <c r="B11" s="854"/>
      <c r="C11" s="855"/>
      <c r="D11" s="856"/>
      <c r="E11" s="856"/>
      <c r="F11" s="857"/>
      <c r="G11" s="858">
        <v>35</v>
      </c>
      <c r="H11" s="859" t="s">
        <v>906</v>
      </c>
      <c r="I11" s="859"/>
      <c r="J11" s="859"/>
      <c r="K11" s="860"/>
      <c r="L11" s="859"/>
      <c r="M11" s="859"/>
      <c r="N11" s="861"/>
      <c r="O11" s="859"/>
      <c r="P11" s="860"/>
      <c r="Q11" s="859"/>
      <c r="R11" s="861"/>
      <c r="S11" s="859"/>
      <c r="T11" s="860"/>
      <c r="U11" s="860"/>
      <c r="V11" s="862"/>
      <c r="W11" s="861"/>
      <c r="X11" s="861"/>
      <c r="Y11" s="863"/>
      <c r="Z11" s="863"/>
      <c r="AA11" s="864"/>
      <c r="AB11" s="863"/>
      <c r="AC11" s="863"/>
      <c r="AD11" s="863"/>
      <c r="AE11" s="863"/>
      <c r="AF11" s="865"/>
      <c r="AG11" s="863"/>
      <c r="AH11" s="864"/>
      <c r="AI11" s="863"/>
      <c r="AJ11" s="863"/>
      <c r="AK11" s="864"/>
      <c r="AL11" s="864"/>
      <c r="AM11" s="864"/>
      <c r="AN11" s="864"/>
      <c r="AO11" s="859"/>
      <c r="AP11" s="859"/>
      <c r="AQ11" s="866"/>
    </row>
    <row r="12" spans="1:44" s="876" customFormat="1" ht="80.25" customHeight="1">
      <c r="A12" s="867"/>
      <c r="B12" s="868"/>
      <c r="C12" s="869"/>
      <c r="D12" s="868"/>
      <c r="E12" s="868"/>
      <c r="F12" s="869"/>
      <c r="G12" s="870"/>
      <c r="H12" s="871"/>
      <c r="I12" s="872"/>
      <c r="J12" s="3311">
        <v>127</v>
      </c>
      <c r="K12" s="3314" t="s">
        <v>907</v>
      </c>
      <c r="L12" s="3311" t="s">
        <v>908</v>
      </c>
      <c r="M12" s="3311">
        <v>1</v>
      </c>
      <c r="N12" s="3311" t="s">
        <v>909</v>
      </c>
      <c r="O12" s="3311">
        <v>132</v>
      </c>
      <c r="P12" s="3324" t="s">
        <v>910</v>
      </c>
      <c r="Q12" s="2419">
        <f>+(V12+V13+V14+V15+V16+V17)/R12</f>
        <v>0.5062595319340363</v>
      </c>
      <c r="R12" s="2526">
        <f>SUM(V12:V28)</f>
        <v>182282000</v>
      </c>
      <c r="S12" s="3324" t="s">
        <v>911</v>
      </c>
      <c r="T12" s="3327" t="s">
        <v>912</v>
      </c>
      <c r="U12" s="873" t="s">
        <v>913</v>
      </c>
      <c r="V12" s="874">
        <v>61282000</v>
      </c>
      <c r="W12" s="3340">
        <v>61</v>
      </c>
      <c r="X12" s="3311" t="s">
        <v>914</v>
      </c>
      <c r="Y12" s="3311" t="s">
        <v>915</v>
      </c>
      <c r="Z12" s="3311" t="s">
        <v>915</v>
      </c>
      <c r="AA12" s="3318">
        <v>64149</v>
      </c>
      <c r="AB12" s="3321" t="s">
        <v>915</v>
      </c>
      <c r="AC12" s="3337" t="s">
        <v>915</v>
      </c>
      <c r="AD12" s="3321" t="s">
        <v>915</v>
      </c>
      <c r="AE12" s="3321" t="s">
        <v>915</v>
      </c>
      <c r="AF12" s="3321" t="s">
        <v>915</v>
      </c>
      <c r="AG12" s="3321" t="s">
        <v>915</v>
      </c>
      <c r="AH12" s="3321" t="s">
        <v>915</v>
      </c>
      <c r="AI12" s="3321" t="s">
        <v>915</v>
      </c>
      <c r="AJ12" s="3337" t="s">
        <v>915</v>
      </c>
      <c r="AK12" s="3321" t="s">
        <v>915</v>
      </c>
      <c r="AL12" s="3321" t="s">
        <v>915</v>
      </c>
      <c r="AM12" s="3337" t="s">
        <v>915</v>
      </c>
      <c r="AN12" s="3337" t="s">
        <v>915</v>
      </c>
      <c r="AO12" s="3330">
        <v>43101</v>
      </c>
      <c r="AP12" s="3330">
        <v>43465</v>
      </c>
      <c r="AQ12" s="3333" t="s">
        <v>916</v>
      </c>
      <c r="AR12" s="875"/>
    </row>
    <row r="13" spans="1:46" s="876" customFormat="1" ht="91.5" customHeight="1">
      <c r="A13" s="867"/>
      <c r="B13" s="868"/>
      <c r="C13" s="869"/>
      <c r="D13" s="868"/>
      <c r="E13" s="868"/>
      <c r="F13" s="869"/>
      <c r="G13" s="877"/>
      <c r="H13" s="868"/>
      <c r="I13" s="869"/>
      <c r="J13" s="3312"/>
      <c r="K13" s="3315"/>
      <c r="L13" s="3312"/>
      <c r="M13" s="3312"/>
      <c r="N13" s="3312"/>
      <c r="O13" s="3312"/>
      <c r="P13" s="3325"/>
      <c r="Q13" s="2420"/>
      <c r="R13" s="2527"/>
      <c r="S13" s="3325"/>
      <c r="T13" s="3328"/>
      <c r="U13" s="873" t="s">
        <v>917</v>
      </c>
      <c r="V13" s="874">
        <v>5000000</v>
      </c>
      <c r="W13" s="3341"/>
      <c r="X13" s="3312"/>
      <c r="Y13" s="3312"/>
      <c r="Z13" s="3312"/>
      <c r="AA13" s="3319"/>
      <c r="AB13" s="3322"/>
      <c r="AC13" s="3338"/>
      <c r="AD13" s="3322"/>
      <c r="AE13" s="3322"/>
      <c r="AF13" s="3322"/>
      <c r="AG13" s="3322"/>
      <c r="AH13" s="3322"/>
      <c r="AI13" s="3322"/>
      <c r="AJ13" s="3338"/>
      <c r="AK13" s="3322"/>
      <c r="AL13" s="3322"/>
      <c r="AM13" s="3338"/>
      <c r="AN13" s="3338"/>
      <c r="AO13" s="3331"/>
      <c r="AP13" s="3331"/>
      <c r="AQ13" s="3334"/>
      <c r="AR13" s="878"/>
      <c r="AS13" s="878"/>
      <c r="AT13" s="878"/>
    </row>
    <row r="14" spans="1:43" s="876" customFormat="1" ht="48" customHeight="1">
      <c r="A14" s="867"/>
      <c r="B14" s="868"/>
      <c r="C14" s="869"/>
      <c r="D14" s="868"/>
      <c r="E14" s="868"/>
      <c r="F14" s="869"/>
      <c r="G14" s="877"/>
      <c r="H14" s="868"/>
      <c r="I14" s="869"/>
      <c r="J14" s="3312"/>
      <c r="K14" s="3315"/>
      <c r="L14" s="3312"/>
      <c r="M14" s="3312"/>
      <c r="N14" s="3312"/>
      <c r="O14" s="3312"/>
      <c r="P14" s="3325"/>
      <c r="Q14" s="2420"/>
      <c r="R14" s="2527"/>
      <c r="S14" s="3325"/>
      <c r="T14" s="3328"/>
      <c r="U14" s="873" t="s">
        <v>918</v>
      </c>
      <c r="V14" s="874">
        <v>5000000</v>
      </c>
      <c r="W14" s="3341"/>
      <c r="X14" s="3312"/>
      <c r="Y14" s="3312"/>
      <c r="Z14" s="3312"/>
      <c r="AA14" s="3319"/>
      <c r="AB14" s="3322"/>
      <c r="AC14" s="3338"/>
      <c r="AD14" s="3322"/>
      <c r="AE14" s="3322"/>
      <c r="AF14" s="3322"/>
      <c r="AG14" s="3322"/>
      <c r="AH14" s="3322"/>
      <c r="AI14" s="3322"/>
      <c r="AJ14" s="3338"/>
      <c r="AK14" s="3322"/>
      <c r="AL14" s="3322"/>
      <c r="AM14" s="3338"/>
      <c r="AN14" s="3338"/>
      <c r="AO14" s="3331"/>
      <c r="AP14" s="3331"/>
      <c r="AQ14" s="3334"/>
    </row>
    <row r="15" spans="1:43" s="876" customFormat="1" ht="72.75" customHeight="1">
      <c r="A15" s="867"/>
      <c r="B15" s="868"/>
      <c r="C15" s="869"/>
      <c r="D15" s="868"/>
      <c r="E15" s="868"/>
      <c r="F15" s="869"/>
      <c r="G15" s="877"/>
      <c r="H15" s="868"/>
      <c r="I15" s="869"/>
      <c r="J15" s="3312"/>
      <c r="K15" s="3315"/>
      <c r="L15" s="3312"/>
      <c r="M15" s="3312"/>
      <c r="N15" s="3312"/>
      <c r="O15" s="3312"/>
      <c r="P15" s="3325"/>
      <c r="Q15" s="2420"/>
      <c r="R15" s="2527"/>
      <c r="S15" s="3325"/>
      <c r="T15" s="3328"/>
      <c r="U15" s="873" t="s">
        <v>919</v>
      </c>
      <c r="V15" s="874">
        <v>1000000</v>
      </c>
      <c r="W15" s="3341"/>
      <c r="X15" s="3312"/>
      <c r="Y15" s="3312"/>
      <c r="Z15" s="3312"/>
      <c r="AA15" s="3319"/>
      <c r="AB15" s="3322"/>
      <c r="AC15" s="3338"/>
      <c r="AD15" s="3322"/>
      <c r="AE15" s="3322"/>
      <c r="AF15" s="3322"/>
      <c r="AG15" s="3322"/>
      <c r="AH15" s="3322"/>
      <c r="AI15" s="3322"/>
      <c r="AJ15" s="3338"/>
      <c r="AK15" s="3322"/>
      <c r="AL15" s="3322"/>
      <c r="AM15" s="3338"/>
      <c r="AN15" s="3338"/>
      <c r="AO15" s="3331"/>
      <c r="AP15" s="3331"/>
      <c r="AQ15" s="3334"/>
    </row>
    <row r="16" spans="1:43" s="876" customFormat="1" ht="90">
      <c r="A16" s="867"/>
      <c r="B16" s="868"/>
      <c r="C16" s="869"/>
      <c r="D16" s="868"/>
      <c r="E16" s="868"/>
      <c r="F16" s="869"/>
      <c r="G16" s="877"/>
      <c r="H16" s="868"/>
      <c r="I16" s="869"/>
      <c r="J16" s="3312"/>
      <c r="K16" s="3315"/>
      <c r="L16" s="3312"/>
      <c r="M16" s="3312"/>
      <c r="N16" s="3312"/>
      <c r="O16" s="3312"/>
      <c r="P16" s="3325"/>
      <c r="Q16" s="2420"/>
      <c r="R16" s="2527"/>
      <c r="S16" s="3325"/>
      <c r="T16" s="3328"/>
      <c r="U16" s="873" t="s">
        <v>920</v>
      </c>
      <c r="V16" s="874">
        <v>10000000</v>
      </c>
      <c r="W16" s="3341"/>
      <c r="X16" s="3312"/>
      <c r="Y16" s="3312"/>
      <c r="Z16" s="3312"/>
      <c r="AA16" s="3319"/>
      <c r="AB16" s="3322"/>
      <c r="AC16" s="3338"/>
      <c r="AD16" s="3322"/>
      <c r="AE16" s="3322"/>
      <c r="AF16" s="3322"/>
      <c r="AG16" s="3322"/>
      <c r="AH16" s="3322"/>
      <c r="AI16" s="3322"/>
      <c r="AJ16" s="3338"/>
      <c r="AK16" s="3322"/>
      <c r="AL16" s="3322"/>
      <c r="AM16" s="3338"/>
      <c r="AN16" s="3338"/>
      <c r="AO16" s="3331"/>
      <c r="AP16" s="3331"/>
      <c r="AQ16" s="3334"/>
    </row>
    <row r="17" spans="1:46" s="876" customFormat="1" ht="60">
      <c r="A17" s="867"/>
      <c r="B17" s="868"/>
      <c r="C17" s="869"/>
      <c r="D17" s="868"/>
      <c r="E17" s="868"/>
      <c r="F17" s="869"/>
      <c r="G17" s="877"/>
      <c r="H17" s="868"/>
      <c r="I17" s="869"/>
      <c r="J17" s="3313"/>
      <c r="K17" s="3316"/>
      <c r="L17" s="3313"/>
      <c r="M17" s="3313"/>
      <c r="N17" s="3312"/>
      <c r="O17" s="3312"/>
      <c r="P17" s="3325"/>
      <c r="Q17" s="2421"/>
      <c r="R17" s="2527"/>
      <c r="S17" s="3325"/>
      <c r="T17" s="3329"/>
      <c r="U17" s="873" t="s">
        <v>921</v>
      </c>
      <c r="V17" s="874">
        <v>10000000</v>
      </c>
      <c r="W17" s="3341"/>
      <c r="X17" s="3312"/>
      <c r="Y17" s="3312"/>
      <c r="Z17" s="3312"/>
      <c r="AA17" s="3319"/>
      <c r="AB17" s="3322"/>
      <c r="AC17" s="3338"/>
      <c r="AD17" s="3322"/>
      <c r="AE17" s="3322"/>
      <c r="AF17" s="3322"/>
      <c r="AG17" s="3322"/>
      <c r="AH17" s="3322"/>
      <c r="AI17" s="3322"/>
      <c r="AJ17" s="3338"/>
      <c r="AK17" s="3322"/>
      <c r="AL17" s="3322"/>
      <c r="AM17" s="3338"/>
      <c r="AN17" s="3338"/>
      <c r="AO17" s="3331"/>
      <c r="AP17" s="3331"/>
      <c r="AQ17" s="3334"/>
      <c r="AR17" s="878"/>
      <c r="AS17" s="878"/>
      <c r="AT17" s="878"/>
    </row>
    <row r="18" spans="1:46" s="876" customFormat="1" ht="75">
      <c r="A18" s="867"/>
      <c r="B18" s="868"/>
      <c r="C18" s="869"/>
      <c r="D18" s="868"/>
      <c r="E18" s="868"/>
      <c r="F18" s="869"/>
      <c r="G18" s="877"/>
      <c r="H18" s="868"/>
      <c r="I18" s="869"/>
      <c r="J18" s="3311">
        <v>128</v>
      </c>
      <c r="K18" s="3324" t="s">
        <v>922</v>
      </c>
      <c r="L18" s="3311" t="s">
        <v>908</v>
      </c>
      <c r="M18" s="3311">
        <v>1</v>
      </c>
      <c r="N18" s="3312"/>
      <c r="O18" s="3312"/>
      <c r="P18" s="3325"/>
      <c r="Q18" s="2419">
        <f>+(V18+V19+V20+V21+V22)/R12</f>
        <v>0.20298219242711843</v>
      </c>
      <c r="R18" s="2527"/>
      <c r="S18" s="3325"/>
      <c r="T18" s="3324" t="s">
        <v>923</v>
      </c>
      <c r="U18" s="879" t="s">
        <v>924</v>
      </c>
      <c r="V18" s="874">
        <v>7400000</v>
      </c>
      <c r="W18" s="3341"/>
      <c r="X18" s="3312"/>
      <c r="Y18" s="3312"/>
      <c r="Z18" s="3312"/>
      <c r="AA18" s="3319"/>
      <c r="AB18" s="3322"/>
      <c r="AC18" s="3338"/>
      <c r="AD18" s="3322"/>
      <c r="AE18" s="3322"/>
      <c r="AF18" s="3322"/>
      <c r="AG18" s="3322"/>
      <c r="AH18" s="3322"/>
      <c r="AI18" s="3322"/>
      <c r="AJ18" s="3338"/>
      <c r="AK18" s="3322"/>
      <c r="AL18" s="3322"/>
      <c r="AM18" s="3338"/>
      <c r="AN18" s="3338"/>
      <c r="AO18" s="3331"/>
      <c r="AP18" s="3331"/>
      <c r="AQ18" s="3334"/>
      <c r="AR18" s="880"/>
      <c r="AS18" s="880"/>
      <c r="AT18" s="880"/>
    </row>
    <row r="19" spans="1:43" s="876" customFormat="1" ht="37.5" customHeight="1">
      <c r="A19" s="867"/>
      <c r="B19" s="868"/>
      <c r="C19" s="869"/>
      <c r="D19" s="868"/>
      <c r="E19" s="868"/>
      <c r="F19" s="869"/>
      <c r="G19" s="877"/>
      <c r="H19" s="868"/>
      <c r="I19" s="869"/>
      <c r="J19" s="3312"/>
      <c r="K19" s="3325"/>
      <c r="L19" s="3312"/>
      <c r="M19" s="3312"/>
      <c r="N19" s="3312"/>
      <c r="O19" s="3312"/>
      <c r="P19" s="3325"/>
      <c r="Q19" s="2420"/>
      <c r="R19" s="2527"/>
      <c r="S19" s="3325"/>
      <c r="T19" s="3325"/>
      <c r="U19" s="879" t="s">
        <v>925</v>
      </c>
      <c r="V19" s="874">
        <v>7400000</v>
      </c>
      <c r="W19" s="3341"/>
      <c r="X19" s="3312"/>
      <c r="Y19" s="3312"/>
      <c r="Z19" s="3312"/>
      <c r="AA19" s="3319"/>
      <c r="AB19" s="3322"/>
      <c r="AC19" s="3338"/>
      <c r="AD19" s="3322"/>
      <c r="AE19" s="3322"/>
      <c r="AF19" s="3322"/>
      <c r="AG19" s="3322"/>
      <c r="AH19" s="3322"/>
      <c r="AI19" s="3322"/>
      <c r="AJ19" s="3338"/>
      <c r="AK19" s="3322"/>
      <c r="AL19" s="3322"/>
      <c r="AM19" s="3338"/>
      <c r="AN19" s="3338"/>
      <c r="AO19" s="3331"/>
      <c r="AP19" s="3331"/>
      <c r="AQ19" s="3334"/>
    </row>
    <row r="20" spans="1:43" s="876" customFormat="1" ht="41.25" customHeight="1">
      <c r="A20" s="867"/>
      <c r="B20" s="868"/>
      <c r="C20" s="869"/>
      <c r="D20" s="868"/>
      <c r="E20" s="868"/>
      <c r="F20" s="869"/>
      <c r="G20" s="877"/>
      <c r="H20" s="868"/>
      <c r="I20" s="869"/>
      <c r="J20" s="3312"/>
      <c r="K20" s="3325"/>
      <c r="L20" s="3312"/>
      <c r="M20" s="3312"/>
      <c r="N20" s="3312"/>
      <c r="O20" s="3312"/>
      <c r="P20" s="3325"/>
      <c r="Q20" s="2420"/>
      <c r="R20" s="2527"/>
      <c r="S20" s="3325"/>
      <c r="T20" s="3325"/>
      <c r="U20" s="879" t="s">
        <v>926</v>
      </c>
      <c r="V20" s="874">
        <v>7400000</v>
      </c>
      <c r="W20" s="3341"/>
      <c r="X20" s="3312"/>
      <c r="Y20" s="3312"/>
      <c r="Z20" s="3312"/>
      <c r="AA20" s="3319"/>
      <c r="AB20" s="3322"/>
      <c r="AC20" s="3338"/>
      <c r="AD20" s="3322"/>
      <c r="AE20" s="3322"/>
      <c r="AF20" s="3322"/>
      <c r="AG20" s="3322"/>
      <c r="AH20" s="3322"/>
      <c r="AI20" s="3322"/>
      <c r="AJ20" s="3338"/>
      <c r="AK20" s="3322"/>
      <c r="AL20" s="3322"/>
      <c r="AM20" s="3338"/>
      <c r="AN20" s="3338"/>
      <c r="AO20" s="3331"/>
      <c r="AP20" s="3331"/>
      <c r="AQ20" s="3334"/>
    </row>
    <row r="21" spans="1:43" s="876" customFormat="1" ht="39.75" customHeight="1">
      <c r="A21" s="867"/>
      <c r="B21" s="868"/>
      <c r="C21" s="869"/>
      <c r="D21" s="868"/>
      <c r="E21" s="868"/>
      <c r="F21" s="869"/>
      <c r="G21" s="877"/>
      <c r="H21" s="868"/>
      <c r="I21" s="869"/>
      <c r="J21" s="3312"/>
      <c r="K21" s="3325"/>
      <c r="L21" s="3312"/>
      <c r="M21" s="3312"/>
      <c r="N21" s="3312"/>
      <c r="O21" s="3312"/>
      <c r="P21" s="3325"/>
      <c r="Q21" s="2420"/>
      <c r="R21" s="2527"/>
      <c r="S21" s="3325"/>
      <c r="T21" s="3325"/>
      <c r="U21" s="879" t="s">
        <v>927</v>
      </c>
      <c r="V21" s="874">
        <v>7400000</v>
      </c>
      <c r="W21" s="3341"/>
      <c r="X21" s="3312"/>
      <c r="Y21" s="3312"/>
      <c r="Z21" s="3312"/>
      <c r="AA21" s="3319"/>
      <c r="AB21" s="3322"/>
      <c r="AC21" s="3338"/>
      <c r="AD21" s="3322"/>
      <c r="AE21" s="3322"/>
      <c r="AF21" s="3322"/>
      <c r="AG21" s="3322"/>
      <c r="AH21" s="3322"/>
      <c r="AI21" s="3322"/>
      <c r="AJ21" s="3338"/>
      <c r="AK21" s="3322"/>
      <c r="AL21" s="3322"/>
      <c r="AM21" s="3338"/>
      <c r="AN21" s="3338"/>
      <c r="AO21" s="3331"/>
      <c r="AP21" s="3331"/>
      <c r="AQ21" s="3334"/>
    </row>
    <row r="22" spans="1:46" s="876" customFormat="1" ht="69" customHeight="1">
      <c r="A22" s="867"/>
      <c r="B22" s="868"/>
      <c r="C22" s="869"/>
      <c r="D22" s="868"/>
      <c r="E22" s="868"/>
      <c r="F22" s="869"/>
      <c r="G22" s="877"/>
      <c r="H22" s="868"/>
      <c r="I22" s="869"/>
      <c r="J22" s="3312"/>
      <c r="K22" s="3325"/>
      <c r="L22" s="3312"/>
      <c r="M22" s="3312"/>
      <c r="N22" s="3312"/>
      <c r="O22" s="3312"/>
      <c r="P22" s="3325"/>
      <c r="Q22" s="2420"/>
      <c r="R22" s="2527"/>
      <c r="S22" s="3325"/>
      <c r="T22" s="3325"/>
      <c r="U22" s="879" t="s">
        <v>928</v>
      </c>
      <c r="V22" s="874">
        <v>7400000</v>
      </c>
      <c r="W22" s="3341"/>
      <c r="X22" s="3312"/>
      <c r="Y22" s="3312"/>
      <c r="Z22" s="3312"/>
      <c r="AA22" s="3319"/>
      <c r="AB22" s="3322"/>
      <c r="AC22" s="3338"/>
      <c r="AD22" s="3322"/>
      <c r="AE22" s="3322"/>
      <c r="AF22" s="3322"/>
      <c r="AG22" s="3322"/>
      <c r="AH22" s="3322"/>
      <c r="AI22" s="3322"/>
      <c r="AJ22" s="3338"/>
      <c r="AK22" s="3322"/>
      <c r="AL22" s="3322"/>
      <c r="AM22" s="3338"/>
      <c r="AN22" s="3338"/>
      <c r="AO22" s="3331"/>
      <c r="AP22" s="3331"/>
      <c r="AQ22" s="3334"/>
      <c r="AR22" s="878"/>
      <c r="AS22" s="878"/>
      <c r="AT22" s="878"/>
    </row>
    <row r="23" spans="1:43" s="876" customFormat="1" ht="73.5" customHeight="1">
      <c r="A23" s="867"/>
      <c r="B23" s="868"/>
      <c r="C23" s="869"/>
      <c r="D23" s="868"/>
      <c r="E23" s="868"/>
      <c r="F23" s="869"/>
      <c r="G23" s="877"/>
      <c r="H23" s="868"/>
      <c r="I23" s="869"/>
      <c r="J23" s="3336">
        <v>129</v>
      </c>
      <c r="K23" s="3324" t="s">
        <v>929</v>
      </c>
      <c r="L23" s="3311" t="s">
        <v>908</v>
      </c>
      <c r="M23" s="3311">
        <v>6</v>
      </c>
      <c r="N23" s="3312"/>
      <c r="O23" s="3312"/>
      <c r="P23" s="3325"/>
      <c r="Q23" s="2419">
        <f>+(V23+V24+V25+V26+V27+V28)/R12</f>
        <v>0.2907582756388453</v>
      </c>
      <c r="R23" s="2527"/>
      <c r="S23" s="3325"/>
      <c r="T23" s="3324" t="s">
        <v>930</v>
      </c>
      <c r="U23" s="879" t="s">
        <v>931</v>
      </c>
      <c r="V23" s="874">
        <v>9000000</v>
      </c>
      <c r="W23" s="3341"/>
      <c r="X23" s="3312"/>
      <c r="Y23" s="3312"/>
      <c r="Z23" s="3312"/>
      <c r="AA23" s="3319"/>
      <c r="AB23" s="3322"/>
      <c r="AC23" s="3338"/>
      <c r="AD23" s="3322"/>
      <c r="AE23" s="3322"/>
      <c r="AF23" s="3322"/>
      <c r="AG23" s="3322"/>
      <c r="AH23" s="3322"/>
      <c r="AI23" s="3322"/>
      <c r="AJ23" s="3338"/>
      <c r="AK23" s="3322"/>
      <c r="AL23" s="3322"/>
      <c r="AM23" s="3338"/>
      <c r="AN23" s="3338"/>
      <c r="AO23" s="3331"/>
      <c r="AP23" s="3331"/>
      <c r="AQ23" s="3334"/>
    </row>
    <row r="24" spans="1:43" s="876" customFormat="1" ht="51" customHeight="1">
      <c r="A24" s="867"/>
      <c r="B24" s="868"/>
      <c r="C24" s="869"/>
      <c r="D24" s="868"/>
      <c r="E24" s="868"/>
      <c r="F24" s="869"/>
      <c r="G24" s="877"/>
      <c r="H24" s="868"/>
      <c r="I24" s="869"/>
      <c r="J24" s="3336"/>
      <c r="K24" s="3325"/>
      <c r="L24" s="3312"/>
      <c r="M24" s="3312"/>
      <c r="N24" s="3312"/>
      <c r="O24" s="3312"/>
      <c r="P24" s="3325"/>
      <c r="Q24" s="2420"/>
      <c r="R24" s="2527"/>
      <c r="S24" s="3325"/>
      <c r="T24" s="3325"/>
      <c r="U24" s="879" t="s">
        <v>932</v>
      </c>
      <c r="V24" s="874">
        <v>9000000</v>
      </c>
      <c r="W24" s="3341"/>
      <c r="X24" s="3312"/>
      <c r="Y24" s="3312"/>
      <c r="Z24" s="3312"/>
      <c r="AA24" s="3319"/>
      <c r="AB24" s="3322"/>
      <c r="AC24" s="3338"/>
      <c r="AD24" s="3322"/>
      <c r="AE24" s="3322"/>
      <c r="AF24" s="3322"/>
      <c r="AG24" s="3322"/>
      <c r="AH24" s="3322"/>
      <c r="AI24" s="3322"/>
      <c r="AJ24" s="3338"/>
      <c r="AK24" s="3322"/>
      <c r="AL24" s="3322"/>
      <c r="AM24" s="3338"/>
      <c r="AN24" s="3338"/>
      <c r="AO24" s="3331"/>
      <c r="AP24" s="3331"/>
      <c r="AQ24" s="3334"/>
    </row>
    <row r="25" spans="1:43" s="876" customFormat="1" ht="58.5" customHeight="1">
      <c r="A25" s="867"/>
      <c r="B25" s="868"/>
      <c r="C25" s="869"/>
      <c r="D25" s="868"/>
      <c r="E25" s="868"/>
      <c r="F25" s="869"/>
      <c r="G25" s="877"/>
      <c r="H25" s="868"/>
      <c r="I25" s="869"/>
      <c r="J25" s="3336"/>
      <c r="K25" s="3325"/>
      <c r="L25" s="3312"/>
      <c r="M25" s="3312"/>
      <c r="N25" s="3312"/>
      <c r="O25" s="3312"/>
      <c r="P25" s="3325"/>
      <c r="Q25" s="2420"/>
      <c r="R25" s="2527"/>
      <c r="S25" s="3325"/>
      <c r="T25" s="3325"/>
      <c r="U25" s="879" t="s">
        <v>933</v>
      </c>
      <c r="V25" s="874">
        <v>9000000</v>
      </c>
      <c r="W25" s="3341"/>
      <c r="X25" s="3312"/>
      <c r="Y25" s="3312"/>
      <c r="Z25" s="3312"/>
      <c r="AA25" s="3319"/>
      <c r="AB25" s="3322"/>
      <c r="AC25" s="3338"/>
      <c r="AD25" s="3322"/>
      <c r="AE25" s="3322"/>
      <c r="AF25" s="3322"/>
      <c r="AG25" s="3322"/>
      <c r="AH25" s="3322"/>
      <c r="AI25" s="3322"/>
      <c r="AJ25" s="3338"/>
      <c r="AK25" s="3322"/>
      <c r="AL25" s="3322"/>
      <c r="AM25" s="3338"/>
      <c r="AN25" s="3338"/>
      <c r="AO25" s="3331"/>
      <c r="AP25" s="3331"/>
      <c r="AQ25" s="3334"/>
    </row>
    <row r="26" spans="1:43" s="876" customFormat="1" ht="67.5" customHeight="1">
      <c r="A26" s="867"/>
      <c r="B26" s="868"/>
      <c r="C26" s="869"/>
      <c r="D26" s="868"/>
      <c r="E26" s="868"/>
      <c r="F26" s="869"/>
      <c r="G26" s="877"/>
      <c r="H26" s="868"/>
      <c r="I26" s="869"/>
      <c r="J26" s="3336"/>
      <c r="K26" s="3325"/>
      <c r="L26" s="3312"/>
      <c r="M26" s="3312"/>
      <c r="N26" s="3312"/>
      <c r="O26" s="3312"/>
      <c r="P26" s="3325"/>
      <c r="Q26" s="2420"/>
      <c r="R26" s="2527"/>
      <c r="S26" s="3325"/>
      <c r="T26" s="3325"/>
      <c r="U26" s="879" t="s">
        <v>934</v>
      </c>
      <c r="V26" s="874">
        <v>9000000</v>
      </c>
      <c r="W26" s="3341"/>
      <c r="X26" s="3312"/>
      <c r="Y26" s="3312"/>
      <c r="Z26" s="3312"/>
      <c r="AA26" s="3319"/>
      <c r="AB26" s="3322"/>
      <c r="AC26" s="3338"/>
      <c r="AD26" s="3322"/>
      <c r="AE26" s="3322"/>
      <c r="AF26" s="3322"/>
      <c r="AG26" s="3322"/>
      <c r="AH26" s="3322"/>
      <c r="AI26" s="3322"/>
      <c r="AJ26" s="3338"/>
      <c r="AK26" s="3322"/>
      <c r="AL26" s="3322"/>
      <c r="AM26" s="3338"/>
      <c r="AN26" s="3338"/>
      <c r="AO26" s="3331"/>
      <c r="AP26" s="3331"/>
      <c r="AQ26" s="3334"/>
    </row>
    <row r="27" spans="1:43" s="876" customFormat="1" ht="54" customHeight="1">
      <c r="A27" s="867"/>
      <c r="B27" s="868"/>
      <c r="C27" s="869"/>
      <c r="D27" s="868"/>
      <c r="E27" s="868"/>
      <c r="F27" s="869"/>
      <c r="G27" s="877"/>
      <c r="H27" s="868"/>
      <c r="I27" s="869"/>
      <c r="J27" s="3336"/>
      <c r="K27" s="3325"/>
      <c r="L27" s="3312"/>
      <c r="M27" s="3312"/>
      <c r="N27" s="3312"/>
      <c r="O27" s="3312"/>
      <c r="P27" s="3325"/>
      <c r="Q27" s="2420"/>
      <c r="R27" s="2527"/>
      <c r="S27" s="3325"/>
      <c r="T27" s="3325"/>
      <c r="U27" s="879" t="s">
        <v>935</v>
      </c>
      <c r="V27" s="874">
        <v>9000000</v>
      </c>
      <c r="W27" s="3341"/>
      <c r="X27" s="3312"/>
      <c r="Y27" s="3312"/>
      <c r="Z27" s="3312"/>
      <c r="AA27" s="3319"/>
      <c r="AB27" s="3322"/>
      <c r="AC27" s="3338"/>
      <c r="AD27" s="3322"/>
      <c r="AE27" s="3322"/>
      <c r="AF27" s="3322"/>
      <c r="AG27" s="3322"/>
      <c r="AH27" s="3322"/>
      <c r="AI27" s="3322"/>
      <c r="AJ27" s="3338"/>
      <c r="AK27" s="3322"/>
      <c r="AL27" s="3322"/>
      <c r="AM27" s="3338"/>
      <c r="AN27" s="3338"/>
      <c r="AO27" s="3331"/>
      <c r="AP27" s="3331"/>
      <c r="AQ27" s="3334"/>
    </row>
    <row r="28" spans="1:46" s="876" customFormat="1" ht="54.75" customHeight="1">
      <c r="A28" s="867"/>
      <c r="B28" s="868"/>
      <c r="C28" s="869"/>
      <c r="D28" s="881"/>
      <c r="E28" s="881"/>
      <c r="F28" s="882"/>
      <c r="G28" s="883"/>
      <c r="H28" s="881"/>
      <c r="I28" s="882"/>
      <c r="J28" s="3336"/>
      <c r="K28" s="3326"/>
      <c r="L28" s="3313"/>
      <c r="M28" s="3313"/>
      <c r="N28" s="3313"/>
      <c r="O28" s="3313"/>
      <c r="P28" s="3326"/>
      <c r="Q28" s="2421"/>
      <c r="R28" s="2528"/>
      <c r="S28" s="3326"/>
      <c r="T28" s="3326"/>
      <c r="U28" s="879" t="s">
        <v>936</v>
      </c>
      <c r="V28" s="874">
        <v>8000000</v>
      </c>
      <c r="W28" s="3342"/>
      <c r="X28" s="3313"/>
      <c r="Y28" s="3313"/>
      <c r="Z28" s="3313"/>
      <c r="AA28" s="3320"/>
      <c r="AB28" s="3323"/>
      <c r="AC28" s="3339"/>
      <c r="AD28" s="3323"/>
      <c r="AE28" s="3323"/>
      <c r="AF28" s="3323"/>
      <c r="AG28" s="3323"/>
      <c r="AH28" s="3323"/>
      <c r="AI28" s="3323"/>
      <c r="AJ28" s="3339"/>
      <c r="AK28" s="3323"/>
      <c r="AL28" s="3323"/>
      <c r="AM28" s="3339"/>
      <c r="AN28" s="3339"/>
      <c r="AO28" s="3332"/>
      <c r="AP28" s="3332"/>
      <c r="AQ28" s="3335"/>
      <c r="AR28" s="880"/>
      <c r="AS28" s="880"/>
      <c r="AT28" s="880"/>
    </row>
    <row r="29" spans="1:43" ht="36" customHeight="1">
      <c r="A29" s="853"/>
      <c r="C29" s="884"/>
      <c r="D29" s="885">
        <v>12</v>
      </c>
      <c r="E29" s="886" t="s">
        <v>937</v>
      </c>
      <c r="F29" s="887"/>
      <c r="G29" s="845"/>
      <c r="H29" s="845"/>
      <c r="I29" s="845"/>
      <c r="J29" s="845"/>
      <c r="K29" s="846"/>
      <c r="L29" s="845"/>
      <c r="M29" s="845"/>
      <c r="N29" s="847"/>
      <c r="O29" s="845"/>
      <c r="P29" s="846"/>
      <c r="Q29" s="845"/>
      <c r="R29" s="888"/>
      <c r="S29" s="845"/>
      <c r="T29" s="846"/>
      <c r="U29" s="846"/>
      <c r="V29" s="889"/>
      <c r="W29" s="890"/>
      <c r="X29" s="847"/>
      <c r="Y29" s="847"/>
      <c r="Z29" s="847"/>
      <c r="AA29" s="847"/>
      <c r="AB29" s="847"/>
      <c r="AC29" s="847"/>
      <c r="AD29" s="847"/>
      <c r="AE29" s="847"/>
      <c r="AF29" s="847"/>
      <c r="AG29" s="847"/>
      <c r="AH29" s="847"/>
      <c r="AI29" s="847"/>
      <c r="AJ29" s="847"/>
      <c r="AK29" s="847"/>
      <c r="AL29" s="847"/>
      <c r="AM29" s="847"/>
      <c r="AN29" s="847"/>
      <c r="AO29" s="845"/>
      <c r="AP29" s="845"/>
      <c r="AQ29" s="852"/>
    </row>
    <row r="30" spans="1:43" ht="36" customHeight="1">
      <c r="A30" s="853"/>
      <c r="B30" s="854"/>
      <c r="C30" s="855"/>
      <c r="D30" s="856"/>
      <c r="E30" s="856"/>
      <c r="F30" s="857"/>
      <c r="G30" s="891">
        <v>36</v>
      </c>
      <c r="H30" s="859" t="s">
        <v>938</v>
      </c>
      <c r="I30" s="859"/>
      <c r="J30" s="859"/>
      <c r="K30" s="860"/>
      <c r="L30" s="859"/>
      <c r="M30" s="859"/>
      <c r="N30" s="861"/>
      <c r="O30" s="859"/>
      <c r="P30" s="860"/>
      <c r="Q30" s="859"/>
      <c r="R30" s="892"/>
      <c r="S30" s="859"/>
      <c r="T30" s="860"/>
      <c r="U30" s="860"/>
      <c r="V30" s="893"/>
      <c r="W30" s="894"/>
      <c r="X30" s="861"/>
      <c r="Y30" s="861"/>
      <c r="Z30" s="861"/>
      <c r="AA30" s="861"/>
      <c r="AB30" s="861"/>
      <c r="AC30" s="861"/>
      <c r="AD30" s="861"/>
      <c r="AE30" s="861"/>
      <c r="AF30" s="861"/>
      <c r="AG30" s="861"/>
      <c r="AH30" s="861"/>
      <c r="AI30" s="861"/>
      <c r="AJ30" s="861"/>
      <c r="AK30" s="861"/>
      <c r="AL30" s="861"/>
      <c r="AM30" s="861"/>
      <c r="AN30" s="861"/>
      <c r="AO30" s="859"/>
      <c r="AP30" s="859"/>
      <c r="AQ30" s="866"/>
    </row>
    <row r="31" spans="1:43" s="876" customFormat="1" ht="79.5" customHeight="1">
      <c r="A31" s="867"/>
      <c r="B31" s="868"/>
      <c r="C31" s="869"/>
      <c r="D31" s="868"/>
      <c r="E31" s="868"/>
      <c r="F31" s="869"/>
      <c r="G31" s="870"/>
      <c r="H31" s="871"/>
      <c r="I31" s="872"/>
      <c r="J31" s="3311">
        <v>130</v>
      </c>
      <c r="K31" s="3324" t="s">
        <v>939</v>
      </c>
      <c r="L31" s="3311" t="s">
        <v>908</v>
      </c>
      <c r="M31" s="3311">
        <v>1</v>
      </c>
      <c r="N31" s="3311" t="s">
        <v>940</v>
      </c>
      <c r="O31" s="3311">
        <v>133</v>
      </c>
      <c r="P31" s="3324" t="s">
        <v>941</v>
      </c>
      <c r="Q31" s="2419">
        <f>(V31+V33+V32)/R31</f>
        <v>0.6413793103448275</v>
      </c>
      <c r="R31" s="2526">
        <f>SUM(V31:V35)</f>
        <v>145000000</v>
      </c>
      <c r="S31" s="3324" t="s">
        <v>942</v>
      </c>
      <c r="T31" s="3324" t="s">
        <v>943</v>
      </c>
      <c r="U31" s="895" t="s">
        <v>944</v>
      </c>
      <c r="V31" s="874">
        <v>20000000</v>
      </c>
      <c r="W31" s="3340">
        <v>61</v>
      </c>
      <c r="X31" s="3311" t="s">
        <v>914</v>
      </c>
      <c r="Y31" s="3318">
        <v>292684</v>
      </c>
      <c r="Z31" s="3318">
        <v>282326</v>
      </c>
      <c r="AA31" s="3343">
        <v>135912</v>
      </c>
      <c r="AB31" s="3346">
        <v>45122</v>
      </c>
      <c r="AC31" s="3346">
        <v>307101</v>
      </c>
      <c r="AD31" s="3346">
        <v>86875</v>
      </c>
      <c r="AE31" s="3346">
        <v>2145</v>
      </c>
      <c r="AF31" s="3346">
        <v>12718</v>
      </c>
      <c r="AG31" s="3346">
        <v>26</v>
      </c>
      <c r="AH31" s="3346">
        <v>37</v>
      </c>
      <c r="AI31" s="3346">
        <v>16897</v>
      </c>
      <c r="AJ31" s="3346" t="s">
        <v>915</v>
      </c>
      <c r="AK31" s="3346">
        <v>53164</v>
      </c>
      <c r="AL31" s="3346">
        <v>16982</v>
      </c>
      <c r="AM31" s="3346">
        <v>60013</v>
      </c>
      <c r="AN31" s="3347">
        <v>575010</v>
      </c>
      <c r="AO31" s="3330">
        <v>43101</v>
      </c>
      <c r="AP31" s="3330">
        <v>43465</v>
      </c>
      <c r="AQ31" s="3333" t="s">
        <v>916</v>
      </c>
    </row>
    <row r="32" spans="1:43" s="876" customFormat="1" ht="54.75" customHeight="1">
      <c r="A32" s="867"/>
      <c r="B32" s="868"/>
      <c r="C32" s="869"/>
      <c r="D32" s="868"/>
      <c r="E32" s="868"/>
      <c r="F32" s="869"/>
      <c r="G32" s="877"/>
      <c r="H32" s="868"/>
      <c r="I32" s="869"/>
      <c r="J32" s="3312"/>
      <c r="K32" s="3325"/>
      <c r="L32" s="3312"/>
      <c r="M32" s="3312"/>
      <c r="N32" s="3312"/>
      <c r="O32" s="3312"/>
      <c r="P32" s="3325"/>
      <c r="Q32" s="2420"/>
      <c r="R32" s="2527"/>
      <c r="S32" s="3325"/>
      <c r="T32" s="3325"/>
      <c r="U32" s="895" t="s">
        <v>945</v>
      </c>
      <c r="V32" s="874">
        <v>20000000</v>
      </c>
      <c r="W32" s="3341"/>
      <c r="X32" s="3312"/>
      <c r="Y32" s="3319"/>
      <c r="Z32" s="3319"/>
      <c r="AA32" s="3344"/>
      <c r="AB32" s="3346"/>
      <c r="AC32" s="3346"/>
      <c r="AD32" s="3346"/>
      <c r="AE32" s="3346"/>
      <c r="AF32" s="3346"/>
      <c r="AG32" s="3346"/>
      <c r="AH32" s="3346"/>
      <c r="AI32" s="3346"/>
      <c r="AJ32" s="3346"/>
      <c r="AK32" s="3346"/>
      <c r="AL32" s="3346"/>
      <c r="AM32" s="3346"/>
      <c r="AN32" s="3348"/>
      <c r="AO32" s="3331"/>
      <c r="AP32" s="3331"/>
      <c r="AQ32" s="3334"/>
    </row>
    <row r="33" spans="1:43" s="876" customFormat="1" ht="140.25" customHeight="1">
      <c r="A33" s="867"/>
      <c r="B33" s="868"/>
      <c r="C33" s="869"/>
      <c r="D33" s="868"/>
      <c r="E33" s="868"/>
      <c r="F33" s="869"/>
      <c r="G33" s="877"/>
      <c r="H33" s="868"/>
      <c r="I33" s="869"/>
      <c r="J33" s="3313"/>
      <c r="K33" s="3326"/>
      <c r="L33" s="3313"/>
      <c r="M33" s="3313"/>
      <c r="N33" s="3312"/>
      <c r="O33" s="3312"/>
      <c r="P33" s="3325"/>
      <c r="Q33" s="2421"/>
      <c r="R33" s="2527"/>
      <c r="S33" s="3325"/>
      <c r="T33" s="3326"/>
      <c r="U33" s="895" t="s">
        <v>946</v>
      </c>
      <c r="V33" s="874">
        <v>53000000</v>
      </c>
      <c r="W33" s="3341"/>
      <c r="X33" s="3312"/>
      <c r="Y33" s="3319"/>
      <c r="Z33" s="3319"/>
      <c r="AA33" s="3344"/>
      <c r="AB33" s="3346"/>
      <c r="AC33" s="3346"/>
      <c r="AD33" s="3346"/>
      <c r="AE33" s="3346"/>
      <c r="AF33" s="3346"/>
      <c r="AG33" s="3346"/>
      <c r="AH33" s="3346"/>
      <c r="AI33" s="3346"/>
      <c r="AJ33" s="3346"/>
      <c r="AK33" s="3346"/>
      <c r="AL33" s="3346"/>
      <c r="AM33" s="3346"/>
      <c r="AN33" s="3348"/>
      <c r="AO33" s="3331"/>
      <c r="AP33" s="3331"/>
      <c r="AQ33" s="3334"/>
    </row>
    <row r="34" spans="1:43" s="876" customFormat="1" ht="86.25" customHeight="1">
      <c r="A34" s="867"/>
      <c r="B34" s="868"/>
      <c r="C34" s="869"/>
      <c r="D34" s="868"/>
      <c r="E34" s="868"/>
      <c r="F34" s="869"/>
      <c r="G34" s="877"/>
      <c r="H34" s="868"/>
      <c r="I34" s="869"/>
      <c r="J34" s="3311">
        <v>131</v>
      </c>
      <c r="K34" s="3324" t="s">
        <v>947</v>
      </c>
      <c r="L34" s="3311" t="s">
        <v>908</v>
      </c>
      <c r="M34" s="3311">
        <v>5</v>
      </c>
      <c r="N34" s="3312"/>
      <c r="O34" s="3312"/>
      <c r="P34" s="3325"/>
      <c r="Q34" s="2419">
        <f>(V34+V35)/R31</f>
        <v>0.3586206896551724</v>
      </c>
      <c r="R34" s="2527"/>
      <c r="S34" s="3325"/>
      <c r="T34" s="3324" t="s">
        <v>948</v>
      </c>
      <c r="U34" s="895" t="s">
        <v>949</v>
      </c>
      <c r="V34" s="874">
        <v>26000000</v>
      </c>
      <c r="W34" s="3341"/>
      <c r="X34" s="3312"/>
      <c r="Y34" s="3319"/>
      <c r="Z34" s="3319"/>
      <c r="AA34" s="3344"/>
      <c r="AB34" s="3346"/>
      <c r="AC34" s="3346"/>
      <c r="AD34" s="3346"/>
      <c r="AE34" s="3346"/>
      <c r="AF34" s="3346"/>
      <c r="AG34" s="3346"/>
      <c r="AH34" s="3346"/>
      <c r="AI34" s="3346"/>
      <c r="AJ34" s="3346"/>
      <c r="AK34" s="3346"/>
      <c r="AL34" s="3346"/>
      <c r="AM34" s="3346"/>
      <c r="AN34" s="3348"/>
      <c r="AO34" s="3331"/>
      <c r="AP34" s="3331"/>
      <c r="AQ34" s="3334"/>
    </row>
    <row r="35" spans="1:46" s="876" customFormat="1" ht="72.75" customHeight="1">
      <c r="A35" s="867"/>
      <c r="B35" s="868"/>
      <c r="C35" s="869"/>
      <c r="D35" s="868"/>
      <c r="E35" s="868"/>
      <c r="F35" s="869"/>
      <c r="G35" s="883"/>
      <c r="H35" s="881"/>
      <c r="I35" s="882"/>
      <c r="J35" s="3313"/>
      <c r="K35" s="3326"/>
      <c r="L35" s="3313"/>
      <c r="M35" s="3313"/>
      <c r="N35" s="3313"/>
      <c r="O35" s="3313"/>
      <c r="P35" s="3326"/>
      <c r="Q35" s="2421"/>
      <c r="R35" s="2528"/>
      <c r="S35" s="3326"/>
      <c r="T35" s="3326"/>
      <c r="U35" s="895" t="s">
        <v>950</v>
      </c>
      <c r="V35" s="874">
        <v>26000000</v>
      </c>
      <c r="W35" s="3342"/>
      <c r="X35" s="3313"/>
      <c r="Y35" s="3320"/>
      <c r="Z35" s="3320"/>
      <c r="AA35" s="3345"/>
      <c r="AB35" s="3346"/>
      <c r="AC35" s="3346"/>
      <c r="AD35" s="3346"/>
      <c r="AE35" s="3346"/>
      <c r="AF35" s="3346"/>
      <c r="AG35" s="3346"/>
      <c r="AH35" s="3346"/>
      <c r="AI35" s="3346"/>
      <c r="AJ35" s="3346"/>
      <c r="AK35" s="3346"/>
      <c r="AL35" s="3346"/>
      <c r="AM35" s="3346"/>
      <c r="AN35" s="3349"/>
      <c r="AO35" s="3332"/>
      <c r="AP35" s="3332"/>
      <c r="AQ35" s="3335"/>
      <c r="AR35" s="878"/>
      <c r="AS35" s="878"/>
      <c r="AT35" s="878"/>
    </row>
    <row r="36" spans="1:43" ht="36" customHeight="1">
      <c r="A36" s="853"/>
      <c r="B36" s="854"/>
      <c r="C36" s="855"/>
      <c r="D36" s="854"/>
      <c r="E36" s="854"/>
      <c r="F36" s="855"/>
      <c r="G36" s="891">
        <v>37</v>
      </c>
      <c r="H36" s="859" t="s">
        <v>951</v>
      </c>
      <c r="I36" s="859"/>
      <c r="J36" s="859"/>
      <c r="K36" s="860"/>
      <c r="L36" s="859"/>
      <c r="M36" s="859"/>
      <c r="N36" s="861"/>
      <c r="O36" s="859"/>
      <c r="P36" s="860"/>
      <c r="Q36" s="859"/>
      <c r="R36" s="892"/>
      <c r="S36" s="859"/>
      <c r="T36" s="860"/>
      <c r="U36" s="860"/>
      <c r="V36" s="893"/>
      <c r="W36" s="894"/>
      <c r="X36" s="861"/>
      <c r="Y36" s="861"/>
      <c r="Z36" s="861"/>
      <c r="AA36" s="861"/>
      <c r="AB36" s="861"/>
      <c r="AC36" s="861"/>
      <c r="AD36" s="861"/>
      <c r="AE36" s="861"/>
      <c r="AF36" s="861"/>
      <c r="AG36" s="861"/>
      <c r="AH36" s="861"/>
      <c r="AI36" s="861"/>
      <c r="AJ36" s="861"/>
      <c r="AK36" s="861"/>
      <c r="AL36" s="861"/>
      <c r="AM36" s="861"/>
      <c r="AN36" s="861"/>
      <c r="AO36" s="859"/>
      <c r="AP36" s="859"/>
      <c r="AQ36" s="866"/>
    </row>
    <row r="37" spans="1:43" s="876" customFormat="1" ht="88.5" customHeight="1">
      <c r="A37" s="896"/>
      <c r="B37" s="897"/>
      <c r="C37" s="898"/>
      <c r="D37" s="897"/>
      <c r="E37" s="897"/>
      <c r="F37" s="898"/>
      <c r="G37" s="899"/>
      <c r="H37" s="900"/>
      <c r="I37" s="901"/>
      <c r="J37" s="3311">
        <v>132</v>
      </c>
      <c r="K37" s="3324" t="s">
        <v>952</v>
      </c>
      <c r="L37" s="3311" t="s">
        <v>908</v>
      </c>
      <c r="M37" s="3311">
        <v>8</v>
      </c>
      <c r="N37" s="3311" t="s">
        <v>953</v>
      </c>
      <c r="O37" s="3311">
        <v>134</v>
      </c>
      <c r="P37" s="3324" t="s">
        <v>954</v>
      </c>
      <c r="Q37" s="2419">
        <f>(V37+V38+V39)/R37</f>
        <v>0.22424242424242424</v>
      </c>
      <c r="R37" s="2526">
        <f>SUM(V37:V64)</f>
        <v>165000000</v>
      </c>
      <c r="S37" s="3324" t="s">
        <v>955</v>
      </c>
      <c r="T37" s="3324" t="s">
        <v>956</v>
      </c>
      <c r="U37" s="895" t="s">
        <v>957</v>
      </c>
      <c r="V37" s="902">
        <v>18000000</v>
      </c>
      <c r="W37" s="3350">
        <v>61</v>
      </c>
      <c r="X37" s="3311" t="s">
        <v>914</v>
      </c>
      <c r="Y37" s="3311">
        <v>292684</v>
      </c>
      <c r="Z37" s="3311">
        <v>282326</v>
      </c>
      <c r="AA37" s="3321">
        <v>135912</v>
      </c>
      <c r="AB37" s="3321">
        <v>45122</v>
      </c>
      <c r="AC37" s="3321">
        <f>SUM(AC31)</f>
        <v>307101</v>
      </c>
      <c r="AD37" s="3321">
        <f>SUM(AD31)</f>
        <v>86875</v>
      </c>
      <c r="AE37" s="3353">
        <v>2145</v>
      </c>
      <c r="AF37" s="3353">
        <v>12718</v>
      </c>
      <c r="AG37" s="3356" t="e">
        <f>SUM(#REF!*0.25)</f>
        <v>#REF!</v>
      </c>
      <c r="AH37" s="3353">
        <v>37</v>
      </c>
      <c r="AI37" s="3353" t="s">
        <v>915</v>
      </c>
      <c r="AJ37" s="3353" t="s">
        <v>915</v>
      </c>
      <c r="AK37" s="3321">
        <v>53164</v>
      </c>
      <c r="AL37" s="3321">
        <v>16982</v>
      </c>
      <c r="AM37" s="3321">
        <v>60013</v>
      </c>
      <c r="AN37" s="3321">
        <v>575010</v>
      </c>
      <c r="AO37" s="3330">
        <v>43101</v>
      </c>
      <c r="AP37" s="3330">
        <v>43465</v>
      </c>
      <c r="AQ37" s="3333" t="s">
        <v>916</v>
      </c>
    </row>
    <row r="38" spans="1:43" s="876" customFormat="1" ht="90">
      <c r="A38" s="896"/>
      <c r="B38" s="897"/>
      <c r="C38" s="898"/>
      <c r="D38" s="897"/>
      <c r="E38" s="897"/>
      <c r="F38" s="898"/>
      <c r="G38" s="903"/>
      <c r="H38" s="897"/>
      <c r="I38" s="898"/>
      <c r="J38" s="3312"/>
      <c r="K38" s="3325"/>
      <c r="L38" s="3312"/>
      <c r="M38" s="3312"/>
      <c r="N38" s="3312"/>
      <c r="O38" s="3312"/>
      <c r="P38" s="3325"/>
      <c r="Q38" s="2420"/>
      <c r="R38" s="2527"/>
      <c r="S38" s="3325"/>
      <c r="T38" s="3325"/>
      <c r="U38" s="895" t="s">
        <v>958</v>
      </c>
      <c r="V38" s="902">
        <v>1000000</v>
      </c>
      <c r="W38" s="3351"/>
      <c r="X38" s="3312"/>
      <c r="Y38" s="3312"/>
      <c r="Z38" s="3312"/>
      <c r="AA38" s="3322"/>
      <c r="AB38" s="3322"/>
      <c r="AC38" s="3322"/>
      <c r="AD38" s="3322"/>
      <c r="AE38" s="3354"/>
      <c r="AF38" s="3354"/>
      <c r="AG38" s="3357"/>
      <c r="AH38" s="3354"/>
      <c r="AI38" s="3354"/>
      <c r="AJ38" s="3354"/>
      <c r="AK38" s="3322"/>
      <c r="AL38" s="3322"/>
      <c r="AM38" s="3322"/>
      <c r="AN38" s="3322"/>
      <c r="AO38" s="3331"/>
      <c r="AP38" s="3331"/>
      <c r="AQ38" s="3334"/>
    </row>
    <row r="39" spans="1:50" s="876" customFormat="1" ht="60">
      <c r="A39" s="896"/>
      <c r="B39" s="897"/>
      <c r="C39" s="898"/>
      <c r="D39" s="897"/>
      <c r="E39" s="897"/>
      <c r="F39" s="898"/>
      <c r="G39" s="903"/>
      <c r="H39" s="897"/>
      <c r="I39" s="898"/>
      <c r="J39" s="3313"/>
      <c r="K39" s="3326"/>
      <c r="L39" s="3313"/>
      <c r="M39" s="3313"/>
      <c r="N39" s="3312"/>
      <c r="O39" s="3312"/>
      <c r="P39" s="3325"/>
      <c r="Q39" s="2421"/>
      <c r="R39" s="2527"/>
      <c r="S39" s="3325"/>
      <c r="T39" s="3325"/>
      <c r="U39" s="895" t="s">
        <v>959</v>
      </c>
      <c r="V39" s="902">
        <v>18000000</v>
      </c>
      <c r="W39" s="3351"/>
      <c r="X39" s="3312"/>
      <c r="Y39" s="3312"/>
      <c r="Z39" s="3312"/>
      <c r="AA39" s="3322"/>
      <c r="AB39" s="3322"/>
      <c r="AC39" s="3322"/>
      <c r="AD39" s="3322"/>
      <c r="AE39" s="3354"/>
      <c r="AF39" s="3354"/>
      <c r="AG39" s="3357"/>
      <c r="AH39" s="3354"/>
      <c r="AI39" s="3354"/>
      <c r="AJ39" s="3354"/>
      <c r="AK39" s="3322"/>
      <c r="AL39" s="3322"/>
      <c r="AM39" s="3322"/>
      <c r="AN39" s="3322"/>
      <c r="AO39" s="3331"/>
      <c r="AP39" s="3331"/>
      <c r="AQ39" s="3334"/>
      <c r="AR39" s="878"/>
      <c r="AS39" s="878"/>
      <c r="AT39" s="878"/>
      <c r="AV39" s="878"/>
      <c r="AW39" s="878"/>
      <c r="AX39" s="875"/>
    </row>
    <row r="40" spans="1:50" s="876" customFormat="1" ht="90">
      <c r="A40" s="896"/>
      <c r="B40" s="897"/>
      <c r="C40" s="898"/>
      <c r="D40" s="897"/>
      <c r="E40" s="897"/>
      <c r="F40" s="898"/>
      <c r="G40" s="903"/>
      <c r="H40" s="897"/>
      <c r="I40" s="898"/>
      <c r="J40" s="3311">
        <v>133</v>
      </c>
      <c r="K40" s="3324" t="s">
        <v>960</v>
      </c>
      <c r="L40" s="3311" t="s">
        <v>908</v>
      </c>
      <c r="M40" s="3311">
        <v>12</v>
      </c>
      <c r="N40" s="3312"/>
      <c r="O40" s="3312"/>
      <c r="P40" s="3325"/>
      <c r="Q40" s="2419">
        <f>(V40+V41+V42+V46+V43+V44+V45)/R37</f>
        <v>0.1553939393939394</v>
      </c>
      <c r="R40" s="2527"/>
      <c r="S40" s="3325"/>
      <c r="T40" s="3325"/>
      <c r="U40" s="895" t="s">
        <v>961</v>
      </c>
      <c r="V40" s="902">
        <f>7640000+160000</f>
        <v>7800000</v>
      </c>
      <c r="W40" s="3351"/>
      <c r="X40" s="3312"/>
      <c r="Y40" s="3312"/>
      <c r="Z40" s="3312"/>
      <c r="AA40" s="3322"/>
      <c r="AB40" s="3322"/>
      <c r="AC40" s="3322"/>
      <c r="AD40" s="3322"/>
      <c r="AE40" s="3354"/>
      <c r="AF40" s="3354"/>
      <c r="AG40" s="3357"/>
      <c r="AH40" s="3354"/>
      <c r="AI40" s="3354"/>
      <c r="AJ40" s="3354"/>
      <c r="AK40" s="3322"/>
      <c r="AL40" s="3322"/>
      <c r="AM40" s="3322"/>
      <c r="AN40" s="3322"/>
      <c r="AO40" s="3331"/>
      <c r="AP40" s="3331"/>
      <c r="AQ40" s="3334"/>
      <c r="AV40" s="878"/>
      <c r="AW40" s="904"/>
      <c r="AX40" s="875"/>
    </row>
    <row r="41" spans="1:43" s="876" customFormat="1" ht="90">
      <c r="A41" s="896"/>
      <c r="B41" s="897"/>
      <c r="C41" s="898"/>
      <c r="D41" s="897"/>
      <c r="E41" s="897"/>
      <c r="F41" s="898"/>
      <c r="G41" s="903"/>
      <c r="H41" s="897"/>
      <c r="I41" s="898"/>
      <c r="J41" s="3312"/>
      <c r="K41" s="3325"/>
      <c r="L41" s="3312"/>
      <c r="M41" s="3312"/>
      <c r="N41" s="3312"/>
      <c r="O41" s="3312"/>
      <c r="P41" s="3325"/>
      <c r="Q41" s="2420"/>
      <c r="R41" s="2527"/>
      <c r="S41" s="3325"/>
      <c r="T41" s="3325"/>
      <c r="U41" s="895" t="s">
        <v>962</v>
      </c>
      <c r="V41" s="902">
        <f>3500000+240000</f>
        <v>3740000</v>
      </c>
      <c r="W41" s="3351"/>
      <c r="X41" s="3312"/>
      <c r="Y41" s="3312"/>
      <c r="Z41" s="3312"/>
      <c r="AA41" s="3322"/>
      <c r="AB41" s="3322"/>
      <c r="AC41" s="3322"/>
      <c r="AD41" s="3322"/>
      <c r="AE41" s="3354"/>
      <c r="AF41" s="3354"/>
      <c r="AG41" s="3357"/>
      <c r="AH41" s="3354"/>
      <c r="AI41" s="3354"/>
      <c r="AJ41" s="3354"/>
      <c r="AK41" s="3322"/>
      <c r="AL41" s="3322"/>
      <c r="AM41" s="3322"/>
      <c r="AN41" s="3322"/>
      <c r="AO41" s="3331"/>
      <c r="AP41" s="3331"/>
      <c r="AQ41" s="3334"/>
    </row>
    <row r="42" spans="1:43" s="876" customFormat="1" ht="66" customHeight="1">
      <c r="A42" s="896"/>
      <c r="B42" s="897"/>
      <c r="C42" s="898"/>
      <c r="D42" s="897"/>
      <c r="E42" s="897"/>
      <c r="F42" s="898"/>
      <c r="G42" s="903"/>
      <c r="H42" s="897"/>
      <c r="I42" s="898"/>
      <c r="J42" s="3312"/>
      <c r="K42" s="3325"/>
      <c r="L42" s="3312"/>
      <c r="M42" s="3312"/>
      <c r="N42" s="3312"/>
      <c r="O42" s="3312"/>
      <c r="P42" s="3325"/>
      <c r="Q42" s="2420"/>
      <c r="R42" s="2527"/>
      <c r="S42" s="3325"/>
      <c r="T42" s="3325"/>
      <c r="U42" s="895" t="s">
        <v>963</v>
      </c>
      <c r="V42" s="902">
        <f>3000000+250000</f>
        <v>3250000</v>
      </c>
      <c r="W42" s="3351"/>
      <c r="X42" s="3312"/>
      <c r="Y42" s="3312"/>
      <c r="Z42" s="3312"/>
      <c r="AA42" s="3322"/>
      <c r="AB42" s="3322"/>
      <c r="AC42" s="3322"/>
      <c r="AD42" s="3322"/>
      <c r="AE42" s="3354"/>
      <c r="AF42" s="3354"/>
      <c r="AG42" s="3357"/>
      <c r="AH42" s="3354"/>
      <c r="AI42" s="3354"/>
      <c r="AJ42" s="3354"/>
      <c r="AK42" s="3322"/>
      <c r="AL42" s="3322"/>
      <c r="AM42" s="3322"/>
      <c r="AN42" s="3322"/>
      <c r="AO42" s="3331"/>
      <c r="AP42" s="3331"/>
      <c r="AQ42" s="3334"/>
    </row>
    <row r="43" spans="1:43" s="876" customFormat="1" ht="95.25" customHeight="1">
      <c r="A43" s="896"/>
      <c r="B43" s="897"/>
      <c r="C43" s="898"/>
      <c r="D43" s="897"/>
      <c r="E43" s="897"/>
      <c r="F43" s="898"/>
      <c r="G43" s="903"/>
      <c r="H43" s="897"/>
      <c r="I43" s="898"/>
      <c r="J43" s="3312"/>
      <c r="K43" s="3325"/>
      <c r="L43" s="3312"/>
      <c r="M43" s="3312"/>
      <c r="N43" s="3312"/>
      <c r="O43" s="3312"/>
      <c r="P43" s="3325"/>
      <c r="Q43" s="2420"/>
      <c r="R43" s="2527"/>
      <c r="S43" s="3325"/>
      <c r="T43" s="3325"/>
      <c r="U43" s="895" t="s">
        <v>964</v>
      </c>
      <c r="V43" s="902">
        <f>1000000+100000</f>
        <v>1100000</v>
      </c>
      <c r="W43" s="3351"/>
      <c r="X43" s="3312"/>
      <c r="Y43" s="3312"/>
      <c r="Z43" s="3312"/>
      <c r="AA43" s="3322"/>
      <c r="AB43" s="3322"/>
      <c r="AC43" s="3322"/>
      <c r="AD43" s="3322"/>
      <c r="AE43" s="3354"/>
      <c r="AF43" s="3354"/>
      <c r="AG43" s="3357"/>
      <c r="AH43" s="3354"/>
      <c r="AI43" s="3354"/>
      <c r="AJ43" s="3354"/>
      <c r="AK43" s="3322"/>
      <c r="AL43" s="3322"/>
      <c r="AM43" s="3322"/>
      <c r="AN43" s="3322"/>
      <c r="AO43" s="3331"/>
      <c r="AP43" s="3331"/>
      <c r="AQ43" s="3334"/>
    </row>
    <row r="44" spans="1:43" s="876" customFormat="1" ht="84.75" customHeight="1">
      <c r="A44" s="896"/>
      <c r="B44" s="897"/>
      <c r="C44" s="898"/>
      <c r="D44" s="897"/>
      <c r="E44" s="897"/>
      <c r="F44" s="898"/>
      <c r="G44" s="903"/>
      <c r="H44" s="897"/>
      <c r="I44" s="898"/>
      <c r="J44" s="3312"/>
      <c r="K44" s="3325"/>
      <c r="L44" s="3312"/>
      <c r="M44" s="3312"/>
      <c r="N44" s="3312"/>
      <c r="O44" s="3312"/>
      <c r="P44" s="3325"/>
      <c r="Q44" s="2420"/>
      <c r="R44" s="2527"/>
      <c r="S44" s="3325"/>
      <c r="T44" s="3325"/>
      <c r="U44" s="895" t="s">
        <v>965</v>
      </c>
      <c r="V44" s="902">
        <f>3000000+250000</f>
        <v>3250000</v>
      </c>
      <c r="W44" s="3351"/>
      <c r="X44" s="3312"/>
      <c r="Y44" s="3312"/>
      <c r="Z44" s="3312"/>
      <c r="AA44" s="3322"/>
      <c r="AB44" s="3322"/>
      <c r="AC44" s="3322"/>
      <c r="AD44" s="3322"/>
      <c r="AE44" s="3354"/>
      <c r="AF44" s="3354"/>
      <c r="AG44" s="3357"/>
      <c r="AH44" s="3354"/>
      <c r="AI44" s="3354"/>
      <c r="AJ44" s="3354"/>
      <c r="AK44" s="3322"/>
      <c r="AL44" s="3322"/>
      <c r="AM44" s="3322"/>
      <c r="AN44" s="3322"/>
      <c r="AO44" s="3331"/>
      <c r="AP44" s="3331"/>
      <c r="AQ44" s="3334"/>
    </row>
    <row r="45" spans="1:43" s="876" customFormat="1" ht="86.25" customHeight="1">
      <c r="A45" s="896"/>
      <c r="B45" s="897"/>
      <c r="C45" s="898"/>
      <c r="D45" s="897"/>
      <c r="E45" s="897"/>
      <c r="F45" s="898"/>
      <c r="G45" s="903"/>
      <c r="H45" s="897"/>
      <c r="I45" s="898"/>
      <c r="J45" s="3312"/>
      <c r="K45" s="3325"/>
      <c r="L45" s="3312"/>
      <c r="M45" s="3312"/>
      <c r="N45" s="3312"/>
      <c r="O45" s="3312"/>
      <c r="P45" s="3325"/>
      <c r="Q45" s="2420"/>
      <c r="R45" s="2527"/>
      <c r="S45" s="3325"/>
      <c r="T45" s="3325"/>
      <c r="U45" s="895" t="s">
        <v>966</v>
      </c>
      <c r="V45" s="902">
        <f>3000000+250000</f>
        <v>3250000</v>
      </c>
      <c r="W45" s="3351"/>
      <c r="X45" s="3312"/>
      <c r="Y45" s="3312"/>
      <c r="Z45" s="3312"/>
      <c r="AA45" s="3322"/>
      <c r="AB45" s="3322"/>
      <c r="AC45" s="3322"/>
      <c r="AD45" s="3322"/>
      <c r="AE45" s="3354"/>
      <c r="AF45" s="3354"/>
      <c r="AG45" s="3357"/>
      <c r="AH45" s="3354"/>
      <c r="AI45" s="3354"/>
      <c r="AJ45" s="3354"/>
      <c r="AK45" s="3322"/>
      <c r="AL45" s="3322"/>
      <c r="AM45" s="3322"/>
      <c r="AN45" s="3322"/>
      <c r="AO45" s="3331"/>
      <c r="AP45" s="3331"/>
      <c r="AQ45" s="3334"/>
    </row>
    <row r="46" spans="1:46" s="876" customFormat="1" ht="75" customHeight="1">
      <c r="A46" s="896"/>
      <c r="B46" s="897"/>
      <c r="C46" s="898"/>
      <c r="D46" s="897"/>
      <c r="E46" s="897"/>
      <c r="F46" s="898"/>
      <c r="G46" s="903"/>
      <c r="H46" s="897"/>
      <c r="I46" s="898"/>
      <c r="J46" s="3313"/>
      <c r="K46" s="3326"/>
      <c r="L46" s="3313"/>
      <c r="M46" s="3313"/>
      <c r="N46" s="3312"/>
      <c r="O46" s="3312"/>
      <c r="P46" s="3325"/>
      <c r="Q46" s="2421"/>
      <c r="R46" s="2527"/>
      <c r="S46" s="3325"/>
      <c r="T46" s="3326"/>
      <c r="U46" s="895" t="s">
        <v>967</v>
      </c>
      <c r="V46" s="902">
        <f>3000000+250000</f>
        <v>3250000</v>
      </c>
      <c r="W46" s="3351"/>
      <c r="X46" s="3312"/>
      <c r="Y46" s="3312"/>
      <c r="Z46" s="3312"/>
      <c r="AA46" s="3322"/>
      <c r="AB46" s="3322"/>
      <c r="AC46" s="3322"/>
      <c r="AD46" s="3322"/>
      <c r="AE46" s="3354"/>
      <c r="AF46" s="3354"/>
      <c r="AG46" s="3357"/>
      <c r="AH46" s="3354"/>
      <c r="AI46" s="3354"/>
      <c r="AJ46" s="3354"/>
      <c r="AK46" s="3322"/>
      <c r="AL46" s="3322"/>
      <c r="AM46" s="3322"/>
      <c r="AN46" s="3322"/>
      <c r="AO46" s="3331"/>
      <c r="AP46" s="3331"/>
      <c r="AQ46" s="3334"/>
      <c r="AR46" s="878"/>
      <c r="AS46" s="878"/>
      <c r="AT46" s="878"/>
    </row>
    <row r="47" spans="1:50" s="876" customFormat="1" ht="69.75" customHeight="1">
      <c r="A47" s="896"/>
      <c r="B47" s="897"/>
      <c r="C47" s="898"/>
      <c r="D47" s="897"/>
      <c r="E47" s="897"/>
      <c r="F47" s="898"/>
      <c r="G47" s="903"/>
      <c r="H47" s="897"/>
      <c r="I47" s="898"/>
      <c r="J47" s="3311">
        <v>134</v>
      </c>
      <c r="K47" s="3324" t="s">
        <v>968</v>
      </c>
      <c r="L47" s="3311" t="s">
        <v>908</v>
      </c>
      <c r="M47" s="3311">
        <v>4800</v>
      </c>
      <c r="N47" s="3312"/>
      <c r="O47" s="3312"/>
      <c r="P47" s="3325"/>
      <c r="Q47" s="2419">
        <f>(V47+V48+V49+V50+V51+V52+V53+V54+V55+V56+V57+V58)/R37</f>
        <v>0.4300606060606061</v>
      </c>
      <c r="R47" s="2527"/>
      <c r="S47" s="3325"/>
      <c r="T47" s="3324" t="s">
        <v>969</v>
      </c>
      <c r="U47" s="879" t="s">
        <v>970</v>
      </c>
      <c r="V47" s="902">
        <f>7860000+100000</f>
        <v>7960000</v>
      </c>
      <c r="W47" s="3351"/>
      <c r="X47" s="3312"/>
      <c r="Y47" s="3312"/>
      <c r="Z47" s="3312"/>
      <c r="AA47" s="3322"/>
      <c r="AB47" s="3322"/>
      <c r="AC47" s="3322"/>
      <c r="AD47" s="3322"/>
      <c r="AE47" s="3354"/>
      <c r="AF47" s="3354"/>
      <c r="AG47" s="3357"/>
      <c r="AH47" s="3354"/>
      <c r="AI47" s="3354"/>
      <c r="AJ47" s="3354"/>
      <c r="AK47" s="3322"/>
      <c r="AL47" s="3322"/>
      <c r="AM47" s="3322"/>
      <c r="AN47" s="3322"/>
      <c r="AO47" s="3331"/>
      <c r="AP47" s="3331"/>
      <c r="AQ47" s="3334"/>
      <c r="AV47" s="878"/>
      <c r="AW47" s="904"/>
      <c r="AX47" s="875"/>
    </row>
    <row r="48" spans="1:43" s="876" customFormat="1" ht="54.75" customHeight="1">
      <c r="A48" s="896"/>
      <c r="B48" s="897"/>
      <c r="C48" s="898"/>
      <c r="D48" s="897"/>
      <c r="E48" s="897"/>
      <c r="F48" s="898"/>
      <c r="G48" s="903"/>
      <c r="H48" s="897"/>
      <c r="I48" s="898"/>
      <c r="J48" s="3312"/>
      <c r="K48" s="3325"/>
      <c r="L48" s="3312"/>
      <c r="M48" s="3312"/>
      <c r="N48" s="3312"/>
      <c r="O48" s="3312"/>
      <c r="P48" s="3325"/>
      <c r="Q48" s="2420"/>
      <c r="R48" s="2527"/>
      <c r="S48" s="3325"/>
      <c r="T48" s="3325"/>
      <c r="U48" s="879" t="s">
        <v>971</v>
      </c>
      <c r="V48" s="902">
        <f aca="true" t="shared" si="0" ref="V48:V57">6000000+200000</f>
        <v>6200000</v>
      </c>
      <c r="W48" s="3351"/>
      <c r="X48" s="3312"/>
      <c r="Y48" s="3312"/>
      <c r="Z48" s="3312"/>
      <c r="AA48" s="3322"/>
      <c r="AB48" s="3322"/>
      <c r="AC48" s="3322"/>
      <c r="AD48" s="3322"/>
      <c r="AE48" s="3354"/>
      <c r="AF48" s="3354"/>
      <c r="AG48" s="3357"/>
      <c r="AH48" s="3354"/>
      <c r="AI48" s="3354"/>
      <c r="AJ48" s="3354"/>
      <c r="AK48" s="3322"/>
      <c r="AL48" s="3322"/>
      <c r="AM48" s="3322"/>
      <c r="AN48" s="3322"/>
      <c r="AO48" s="3331"/>
      <c r="AP48" s="3331"/>
      <c r="AQ48" s="3334"/>
    </row>
    <row r="49" spans="1:43" s="876" customFormat="1" ht="84.75" customHeight="1">
      <c r="A49" s="896"/>
      <c r="B49" s="897"/>
      <c r="C49" s="898"/>
      <c r="D49" s="897"/>
      <c r="E49" s="897"/>
      <c r="F49" s="898"/>
      <c r="G49" s="903"/>
      <c r="H49" s="897"/>
      <c r="I49" s="898"/>
      <c r="J49" s="3312"/>
      <c r="K49" s="3325"/>
      <c r="L49" s="3312"/>
      <c r="M49" s="3312"/>
      <c r="N49" s="3312"/>
      <c r="O49" s="3312"/>
      <c r="P49" s="3325"/>
      <c r="Q49" s="2420"/>
      <c r="R49" s="2527"/>
      <c r="S49" s="3325"/>
      <c r="T49" s="3325"/>
      <c r="U49" s="879" t="s">
        <v>972</v>
      </c>
      <c r="V49" s="902">
        <f t="shared" si="0"/>
        <v>6200000</v>
      </c>
      <c r="W49" s="3351"/>
      <c r="X49" s="3312"/>
      <c r="Y49" s="3312"/>
      <c r="Z49" s="3312"/>
      <c r="AA49" s="3322"/>
      <c r="AB49" s="3322"/>
      <c r="AC49" s="3322"/>
      <c r="AD49" s="3322"/>
      <c r="AE49" s="3354"/>
      <c r="AF49" s="3354"/>
      <c r="AG49" s="3357"/>
      <c r="AH49" s="3354"/>
      <c r="AI49" s="3354"/>
      <c r="AJ49" s="3354"/>
      <c r="AK49" s="3322"/>
      <c r="AL49" s="3322"/>
      <c r="AM49" s="3322"/>
      <c r="AN49" s="3322"/>
      <c r="AO49" s="3331"/>
      <c r="AP49" s="3331"/>
      <c r="AQ49" s="3334"/>
    </row>
    <row r="50" spans="1:43" s="876" customFormat="1" ht="67.5" customHeight="1">
      <c r="A50" s="896"/>
      <c r="B50" s="897"/>
      <c r="C50" s="898"/>
      <c r="D50" s="897"/>
      <c r="E50" s="897"/>
      <c r="F50" s="898"/>
      <c r="G50" s="903"/>
      <c r="H50" s="897"/>
      <c r="I50" s="898"/>
      <c r="J50" s="3312"/>
      <c r="K50" s="3325"/>
      <c r="L50" s="3312"/>
      <c r="M50" s="3312"/>
      <c r="N50" s="3312"/>
      <c r="O50" s="3312"/>
      <c r="P50" s="3325"/>
      <c r="Q50" s="2420"/>
      <c r="R50" s="2527"/>
      <c r="S50" s="3325"/>
      <c r="T50" s="3325"/>
      <c r="U50" s="879" t="s">
        <v>973</v>
      </c>
      <c r="V50" s="902">
        <f t="shared" si="0"/>
        <v>6200000</v>
      </c>
      <c r="W50" s="3351"/>
      <c r="X50" s="3312"/>
      <c r="Y50" s="3312"/>
      <c r="Z50" s="3312"/>
      <c r="AA50" s="3322"/>
      <c r="AB50" s="3322"/>
      <c r="AC50" s="3322"/>
      <c r="AD50" s="3322"/>
      <c r="AE50" s="3354"/>
      <c r="AF50" s="3354"/>
      <c r="AG50" s="3357"/>
      <c r="AH50" s="3354"/>
      <c r="AI50" s="3354"/>
      <c r="AJ50" s="3354"/>
      <c r="AK50" s="3322"/>
      <c r="AL50" s="3322"/>
      <c r="AM50" s="3322"/>
      <c r="AN50" s="3322"/>
      <c r="AO50" s="3331"/>
      <c r="AP50" s="3331"/>
      <c r="AQ50" s="3334"/>
    </row>
    <row r="51" spans="1:43" s="876" customFormat="1" ht="75">
      <c r="A51" s="896"/>
      <c r="B51" s="897"/>
      <c r="C51" s="898"/>
      <c r="D51" s="897"/>
      <c r="E51" s="897"/>
      <c r="F51" s="898"/>
      <c r="G51" s="903"/>
      <c r="H51" s="897"/>
      <c r="I51" s="898"/>
      <c r="J51" s="3312"/>
      <c r="K51" s="3325"/>
      <c r="L51" s="3312"/>
      <c r="M51" s="3312"/>
      <c r="N51" s="3312"/>
      <c r="O51" s="3312"/>
      <c r="P51" s="3325"/>
      <c r="Q51" s="2420"/>
      <c r="R51" s="2527"/>
      <c r="S51" s="3325"/>
      <c r="T51" s="3325"/>
      <c r="U51" s="879" t="s">
        <v>974</v>
      </c>
      <c r="V51" s="902">
        <f t="shared" si="0"/>
        <v>6200000</v>
      </c>
      <c r="W51" s="3351"/>
      <c r="X51" s="3312"/>
      <c r="Y51" s="3312"/>
      <c r="Z51" s="3312"/>
      <c r="AA51" s="3322"/>
      <c r="AB51" s="3322"/>
      <c r="AC51" s="3322"/>
      <c r="AD51" s="3322"/>
      <c r="AE51" s="3354"/>
      <c r="AF51" s="3354"/>
      <c r="AG51" s="3357"/>
      <c r="AH51" s="3354"/>
      <c r="AI51" s="3354"/>
      <c r="AJ51" s="3354"/>
      <c r="AK51" s="3322"/>
      <c r="AL51" s="3322"/>
      <c r="AM51" s="3322"/>
      <c r="AN51" s="3322"/>
      <c r="AO51" s="3331"/>
      <c r="AP51" s="3331"/>
      <c r="AQ51" s="3334"/>
    </row>
    <row r="52" spans="1:43" s="876" customFormat="1" ht="60">
      <c r="A52" s="896"/>
      <c r="B52" s="897"/>
      <c r="C52" s="898"/>
      <c r="D52" s="897"/>
      <c r="E52" s="897"/>
      <c r="F52" s="898"/>
      <c r="G52" s="903"/>
      <c r="H52" s="897"/>
      <c r="I52" s="898"/>
      <c r="J52" s="3312"/>
      <c r="K52" s="3325"/>
      <c r="L52" s="3312"/>
      <c r="M52" s="3312"/>
      <c r="N52" s="3312"/>
      <c r="O52" s="3312"/>
      <c r="P52" s="3325"/>
      <c r="Q52" s="2420"/>
      <c r="R52" s="2527"/>
      <c r="S52" s="3325"/>
      <c r="T52" s="3325"/>
      <c r="U52" s="879" t="s">
        <v>975</v>
      </c>
      <c r="V52" s="902">
        <f t="shared" si="0"/>
        <v>6200000</v>
      </c>
      <c r="W52" s="3351"/>
      <c r="X52" s="3312"/>
      <c r="Y52" s="3312"/>
      <c r="Z52" s="3312"/>
      <c r="AA52" s="3322"/>
      <c r="AB52" s="3322"/>
      <c r="AC52" s="3322"/>
      <c r="AD52" s="3322"/>
      <c r="AE52" s="3354"/>
      <c r="AF52" s="3354"/>
      <c r="AG52" s="3357"/>
      <c r="AH52" s="3354"/>
      <c r="AI52" s="3354"/>
      <c r="AJ52" s="3354"/>
      <c r="AK52" s="3322"/>
      <c r="AL52" s="3322"/>
      <c r="AM52" s="3322"/>
      <c r="AN52" s="3322"/>
      <c r="AO52" s="3331"/>
      <c r="AP52" s="3331"/>
      <c r="AQ52" s="3334"/>
    </row>
    <row r="53" spans="1:43" s="876" customFormat="1" ht="75">
      <c r="A53" s="896"/>
      <c r="B53" s="897"/>
      <c r="C53" s="898"/>
      <c r="D53" s="897"/>
      <c r="E53" s="897"/>
      <c r="F53" s="898"/>
      <c r="G53" s="903"/>
      <c r="H53" s="897"/>
      <c r="I53" s="898"/>
      <c r="J53" s="3312"/>
      <c r="K53" s="3325"/>
      <c r="L53" s="3312"/>
      <c r="M53" s="3312"/>
      <c r="N53" s="3312"/>
      <c r="O53" s="3312"/>
      <c r="P53" s="3325"/>
      <c r="Q53" s="2420"/>
      <c r="R53" s="2527"/>
      <c r="S53" s="3325"/>
      <c r="T53" s="3325"/>
      <c r="U53" s="879" t="s">
        <v>976</v>
      </c>
      <c r="V53" s="902">
        <f t="shared" si="0"/>
        <v>6200000</v>
      </c>
      <c r="W53" s="3351"/>
      <c r="X53" s="3312"/>
      <c r="Y53" s="3312"/>
      <c r="Z53" s="3312"/>
      <c r="AA53" s="3322"/>
      <c r="AB53" s="3322"/>
      <c r="AC53" s="3322"/>
      <c r="AD53" s="3322"/>
      <c r="AE53" s="3354"/>
      <c r="AF53" s="3354"/>
      <c r="AG53" s="3357"/>
      <c r="AH53" s="3354"/>
      <c r="AI53" s="3354"/>
      <c r="AJ53" s="3354"/>
      <c r="AK53" s="3322"/>
      <c r="AL53" s="3322"/>
      <c r="AM53" s="3322"/>
      <c r="AN53" s="3322"/>
      <c r="AO53" s="3331"/>
      <c r="AP53" s="3331"/>
      <c r="AQ53" s="3334"/>
    </row>
    <row r="54" spans="1:43" s="876" customFormat="1" ht="60">
      <c r="A54" s="896"/>
      <c r="B54" s="897"/>
      <c r="C54" s="898"/>
      <c r="D54" s="897"/>
      <c r="E54" s="897"/>
      <c r="F54" s="898"/>
      <c r="G54" s="903"/>
      <c r="H54" s="897"/>
      <c r="I54" s="898"/>
      <c r="J54" s="3312"/>
      <c r="K54" s="3325"/>
      <c r="L54" s="3312"/>
      <c r="M54" s="3312"/>
      <c r="N54" s="3312"/>
      <c r="O54" s="3312"/>
      <c r="P54" s="3325"/>
      <c r="Q54" s="2420"/>
      <c r="R54" s="2527"/>
      <c r="S54" s="3325"/>
      <c r="T54" s="3325"/>
      <c r="U54" s="879" t="s">
        <v>977</v>
      </c>
      <c r="V54" s="902">
        <f t="shared" si="0"/>
        <v>6200000</v>
      </c>
      <c r="W54" s="3351"/>
      <c r="X54" s="3312"/>
      <c r="Y54" s="3312"/>
      <c r="Z54" s="3312"/>
      <c r="AA54" s="3322"/>
      <c r="AB54" s="3322"/>
      <c r="AC54" s="3322"/>
      <c r="AD54" s="3322"/>
      <c r="AE54" s="3354"/>
      <c r="AF54" s="3354"/>
      <c r="AG54" s="3357"/>
      <c r="AH54" s="3354"/>
      <c r="AI54" s="3354"/>
      <c r="AJ54" s="3354"/>
      <c r="AK54" s="3322"/>
      <c r="AL54" s="3322"/>
      <c r="AM54" s="3322"/>
      <c r="AN54" s="3322"/>
      <c r="AO54" s="3331"/>
      <c r="AP54" s="3331"/>
      <c r="AQ54" s="3334"/>
    </row>
    <row r="55" spans="1:43" s="876" customFormat="1" ht="60">
      <c r="A55" s="896"/>
      <c r="B55" s="897"/>
      <c r="C55" s="898"/>
      <c r="D55" s="897"/>
      <c r="E55" s="897"/>
      <c r="F55" s="898"/>
      <c r="G55" s="903"/>
      <c r="H55" s="897"/>
      <c r="I55" s="898"/>
      <c r="J55" s="3312"/>
      <c r="K55" s="3325"/>
      <c r="L55" s="3312"/>
      <c r="M55" s="3312"/>
      <c r="N55" s="3312"/>
      <c r="O55" s="3312"/>
      <c r="P55" s="3325"/>
      <c r="Q55" s="2420"/>
      <c r="R55" s="2527"/>
      <c r="S55" s="3325"/>
      <c r="T55" s="3325"/>
      <c r="U55" s="879" t="s">
        <v>978</v>
      </c>
      <c r="V55" s="902">
        <f t="shared" si="0"/>
        <v>6200000</v>
      </c>
      <c r="W55" s="3351"/>
      <c r="X55" s="3312"/>
      <c r="Y55" s="3312"/>
      <c r="Z55" s="3312"/>
      <c r="AA55" s="3322"/>
      <c r="AB55" s="3322"/>
      <c r="AC55" s="3322"/>
      <c r="AD55" s="3322"/>
      <c r="AE55" s="3354"/>
      <c r="AF55" s="3354"/>
      <c r="AG55" s="3357"/>
      <c r="AH55" s="3354"/>
      <c r="AI55" s="3354"/>
      <c r="AJ55" s="3354"/>
      <c r="AK55" s="3322"/>
      <c r="AL55" s="3322"/>
      <c r="AM55" s="3322"/>
      <c r="AN55" s="3322"/>
      <c r="AO55" s="3331"/>
      <c r="AP55" s="3331"/>
      <c r="AQ55" s="3334"/>
    </row>
    <row r="56" spans="1:43" s="876" customFormat="1" ht="90">
      <c r="A56" s="896"/>
      <c r="B56" s="897"/>
      <c r="C56" s="898"/>
      <c r="D56" s="897"/>
      <c r="E56" s="897"/>
      <c r="F56" s="898"/>
      <c r="G56" s="903"/>
      <c r="H56" s="897"/>
      <c r="I56" s="898"/>
      <c r="J56" s="3312"/>
      <c r="K56" s="3325"/>
      <c r="L56" s="3312"/>
      <c r="M56" s="3312"/>
      <c r="N56" s="3312"/>
      <c r="O56" s="3312"/>
      <c r="P56" s="3325"/>
      <c r="Q56" s="2420"/>
      <c r="R56" s="2527"/>
      <c r="S56" s="3325"/>
      <c r="T56" s="3325"/>
      <c r="U56" s="879" t="s">
        <v>972</v>
      </c>
      <c r="V56" s="902">
        <f t="shared" si="0"/>
        <v>6200000</v>
      </c>
      <c r="W56" s="3351"/>
      <c r="X56" s="3312"/>
      <c r="Y56" s="3312"/>
      <c r="Z56" s="3312"/>
      <c r="AA56" s="3322"/>
      <c r="AB56" s="3322"/>
      <c r="AC56" s="3322"/>
      <c r="AD56" s="3322"/>
      <c r="AE56" s="3354"/>
      <c r="AF56" s="3354"/>
      <c r="AG56" s="3357"/>
      <c r="AH56" s="3354"/>
      <c r="AI56" s="3354"/>
      <c r="AJ56" s="3354"/>
      <c r="AK56" s="3322"/>
      <c r="AL56" s="3322"/>
      <c r="AM56" s="3322"/>
      <c r="AN56" s="3322"/>
      <c r="AO56" s="3331"/>
      <c r="AP56" s="3331"/>
      <c r="AQ56" s="3334"/>
    </row>
    <row r="57" spans="1:43" s="876" customFormat="1" ht="60">
      <c r="A57" s="896"/>
      <c r="B57" s="897"/>
      <c r="C57" s="898"/>
      <c r="D57" s="897"/>
      <c r="E57" s="897"/>
      <c r="F57" s="898"/>
      <c r="G57" s="903"/>
      <c r="H57" s="897"/>
      <c r="I57" s="898"/>
      <c r="J57" s="3312"/>
      <c r="K57" s="3325"/>
      <c r="L57" s="3312"/>
      <c r="M57" s="3312"/>
      <c r="N57" s="3312"/>
      <c r="O57" s="3312"/>
      <c r="P57" s="3325"/>
      <c r="Q57" s="2420"/>
      <c r="R57" s="2527"/>
      <c r="S57" s="3325"/>
      <c r="T57" s="3325"/>
      <c r="U57" s="879" t="s">
        <v>971</v>
      </c>
      <c r="V57" s="902">
        <f t="shared" si="0"/>
        <v>6200000</v>
      </c>
      <c r="W57" s="3351"/>
      <c r="X57" s="3312"/>
      <c r="Y57" s="3312"/>
      <c r="Z57" s="3312"/>
      <c r="AA57" s="3322"/>
      <c r="AB57" s="3322"/>
      <c r="AC57" s="3322"/>
      <c r="AD57" s="3322"/>
      <c r="AE57" s="3354"/>
      <c r="AF57" s="3354"/>
      <c r="AG57" s="3357"/>
      <c r="AH57" s="3354"/>
      <c r="AI57" s="3354"/>
      <c r="AJ57" s="3354"/>
      <c r="AK57" s="3322"/>
      <c r="AL57" s="3322"/>
      <c r="AM57" s="3322"/>
      <c r="AN57" s="3322"/>
      <c r="AO57" s="3331"/>
      <c r="AP57" s="3331"/>
      <c r="AQ57" s="3334"/>
    </row>
    <row r="58" spans="1:46" s="876" customFormat="1" ht="60">
      <c r="A58" s="896"/>
      <c r="B58" s="897"/>
      <c r="C58" s="898"/>
      <c r="D58" s="897"/>
      <c r="E58" s="897"/>
      <c r="F58" s="898"/>
      <c r="G58" s="903"/>
      <c r="H58" s="897"/>
      <c r="I58" s="898"/>
      <c r="J58" s="3313"/>
      <c r="K58" s="3326"/>
      <c r="L58" s="3313"/>
      <c r="M58" s="3313"/>
      <c r="N58" s="3312"/>
      <c r="O58" s="3312"/>
      <c r="P58" s="3325"/>
      <c r="Q58" s="2421"/>
      <c r="R58" s="2527"/>
      <c r="S58" s="3325"/>
      <c r="T58" s="3325"/>
      <c r="U58" s="879" t="s">
        <v>979</v>
      </c>
      <c r="V58" s="902">
        <v>1000000</v>
      </c>
      <c r="W58" s="3351"/>
      <c r="X58" s="3312"/>
      <c r="Y58" s="3312"/>
      <c r="Z58" s="3312"/>
      <c r="AA58" s="3322"/>
      <c r="AB58" s="3322"/>
      <c r="AC58" s="3322"/>
      <c r="AD58" s="3322"/>
      <c r="AE58" s="3354"/>
      <c r="AF58" s="3354"/>
      <c r="AG58" s="3357"/>
      <c r="AH58" s="3354"/>
      <c r="AI58" s="3354"/>
      <c r="AJ58" s="3354"/>
      <c r="AK58" s="3322"/>
      <c r="AL58" s="3322"/>
      <c r="AM58" s="3322"/>
      <c r="AN58" s="3322"/>
      <c r="AO58" s="3331"/>
      <c r="AP58" s="3331"/>
      <c r="AQ58" s="3334"/>
      <c r="AR58" s="878"/>
      <c r="AS58" s="878"/>
      <c r="AT58" s="878"/>
    </row>
    <row r="59" spans="1:50" s="876" customFormat="1" ht="75">
      <c r="A59" s="896"/>
      <c r="B59" s="897"/>
      <c r="C59" s="898"/>
      <c r="D59" s="897"/>
      <c r="E59" s="897"/>
      <c r="F59" s="898"/>
      <c r="G59" s="903"/>
      <c r="H59" s="897"/>
      <c r="I59" s="898"/>
      <c r="J59" s="3311">
        <v>135</v>
      </c>
      <c r="K59" s="3324" t="s">
        <v>980</v>
      </c>
      <c r="L59" s="3311" t="s">
        <v>908</v>
      </c>
      <c r="M59" s="3311">
        <v>12</v>
      </c>
      <c r="N59" s="3312"/>
      <c r="O59" s="3312"/>
      <c r="P59" s="3325"/>
      <c r="Q59" s="2419">
        <f>(V59+V60+V61+V62+V63+V64)/R37</f>
        <v>0.1903030303030303</v>
      </c>
      <c r="R59" s="2527"/>
      <c r="S59" s="3325"/>
      <c r="T59" s="3325"/>
      <c r="U59" s="895" t="s">
        <v>981</v>
      </c>
      <c r="V59" s="902">
        <f>5000000-500000</f>
        <v>4500000</v>
      </c>
      <c r="W59" s="3351"/>
      <c r="X59" s="3312"/>
      <c r="Y59" s="3312"/>
      <c r="Z59" s="3312"/>
      <c r="AA59" s="3322"/>
      <c r="AB59" s="3322"/>
      <c r="AC59" s="3322"/>
      <c r="AD59" s="3322"/>
      <c r="AE59" s="3354"/>
      <c r="AF59" s="3354"/>
      <c r="AG59" s="3357"/>
      <c r="AH59" s="3354"/>
      <c r="AI59" s="3354"/>
      <c r="AJ59" s="3354"/>
      <c r="AK59" s="3322"/>
      <c r="AL59" s="3322"/>
      <c r="AM59" s="3322"/>
      <c r="AN59" s="3322"/>
      <c r="AO59" s="3331"/>
      <c r="AP59" s="3331"/>
      <c r="AQ59" s="3334"/>
      <c r="AV59" s="878"/>
      <c r="AW59" s="904"/>
      <c r="AX59" s="875"/>
    </row>
    <row r="60" spans="1:43" s="876" customFormat="1" ht="75">
      <c r="A60" s="896"/>
      <c r="B60" s="897"/>
      <c r="C60" s="898"/>
      <c r="D60" s="897"/>
      <c r="E60" s="897"/>
      <c r="F60" s="898"/>
      <c r="G60" s="903"/>
      <c r="H60" s="897"/>
      <c r="I60" s="898"/>
      <c r="J60" s="3312"/>
      <c r="K60" s="3325"/>
      <c r="L60" s="3312"/>
      <c r="M60" s="3312"/>
      <c r="N60" s="3312"/>
      <c r="O60" s="3312"/>
      <c r="P60" s="3325"/>
      <c r="Q60" s="2420"/>
      <c r="R60" s="2527"/>
      <c r="S60" s="3325"/>
      <c r="T60" s="3325"/>
      <c r="U60" s="895" t="s">
        <v>982</v>
      </c>
      <c r="V60" s="902">
        <f>5000000-500000</f>
        <v>4500000</v>
      </c>
      <c r="W60" s="3351"/>
      <c r="X60" s="3312"/>
      <c r="Y60" s="3312"/>
      <c r="Z60" s="3312"/>
      <c r="AA60" s="3322"/>
      <c r="AB60" s="3322"/>
      <c r="AC60" s="3322"/>
      <c r="AD60" s="3322"/>
      <c r="AE60" s="3354"/>
      <c r="AF60" s="3354"/>
      <c r="AG60" s="3357"/>
      <c r="AH60" s="3354"/>
      <c r="AI60" s="3354"/>
      <c r="AJ60" s="3354"/>
      <c r="AK60" s="3322"/>
      <c r="AL60" s="3322"/>
      <c r="AM60" s="3322"/>
      <c r="AN60" s="3322"/>
      <c r="AO60" s="3331"/>
      <c r="AP60" s="3331"/>
      <c r="AQ60" s="3334"/>
    </row>
    <row r="61" spans="1:43" s="876" customFormat="1" ht="90">
      <c r="A61" s="896"/>
      <c r="B61" s="897"/>
      <c r="C61" s="898"/>
      <c r="D61" s="897"/>
      <c r="E61" s="897"/>
      <c r="F61" s="898"/>
      <c r="G61" s="903"/>
      <c r="H61" s="897"/>
      <c r="I61" s="898"/>
      <c r="J61" s="3312"/>
      <c r="K61" s="3325"/>
      <c r="L61" s="3312"/>
      <c r="M61" s="3312"/>
      <c r="N61" s="3312"/>
      <c r="O61" s="3312"/>
      <c r="P61" s="3325"/>
      <c r="Q61" s="2420"/>
      <c r="R61" s="2527"/>
      <c r="S61" s="3325"/>
      <c r="T61" s="3325"/>
      <c r="U61" s="895" t="s">
        <v>983</v>
      </c>
      <c r="V61" s="902">
        <f>5000000-500000</f>
        <v>4500000</v>
      </c>
      <c r="W61" s="3351"/>
      <c r="X61" s="3312"/>
      <c r="Y61" s="3312"/>
      <c r="Z61" s="3312"/>
      <c r="AA61" s="3322"/>
      <c r="AB61" s="3322"/>
      <c r="AC61" s="3322"/>
      <c r="AD61" s="3322"/>
      <c r="AE61" s="3354"/>
      <c r="AF61" s="3354"/>
      <c r="AG61" s="3357"/>
      <c r="AH61" s="3354"/>
      <c r="AI61" s="3354"/>
      <c r="AJ61" s="3354"/>
      <c r="AK61" s="3322"/>
      <c r="AL61" s="3322"/>
      <c r="AM61" s="3322"/>
      <c r="AN61" s="3322"/>
      <c r="AO61" s="3331"/>
      <c r="AP61" s="3331"/>
      <c r="AQ61" s="3334"/>
    </row>
    <row r="62" spans="1:43" s="876" customFormat="1" ht="105">
      <c r="A62" s="896"/>
      <c r="B62" s="897"/>
      <c r="C62" s="898"/>
      <c r="D62" s="897"/>
      <c r="E62" s="897"/>
      <c r="F62" s="898"/>
      <c r="G62" s="903"/>
      <c r="H62" s="897"/>
      <c r="I62" s="898"/>
      <c r="J62" s="3312"/>
      <c r="K62" s="3325"/>
      <c r="L62" s="3312"/>
      <c r="M62" s="3312"/>
      <c r="N62" s="3312"/>
      <c r="O62" s="3312"/>
      <c r="P62" s="3325"/>
      <c r="Q62" s="2420"/>
      <c r="R62" s="2527"/>
      <c r="S62" s="3325"/>
      <c r="T62" s="3325"/>
      <c r="U62" s="895" t="s">
        <v>984</v>
      </c>
      <c r="V62" s="902">
        <f>5000000-500000</f>
        <v>4500000</v>
      </c>
      <c r="W62" s="3351"/>
      <c r="X62" s="3312"/>
      <c r="Y62" s="3312"/>
      <c r="Z62" s="3312"/>
      <c r="AA62" s="3322"/>
      <c r="AB62" s="3322"/>
      <c r="AC62" s="3322"/>
      <c r="AD62" s="3322"/>
      <c r="AE62" s="3354"/>
      <c r="AF62" s="3354"/>
      <c r="AG62" s="3357"/>
      <c r="AH62" s="3354"/>
      <c r="AI62" s="3354"/>
      <c r="AJ62" s="3354"/>
      <c r="AK62" s="3322"/>
      <c r="AL62" s="3322"/>
      <c r="AM62" s="3322"/>
      <c r="AN62" s="3322"/>
      <c r="AO62" s="3331"/>
      <c r="AP62" s="3331"/>
      <c r="AQ62" s="3334"/>
    </row>
    <row r="63" spans="1:43" s="876" customFormat="1" ht="75">
      <c r="A63" s="896"/>
      <c r="B63" s="897"/>
      <c r="C63" s="898"/>
      <c r="D63" s="897"/>
      <c r="E63" s="897"/>
      <c r="F63" s="898"/>
      <c r="G63" s="903"/>
      <c r="H63" s="897"/>
      <c r="I63" s="898"/>
      <c r="J63" s="3312"/>
      <c r="K63" s="3325"/>
      <c r="L63" s="3312"/>
      <c r="M63" s="3312"/>
      <c r="N63" s="3312"/>
      <c r="O63" s="3312"/>
      <c r="P63" s="3325"/>
      <c r="Q63" s="2420"/>
      <c r="R63" s="2527"/>
      <c r="S63" s="3325"/>
      <c r="T63" s="3325"/>
      <c r="U63" s="895" t="s">
        <v>985</v>
      </c>
      <c r="V63" s="902">
        <f>5000000-500000</f>
        <v>4500000</v>
      </c>
      <c r="W63" s="3351"/>
      <c r="X63" s="3312"/>
      <c r="Y63" s="3312"/>
      <c r="Z63" s="3312"/>
      <c r="AA63" s="3322"/>
      <c r="AB63" s="3322"/>
      <c r="AC63" s="3322"/>
      <c r="AD63" s="3322"/>
      <c r="AE63" s="3354"/>
      <c r="AF63" s="3354"/>
      <c r="AG63" s="3357"/>
      <c r="AH63" s="3354"/>
      <c r="AI63" s="3354"/>
      <c r="AJ63" s="3354"/>
      <c r="AK63" s="3322"/>
      <c r="AL63" s="3322"/>
      <c r="AM63" s="3322"/>
      <c r="AN63" s="3322"/>
      <c r="AO63" s="3331"/>
      <c r="AP63" s="3331"/>
      <c r="AQ63" s="3334"/>
    </row>
    <row r="64" spans="1:46" s="876" customFormat="1" ht="60">
      <c r="A64" s="896"/>
      <c r="B64" s="897"/>
      <c r="C64" s="898"/>
      <c r="D64" s="897"/>
      <c r="E64" s="897"/>
      <c r="F64" s="898"/>
      <c r="G64" s="905"/>
      <c r="H64" s="906"/>
      <c r="I64" s="907"/>
      <c r="J64" s="3313"/>
      <c r="K64" s="3326"/>
      <c r="L64" s="3313"/>
      <c r="M64" s="3313"/>
      <c r="N64" s="3313"/>
      <c r="O64" s="3313"/>
      <c r="P64" s="3326"/>
      <c r="Q64" s="2421"/>
      <c r="R64" s="2528"/>
      <c r="S64" s="3326"/>
      <c r="T64" s="3326"/>
      <c r="U64" s="895" t="s">
        <v>986</v>
      </c>
      <c r="V64" s="902">
        <f>10000000-1100000</f>
        <v>8900000</v>
      </c>
      <c r="W64" s="3352"/>
      <c r="X64" s="3313"/>
      <c r="Y64" s="3313"/>
      <c r="Z64" s="3313"/>
      <c r="AA64" s="3323"/>
      <c r="AB64" s="3323"/>
      <c r="AC64" s="3323"/>
      <c r="AD64" s="3323"/>
      <c r="AE64" s="3355"/>
      <c r="AF64" s="3355"/>
      <c r="AG64" s="3358"/>
      <c r="AH64" s="3355"/>
      <c r="AI64" s="3355"/>
      <c r="AJ64" s="3355"/>
      <c r="AK64" s="3323"/>
      <c r="AL64" s="3323"/>
      <c r="AM64" s="3323"/>
      <c r="AN64" s="3323"/>
      <c r="AO64" s="3332"/>
      <c r="AP64" s="3332"/>
      <c r="AQ64" s="3335"/>
      <c r="AR64" s="878"/>
      <c r="AS64" s="878"/>
      <c r="AT64" s="878"/>
    </row>
    <row r="65" spans="1:43" ht="33" customHeight="1">
      <c r="A65" s="853"/>
      <c r="B65" s="854"/>
      <c r="C65" s="855"/>
      <c r="D65" s="854"/>
      <c r="E65" s="854"/>
      <c r="F65" s="855"/>
      <c r="G65" s="891">
        <v>38</v>
      </c>
      <c r="H65" s="859" t="s">
        <v>987</v>
      </c>
      <c r="I65" s="859"/>
      <c r="J65" s="859"/>
      <c r="K65" s="860"/>
      <c r="L65" s="859"/>
      <c r="M65" s="859"/>
      <c r="N65" s="861"/>
      <c r="O65" s="859"/>
      <c r="P65" s="860"/>
      <c r="Q65" s="859"/>
      <c r="R65" s="892"/>
      <c r="S65" s="859"/>
      <c r="T65" s="860"/>
      <c r="U65" s="860"/>
      <c r="V65" s="893"/>
      <c r="W65" s="894"/>
      <c r="X65" s="861"/>
      <c r="Y65" s="861"/>
      <c r="Z65" s="861"/>
      <c r="AA65" s="861"/>
      <c r="AB65" s="861"/>
      <c r="AC65" s="861"/>
      <c r="AD65" s="861"/>
      <c r="AE65" s="861"/>
      <c r="AF65" s="861"/>
      <c r="AG65" s="861"/>
      <c r="AH65" s="861"/>
      <c r="AI65" s="861"/>
      <c r="AJ65" s="861"/>
      <c r="AK65" s="861"/>
      <c r="AL65" s="861"/>
      <c r="AM65" s="861"/>
      <c r="AN65" s="861"/>
      <c r="AO65" s="859"/>
      <c r="AP65" s="859"/>
      <c r="AQ65" s="866"/>
    </row>
    <row r="66" spans="1:43" s="876" customFormat="1" ht="75" customHeight="1">
      <c r="A66" s="867"/>
      <c r="B66" s="868"/>
      <c r="C66" s="869"/>
      <c r="D66" s="868"/>
      <c r="E66" s="868"/>
      <c r="F66" s="869"/>
      <c r="G66" s="870"/>
      <c r="H66" s="871"/>
      <c r="I66" s="872"/>
      <c r="J66" s="3311">
        <v>136</v>
      </c>
      <c r="K66" s="3311" t="s">
        <v>988</v>
      </c>
      <c r="L66" s="3311" t="s">
        <v>908</v>
      </c>
      <c r="M66" s="3311">
        <v>12</v>
      </c>
      <c r="N66" s="3311" t="s">
        <v>989</v>
      </c>
      <c r="O66" s="3311">
        <v>135</v>
      </c>
      <c r="P66" s="3324" t="s">
        <v>990</v>
      </c>
      <c r="Q66" s="2419">
        <f>(V66+V67+V68+V69+V70+V71+V72+V73+V74)/R66</f>
        <v>0.2869150937874832</v>
      </c>
      <c r="R66" s="2526">
        <f>SUM(V66:V84)</f>
        <v>148649900</v>
      </c>
      <c r="S66" s="3324" t="s">
        <v>991</v>
      </c>
      <c r="T66" s="3311" t="s">
        <v>992</v>
      </c>
      <c r="U66" s="908" t="s">
        <v>993</v>
      </c>
      <c r="V66" s="909">
        <v>4500000</v>
      </c>
      <c r="W66" s="3350">
        <v>61</v>
      </c>
      <c r="X66" s="3311" t="s">
        <v>914</v>
      </c>
      <c r="Y66" s="3311">
        <v>292684</v>
      </c>
      <c r="Z66" s="3311">
        <v>282326</v>
      </c>
      <c r="AA66" s="3353">
        <v>135912</v>
      </c>
      <c r="AB66" s="3353">
        <v>45122</v>
      </c>
      <c r="AC66" s="3359">
        <f>SUM(AC37)</f>
        <v>307101</v>
      </c>
      <c r="AD66" s="3353">
        <f>SUM(AD37)</f>
        <v>86875</v>
      </c>
      <c r="AE66" s="3353">
        <f>SUM(AE37)</f>
        <v>2145</v>
      </c>
      <c r="AF66" s="3353">
        <v>12718</v>
      </c>
      <c r="AG66" s="3353">
        <v>26</v>
      </c>
      <c r="AH66" s="3353">
        <v>37</v>
      </c>
      <c r="AI66" s="3353" t="s">
        <v>915</v>
      </c>
      <c r="AJ66" s="3359" t="s">
        <v>915</v>
      </c>
      <c r="AK66" s="3353">
        <v>53164</v>
      </c>
      <c r="AL66" s="3353">
        <v>16982</v>
      </c>
      <c r="AM66" s="3359">
        <v>60013</v>
      </c>
      <c r="AN66" s="3353">
        <v>575010</v>
      </c>
      <c r="AO66" s="3330">
        <v>43101</v>
      </c>
      <c r="AP66" s="3330">
        <v>43465</v>
      </c>
      <c r="AQ66" s="3333" t="s">
        <v>916</v>
      </c>
    </row>
    <row r="67" spans="1:43" s="876" customFormat="1" ht="90">
      <c r="A67" s="867"/>
      <c r="B67" s="868"/>
      <c r="C67" s="869"/>
      <c r="D67" s="868"/>
      <c r="E67" s="868"/>
      <c r="F67" s="869"/>
      <c r="G67" s="877"/>
      <c r="H67" s="868"/>
      <c r="I67" s="869"/>
      <c r="J67" s="3312"/>
      <c r="K67" s="3312"/>
      <c r="L67" s="3312"/>
      <c r="M67" s="3312"/>
      <c r="N67" s="3312"/>
      <c r="O67" s="3312"/>
      <c r="P67" s="3325"/>
      <c r="Q67" s="2420"/>
      <c r="R67" s="2527"/>
      <c r="S67" s="3325"/>
      <c r="T67" s="3312"/>
      <c r="U67" s="908" t="s">
        <v>994</v>
      </c>
      <c r="V67" s="909">
        <v>7149900</v>
      </c>
      <c r="W67" s="3351"/>
      <c r="X67" s="3312"/>
      <c r="Y67" s="3312"/>
      <c r="Z67" s="3312"/>
      <c r="AA67" s="3354"/>
      <c r="AB67" s="3354"/>
      <c r="AC67" s="3360"/>
      <c r="AD67" s="3354"/>
      <c r="AE67" s="3354"/>
      <c r="AF67" s="3354"/>
      <c r="AG67" s="3354"/>
      <c r="AH67" s="3354"/>
      <c r="AI67" s="3354"/>
      <c r="AJ67" s="3360"/>
      <c r="AK67" s="3354"/>
      <c r="AL67" s="3354"/>
      <c r="AM67" s="3360"/>
      <c r="AN67" s="3354"/>
      <c r="AO67" s="3331"/>
      <c r="AP67" s="3331"/>
      <c r="AQ67" s="3334"/>
    </row>
    <row r="68" spans="1:43" s="876" customFormat="1" ht="90">
      <c r="A68" s="867"/>
      <c r="B68" s="868"/>
      <c r="C68" s="869"/>
      <c r="D68" s="868"/>
      <c r="E68" s="868"/>
      <c r="F68" s="869"/>
      <c r="G68" s="877"/>
      <c r="H68" s="868"/>
      <c r="I68" s="869"/>
      <c r="J68" s="3312"/>
      <c r="K68" s="3312"/>
      <c r="L68" s="3312"/>
      <c r="M68" s="3312"/>
      <c r="N68" s="3312"/>
      <c r="O68" s="3312"/>
      <c r="P68" s="3325"/>
      <c r="Q68" s="2420"/>
      <c r="R68" s="2527"/>
      <c r="S68" s="3325"/>
      <c r="T68" s="3312"/>
      <c r="U68" s="908" t="s">
        <v>995</v>
      </c>
      <c r="V68" s="909">
        <v>4500000</v>
      </c>
      <c r="W68" s="3351"/>
      <c r="X68" s="3312"/>
      <c r="Y68" s="3312"/>
      <c r="Z68" s="3312"/>
      <c r="AA68" s="3354"/>
      <c r="AB68" s="3354"/>
      <c r="AC68" s="3360"/>
      <c r="AD68" s="3354"/>
      <c r="AE68" s="3354"/>
      <c r="AF68" s="3354"/>
      <c r="AG68" s="3354"/>
      <c r="AH68" s="3354"/>
      <c r="AI68" s="3354"/>
      <c r="AJ68" s="3360"/>
      <c r="AK68" s="3354"/>
      <c r="AL68" s="3354"/>
      <c r="AM68" s="3360"/>
      <c r="AN68" s="3354"/>
      <c r="AO68" s="3331"/>
      <c r="AP68" s="3331"/>
      <c r="AQ68" s="3334"/>
    </row>
    <row r="69" spans="1:43" s="876" customFormat="1" ht="60">
      <c r="A69" s="867"/>
      <c r="B69" s="868"/>
      <c r="C69" s="869"/>
      <c r="D69" s="868"/>
      <c r="E69" s="868"/>
      <c r="F69" s="869"/>
      <c r="G69" s="877"/>
      <c r="H69" s="868"/>
      <c r="I69" s="869"/>
      <c r="J69" s="3312"/>
      <c r="K69" s="3312"/>
      <c r="L69" s="3312"/>
      <c r="M69" s="3312"/>
      <c r="N69" s="3312"/>
      <c r="O69" s="3312"/>
      <c r="P69" s="3325"/>
      <c r="Q69" s="2420"/>
      <c r="R69" s="2527"/>
      <c r="S69" s="3325"/>
      <c r="T69" s="3312"/>
      <c r="U69" s="908" t="s">
        <v>996</v>
      </c>
      <c r="V69" s="909">
        <v>4500000</v>
      </c>
      <c r="W69" s="3351"/>
      <c r="X69" s="3312"/>
      <c r="Y69" s="3312"/>
      <c r="Z69" s="3312"/>
      <c r="AA69" s="3354"/>
      <c r="AB69" s="3354"/>
      <c r="AC69" s="3360"/>
      <c r="AD69" s="3354"/>
      <c r="AE69" s="3354"/>
      <c r="AF69" s="3354"/>
      <c r="AG69" s="3354"/>
      <c r="AH69" s="3354"/>
      <c r="AI69" s="3354"/>
      <c r="AJ69" s="3360"/>
      <c r="AK69" s="3354"/>
      <c r="AL69" s="3354"/>
      <c r="AM69" s="3360"/>
      <c r="AN69" s="3354"/>
      <c r="AO69" s="3331"/>
      <c r="AP69" s="3331"/>
      <c r="AQ69" s="3334"/>
    </row>
    <row r="70" spans="1:43" s="876" customFormat="1" ht="105">
      <c r="A70" s="867"/>
      <c r="B70" s="868"/>
      <c r="C70" s="869"/>
      <c r="D70" s="868"/>
      <c r="E70" s="868"/>
      <c r="F70" s="869"/>
      <c r="G70" s="877"/>
      <c r="H70" s="868"/>
      <c r="I70" s="869"/>
      <c r="J70" s="3312"/>
      <c r="K70" s="3312"/>
      <c r="L70" s="3312"/>
      <c r="M70" s="3312"/>
      <c r="N70" s="3312"/>
      <c r="O70" s="3312"/>
      <c r="P70" s="3325"/>
      <c r="Q70" s="2420"/>
      <c r="R70" s="2527"/>
      <c r="S70" s="3325"/>
      <c r="T70" s="3312"/>
      <c r="U70" s="908" t="s">
        <v>997</v>
      </c>
      <c r="V70" s="909">
        <v>4500000</v>
      </c>
      <c r="W70" s="3351"/>
      <c r="X70" s="3312"/>
      <c r="Y70" s="3312"/>
      <c r="Z70" s="3312"/>
      <c r="AA70" s="3354"/>
      <c r="AB70" s="3354"/>
      <c r="AC70" s="3360"/>
      <c r="AD70" s="3354"/>
      <c r="AE70" s="3354"/>
      <c r="AF70" s="3354"/>
      <c r="AG70" s="3354"/>
      <c r="AH70" s="3354"/>
      <c r="AI70" s="3354"/>
      <c r="AJ70" s="3360"/>
      <c r="AK70" s="3354"/>
      <c r="AL70" s="3354"/>
      <c r="AM70" s="3360"/>
      <c r="AN70" s="3354"/>
      <c r="AO70" s="3331"/>
      <c r="AP70" s="3331"/>
      <c r="AQ70" s="3334"/>
    </row>
    <row r="71" spans="1:43" s="876" customFormat="1" ht="120">
      <c r="A71" s="867"/>
      <c r="B71" s="868"/>
      <c r="C71" s="869"/>
      <c r="D71" s="868"/>
      <c r="E71" s="868"/>
      <c r="F71" s="869"/>
      <c r="G71" s="877"/>
      <c r="H71" s="868"/>
      <c r="I71" s="869"/>
      <c r="J71" s="3312"/>
      <c r="K71" s="3312"/>
      <c r="L71" s="3312"/>
      <c r="M71" s="3312"/>
      <c r="N71" s="3312"/>
      <c r="O71" s="3312"/>
      <c r="P71" s="3325"/>
      <c r="Q71" s="2420"/>
      <c r="R71" s="2527"/>
      <c r="S71" s="3325"/>
      <c r="T71" s="3312"/>
      <c r="U71" s="908" t="s">
        <v>998</v>
      </c>
      <c r="V71" s="909">
        <v>4500000</v>
      </c>
      <c r="W71" s="3351"/>
      <c r="X71" s="3312"/>
      <c r="Y71" s="3312"/>
      <c r="Z71" s="3312"/>
      <c r="AA71" s="3354"/>
      <c r="AB71" s="3354"/>
      <c r="AC71" s="3360"/>
      <c r="AD71" s="3354"/>
      <c r="AE71" s="3354"/>
      <c r="AF71" s="3354"/>
      <c r="AG71" s="3354"/>
      <c r="AH71" s="3354"/>
      <c r="AI71" s="3354"/>
      <c r="AJ71" s="3360"/>
      <c r="AK71" s="3354"/>
      <c r="AL71" s="3354"/>
      <c r="AM71" s="3360"/>
      <c r="AN71" s="3354"/>
      <c r="AO71" s="3331"/>
      <c r="AP71" s="3331"/>
      <c r="AQ71" s="3334"/>
    </row>
    <row r="72" spans="1:43" s="876" customFormat="1" ht="75">
      <c r="A72" s="867"/>
      <c r="B72" s="868"/>
      <c r="C72" s="869"/>
      <c r="D72" s="868"/>
      <c r="E72" s="868"/>
      <c r="F72" s="869"/>
      <c r="G72" s="877"/>
      <c r="H72" s="868"/>
      <c r="I72" s="869"/>
      <c r="J72" s="3312"/>
      <c r="K72" s="3312"/>
      <c r="L72" s="3312"/>
      <c r="M72" s="3312"/>
      <c r="N72" s="3312"/>
      <c r="O72" s="3312"/>
      <c r="P72" s="3325"/>
      <c r="Q72" s="2420"/>
      <c r="R72" s="2527"/>
      <c r="S72" s="3325"/>
      <c r="T72" s="3312"/>
      <c r="U72" s="908" t="s">
        <v>999</v>
      </c>
      <c r="V72" s="909">
        <v>4500000</v>
      </c>
      <c r="W72" s="3351"/>
      <c r="X72" s="3312"/>
      <c r="Y72" s="3312"/>
      <c r="Z72" s="3312"/>
      <c r="AA72" s="3354"/>
      <c r="AB72" s="3354"/>
      <c r="AC72" s="3360"/>
      <c r="AD72" s="3354"/>
      <c r="AE72" s="3354"/>
      <c r="AF72" s="3354"/>
      <c r="AG72" s="3354"/>
      <c r="AH72" s="3354"/>
      <c r="AI72" s="3354"/>
      <c r="AJ72" s="3360"/>
      <c r="AK72" s="3354"/>
      <c r="AL72" s="3354"/>
      <c r="AM72" s="3360"/>
      <c r="AN72" s="3354"/>
      <c r="AO72" s="3331"/>
      <c r="AP72" s="3331"/>
      <c r="AQ72" s="3334"/>
    </row>
    <row r="73" spans="1:43" s="876" customFormat="1" ht="60">
      <c r="A73" s="867"/>
      <c r="B73" s="868"/>
      <c r="C73" s="869"/>
      <c r="D73" s="868"/>
      <c r="E73" s="868"/>
      <c r="F73" s="869"/>
      <c r="G73" s="877"/>
      <c r="H73" s="868"/>
      <c r="I73" s="869"/>
      <c r="J73" s="3312"/>
      <c r="K73" s="3312"/>
      <c r="L73" s="3312"/>
      <c r="M73" s="3312"/>
      <c r="N73" s="3312"/>
      <c r="O73" s="3312"/>
      <c r="P73" s="3325"/>
      <c r="Q73" s="2420"/>
      <c r="R73" s="2527"/>
      <c r="S73" s="3325"/>
      <c r="T73" s="3312"/>
      <c r="U73" s="908" t="s">
        <v>1000</v>
      </c>
      <c r="V73" s="909">
        <v>4500000</v>
      </c>
      <c r="W73" s="3351"/>
      <c r="X73" s="3312"/>
      <c r="Y73" s="3312"/>
      <c r="Z73" s="3312"/>
      <c r="AA73" s="3354"/>
      <c r="AB73" s="3354"/>
      <c r="AC73" s="3360"/>
      <c r="AD73" s="3354"/>
      <c r="AE73" s="3354"/>
      <c r="AF73" s="3354"/>
      <c r="AG73" s="3354"/>
      <c r="AH73" s="3354"/>
      <c r="AI73" s="3354"/>
      <c r="AJ73" s="3360"/>
      <c r="AK73" s="3354"/>
      <c r="AL73" s="3354"/>
      <c r="AM73" s="3360"/>
      <c r="AN73" s="3354"/>
      <c r="AO73" s="3331"/>
      <c r="AP73" s="3331"/>
      <c r="AQ73" s="3334"/>
    </row>
    <row r="74" spans="1:46" s="876" customFormat="1" ht="105">
      <c r="A74" s="867"/>
      <c r="B74" s="868"/>
      <c r="C74" s="869"/>
      <c r="D74" s="868"/>
      <c r="E74" s="868"/>
      <c r="F74" s="869"/>
      <c r="G74" s="877"/>
      <c r="H74" s="868"/>
      <c r="I74" s="869"/>
      <c r="J74" s="3313"/>
      <c r="K74" s="3313"/>
      <c r="L74" s="3313"/>
      <c r="M74" s="3313"/>
      <c r="N74" s="3312"/>
      <c r="O74" s="3312"/>
      <c r="P74" s="3325"/>
      <c r="Q74" s="2421"/>
      <c r="R74" s="2527"/>
      <c r="S74" s="3325"/>
      <c r="T74" s="3313"/>
      <c r="U74" s="908" t="s">
        <v>1001</v>
      </c>
      <c r="V74" s="909">
        <v>4000000</v>
      </c>
      <c r="W74" s="3351"/>
      <c r="X74" s="3312"/>
      <c r="Y74" s="3312"/>
      <c r="Z74" s="3312"/>
      <c r="AA74" s="3354"/>
      <c r="AB74" s="3354"/>
      <c r="AC74" s="3360"/>
      <c r="AD74" s="3354"/>
      <c r="AE74" s="3354"/>
      <c r="AF74" s="3354"/>
      <c r="AG74" s="3354"/>
      <c r="AH74" s="3354"/>
      <c r="AI74" s="3354"/>
      <c r="AJ74" s="3360"/>
      <c r="AK74" s="3354"/>
      <c r="AL74" s="3354"/>
      <c r="AM74" s="3360"/>
      <c r="AN74" s="3354"/>
      <c r="AO74" s="3331"/>
      <c r="AP74" s="3331"/>
      <c r="AQ74" s="3334"/>
      <c r="AR74" s="878"/>
      <c r="AS74" s="878"/>
      <c r="AT74" s="878"/>
    </row>
    <row r="75" spans="1:43" s="876" customFormat="1" ht="60">
      <c r="A75" s="867"/>
      <c r="B75" s="868"/>
      <c r="C75" s="869"/>
      <c r="D75" s="868"/>
      <c r="E75" s="868"/>
      <c r="F75" s="869"/>
      <c r="G75" s="877"/>
      <c r="H75" s="868"/>
      <c r="I75" s="869"/>
      <c r="J75" s="3311">
        <v>137</v>
      </c>
      <c r="K75" s="3324" t="s">
        <v>1002</v>
      </c>
      <c r="L75" s="3311" t="s">
        <v>908</v>
      </c>
      <c r="M75" s="3311">
        <v>12</v>
      </c>
      <c r="N75" s="3312"/>
      <c r="O75" s="3312"/>
      <c r="P75" s="3325"/>
      <c r="Q75" s="2419">
        <f>(V75+V79+V76+V77+V78)/R66</f>
        <v>0.3565424531062584</v>
      </c>
      <c r="R75" s="2527"/>
      <c r="S75" s="3325"/>
      <c r="T75" s="3324" t="s">
        <v>1003</v>
      </c>
      <c r="U75" s="908" t="s">
        <v>1004</v>
      </c>
      <c r="V75" s="909">
        <v>10600000</v>
      </c>
      <c r="W75" s="3351"/>
      <c r="X75" s="3312"/>
      <c r="Y75" s="3312"/>
      <c r="Z75" s="3312"/>
      <c r="AA75" s="3354"/>
      <c r="AB75" s="3354"/>
      <c r="AC75" s="3360"/>
      <c r="AD75" s="3354"/>
      <c r="AE75" s="3354"/>
      <c r="AF75" s="3354"/>
      <c r="AG75" s="3354"/>
      <c r="AH75" s="3354"/>
      <c r="AI75" s="3354"/>
      <c r="AJ75" s="3360"/>
      <c r="AK75" s="3354"/>
      <c r="AL75" s="3354"/>
      <c r="AM75" s="3360"/>
      <c r="AN75" s="3354"/>
      <c r="AO75" s="3331"/>
      <c r="AP75" s="3331"/>
      <c r="AQ75" s="3334"/>
    </row>
    <row r="76" spans="1:43" s="876" customFormat="1" ht="90">
      <c r="A76" s="867"/>
      <c r="B76" s="868"/>
      <c r="C76" s="869"/>
      <c r="D76" s="868"/>
      <c r="E76" s="868"/>
      <c r="F76" s="869"/>
      <c r="G76" s="877"/>
      <c r="H76" s="868"/>
      <c r="I76" s="869"/>
      <c r="J76" s="3312"/>
      <c r="K76" s="3325"/>
      <c r="L76" s="3312"/>
      <c r="M76" s="3312"/>
      <c r="N76" s="3312"/>
      <c r="O76" s="3312"/>
      <c r="P76" s="3325"/>
      <c r="Q76" s="2420"/>
      <c r="R76" s="2527"/>
      <c r="S76" s="3325"/>
      <c r="T76" s="3325"/>
      <c r="U76" s="908" t="s">
        <v>1005</v>
      </c>
      <c r="V76" s="909">
        <v>10600000</v>
      </c>
      <c r="W76" s="3351"/>
      <c r="X76" s="3312"/>
      <c r="Y76" s="3312"/>
      <c r="Z76" s="3312"/>
      <c r="AA76" s="3354"/>
      <c r="AB76" s="3354"/>
      <c r="AC76" s="3360"/>
      <c r="AD76" s="3354"/>
      <c r="AE76" s="3354"/>
      <c r="AF76" s="3354"/>
      <c r="AG76" s="3354"/>
      <c r="AH76" s="3354"/>
      <c r="AI76" s="3354"/>
      <c r="AJ76" s="3360"/>
      <c r="AK76" s="3354"/>
      <c r="AL76" s="3354"/>
      <c r="AM76" s="3360"/>
      <c r="AN76" s="3354"/>
      <c r="AO76" s="3331"/>
      <c r="AP76" s="3331"/>
      <c r="AQ76" s="3334"/>
    </row>
    <row r="77" spans="1:43" s="876" customFormat="1" ht="75">
      <c r="A77" s="867"/>
      <c r="B77" s="868"/>
      <c r="C77" s="869"/>
      <c r="D77" s="868"/>
      <c r="E77" s="868"/>
      <c r="F77" s="869"/>
      <c r="G77" s="877"/>
      <c r="H77" s="868"/>
      <c r="I77" s="869"/>
      <c r="J77" s="3312"/>
      <c r="K77" s="3325"/>
      <c r="L77" s="3312"/>
      <c r="M77" s="3312"/>
      <c r="N77" s="3312"/>
      <c r="O77" s="3312"/>
      <c r="P77" s="3325"/>
      <c r="Q77" s="2420"/>
      <c r="R77" s="2527"/>
      <c r="S77" s="3325"/>
      <c r="T77" s="3325"/>
      <c r="U77" s="908" t="s">
        <v>1006</v>
      </c>
      <c r="V77" s="909">
        <v>10600000</v>
      </c>
      <c r="W77" s="3351"/>
      <c r="X77" s="3312"/>
      <c r="Y77" s="3312"/>
      <c r="Z77" s="3312"/>
      <c r="AA77" s="3354"/>
      <c r="AB77" s="3354"/>
      <c r="AC77" s="3360"/>
      <c r="AD77" s="3354"/>
      <c r="AE77" s="3354"/>
      <c r="AF77" s="3354"/>
      <c r="AG77" s="3354"/>
      <c r="AH77" s="3354"/>
      <c r="AI77" s="3354"/>
      <c r="AJ77" s="3360"/>
      <c r="AK77" s="3354"/>
      <c r="AL77" s="3354"/>
      <c r="AM77" s="3360"/>
      <c r="AN77" s="3354"/>
      <c r="AO77" s="3331"/>
      <c r="AP77" s="3331"/>
      <c r="AQ77" s="3334"/>
    </row>
    <row r="78" spans="1:43" s="876" customFormat="1" ht="75">
      <c r="A78" s="867"/>
      <c r="B78" s="868"/>
      <c r="C78" s="869"/>
      <c r="D78" s="868"/>
      <c r="E78" s="868"/>
      <c r="F78" s="869"/>
      <c r="G78" s="877"/>
      <c r="H78" s="868"/>
      <c r="I78" s="869"/>
      <c r="J78" s="3312"/>
      <c r="K78" s="3325"/>
      <c r="L78" s="3312"/>
      <c r="M78" s="3312"/>
      <c r="N78" s="3312"/>
      <c r="O78" s="3312"/>
      <c r="P78" s="3325"/>
      <c r="Q78" s="2420"/>
      <c r="R78" s="2527"/>
      <c r="S78" s="3325"/>
      <c r="T78" s="3325"/>
      <c r="U78" s="908" t="s">
        <v>1007</v>
      </c>
      <c r="V78" s="909">
        <v>10600000</v>
      </c>
      <c r="W78" s="3351"/>
      <c r="X78" s="3312"/>
      <c r="Y78" s="3312"/>
      <c r="Z78" s="3312"/>
      <c r="AA78" s="3354"/>
      <c r="AB78" s="3354"/>
      <c r="AC78" s="3360"/>
      <c r="AD78" s="3354"/>
      <c r="AE78" s="3354"/>
      <c r="AF78" s="3354"/>
      <c r="AG78" s="3354"/>
      <c r="AH78" s="3354"/>
      <c r="AI78" s="3354"/>
      <c r="AJ78" s="3360"/>
      <c r="AK78" s="3354"/>
      <c r="AL78" s="3354"/>
      <c r="AM78" s="3360"/>
      <c r="AN78" s="3354"/>
      <c r="AO78" s="3331"/>
      <c r="AP78" s="3331"/>
      <c r="AQ78" s="3334"/>
    </row>
    <row r="79" spans="1:46" s="876" customFormat="1" ht="75">
      <c r="A79" s="867"/>
      <c r="B79" s="868"/>
      <c r="C79" s="869"/>
      <c r="D79" s="868"/>
      <c r="E79" s="868"/>
      <c r="F79" s="869"/>
      <c r="G79" s="877"/>
      <c r="H79" s="868"/>
      <c r="I79" s="869"/>
      <c r="J79" s="3313"/>
      <c r="K79" s="3326"/>
      <c r="L79" s="3313"/>
      <c r="M79" s="3313"/>
      <c r="N79" s="3312"/>
      <c r="O79" s="3312"/>
      <c r="P79" s="3325"/>
      <c r="Q79" s="2421"/>
      <c r="R79" s="2527"/>
      <c r="S79" s="3325"/>
      <c r="T79" s="3326"/>
      <c r="U79" s="908" t="s">
        <v>1008</v>
      </c>
      <c r="V79" s="909">
        <v>10600000</v>
      </c>
      <c r="W79" s="3351"/>
      <c r="X79" s="3312"/>
      <c r="Y79" s="3312"/>
      <c r="Z79" s="3312"/>
      <c r="AA79" s="3354"/>
      <c r="AB79" s="3354"/>
      <c r="AC79" s="3360"/>
      <c r="AD79" s="3354"/>
      <c r="AE79" s="3354"/>
      <c r="AF79" s="3354"/>
      <c r="AG79" s="3354"/>
      <c r="AH79" s="3354"/>
      <c r="AI79" s="3354"/>
      <c r="AJ79" s="3360"/>
      <c r="AK79" s="3354"/>
      <c r="AL79" s="3354"/>
      <c r="AM79" s="3360"/>
      <c r="AN79" s="3354"/>
      <c r="AO79" s="3331"/>
      <c r="AP79" s="3331"/>
      <c r="AQ79" s="3334"/>
      <c r="AR79" s="878"/>
      <c r="AS79" s="878"/>
      <c r="AT79" s="878"/>
    </row>
    <row r="80" spans="1:43" s="876" customFormat="1" ht="105">
      <c r="A80" s="867"/>
      <c r="B80" s="868"/>
      <c r="C80" s="869"/>
      <c r="D80" s="868"/>
      <c r="E80" s="868"/>
      <c r="F80" s="869"/>
      <c r="G80" s="877"/>
      <c r="H80" s="868"/>
      <c r="I80" s="869"/>
      <c r="J80" s="3356">
        <v>138</v>
      </c>
      <c r="K80" s="3362" t="s">
        <v>1009</v>
      </c>
      <c r="L80" s="3356" t="s">
        <v>908</v>
      </c>
      <c r="M80" s="3356">
        <v>12</v>
      </c>
      <c r="N80" s="3312"/>
      <c r="O80" s="3312"/>
      <c r="P80" s="3325"/>
      <c r="Q80" s="2451">
        <f>(V80+V81+V82+V83+V84)/R66</f>
        <v>0.3565424531062584</v>
      </c>
      <c r="R80" s="2527"/>
      <c r="S80" s="3325"/>
      <c r="T80" s="3362" t="s">
        <v>1010</v>
      </c>
      <c r="U80" s="910" t="s">
        <v>1011</v>
      </c>
      <c r="V80" s="909">
        <v>10600000</v>
      </c>
      <c r="W80" s="3351"/>
      <c r="X80" s="3312"/>
      <c r="Y80" s="3312"/>
      <c r="Z80" s="3312"/>
      <c r="AA80" s="3354"/>
      <c r="AB80" s="3354"/>
      <c r="AC80" s="3360"/>
      <c r="AD80" s="3354"/>
      <c r="AE80" s="3354"/>
      <c r="AF80" s="3354"/>
      <c r="AG80" s="3354"/>
      <c r="AH80" s="3354"/>
      <c r="AI80" s="3354"/>
      <c r="AJ80" s="3360"/>
      <c r="AK80" s="3354"/>
      <c r="AL80" s="3354"/>
      <c r="AM80" s="3360"/>
      <c r="AN80" s="3354"/>
      <c r="AO80" s="3331"/>
      <c r="AP80" s="3331"/>
      <c r="AQ80" s="3334"/>
    </row>
    <row r="81" spans="1:43" s="876" customFormat="1" ht="60">
      <c r="A81" s="867"/>
      <c r="B81" s="868"/>
      <c r="C81" s="869"/>
      <c r="D81" s="868"/>
      <c r="E81" s="868"/>
      <c r="F81" s="869"/>
      <c r="G81" s="877"/>
      <c r="H81" s="868"/>
      <c r="I81" s="869"/>
      <c r="J81" s="3357"/>
      <c r="K81" s="3363"/>
      <c r="L81" s="3357"/>
      <c r="M81" s="3357"/>
      <c r="N81" s="3312"/>
      <c r="O81" s="3312"/>
      <c r="P81" s="3325"/>
      <c r="Q81" s="2452"/>
      <c r="R81" s="2527"/>
      <c r="S81" s="3325"/>
      <c r="T81" s="3363"/>
      <c r="U81" s="910" t="s">
        <v>1012</v>
      </c>
      <c r="V81" s="909">
        <v>10600000</v>
      </c>
      <c r="W81" s="3351"/>
      <c r="X81" s="3312"/>
      <c r="Y81" s="3312"/>
      <c r="Z81" s="3312"/>
      <c r="AA81" s="3354"/>
      <c r="AB81" s="3354"/>
      <c r="AC81" s="3360"/>
      <c r="AD81" s="3354"/>
      <c r="AE81" s="3354"/>
      <c r="AF81" s="3354"/>
      <c r="AG81" s="3354"/>
      <c r="AH81" s="3354"/>
      <c r="AI81" s="3354"/>
      <c r="AJ81" s="3360"/>
      <c r="AK81" s="3354"/>
      <c r="AL81" s="3354"/>
      <c r="AM81" s="3360"/>
      <c r="AN81" s="3354"/>
      <c r="AO81" s="3331"/>
      <c r="AP81" s="3331"/>
      <c r="AQ81" s="3334"/>
    </row>
    <row r="82" spans="1:43" s="876" customFormat="1" ht="45">
      <c r="A82" s="867"/>
      <c r="B82" s="868"/>
      <c r="C82" s="869"/>
      <c r="D82" s="868"/>
      <c r="E82" s="868"/>
      <c r="F82" s="869"/>
      <c r="G82" s="877"/>
      <c r="H82" s="868"/>
      <c r="I82" s="869"/>
      <c r="J82" s="3357"/>
      <c r="K82" s="3363"/>
      <c r="L82" s="3357"/>
      <c r="M82" s="3357"/>
      <c r="N82" s="3312"/>
      <c r="O82" s="3312"/>
      <c r="P82" s="3325"/>
      <c r="Q82" s="2452"/>
      <c r="R82" s="2527"/>
      <c r="S82" s="3325"/>
      <c r="T82" s="3363"/>
      <c r="U82" s="910" t="s">
        <v>1013</v>
      </c>
      <c r="V82" s="909">
        <v>10600000</v>
      </c>
      <c r="W82" s="3351"/>
      <c r="X82" s="3312"/>
      <c r="Y82" s="3312"/>
      <c r="Z82" s="3312"/>
      <c r="AA82" s="3354"/>
      <c r="AB82" s="3354"/>
      <c r="AC82" s="3360"/>
      <c r="AD82" s="3354"/>
      <c r="AE82" s="3354"/>
      <c r="AF82" s="3354"/>
      <c r="AG82" s="3354"/>
      <c r="AH82" s="3354"/>
      <c r="AI82" s="3354"/>
      <c r="AJ82" s="3360"/>
      <c r="AK82" s="3354"/>
      <c r="AL82" s="3354"/>
      <c r="AM82" s="3360"/>
      <c r="AN82" s="3354"/>
      <c r="AO82" s="3331"/>
      <c r="AP82" s="3331"/>
      <c r="AQ82" s="3334"/>
    </row>
    <row r="83" spans="1:43" s="876" customFormat="1" ht="90">
      <c r="A83" s="867"/>
      <c r="B83" s="868"/>
      <c r="C83" s="869"/>
      <c r="D83" s="868"/>
      <c r="E83" s="868"/>
      <c r="F83" s="869"/>
      <c r="G83" s="877"/>
      <c r="H83" s="868"/>
      <c r="I83" s="869"/>
      <c r="J83" s="3357"/>
      <c r="K83" s="3363"/>
      <c r="L83" s="3357"/>
      <c r="M83" s="3357"/>
      <c r="N83" s="3312"/>
      <c r="O83" s="3312"/>
      <c r="P83" s="3325"/>
      <c r="Q83" s="2452"/>
      <c r="R83" s="2527"/>
      <c r="S83" s="3325"/>
      <c r="T83" s="3363"/>
      <c r="U83" s="910" t="s">
        <v>1014</v>
      </c>
      <c r="V83" s="909">
        <v>10600000</v>
      </c>
      <c r="W83" s="3351"/>
      <c r="X83" s="3312"/>
      <c r="Y83" s="3312"/>
      <c r="Z83" s="3312"/>
      <c r="AA83" s="3354"/>
      <c r="AB83" s="3354"/>
      <c r="AC83" s="3360"/>
      <c r="AD83" s="3354"/>
      <c r="AE83" s="3354"/>
      <c r="AF83" s="3354"/>
      <c r="AG83" s="3354"/>
      <c r="AH83" s="3354"/>
      <c r="AI83" s="3354"/>
      <c r="AJ83" s="3360"/>
      <c r="AK83" s="3354"/>
      <c r="AL83" s="3354"/>
      <c r="AM83" s="3360"/>
      <c r="AN83" s="3354"/>
      <c r="AO83" s="3331"/>
      <c r="AP83" s="3331"/>
      <c r="AQ83" s="3334"/>
    </row>
    <row r="84" spans="1:256" s="913" customFormat="1" ht="135">
      <c r="A84" s="867"/>
      <c r="B84" s="868"/>
      <c r="C84" s="869"/>
      <c r="D84" s="868"/>
      <c r="E84" s="868"/>
      <c r="F84" s="869"/>
      <c r="G84" s="883"/>
      <c r="H84" s="881"/>
      <c r="I84" s="882"/>
      <c r="J84" s="3358"/>
      <c r="K84" s="3364"/>
      <c r="L84" s="3358"/>
      <c r="M84" s="3358"/>
      <c r="N84" s="3312"/>
      <c r="O84" s="3313"/>
      <c r="P84" s="3326"/>
      <c r="Q84" s="2481"/>
      <c r="R84" s="2528"/>
      <c r="S84" s="3326"/>
      <c r="T84" s="3364"/>
      <c r="U84" s="910" t="s">
        <v>1015</v>
      </c>
      <c r="V84" s="909">
        <v>10600000</v>
      </c>
      <c r="W84" s="3352"/>
      <c r="X84" s="3313"/>
      <c r="Y84" s="3313"/>
      <c r="Z84" s="3313"/>
      <c r="AA84" s="3355"/>
      <c r="AB84" s="3355"/>
      <c r="AC84" s="3361"/>
      <c r="AD84" s="3355"/>
      <c r="AE84" s="3355"/>
      <c r="AF84" s="3355"/>
      <c r="AG84" s="3355"/>
      <c r="AH84" s="3355"/>
      <c r="AI84" s="3355"/>
      <c r="AJ84" s="3361"/>
      <c r="AK84" s="3355"/>
      <c r="AL84" s="3355"/>
      <c r="AM84" s="3361"/>
      <c r="AN84" s="3355"/>
      <c r="AO84" s="3332"/>
      <c r="AP84" s="3332"/>
      <c r="AQ84" s="3335"/>
      <c r="AR84" s="911"/>
      <c r="AS84" s="911"/>
      <c r="AT84" s="911"/>
      <c r="AU84" s="912"/>
      <c r="AV84" s="912"/>
      <c r="AW84" s="912"/>
      <c r="AX84" s="912"/>
      <c r="AY84" s="912"/>
      <c r="AZ84" s="912"/>
      <c r="BA84" s="912"/>
      <c r="BB84" s="912"/>
      <c r="BC84" s="912"/>
      <c r="BD84" s="912"/>
      <c r="BE84" s="912"/>
      <c r="BF84" s="912"/>
      <c r="BG84" s="912"/>
      <c r="BH84" s="912"/>
      <c r="BI84" s="912"/>
      <c r="BJ84" s="912"/>
      <c r="BK84" s="912"/>
      <c r="BL84" s="912"/>
      <c r="BM84" s="912"/>
      <c r="BN84" s="912"/>
      <c r="BO84" s="912"/>
      <c r="BP84" s="912"/>
      <c r="BQ84" s="912"/>
      <c r="BR84" s="912"/>
      <c r="BS84" s="912"/>
      <c r="BT84" s="912"/>
      <c r="BU84" s="912"/>
      <c r="BV84" s="912"/>
      <c r="BW84" s="912"/>
      <c r="BX84" s="912"/>
      <c r="BY84" s="912"/>
      <c r="BZ84" s="912"/>
      <c r="CA84" s="912"/>
      <c r="CB84" s="912"/>
      <c r="CC84" s="912"/>
      <c r="CD84" s="912"/>
      <c r="CE84" s="912"/>
      <c r="CF84" s="912"/>
      <c r="CG84" s="912"/>
      <c r="CH84" s="912"/>
      <c r="CI84" s="912"/>
      <c r="CJ84" s="912"/>
      <c r="CK84" s="912"/>
      <c r="CL84" s="912"/>
      <c r="CM84" s="912"/>
      <c r="CN84" s="912"/>
      <c r="CO84" s="912"/>
      <c r="CP84" s="912"/>
      <c r="CQ84" s="912"/>
      <c r="CR84" s="912"/>
      <c r="CS84" s="912"/>
      <c r="CT84" s="912"/>
      <c r="CU84" s="912"/>
      <c r="CV84" s="912"/>
      <c r="CW84" s="912"/>
      <c r="CX84" s="912"/>
      <c r="CY84" s="912"/>
      <c r="CZ84" s="912"/>
      <c r="DA84" s="912"/>
      <c r="DB84" s="912"/>
      <c r="DC84" s="912"/>
      <c r="DD84" s="912"/>
      <c r="DE84" s="912"/>
      <c r="DF84" s="912"/>
      <c r="DG84" s="912"/>
      <c r="DH84" s="912"/>
      <c r="DI84" s="912"/>
      <c r="DJ84" s="912"/>
      <c r="DK84" s="912"/>
      <c r="DL84" s="912"/>
      <c r="DM84" s="912"/>
      <c r="DN84" s="912"/>
      <c r="DO84" s="912"/>
      <c r="DP84" s="912"/>
      <c r="DQ84" s="912"/>
      <c r="DR84" s="912"/>
      <c r="DS84" s="912"/>
      <c r="DT84" s="912"/>
      <c r="DU84" s="912"/>
      <c r="DV84" s="912"/>
      <c r="DW84" s="912"/>
      <c r="DX84" s="912"/>
      <c r="DY84" s="912"/>
      <c r="DZ84" s="912"/>
      <c r="EA84" s="912"/>
      <c r="EB84" s="912"/>
      <c r="EC84" s="912"/>
      <c r="ED84" s="912"/>
      <c r="EE84" s="912"/>
      <c r="EF84" s="912"/>
      <c r="EG84" s="912"/>
      <c r="EH84" s="912"/>
      <c r="EI84" s="912"/>
      <c r="EJ84" s="912"/>
      <c r="EK84" s="912"/>
      <c r="EL84" s="912"/>
      <c r="EM84" s="912"/>
      <c r="EN84" s="912"/>
      <c r="EO84" s="912"/>
      <c r="EP84" s="912"/>
      <c r="EQ84" s="912"/>
      <c r="ER84" s="912"/>
      <c r="ES84" s="912"/>
      <c r="ET84" s="912"/>
      <c r="EU84" s="912"/>
      <c r="EV84" s="912"/>
      <c r="EW84" s="912"/>
      <c r="EX84" s="912"/>
      <c r="EY84" s="912"/>
      <c r="EZ84" s="912"/>
      <c r="FA84" s="912"/>
      <c r="FB84" s="912"/>
      <c r="FC84" s="912"/>
      <c r="FD84" s="912"/>
      <c r="FE84" s="912"/>
      <c r="FF84" s="912"/>
      <c r="FG84" s="912"/>
      <c r="FH84" s="912"/>
      <c r="FI84" s="912"/>
      <c r="FJ84" s="912"/>
      <c r="FK84" s="912"/>
      <c r="FL84" s="912"/>
      <c r="FM84" s="912"/>
      <c r="FN84" s="912"/>
      <c r="FO84" s="912"/>
      <c r="FP84" s="912"/>
      <c r="FQ84" s="912"/>
      <c r="FR84" s="912"/>
      <c r="FS84" s="912"/>
      <c r="FT84" s="912"/>
      <c r="FU84" s="912"/>
      <c r="FV84" s="912"/>
      <c r="FW84" s="912"/>
      <c r="FX84" s="912"/>
      <c r="FY84" s="912"/>
      <c r="FZ84" s="912"/>
      <c r="GA84" s="912"/>
      <c r="GB84" s="912"/>
      <c r="GC84" s="912"/>
      <c r="GD84" s="912"/>
      <c r="GE84" s="912"/>
      <c r="GF84" s="912"/>
      <c r="GG84" s="912"/>
      <c r="GH84" s="912"/>
      <c r="GI84" s="912"/>
      <c r="GJ84" s="912"/>
      <c r="GK84" s="912"/>
      <c r="GL84" s="912"/>
      <c r="GM84" s="912"/>
      <c r="GN84" s="912"/>
      <c r="GO84" s="912"/>
      <c r="GP84" s="912"/>
      <c r="GQ84" s="912"/>
      <c r="GR84" s="912"/>
      <c r="GS84" s="912"/>
      <c r="GT84" s="912"/>
      <c r="GU84" s="912"/>
      <c r="GV84" s="912"/>
      <c r="GW84" s="912"/>
      <c r="GX84" s="912"/>
      <c r="GY84" s="912"/>
      <c r="GZ84" s="912"/>
      <c r="HA84" s="912"/>
      <c r="HB84" s="912"/>
      <c r="HC84" s="912"/>
      <c r="HD84" s="912"/>
      <c r="HE84" s="912"/>
      <c r="HF84" s="912"/>
      <c r="HG84" s="912"/>
      <c r="HH84" s="912"/>
      <c r="HI84" s="912"/>
      <c r="HJ84" s="912"/>
      <c r="HK84" s="912"/>
      <c r="HL84" s="912"/>
      <c r="HM84" s="912"/>
      <c r="HN84" s="912"/>
      <c r="HO84" s="912"/>
      <c r="HP84" s="912"/>
      <c r="HQ84" s="912"/>
      <c r="HR84" s="912"/>
      <c r="HS84" s="912"/>
      <c r="HT84" s="912"/>
      <c r="HU84" s="912"/>
      <c r="HV84" s="912"/>
      <c r="HW84" s="912"/>
      <c r="HX84" s="912"/>
      <c r="HY84" s="912"/>
      <c r="HZ84" s="912"/>
      <c r="IA84" s="912"/>
      <c r="IB84" s="912"/>
      <c r="IC84" s="912"/>
      <c r="ID84" s="912"/>
      <c r="IE84" s="912"/>
      <c r="IF84" s="912"/>
      <c r="IG84" s="912"/>
      <c r="IH84" s="912"/>
      <c r="II84" s="912"/>
      <c r="IJ84" s="912"/>
      <c r="IK84" s="912"/>
      <c r="IL84" s="912"/>
      <c r="IM84" s="912"/>
      <c r="IN84" s="912"/>
      <c r="IO84" s="912"/>
      <c r="IP84" s="912"/>
      <c r="IQ84" s="912"/>
      <c r="IR84" s="912"/>
      <c r="IS84" s="912"/>
      <c r="IT84" s="912"/>
      <c r="IU84" s="912"/>
      <c r="IV84" s="912"/>
    </row>
    <row r="85" spans="1:43" ht="36" customHeight="1">
      <c r="A85" s="853"/>
      <c r="B85" s="854"/>
      <c r="C85" s="855"/>
      <c r="D85" s="854"/>
      <c r="E85" s="854"/>
      <c r="F85" s="855"/>
      <c r="G85" s="891">
        <v>39</v>
      </c>
      <c r="H85" s="859" t="s">
        <v>1016</v>
      </c>
      <c r="I85" s="859"/>
      <c r="J85" s="859"/>
      <c r="K85" s="860"/>
      <c r="L85" s="859"/>
      <c r="M85" s="859"/>
      <c r="N85" s="861"/>
      <c r="O85" s="859"/>
      <c r="P85" s="860"/>
      <c r="Q85" s="859"/>
      <c r="R85" s="892"/>
      <c r="S85" s="859"/>
      <c r="T85" s="860"/>
      <c r="U85" s="860"/>
      <c r="V85" s="893"/>
      <c r="W85" s="894"/>
      <c r="X85" s="861"/>
      <c r="Y85" s="861"/>
      <c r="Z85" s="861"/>
      <c r="AA85" s="861"/>
      <c r="AB85" s="861"/>
      <c r="AC85" s="861"/>
      <c r="AD85" s="861"/>
      <c r="AE85" s="861"/>
      <c r="AF85" s="861"/>
      <c r="AG85" s="861"/>
      <c r="AH85" s="861"/>
      <c r="AI85" s="861"/>
      <c r="AJ85" s="861"/>
      <c r="AK85" s="861"/>
      <c r="AL85" s="861"/>
      <c r="AM85" s="861"/>
      <c r="AN85" s="861"/>
      <c r="AO85" s="861"/>
      <c r="AP85" s="859"/>
      <c r="AQ85" s="866"/>
    </row>
    <row r="86" spans="1:43" s="912" customFormat="1" ht="90.75" customHeight="1">
      <c r="A86" s="914"/>
      <c r="B86" s="915"/>
      <c r="C86" s="916"/>
      <c r="D86" s="915"/>
      <c r="E86" s="915"/>
      <c r="F86" s="916"/>
      <c r="G86" s="917"/>
      <c r="H86" s="918"/>
      <c r="I86" s="919"/>
      <c r="J86" s="3356">
        <v>139</v>
      </c>
      <c r="K86" s="3362" t="s">
        <v>1017</v>
      </c>
      <c r="L86" s="3356" t="s">
        <v>908</v>
      </c>
      <c r="M86" s="3356">
        <v>1</v>
      </c>
      <c r="N86" s="3356" t="s">
        <v>1018</v>
      </c>
      <c r="O86" s="3356">
        <v>138</v>
      </c>
      <c r="P86" s="3362" t="s">
        <v>1019</v>
      </c>
      <c r="Q86" s="2451">
        <f>(V86+V89+V90+V87+V88)/R86</f>
        <v>0.6787878787878788</v>
      </c>
      <c r="R86" s="2453">
        <f>SUM(V86:V98)</f>
        <v>165000000</v>
      </c>
      <c r="S86" s="3362" t="s">
        <v>1020</v>
      </c>
      <c r="T86" s="3362" t="s">
        <v>1021</v>
      </c>
      <c r="U86" s="895" t="s">
        <v>1022</v>
      </c>
      <c r="V86" s="909">
        <v>25000000</v>
      </c>
      <c r="W86" s="3368">
        <v>61</v>
      </c>
      <c r="X86" s="3356" t="s">
        <v>914</v>
      </c>
      <c r="Y86" s="3356">
        <v>292684</v>
      </c>
      <c r="Z86" s="3356">
        <v>282326</v>
      </c>
      <c r="AA86" s="3321">
        <v>135912</v>
      </c>
      <c r="AB86" s="3321">
        <v>45122</v>
      </c>
      <c r="AC86" s="3365">
        <f>SUM(AC66)</f>
        <v>307101</v>
      </c>
      <c r="AD86" s="3321">
        <f>SUM(AD66)</f>
        <v>86875</v>
      </c>
      <c r="AE86" s="3321">
        <f>SUM(AE66)</f>
        <v>2145</v>
      </c>
      <c r="AF86" s="3321">
        <v>12718</v>
      </c>
      <c r="AG86" s="3321">
        <v>26</v>
      </c>
      <c r="AH86" s="3321">
        <v>37</v>
      </c>
      <c r="AI86" s="3321" t="s">
        <v>915</v>
      </c>
      <c r="AJ86" s="3365" t="s">
        <v>915</v>
      </c>
      <c r="AK86" s="3321">
        <v>53164</v>
      </c>
      <c r="AL86" s="3321">
        <v>16982</v>
      </c>
      <c r="AM86" s="3365">
        <v>60013</v>
      </c>
      <c r="AN86" s="3321">
        <v>575010</v>
      </c>
      <c r="AO86" s="3371">
        <v>43101</v>
      </c>
      <c r="AP86" s="3371">
        <v>43465</v>
      </c>
      <c r="AQ86" s="3374" t="s">
        <v>916</v>
      </c>
    </row>
    <row r="87" spans="1:43" s="912" customFormat="1" ht="75">
      <c r="A87" s="914"/>
      <c r="B87" s="915"/>
      <c r="C87" s="916"/>
      <c r="D87" s="915"/>
      <c r="E87" s="915"/>
      <c r="F87" s="916"/>
      <c r="G87" s="920"/>
      <c r="H87" s="915"/>
      <c r="I87" s="916"/>
      <c r="J87" s="3357"/>
      <c r="K87" s="3363"/>
      <c r="L87" s="3357"/>
      <c r="M87" s="3357"/>
      <c r="N87" s="3357"/>
      <c r="O87" s="3357"/>
      <c r="P87" s="3363"/>
      <c r="Q87" s="2452"/>
      <c r="R87" s="2454"/>
      <c r="S87" s="3363"/>
      <c r="T87" s="3363"/>
      <c r="U87" s="895" t="s">
        <v>1023</v>
      </c>
      <c r="V87" s="909">
        <v>25000000</v>
      </c>
      <c r="W87" s="3369"/>
      <c r="X87" s="3357"/>
      <c r="Y87" s="3357"/>
      <c r="Z87" s="3357"/>
      <c r="AA87" s="3322"/>
      <c r="AB87" s="3322"/>
      <c r="AC87" s="3366"/>
      <c r="AD87" s="3322"/>
      <c r="AE87" s="3322"/>
      <c r="AF87" s="3322"/>
      <c r="AG87" s="3322"/>
      <c r="AH87" s="3322"/>
      <c r="AI87" s="3322"/>
      <c r="AJ87" s="3366"/>
      <c r="AK87" s="3322"/>
      <c r="AL87" s="3322"/>
      <c r="AM87" s="3366"/>
      <c r="AN87" s="3322"/>
      <c r="AO87" s="3372"/>
      <c r="AP87" s="3372"/>
      <c r="AQ87" s="3375"/>
    </row>
    <row r="88" spans="1:43" s="912" customFormat="1" ht="75">
      <c r="A88" s="914"/>
      <c r="B88" s="915"/>
      <c r="C88" s="916"/>
      <c r="D88" s="915"/>
      <c r="E88" s="915"/>
      <c r="F88" s="916"/>
      <c r="G88" s="920"/>
      <c r="H88" s="915"/>
      <c r="I88" s="916"/>
      <c r="J88" s="3357"/>
      <c r="K88" s="3363"/>
      <c r="L88" s="3357"/>
      <c r="M88" s="3357"/>
      <c r="N88" s="3357"/>
      <c r="O88" s="3357"/>
      <c r="P88" s="3363"/>
      <c r="Q88" s="2452"/>
      <c r="R88" s="2454"/>
      <c r="S88" s="3363"/>
      <c r="T88" s="3363"/>
      <c r="U88" s="895" t="s">
        <v>1024</v>
      </c>
      <c r="V88" s="909">
        <v>25000000</v>
      </c>
      <c r="W88" s="3369"/>
      <c r="X88" s="3357"/>
      <c r="Y88" s="3357"/>
      <c r="Z88" s="3357"/>
      <c r="AA88" s="3322"/>
      <c r="AB88" s="3322"/>
      <c r="AC88" s="3366"/>
      <c r="AD88" s="3322"/>
      <c r="AE88" s="3322"/>
      <c r="AF88" s="3322"/>
      <c r="AG88" s="3322"/>
      <c r="AH88" s="3322"/>
      <c r="AI88" s="3322"/>
      <c r="AJ88" s="3366"/>
      <c r="AK88" s="3322"/>
      <c r="AL88" s="3322"/>
      <c r="AM88" s="3366"/>
      <c r="AN88" s="3322"/>
      <c r="AO88" s="3372"/>
      <c r="AP88" s="3372"/>
      <c r="AQ88" s="3375"/>
    </row>
    <row r="89" spans="1:43" s="912" customFormat="1" ht="105">
      <c r="A89" s="914"/>
      <c r="B89" s="915"/>
      <c r="C89" s="916"/>
      <c r="D89" s="915"/>
      <c r="E89" s="915"/>
      <c r="F89" s="916"/>
      <c r="G89" s="920"/>
      <c r="H89" s="915"/>
      <c r="I89" s="916"/>
      <c r="J89" s="3357"/>
      <c r="K89" s="3363"/>
      <c r="L89" s="3357"/>
      <c r="M89" s="3357"/>
      <c r="N89" s="3357"/>
      <c r="O89" s="3357"/>
      <c r="P89" s="3363"/>
      <c r="Q89" s="2452"/>
      <c r="R89" s="2454"/>
      <c r="S89" s="3363"/>
      <c r="T89" s="3363"/>
      <c r="U89" s="895" t="s">
        <v>1025</v>
      </c>
      <c r="V89" s="909">
        <v>25000000</v>
      </c>
      <c r="W89" s="3369"/>
      <c r="X89" s="3357"/>
      <c r="Y89" s="3357"/>
      <c r="Z89" s="3357"/>
      <c r="AA89" s="3322"/>
      <c r="AB89" s="3322"/>
      <c r="AC89" s="3366"/>
      <c r="AD89" s="3322"/>
      <c r="AE89" s="3322"/>
      <c r="AF89" s="3322"/>
      <c r="AG89" s="3322"/>
      <c r="AH89" s="3322"/>
      <c r="AI89" s="3322"/>
      <c r="AJ89" s="3366"/>
      <c r="AK89" s="3322"/>
      <c r="AL89" s="3322"/>
      <c r="AM89" s="3366"/>
      <c r="AN89" s="3322"/>
      <c r="AO89" s="3372"/>
      <c r="AP89" s="3372"/>
      <c r="AQ89" s="3375"/>
    </row>
    <row r="90" spans="1:46" s="912" customFormat="1" ht="60">
      <c r="A90" s="914"/>
      <c r="B90" s="915"/>
      <c r="C90" s="916"/>
      <c r="D90" s="915"/>
      <c r="E90" s="915"/>
      <c r="F90" s="916"/>
      <c r="G90" s="920"/>
      <c r="H90" s="915"/>
      <c r="I90" s="916"/>
      <c r="J90" s="3358"/>
      <c r="K90" s="3364"/>
      <c r="L90" s="3358"/>
      <c r="M90" s="3358"/>
      <c r="N90" s="3357"/>
      <c r="O90" s="3357"/>
      <c r="P90" s="3363"/>
      <c r="Q90" s="2481"/>
      <c r="R90" s="2454"/>
      <c r="S90" s="3363"/>
      <c r="T90" s="3364"/>
      <c r="U90" s="895" t="s">
        <v>1026</v>
      </c>
      <c r="V90" s="909">
        <v>12000000</v>
      </c>
      <c r="W90" s="3369"/>
      <c r="X90" s="3357"/>
      <c r="Y90" s="3357"/>
      <c r="Z90" s="3357"/>
      <c r="AA90" s="3322"/>
      <c r="AB90" s="3322"/>
      <c r="AC90" s="3366"/>
      <c r="AD90" s="3322"/>
      <c r="AE90" s="3322"/>
      <c r="AF90" s="3322"/>
      <c r="AG90" s="3322"/>
      <c r="AH90" s="3322"/>
      <c r="AI90" s="3322"/>
      <c r="AJ90" s="3366"/>
      <c r="AK90" s="3322"/>
      <c r="AL90" s="3322"/>
      <c r="AM90" s="3366"/>
      <c r="AN90" s="3322"/>
      <c r="AO90" s="3372"/>
      <c r="AP90" s="3372"/>
      <c r="AQ90" s="3375"/>
      <c r="AR90" s="911"/>
      <c r="AS90" s="911"/>
      <c r="AT90" s="911"/>
    </row>
    <row r="91" spans="1:43" s="912" customFormat="1" ht="90">
      <c r="A91" s="914"/>
      <c r="B91" s="915"/>
      <c r="C91" s="916"/>
      <c r="D91" s="915"/>
      <c r="E91" s="915"/>
      <c r="F91" s="916"/>
      <c r="G91" s="920"/>
      <c r="H91" s="915"/>
      <c r="I91" s="916"/>
      <c r="J91" s="3356">
        <v>140</v>
      </c>
      <c r="K91" s="3362" t="s">
        <v>1027</v>
      </c>
      <c r="L91" s="3356" t="s">
        <v>908</v>
      </c>
      <c r="M91" s="3356">
        <v>1</v>
      </c>
      <c r="N91" s="3357"/>
      <c r="O91" s="3357"/>
      <c r="P91" s="3363"/>
      <c r="Q91" s="2451">
        <f>(V91+V94+V95+V92+V93)/R86</f>
        <v>0.1606060606060606</v>
      </c>
      <c r="R91" s="2454"/>
      <c r="S91" s="3363"/>
      <c r="T91" s="3362" t="s">
        <v>1028</v>
      </c>
      <c r="U91" s="895" t="s">
        <v>1029</v>
      </c>
      <c r="V91" s="909">
        <v>7500000</v>
      </c>
      <c r="W91" s="3369"/>
      <c r="X91" s="3357"/>
      <c r="Y91" s="3357"/>
      <c r="Z91" s="3357"/>
      <c r="AA91" s="3322"/>
      <c r="AB91" s="3322"/>
      <c r="AC91" s="3366"/>
      <c r="AD91" s="3322"/>
      <c r="AE91" s="3322"/>
      <c r="AF91" s="3322"/>
      <c r="AG91" s="3322"/>
      <c r="AH91" s="3322"/>
      <c r="AI91" s="3322"/>
      <c r="AJ91" s="3366"/>
      <c r="AK91" s="3322"/>
      <c r="AL91" s="3322"/>
      <c r="AM91" s="3366"/>
      <c r="AN91" s="3322"/>
      <c r="AO91" s="3372"/>
      <c r="AP91" s="3372"/>
      <c r="AQ91" s="3375"/>
    </row>
    <row r="92" spans="1:43" s="912" customFormat="1" ht="120">
      <c r="A92" s="914"/>
      <c r="B92" s="915"/>
      <c r="C92" s="916"/>
      <c r="D92" s="915"/>
      <c r="E92" s="915"/>
      <c r="F92" s="916"/>
      <c r="G92" s="920"/>
      <c r="H92" s="915"/>
      <c r="I92" s="916"/>
      <c r="J92" s="3357"/>
      <c r="K92" s="3363"/>
      <c r="L92" s="3357"/>
      <c r="M92" s="3357"/>
      <c r="N92" s="3357"/>
      <c r="O92" s="3357"/>
      <c r="P92" s="3363"/>
      <c r="Q92" s="2452"/>
      <c r="R92" s="2454"/>
      <c r="S92" s="3363"/>
      <c r="T92" s="3363"/>
      <c r="U92" s="895" t="s">
        <v>1030</v>
      </c>
      <c r="V92" s="909">
        <v>5000000</v>
      </c>
      <c r="W92" s="3369"/>
      <c r="X92" s="3357"/>
      <c r="Y92" s="3357"/>
      <c r="Z92" s="3357"/>
      <c r="AA92" s="3322"/>
      <c r="AB92" s="3322"/>
      <c r="AC92" s="3366"/>
      <c r="AD92" s="3322"/>
      <c r="AE92" s="3322"/>
      <c r="AF92" s="3322"/>
      <c r="AG92" s="3322"/>
      <c r="AH92" s="3322"/>
      <c r="AI92" s="3322"/>
      <c r="AJ92" s="3366"/>
      <c r="AK92" s="3322"/>
      <c r="AL92" s="3322"/>
      <c r="AM92" s="3366"/>
      <c r="AN92" s="3322"/>
      <c r="AO92" s="3372"/>
      <c r="AP92" s="3372"/>
      <c r="AQ92" s="3375"/>
    </row>
    <row r="93" spans="1:43" s="912" customFormat="1" ht="60">
      <c r="A93" s="914"/>
      <c r="B93" s="915"/>
      <c r="C93" s="916"/>
      <c r="D93" s="915"/>
      <c r="E93" s="915"/>
      <c r="F93" s="916"/>
      <c r="G93" s="920"/>
      <c r="H93" s="915"/>
      <c r="I93" s="916"/>
      <c r="J93" s="3357"/>
      <c r="K93" s="3363"/>
      <c r="L93" s="3357"/>
      <c r="M93" s="3357"/>
      <c r="N93" s="3357"/>
      <c r="O93" s="3357"/>
      <c r="P93" s="3363"/>
      <c r="Q93" s="2452"/>
      <c r="R93" s="2454"/>
      <c r="S93" s="3363"/>
      <c r="T93" s="3363"/>
      <c r="U93" s="895" t="s">
        <v>1031</v>
      </c>
      <c r="V93" s="909">
        <v>5000000</v>
      </c>
      <c r="W93" s="3369"/>
      <c r="X93" s="3357"/>
      <c r="Y93" s="3357"/>
      <c r="Z93" s="3357"/>
      <c r="AA93" s="3322"/>
      <c r="AB93" s="3322"/>
      <c r="AC93" s="3366"/>
      <c r="AD93" s="3322"/>
      <c r="AE93" s="3322"/>
      <c r="AF93" s="3322"/>
      <c r="AG93" s="3322"/>
      <c r="AH93" s="3322"/>
      <c r="AI93" s="3322"/>
      <c r="AJ93" s="3366"/>
      <c r="AK93" s="3322"/>
      <c r="AL93" s="3322"/>
      <c r="AM93" s="3366"/>
      <c r="AN93" s="3322"/>
      <c r="AO93" s="3372"/>
      <c r="AP93" s="3372"/>
      <c r="AQ93" s="3375"/>
    </row>
    <row r="94" spans="1:46" s="912" customFormat="1" ht="105">
      <c r="A94" s="914"/>
      <c r="B94" s="915"/>
      <c r="C94" s="916"/>
      <c r="D94" s="915"/>
      <c r="E94" s="915"/>
      <c r="F94" s="916"/>
      <c r="G94" s="920"/>
      <c r="H94" s="915"/>
      <c r="I94" s="916"/>
      <c r="J94" s="3357"/>
      <c r="K94" s="3363"/>
      <c r="L94" s="3357"/>
      <c r="M94" s="3357"/>
      <c r="N94" s="3357"/>
      <c r="O94" s="3357"/>
      <c r="P94" s="3363"/>
      <c r="Q94" s="2452"/>
      <c r="R94" s="2454"/>
      <c r="S94" s="3363"/>
      <c r="T94" s="3363"/>
      <c r="U94" s="895" t="s">
        <v>1032</v>
      </c>
      <c r="V94" s="909">
        <v>5000000</v>
      </c>
      <c r="W94" s="3369"/>
      <c r="X94" s="3357"/>
      <c r="Y94" s="3357"/>
      <c r="Z94" s="3357"/>
      <c r="AA94" s="3322"/>
      <c r="AB94" s="3322"/>
      <c r="AC94" s="3366"/>
      <c r="AD94" s="3322"/>
      <c r="AE94" s="3322"/>
      <c r="AF94" s="3322"/>
      <c r="AG94" s="3322"/>
      <c r="AH94" s="3322"/>
      <c r="AI94" s="3322"/>
      <c r="AJ94" s="3366"/>
      <c r="AK94" s="3322"/>
      <c r="AL94" s="3322"/>
      <c r="AM94" s="3366"/>
      <c r="AN94" s="3322"/>
      <c r="AO94" s="3372"/>
      <c r="AP94" s="3372"/>
      <c r="AQ94" s="3375"/>
      <c r="AT94" s="921"/>
    </row>
    <row r="95" spans="1:46" s="912" customFormat="1" ht="75">
      <c r="A95" s="914"/>
      <c r="B95" s="915"/>
      <c r="C95" s="916"/>
      <c r="D95" s="915"/>
      <c r="E95" s="915"/>
      <c r="F95" s="916"/>
      <c r="G95" s="920"/>
      <c r="H95" s="915"/>
      <c r="I95" s="916"/>
      <c r="J95" s="3358"/>
      <c r="K95" s="3364"/>
      <c r="L95" s="3358"/>
      <c r="M95" s="3358"/>
      <c r="N95" s="3357"/>
      <c r="O95" s="3357"/>
      <c r="P95" s="3363"/>
      <c r="Q95" s="2481"/>
      <c r="R95" s="2454"/>
      <c r="S95" s="3363"/>
      <c r="T95" s="3364"/>
      <c r="U95" s="895" t="s">
        <v>1033</v>
      </c>
      <c r="V95" s="909">
        <v>4000000</v>
      </c>
      <c r="W95" s="3369"/>
      <c r="X95" s="3357"/>
      <c r="Y95" s="3357"/>
      <c r="Z95" s="3357"/>
      <c r="AA95" s="3322"/>
      <c r="AB95" s="3322"/>
      <c r="AC95" s="3366"/>
      <c r="AD95" s="3322"/>
      <c r="AE95" s="3322"/>
      <c r="AF95" s="3322"/>
      <c r="AG95" s="3322"/>
      <c r="AH95" s="3322"/>
      <c r="AI95" s="3322"/>
      <c r="AJ95" s="3366"/>
      <c r="AK95" s="3322"/>
      <c r="AL95" s="3322"/>
      <c r="AM95" s="3366"/>
      <c r="AN95" s="3322"/>
      <c r="AO95" s="3372"/>
      <c r="AP95" s="3372"/>
      <c r="AQ95" s="3375"/>
      <c r="AR95" s="911"/>
      <c r="AS95" s="911"/>
      <c r="AT95" s="911"/>
    </row>
    <row r="96" spans="1:43" s="912" customFormat="1" ht="75">
      <c r="A96" s="914"/>
      <c r="B96" s="915"/>
      <c r="C96" s="916"/>
      <c r="D96" s="915"/>
      <c r="E96" s="915"/>
      <c r="F96" s="916"/>
      <c r="G96" s="920"/>
      <c r="H96" s="915"/>
      <c r="I96" s="916"/>
      <c r="J96" s="3356">
        <v>141</v>
      </c>
      <c r="K96" s="3362" t="s">
        <v>1034</v>
      </c>
      <c r="L96" s="3356" t="s">
        <v>908</v>
      </c>
      <c r="M96" s="3356">
        <v>1</v>
      </c>
      <c r="N96" s="3357"/>
      <c r="O96" s="3357"/>
      <c r="P96" s="3363"/>
      <c r="Q96" s="2451">
        <f>(V96+V98+V97)/R86</f>
        <v>0.1606060606060606</v>
      </c>
      <c r="R96" s="2454"/>
      <c r="S96" s="3363"/>
      <c r="T96" s="3362" t="s">
        <v>1035</v>
      </c>
      <c r="U96" s="895" t="s">
        <v>1036</v>
      </c>
      <c r="V96" s="909">
        <v>10500000</v>
      </c>
      <c r="W96" s="3369"/>
      <c r="X96" s="3357"/>
      <c r="Y96" s="3357"/>
      <c r="Z96" s="3357"/>
      <c r="AA96" s="3322"/>
      <c r="AB96" s="3322"/>
      <c r="AC96" s="3366"/>
      <c r="AD96" s="3322"/>
      <c r="AE96" s="3322"/>
      <c r="AF96" s="3322"/>
      <c r="AG96" s="3322"/>
      <c r="AH96" s="3322"/>
      <c r="AI96" s="3322"/>
      <c r="AJ96" s="3366"/>
      <c r="AK96" s="3322"/>
      <c r="AL96" s="3322"/>
      <c r="AM96" s="3366"/>
      <c r="AN96" s="3322"/>
      <c r="AO96" s="3372"/>
      <c r="AP96" s="3372"/>
      <c r="AQ96" s="3375"/>
    </row>
    <row r="97" spans="1:43" s="912" customFormat="1" ht="105">
      <c r="A97" s="914"/>
      <c r="B97" s="915"/>
      <c r="C97" s="916"/>
      <c r="D97" s="915"/>
      <c r="E97" s="915"/>
      <c r="F97" s="916"/>
      <c r="G97" s="920"/>
      <c r="H97" s="915"/>
      <c r="I97" s="916"/>
      <c r="J97" s="3357"/>
      <c r="K97" s="3363"/>
      <c r="L97" s="3357"/>
      <c r="M97" s="3357"/>
      <c r="N97" s="3357"/>
      <c r="O97" s="3357"/>
      <c r="P97" s="3363"/>
      <c r="Q97" s="2452"/>
      <c r="R97" s="2454"/>
      <c r="S97" s="3363"/>
      <c r="T97" s="3363"/>
      <c r="U97" s="895" t="s">
        <v>1037</v>
      </c>
      <c r="V97" s="909">
        <v>8000000</v>
      </c>
      <c r="W97" s="3369"/>
      <c r="X97" s="3357"/>
      <c r="Y97" s="3357"/>
      <c r="Z97" s="3357"/>
      <c r="AA97" s="3322"/>
      <c r="AB97" s="3322"/>
      <c r="AC97" s="3366"/>
      <c r="AD97" s="3322"/>
      <c r="AE97" s="3322"/>
      <c r="AF97" s="3322"/>
      <c r="AG97" s="3322"/>
      <c r="AH97" s="3322"/>
      <c r="AI97" s="3322"/>
      <c r="AJ97" s="3366"/>
      <c r="AK97" s="3322"/>
      <c r="AL97" s="3322"/>
      <c r="AM97" s="3366"/>
      <c r="AN97" s="3322"/>
      <c r="AO97" s="3372"/>
      <c r="AP97" s="3372"/>
      <c r="AQ97" s="3375"/>
    </row>
    <row r="98" spans="1:46" s="912" customFormat="1" ht="135">
      <c r="A98" s="914"/>
      <c r="B98" s="915"/>
      <c r="C98" s="916"/>
      <c r="D98" s="915"/>
      <c r="E98" s="915"/>
      <c r="F98" s="916"/>
      <c r="G98" s="922"/>
      <c r="H98" s="923"/>
      <c r="I98" s="924"/>
      <c r="J98" s="3358"/>
      <c r="K98" s="3364"/>
      <c r="L98" s="3358"/>
      <c r="M98" s="3358"/>
      <c r="N98" s="3358"/>
      <c r="O98" s="3358"/>
      <c r="P98" s="3364"/>
      <c r="Q98" s="2481"/>
      <c r="R98" s="2482"/>
      <c r="S98" s="3364"/>
      <c r="T98" s="3364"/>
      <c r="U98" s="895" t="s">
        <v>1038</v>
      </c>
      <c r="V98" s="909">
        <v>8000000</v>
      </c>
      <c r="W98" s="3370"/>
      <c r="X98" s="3358"/>
      <c r="Y98" s="3358"/>
      <c r="Z98" s="3358"/>
      <c r="AA98" s="3323"/>
      <c r="AB98" s="3323"/>
      <c r="AC98" s="3367"/>
      <c r="AD98" s="3323"/>
      <c r="AE98" s="3323"/>
      <c r="AF98" s="3323"/>
      <c r="AG98" s="3323"/>
      <c r="AH98" s="3323"/>
      <c r="AI98" s="3323"/>
      <c r="AJ98" s="3367"/>
      <c r="AK98" s="3323"/>
      <c r="AL98" s="3323"/>
      <c r="AM98" s="3367"/>
      <c r="AN98" s="3323"/>
      <c r="AO98" s="3373"/>
      <c r="AP98" s="3373"/>
      <c r="AQ98" s="3376"/>
      <c r="AR98" s="911"/>
      <c r="AS98" s="911"/>
      <c r="AT98" s="911"/>
    </row>
    <row r="99" spans="1:43" ht="36" customHeight="1">
      <c r="A99" s="853"/>
      <c r="B99" s="854"/>
      <c r="C99" s="855"/>
      <c r="D99" s="854"/>
      <c r="E99" s="854"/>
      <c r="F99" s="855"/>
      <c r="G99" s="891">
        <v>40</v>
      </c>
      <c r="H99" s="859" t="s">
        <v>1039</v>
      </c>
      <c r="I99" s="859"/>
      <c r="J99" s="859"/>
      <c r="K99" s="860"/>
      <c r="L99" s="859"/>
      <c r="M99" s="859"/>
      <c r="N99" s="861"/>
      <c r="O99" s="859"/>
      <c r="P99" s="860"/>
      <c r="Q99" s="859"/>
      <c r="R99" s="892"/>
      <c r="S99" s="859"/>
      <c r="T99" s="860"/>
      <c r="U99" s="860"/>
      <c r="V99" s="893"/>
      <c r="W99" s="894"/>
      <c r="X99" s="861"/>
      <c r="Y99" s="861"/>
      <c r="Z99" s="861"/>
      <c r="AA99" s="861"/>
      <c r="AB99" s="861"/>
      <c r="AC99" s="861"/>
      <c r="AD99" s="861"/>
      <c r="AE99" s="861"/>
      <c r="AF99" s="861"/>
      <c r="AG99" s="861"/>
      <c r="AH99" s="861"/>
      <c r="AI99" s="861"/>
      <c r="AJ99" s="861"/>
      <c r="AK99" s="861"/>
      <c r="AL99" s="861"/>
      <c r="AM99" s="861"/>
      <c r="AN99" s="861"/>
      <c r="AO99" s="861"/>
      <c r="AP99" s="859"/>
      <c r="AQ99" s="866"/>
    </row>
    <row r="100" spans="1:43" ht="84" customHeight="1">
      <c r="A100" s="896"/>
      <c r="B100" s="897"/>
      <c r="C100" s="898"/>
      <c r="D100" s="897"/>
      <c r="E100" s="897"/>
      <c r="F100" s="898"/>
      <c r="G100" s="899"/>
      <c r="H100" s="900"/>
      <c r="I100" s="901"/>
      <c r="J100" s="3311">
        <v>142</v>
      </c>
      <c r="K100" s="3327" t="s">
        <v>1040</v>
      </c>
      <c r="L100" s="3311" t="s">
        <v>908</v>
      </c>
      <c r="M100" s="3311">
        <v>12</v>
      </c>
      <c r="N100" s="3311" t="s">
        <v>1041</v>
      </c>
      <c r="O100" s="3311">
        <v>139</v>
      </c>
      <c r="P100" s="3324" t="s">
        <v>1042</v>
      </c>
      <c r="Q100" s="2543">
        <f>+(V100+V101+V102+V103)/R100</f>
        <v>0.7535211267605634</v>
      </c>
      <c r="R100" s="2526">
        <f>SUM(V100:V107)</f>
        <v>142000000</v>
      </c>
      <c r="S100" s="3324" t="s">
        <v>1043</v>
      </c>
      <c r="T100" s="3327" t="s">
        <v>1044</v>
      </c>
      <c r="U100" s="925" t="s">
        <v>1045</v>
      </c>
      <c r="V100" s="926">
        <v>43500000</v>
      </c>
      <c r="W100" s="3350">
        <v>61</v>
      </c>
      <c r="X100" s="3311" t="s">
        <v>914</v>
      </c>
      <c r="Y100" s="3321" t="s">
        <v>915</v>
      </c>
      <c r="Z100" s="3321" t="s">
        <v>915</v>
      </c>
      <c r="AA100" s="3353">
        <v>64149</v>
      </c>
      <c r="AB100" s="3321" t="s">
        <v>915</v>
      </c>
      <c r="AC100" s="3337" t="s">
        <v>915</v>
      </c>
      <c r="AD100" s="3321" t="s">
        <v>915</v>
      </c>
      <c r="AE100" s="3321" t="s">
        <v>915</v>
      </c>
      <c r="AF100" s="3321" t="s">
        <v>915</v>
      </c>
      <c r="AG100" s="3321" t="s">
        <v>915</v>
      </c>
      <c r="AH100" s="3321" t="s">
        <v>915</v>
      </c>
      <c r="AI100" s="3321" t="s">
        <v>915</v>
      </c>
      <c r="AJ100" s="3337" t="s">
        <v>915</v>
      </c>
      <c r="AK100" s="3321" t="s">
        <v>915</v>
      </c>
      <c r="AL100" s="3321" t="s">
        <v>915</v>
      </c>
      <c r="AM100" s="3337" t="s">
        <v>915</v>
      </c>
      <c r="AN100" s="3321" t="s">
        <v>915</v>
      </c>
      <c r="AO100" s="3330">
        <v>43101</v>
      </c>
      <c r="AP100" s="3330">
        <v>43465</v>
      </c>
      <c r="AQ100" s="3333" t="s">
        <v>916</v>
      </c>
    </row>
    <row r="101" spans="1:43" ht="90">
      <c r="A101" s="896"/>
      <c r="B101" s="897"/>
      <c r="C101" s="898"/>
      <c r="D101" s="897"/>
      <c r="E101" s="897"/>
      <c r="F101" s="898"/>
      <c r="G101" s="903"/>
      <c r="H101" s="897"/>
      <c r="I101" s="898"/>
      <c r="J101" s="3312"/>
      <c r="K101" s="3328"/>
      <c r="L101" s="3312"/>
      <c r="M101" s="3312"/>
      <c r="N101" s="3312"/>
      <c r="O101" s="3312"/>
      <c r="P101" s="3325"/>
      <c r="Q101" s="2543"/>
      <c r="R101" s="2527"/>
      <c r="S101" s="3325"/>
      <c r="T101" s="3328"/>
      <c r="U101" s="925" t="s">
        <v>1046</v>
      </c>
      <c r="V101" s="927">
        <v>43500000</v>
      </c>
      <c r="W101" s="3351"/>
      <c r="X101" s="3312"/>
      <c r="Y101" s="3322"/>
      <c r="Z101" s="3322"/>
      <c r="AA101" s="3354"/>
      <c r="AB101" s="3322"/>
      <c r="AC101" s="3338"/>
      <c r="AD101" s="3322"/>
      <c r="AE101" s="3322"/>
      <c r="AF101" s="3322"/>
      <c r="AG101" s="3322"/>
      <c r="AH101" s="3322"/>
      <c r="AI101" s="3322"/>
      <c r="AJ101" s="3338"/>
      <c r="AK101" s="3322"/>
      <c r="AL101" s="3322"/>
      <c r="AM101" s="3338"/>
      <c r="AN101" s="3322"/>
      <c r="AO101" s="3331"/>
      <c r="AP101" s="3331"/>
      <c r="AQ101" s="3334"/>
    </row>
    <row r="102" spans="1:43" ht="75">
      <c r="A102" s="896"/>
      <c r="B102" s="897"/>
      <c r="C102" s="898"/>
      <c r="D102" s="897"/>
      <c r="E102" s="897"/>
      <c r="F102" s="898"/>
      <c r="G102" s="903"/>
      <c r="H102" s="897"/>
      <c r="I102" s="898"/>
      <c r="J102" s="3312"/>
      <c r="K102" s="3328"/>
      <c r="L102" s="3312"/>
      <c r="M102" s="3312"/>
      <c r="N102" s="3312"/>
      <c r="O102" s="3312"/>
      <c r="P102" s="3325"/>
      <c r="Q102" s="2543"/>
      <c r="R102" s="2527"/>
      <c r="S102" s="3325"/>
      <c r="T102" s="3328"/>
      <c r="U102" s="925" t="s">
        <v>1047</v>
      </c>
      <c r="V102" s="927">
        <v>10000000</v>
      </c>
      <c r="W102" s="3351"/>
      <c r="X102" s="3312"/>
      <c r="Y102" s="3322"/>
      <c r="Z102" s="3322"/>
      <c r="AA102" s="3354"/>
      <c r="AB102" s="3322"/>
      <c r="AC102" s="3338"/>
      <c r="AD102" s="3322"/>
      <c r="AE102" s="3322"/>
      <c r="AF102" s="3322"/>
      <c r="AG102" s="3322"/>
      <c r="AH102" s="3322"/>
      <c r="AI102" s="3322"/>
      <c r="AJ102" s="3338"/>
      <c r="AK102" s="3322"/>
      <c r="AL102" s="3322"/>
      <c r="AM102" s="3338"/>
      <c r="AN102" s="3322"/>
      <c r="AO102" s="3331"/>
      <c r="AP102" s="3331"/>
      <c r="AQ102" s="3334"/>
    </row>
    <row r="103" spans="1:46" ht="75">
      <c r="A103" s="896"/>
      <c r="B103" s="897"/>
      <c r="C103" s="898"/>
      <c r="D103" s="897"/>
      <c r="E103" s="897"/>
      <c r="F103" s="898"/>
      <c r="G103" s="903"/>
      <c r="H103" s="897"/>
      <c r="I103" s="898"/>
      <c r="J103" s="3313"/>
      <c r="K103" s="3329"/>
      <c r="L103" s="3313"/>
      <c r="M103" s="3313"/>
      <c r="N103" s="3312"/>
      <c r="O103" s="3312"/>
      <c r="P103" s="3325"/>
      <c r="Q103" s="2543"/>
      <c r="R103" s="2527"/>
      <c r="S103" s="3325"/>
      <c r="T103" s="3329"/>
      <c r="U103" s="925" t="s">
        <v>1048</v>
      </c>
      <c r="V103" s="927">
        <v>10000000</v>
      </c>
      <c r="W103" s="3351"/>
      <c r="X103" s="3312"/>
      <c r="Y103" s="3322"/>
      <c r="Z103" s="3322"/>
      <c r="AA103" s="3354"/>
      <c r="AB103" s="3322"/>
      <c r="AC103" s="3338"/>
      <c r="AD103" s="3322"/>
      <c r="AE103" s="3322"/>
      <c r="AF103" s="3322"/>
      <c r="AG103" s="3322"/>
      <c r="AH103" s="3322"/>
      <c r="AI103" s="3322"/>
      <c r="AJ103" s="3338"/>
      <c r="AK103" s="3322"/>
      <c r="AL103" s="3322"/>
      <c r="AM103" s="3338"/>
      <c r="AN103" s="3322"/>
      <c r="AO103" s="3331"/>
      <c r="AP103" s="3331"/>
      <c r="AQ103" s="3334"/>
      <c r="AR103" s="928"/>
      <c r="AS103" s="928"/>
      <c r="AT103" s="928"/>
    </row>
    <row r="104" spans="1:44" ht="60">
      <c r="A104" s="896"/>
      <c r="B104" s="897"/>
      <c r="C104" s="898"/>
      <c r="D104" s="897"/>
      <c r="E104" s="897"/>
      <c r="F104" s="898"/>
      <c r="G104" s="903"/>
      <c r="H104" s="897"/>
      <c r="I104" s="898"/>
      <c r="J104" s="3311">
        <v>143</v>
      </c>
      <c r="K104" s="3377" t="s">
        <v>1049</v>
      </c>
      <c r="L104" s="3311" t="s">
        <v>908</v>
      </c>
      <c r="M104" s="3311">
        <v>1</v>
      </c>
      <c r="N104" s="3312"/>
      <c r="O104" s="3312"/>
      <c r="P104" s="3325"/>
      <c r="Q104" s="2451">
        <f>+(V104+V105+V106+V107)/R100</f>
        <v>0.24647887323943662</v>
      </c>
      <c r="R104" s="2527"/>
      <c r="S104" s="3325"/>
      <c r="T104" s="3377" t="s">
        <v>1050</v>
      </c>
      <c r="U104" s="908" t="s">
        <v>1051</v>
      </c>
      <c r="V104" s="927">
        <f>9900000-4500000</f>
        <v>5400000</v>
      </c>
      <c r="W104" s="3351"/>
      <c r="X104" s="3312"/>
      <c r="Y104" s="3322"/>
      <c r="Z104" s="3322"/>
      <c r="AA104" s="3354"/>
      <c r="AB104" s="3322"/>
      <c r="AC104" s="3338"/>
      <c r="AD104" s="3322"/>
      <c r="AE104" s="3322"/>
      <c r="AF104" s="3322"/>
      <c r="AG104" s="3322"/>
      <c r="AH104" s="3322"/>
      <c r="AI104" s="3322"/>
      <c r="AJ104" s="3338"/>
      <c r="AK104" s="3322"/>
      <c r="AL104" s="3322"/>
      <c r="AM104" s="3338"/>
      <c r="AN104" s="3322"/>
      <c r="AO104" s="3331"/>
      <c r="AP104" s="3331"/>
      <c r="AQ104" s="3334"/>
      <c r="AR104" s="929"/>
    </row>
    <row r="105" spans="1:44" ht="73.5" customHeight="1">
      <c r="A105" s="896"/>
      <c r="B105" s="897"/>
      <c r="C105" s="898"/>
      <c r="D105" s="897"/>
      <c r="E105" s="897"/>
      <c r="F105" s="898"/>
      <c r="G105" s="903"/>
      <c r="H105" s="897"/>
      <c r="I105" s="898"/>
      <c r="J105" s="3312"/>
      <c r="K105" s="3377"/>
      <c r="L105" s="3312"/>
      <c r="M105" s="3312"/>
      <c r="N105" s="3312"/>
      <c r="O105" s="3312"/>
      <c r="P105" s="3325"/>
      <c r="Q105" s="2452"/>
      <c r="R105" s="2527"/>
      <c r="S105" s="3325"/>
      <c r="T105" s="3377"/>
      <c r="U105" s="908" t="s">
        <v>1052</v>
      </c>
      <c r="V105" s="927">
        <f>9900000+10330700</f>
        <v>20230700</v>
      </c>
      <c r="W105" s="3351"/>
      <c r="X105" s="3312"/>
      <c r="Y105" s="3322"/>
      <c r="Z105" s="3322"/>
      <c r="AA105" s="3354"/>
      <c r="AB105" s="3322"/>
      <c r="AC105" s="3338"/>
      <c r="AD105" s="3322"/>
      <c r="AE105" s="3322"/>
      <c r="AF105" s="3322"/>
      <c r="AG105" s="3322"/>
      <c r="AH105" s="3322"/>
      <c r="AI105" s="3322"/>
      <c r="AJ105" s="3338"/>
      <c r="AK105" s="3322"/>
      <c r="AL105" s="3322"/>
      <c r="AM105" s="3338"/>
      <c r="AN105" s="3322"/>
      <c r="AO105" s="3331"/>
      <c r="AP105" s="3331"/>
      <c r="AQ105" s="3334"/>
      <c r="AR105" s="929"/>
    </row>
    <row r="106" spans="1:44" ht="91.5" customHeight="1">
      <c r="A106" s="896"/>
      <c r="B106" s="897"/>
      <c r="C106" s="898"/>
      <c r="D106" s="897"/>
      <c r="E106" s="897"/>
      <c r="F106" s="898"/>
      <c r="G106" s="903"/>
      <c r="H106" s="897"/>
      <c r="I106" s="898"/>
      <c r="J106" s="3312"/>
      <c r="K106" s="3377"/>
      <c r="L106" s="3312"/>
      <c r="M106" s="3312"/>
      <c r="N106" s="3312"/>
      <c r="O106" s="3312"/>
      <c r="P106" s="3325"/>
      <c r="Q106" s="2452"/>
      <c r="R106" s="2527"/>
      <c r="S106" s="3325"/>
      <c r="T106" s="3377"/>
      <c r="U106" s="908" t="s">
        <v>1053</v>
      </c>
      <c r="V106" s="927">
        <f>10000000-4400000</f>
        <v>5600000</v>
      </c>
      <c r="W106" s="3351"/>
      <c r="X106" s="3312"/>
      <c r="Y106" s="3322"/>
      <c r="Z106" s="3322"/>
      <c r="AA106" s="3354"/>
      <c r="AB106" s="3322"/>
      <c r="AC106" s="3338"/>
      <c r="AD106" s="3322"/>
      <c r="AE106" s="3322"/>
      <c r="AF106" s="3322"/>
      <c r="AG106" s="3322"/>
      <c r="AH106" s="3322"/>
      <c r="AI106" s="3322"/>
      <c r="AJ106" s="3338"/>
      <c r="AK106" s="3322"/>
      <c r="AL106" s="3322"/>
      <c r="AM106" s="3338"/>
      <c r="AN106" s="3322"/>
      <c r="AO106" s="3331"/>
      <c r="AP106" s="3331"/>
      <c r="AQ106" s="3334"/>
      <c r="AR106" s="929"/>
    </row>
    <row r="107" spans="1:46" ht="84" customHeight="1">
      <c r="A107" s="896"/>
      <c r="B107" s="897"/>
      <c r="C107" s="898"/>
      <c r="D107" s="897"/>
      <c r="E107" s="897"/>
      <c r="F107" s="898"/>
      <c r="G107" s="903"/>
      <c r="H107" s="897"/>
      <c r="I107" s="898"/>
      <c r="J107" s="3313"/>
      <c r="K107" s="3377"/>
      <c r="L107" s="3313"/>
      <c r="M107" s="3313"/>
      <c r="N107" s="3313"/>
      <c r="O107" s="3313"/>
      <c r="P107" s="3326"/>
      <c r="Q107" s="2481"/>
      <c r="R107" s="2528"/>
      <c r="S107" s="3326"/>
      <c r="T107" s="3377"/>
      <c r="U107" s="908" t="s">
        <v>1054</v>
      </c>
      <c r="V107" s="926">
        <f>5200000-1430700</f>
        <v>3769300</v>
      </c>
      <c r="W107" s="3352"/>
      <c r="X107" s="3313"/>
      <c r="Y107" s="3323"/>
      <c r="Z107" s="3323"/>
      <c r="AA107" s="3355"/>
      <c r="AB107" s="3323"/>
      <c r="AC107" s="3339"/>
      <c r="AD107" s="3323"/>
      <c r="AE107" s="3323"/>
      <c r="AF107" s="3323"/>
      <c r="AG107" s="3323"/>
      <c r="AH107" s="3323"/>
      <c r="AI107" s="3323"/>
      <c r="AJ107" s="3339"/>
      <c r="AK107" s="3323"/>
      <c r="AL107" s="3323"/>
      <c r="AM107" s="3339"/>
      <c r="AN107" s="3323"/>
      <c r="AO107" s="3332"/>
      <c r="AP107" s="3332"/>
      <c r="AQ107" s="3335"/>
      <c r="AR107" s="928"/>
      <c r="AS107" s="928"/>
      <c r="AT107" s="928"/>
    </row>
    <row r="108" spans="1:44" ht="73.5" customHeight="1">
      <c r="A108" s="930"/>
      <c r="B108" s="931"/>
      <c r="C108" s="932"/>
      <c r="D108" s="931"/>
      <c r="E108" s="931"/>
      <c r="F108" s="932"/>
      <c r="G108" s="933"/>
      <c r="H108" s="931"/>
      <c r="I108" s="932"/>
      <c r="J108" s="3383">
        <v>144</v>
      </c>
      <c r="K108" s="3378" t="s">
        <v>1055</v>
      </c>
      <c r="L108" s="3383" t="s">
        <v>908</v>
      </c>
      <c r="M108" s="3383">
        <v>5</v>
      </c>
      <c r="N108" s="934"/>
      <c r="O108" s="3383">
        <v>141</v>
      </c>
      <c r="P108" s="3324" t="s">
        <v>1056</v>
      </c>
      <c r="Q108" s="2387">
        <f>(V108+V109+V110+V112+V113+V111)/R108</f>
        <v>0.8433758086710617</v>
      </c>
      <c r="R108" s="2526">
        <f>SUM(V108+V109+V110+V111+V112+V113+V114+V115+V116+V117)</f>
        <v>705986483.0699999</v>
      </c>
      <c r="S108" s="3378" t="s">
        <v>1057</v>
      </c>
      <c r="T108" s="3324" t="s">
        <v>1058</v>
      </c>
      <c r="U108" s="895" t="s">
        <v>1059</v>
      </c>
      <c r="V108" s="902">
        <f>246606125-8632286+61401533-13963450.93</f>
        <v>285411921.07</v>
      </c>
      <c r="W108" s="3380" t="s">
        <v>1060</v>
      </c>
      <c r="X108" s="3383" t="s">
        <v>1061</v>
      </c>
      <c r="Y108" s="3383">
        <v>292684</v>
      </c>
      <c r="Z108" s="3383">
        <v>282326</v>
      </c>
      <c r="AA108" s="3321">
        <v>135912</v>
      </c>
      <c r="AB108" s="3321">
        <v>45122</v>
      </c>
      <c r="AC108" s="3321">
        <v>307101</v>
      </c>
      <c r="AD108" s="3321">
        <v>86875</v>
      </c>
      <c r="AE108" s="3321">
        <v>2145</v>
      </c>
      <c r="AF108" s="3321">
        <v>12718</v>
      </c>
      <c r="AG108" s="3321">
        <v>26</v>
      </c>
      <c r="AH108" s="3321">
        <v>37</v>
      </c>
      <c r="AI108" s="3321" t="s">
        <v>915</v>
      </c>
      <c r="AJ108" s="3337" t="s">
        <v>915</v>
      </c>
      <c r="AK108" s="3321">
        <v>53164</v>
      </c>
      <c r="AL108" s="3321">
        <v>16982</v>
      </c>
      <c r="AM108" s="3337">
        <v>60013</v>
      </c>
      <c r="AN108" s="3321">
        <v>575010</v>
      </c>
      <c r="AO108" s="3393">
        <v>43101</v>
      </c>
      <c r="AP108" s="3393">
        <v>43465</v>
      </c>
      <c r="AQ108" s="3387" t="s">
        <v>916</v>
      </c>
      <c r="AR108" s="935"/>
    </row>
    <row r="109" spans="1:43" ht="60">
      <c r="A109" s="930"/>
      <c r="B109" s="931"/>
      <c r="C109" s="932"/>
      <c r="D109" s="931"/>
      <c r="E109" s="931"/>
      <c r="F109" s="932"/>
      <c r="G109" s="933"/>
      <c r="H109" s="931"/>
      <c r="I109" s="932"/>
      <c r="J109" s="3384"/>
      <c r="K109" s="3379"/>
      <c r="L109" s="3384"/>
      <c r="M109" s="3384"/>
      <c r="N109" s="936"/>
      <c r="O109" s="3384"/>
      <c r="P109" s="3325"/>
      <c r="Q109" s="2388"/>
      <c r="R109" s="2527"/>
      <c r="S109" s="3379"/>
      <c r="T109" s="3325"/>
      <c r="U109" s="895" t="s">
        <v>1062</v>
      </c>
      <c r="V109" s="902">
        <v>62000000</v>
      </c>
      <c r="W109" s="3381"/>
      <c r="X109" s="3384"/>
      <c r="Y109" s="3384"/>
      <c r="Z109" s="3384"/>
      <c r="AA109" s="3322"/>
      <c r="AB109" s="3322"/>
      <c r="AC109" s="3322"/>
      <c r="AD109" s="3322"/>
      <c r="AE109" s="3322"/>
      <c r="AF109" s="3322"/>
      <c r="AG109" s="3322"/>
      <c r="AH109" s="3322"/>
      <c r="AI109" s="3322"/>
      <c r="AJ109" s="3338"/>
      <c r="AK109" s="3322"/>
      <c r="AL109" s="3322"/>
      <c r="AM109" s="3338"/>
      <c r="AN109" s="3322"/>
      <c r="AO109" s="3394"/>
      <c r="AP109" s="3394"/>
      <c r="AQ109" s="3388"/>
    </row>
    <row r="110" spans="1:43" ht="45">
      <c r="A110" s="930"/>
      <c r="B110" s="931"/>
      <c r="C110" s="932"/>
      <c r="D110" s="931"/>
      <c r="E110" s="931"/>
      <c r="F110" s="932"/>
      <c r="G110" s="933"/>
      <c r="H110" s="931"/>
      <c r="I110" s="932"/>
      <c r="J110" s="3384"/>
      <c r="K110" s="3379"/>
      <c r="L110" s="3384"/>
      <c r="M110" s="3384"/>
      <c r="N110" s="936"/>
      <c r="O110" s="3384"/>
      <c r="P110" s="3325"/>
      <c r="Q110" s="2388"/>
      <c r="R110" s="2527"/>
      <c r="S110" s="3379"/>
      <c r="T110" s="3325"/>
      <c r="U110" s="895" t="s">
        <v>1063</v>
      </c>
      <c r="V110" s="902">
        <v>62000000</v>
      </c>
      <c r="W110" s="3381"/>
      <c r="X110" s="3384"/>
      <c r="Y110" s="3384"/>
      <c r="Z110" s="3384"/>
      <c r="AA110" s="3322"/>
      <c r="AB110" s="3322"/>
      <c r="AC110" s="3322"/>
      <c r="AD110" s="3322"/>
      <c r="AE110" s="3322"/>
      <c r="AF110" s="3322"/>
      <c r="AG110" s="3322"/>
      <c r="AH110" s="3322"/>
      <c r="AI110" s="3322"/>
      <c r="AJ110" s="3338"/>
      <c r="AK110" s="3322"/>
      <c r="AL110" s="3322"/>
      <c r="AM110" s="3338"/>
      <c r="AN110" s="3322"/>
      <c r="AO110" s="3394"/>
      <c r="AP110" s="3394"/>
      <c r="AQ110" s="3388"/>
    </row>
    <row r="111" spans="1:43" ht="75">
      <c r="A111" s="930"/>
      <c r="B111" s="931"/>
      <c r="C111" s="932"/>
      <c r="D111" s="931"/>
      <c r="E111" s="931"/>
      <c r="F111" s="932"/>
      <c r="G111" s="933"/>
      <c r="H111" s="931"/>
      <c r="I111" s="932"/>
      <c r="J111" s="3384"/>
      <c r="K111" s="3379"/>
      <c r="L111" s="3384"/>
      <c r="M111" s="3384"/>
      <c r="N111" s="936"/>
      <c r="O111" s="3384"/>
      <c r="P111" s="3325"/>
      <c r="Q111" s="2388"/>
      <c r="R111" s="2527"/>
      <c r="S111" s="3379"/>
      <c r="T111" s="3325"/>
      <c r="U111" s="895" t="s">
        <v>1064</v>
      </c>
      <c r="V111" s="902">
        <v>62000000</v>
      </c>
      <c r="W111" s="3381"/>
      <c r="X111" s="3384"/>
      <c r="Y111" s="3384"/>
      <c r="Z111" s="3384"/>
      <c r="AA111" s="3322"/>
      <c r="AB111" s="3322"/>
      <c r="AC111" s="3322"/>
      <c r="AD111" s="3322"/>
      <c r="AE111" s="3322"/>
      <c r="AF111" s="3322"/>
      <c r="AG111" s="3322"/>
      <c r="AH111" s="3322"/>
      <c r="AI111" s="3322"/>
      <c r="AJ111" s="3338"/>
      <c r="AK111" s="3322"/>
      <c r="AL111" s="3322"/>
      <c r="AM111" s="3338"/>
      <c r="AN111" s="3322"/>
      <c r="AO111" s="3394"/>
      <c r="AP111" s="3394"/>
      <c r="AQ111" s="3388"/>
    </row>
    <row r="112" spans="1:43" ht="90">
      <c r="A112" s="930"/>
      <c r="B112" s="931"/>
      <c r="C112" s="932"/>
      <c r="D112" s="931"/>
      <c r="E112" s="931"/>
      <c r="F112" s="932"/>
      <c r="G112" s="933"/>
      <c r="H112" s="931"/>
      <c r="I112" s="932"/>
      <c r="J112" s="3384"/>
      <c r="K112" s="3379"/>
      <c r="L112" s="3384"/>
      <c r="M112" s="3384"/>
      <c r="N112" s="936"/>
      <c r="O112" s="3384"/>
      <c r="P112" s="3325"/>
      <c r="Q112" s="2388"/>
      <c r="R112" s="2527"/>
      <c r="S112" s="3379"/>
      <c r="T112" s="3325"/>
      <c r="U112" s="895" t="s">
        <v>1065</v>
      </c>
      <c r="V112" s="902">
        <v>62000000</v>
      </c>
      <c r="W112" s="3381"/>
      <c r="X112" s="3384"/>
      <c r="Y112" s="3384"/>
      <c r="Z112" s="3384"/>
      <c r="AA112" s="3322"/>
      <c r="AB112" s="3322"/>
      <c r="AC112" s="3322"/>
      <c r="AD112" s="3322"/>
      <c r="AE112" s="3322"/>
      <c r="AF112" s="3322"/>
      <c r="AG112" s="3322"/>
      <c r="AH112" s="3322"/>
      <c r="AI112" s="3322"/>
      <c r="AJ112" s="3338"/>
      <c r="AK112" s="3322"/>
      <c r="AL112" s="3322"/>
      <c r="AM112" s="3338"/>
      <c r="AN112" s="3322"/>
      <c r="AO112" s="3394"/>
      <c r="AP112" s="3394"/>
      <c r="AQ112" s="3388"/>
    </row>
    <row r="113" spans="1:46" ht="114" customHeight="1">
      <c r="A113" s="930"/>
      <c r="B113" s="931"/>
      <c r="C113" s="932"/>
      <c r="D113" s="931"/>
      <c r="E113" s="931"/>
      <c r="F113" s="932"/>
      <c r="G113" s="933"/>
      <c r="H113" s="931"/>
      <c r="I113" s="932"/>
      <c r="J113" s="3385"/>
      <c r="K113" s="3386"/>
      <c r="L113" s="3385"/>
      <c r="M113" s="3385"/>
      <c r="N113" s="3384" t="s">
        <v>1066</v>
      </c>
      <c r="O113" s="3384"/>
      <c r="P113" s="3325"/>
      <c r="Q113" s="2389"/>
      <c r="R113" s="2527"/>
      <c r="S113" s="3379"/>
      <c r="T113" s="3326"/>
      <c r="U113" s="895" t="s">
        <v>1067</v>
      </c>
      <c r="V113" s="902">
        <v>62000000</v>
      </c>
      <c r="W113" s="3381"/>
      <c r="X113" s="3384"/>
      <c r="Y113" s="3384"/>
      <c r="Z113" s="3384"/>
      <c r="AA113" s="3322"/>
      <c r="AB113" s="3322"/>
      <c r="AC113" s="3322"/>
      <c r="AD113" s="3322"/>
      <c r="AE113" s="3322"/>
      <c r="AF113" s="3322"/>
      <c r="AG113" s="3322"/>
      <c r="AH113" s="3322"/>
      <c r="AI113" s="3322"/>
      <c r="AJ113" s="3338"/>
      <c r="AK113" s="3322"/>
      <c r="AL113" s="3322"/>
      <c r="AM113" s="3338"/>
      <c r="AN113" s="3322"/>
      <c r="AO113" s="3394"/>
      <c r="AP113" s="3394"/>
      <c r="AQ113" s="3388"/>
      <c r="AR113" s="928"/>
      <c r="AS113" s="928"/>
      <c r="AT113" s="928"/>
    </row>
    <row r="114" spans="1:43" ht="60">
      <c r="A114" s="930"/>
      <c r="B114" s="931"/>
      <c r="C114" s="932"/>
      <c r="D114" s="931"/>
      <c r="E114" s="931"/>
      <c r="F114" s="932"/>
      <c r="G114" s="933"/>
      <c r="H114" s="931"/>
      <c r="I114" s="932"/>
      <c r="J114" s="3383">
        <v>145</v>
      </c>
      <c r="K114" s="3390" t="s">
        <v>1068</v>
      </c>
      <c r="L114" s="3383" t="s">
        <v>908</v>
      </c>
      <c r="M114" s="3383">
        <v>1</v>
      </c>
      <c r="N114" s="3384"/>
      <c r="O114" s="3384"/>
      <c r="P114" s="3325"/>
      <c r="Q114" s="2387">
        <f>(V117+V114+V115+V116)/R108</f>
        <v>0.1566241913289384</v>
      </c>
      <c r="R114" s="2527"/>
      <c r="S114" s="3379"/>
      <c r="T114" s="3327" t="s">
        <v>1069</v>
      </c>
      <c r="U114" s="937" t="s">
        <v>1070</v>
      </c>
      <c r="V114" s="902">
        <f>36000000-1000000</f>
        <v>35000000</v>
      </c>
      <c r="W114" s="3381"/>
      <c r="X114" s="3384"/>
      <c r="Y114" s="3384"/>
      <c r="Z114" s="3384"/>
      <c r="AA114" s="3322"/>
      <c r="AB114" s="3322"/>
      <c r="AC114" s="3322"/>
      <c r="AD114" s="3322"/>
      <c r="AE114" s="3322"/>
      <c r="AF114" s="3322"/>
      <c r="AG114" s="3322"/>
      <c r="AH114" s="3322"/>
      <c r="AI114" s="3322"/>
      <c r="AJ114" s="3338"/>
      <c r="AK114" s="3322"/>
      <c r="AL114" s="3322"/>
      <c r="AM114" s="3338"/>
      <c r="AN114" s="3322"/>
      <c r="AO114" s="3394"/>
      <c r="AP114" s="3394"/>
      <c r="AQ114" s="3388"/>
    </row>
    <row r="115" spans="1:43" ht="60.75" customHeight="1">
      <c r="A115" s="930"/>
      <c r="B115" s="931"/>
      <c r="C115" s="932"/>
      <c r="D115" s="931"/>
      <c r="E115" s="931"/>
      <c r="F115" s="932"/>
      <c r="G115" s="933"/>
      <c r="H115" s="931"/>
      <c r="I115" s="932"/>
      <c r="J115" s="3384"/>
      <c r="K115" s="3391"/>
      <c r="L115" s="3384"/>
      <c r="M115" s="3384"/>
      <c r="N115" s="936"/>
      <c r="O115" s="3384"/>
      <c r="P115" s="3325"/>
      <c r="Q115" s="2388"/>
      <c r="R115" s="2527"/>
      <c r="S115" s="3379"/>
      <c r="T115" s="3328"/>
      <c r="U115" s="937" t="s">
        <v>1071</v>
      </c>
      <c r="V115" s="902">
        <f>36000000-1000000</f>
        <v>35000000</v>
      </c>
      <c r="W115" s="3381"/>
      <c r="X115" s="3384"/>
      <c r="Y115" s="3384"/>
      <c r="Z115" s="3384"/>
      <c r="AA115" s="3322"/>
      <c r="AB115" s="3322"/>
      <c r="AC115" s="3322"/>
      <c r="AD115" s="3322"/>
      <c r="AE115" s="3322"/>
      <c r="AF115" s="3322"/>
      <c r="AG115" s="3322"/>
      <c r="AH115" s="3322"/>
      <c r="AI115" s="3322"/>
      <c r="AJ115" s="3338"/>
      <c r="AK115" s="3322"/>
      <c r="AL115" s="3322"/>
      <c r="AM115" s="3338"/>
      <c r="AN115" s="3322"/>
      <c r="AO115" s="3394"/>
      <c r="AP115" s="3394"/>
      <c r="AQ115" s="3388"/>
    </row>
    <row r="116" spans="1:43" ht="48" customHeight="1">
      <c r="A116" s="930"/>
      <c r="B116" s="931"/>
      <c r="C116" s="932"/>
      <c r="D116" s="931"/>
      <c r="E116" s="931"/>
      <c r="F116" s="932"/>
      <c r="G116" s="933"/>
      <c r="H116" s="931"/>
      <c r="I116" s="932"/>
      <c r="J116" s="3384"/>
      <c r="K116" s="3391"/>
      <c r="L116" s="3384"/>
      <c r="M116" s="3384"/>
      <c r="N116" s="936"/>
      <c r="O116" s="3384"/>
      <c r="P116" s="3325"/>
      <c r="Q116" s="2388"/>
      <c r="R116" s="2527"/>
      <c r="S116" s="3379"/>
      <c r="T116" s="3328"/>
      <c r="U116" s="937" t="s">
        <v>1072</v>
      </c>
      <c r="V116" s="902">
        <v>5834562</v>
      </c>
      <c r="W116" s="3381"/>
      <c r="X116" s="3384"/>
      <c r="Y116" s="3384"/>
      <c r="Z116" s="3384"/>
      <c r="AA116" s="3322"/>
      <c r="AB116" s="3322"/>
      <c r="AC116" s="3322"/>
      <c r="AD116" s="3322"/>
      <c r="AE116" s="3322"/>
      <c r="AF116" s="3322"/>
      <c r="AG116" s="3322"/>
      <c r="AH116" s="3322"/>
      <c r="AI116" s="3322"/>
      <c r="AJ116" s="3338"/>
      <c r="AK116" s="3322"/>
      <c r="AL116" s="3322"/>
      <c r="AM116" s="3338"/>
      <c r="AN116" s="3322"/>
      <c r="AO116" s="3394"/>
      <c r="AP116" s="3394"/>
      <c r="AQ116" s="3388"/>
    </row>
    <row r="117" spans="1:46" ht="45">
      <c r="A117" s="930"/>
      <c r="B117" s="931"/>
      <c r="C117" s="932"/>
      <c r="D117" s="931"/>
      <c r="E117" s="931"/>
      <c r="F117" s="932"/>
      <c r="G117" s="933"/>
      <c r="H117" s="931"/>
      <c r="I117" s="932"/>
      <c r="J117" s="3385"/>
      <c r="K117" s="3392"/>
      <c r="L117" s="3385"/>
      <c r="M117" s="3385"/>
      <c r="N117" s="938"/>
      <c r="O117" s="3385"/>
      <c r="P117" s="3325"/>
      <c r="Q117" s="2389"/>
      <c r="R117" s="2527"/>
      <c r="S117" s="3379"/>
      <c r="T117" s="3329"/>
      <c r="U117" s="925" t="s">
        <v>1073</v>
      </c>
      <c r="V117" s="902">
        <f>36000000-1260000</f>
        <v>34740000</v>
      </c>
      <c r="W117" s="3382"/>
      <c r="X117" s="3385"/>
      <c r="Y117" s="3385"/>
      <c r="Z117" s="3385"/>
      <c r="AA117" s="3322"/>
      <c r="AB117" s="3322"/>
      <c r="AC117" s="3322"/>
      <c r="AD117" s="3322"/>
      <c r="AE117" s="3322"/>
      <c r="AF117" s="3322"/>
      <c r="AG117" s="3322"/>
      <c r="AH117" s="3322"/>
      <c r="AI117" s="3322"/>
      <c r="AJ117" s="3338"/>
      <c r="AK117" s="3322"/>
      <c r="AL117" s="3322"/>
      <c r="AM117" s="3338"/>
      <c r="AN117" s="3323"/>
      <c r="AO117" s="3394"/>
      <c r="AP117" s="3394"/>
      <c r="AQ117" s="3389"/>
      <c r="AR117" s="928"/>
      <c r="AS117" s="928"/>
      <c r="AT117" s="928"/>
    </row>
    <row r="118" spans="1:43" ht="75" customHeight="1">
      <c r="A118" s="930"/>
      <c r="B118" s="931"/>
      <c r="C118" s="932"/>
      <c r="D118" s="931"/>
      <c r="E118" s="931"/>
      <c r="F118" s="932"/>
      <c r="G118" s="933"/>
      <c r="H118" s="931"/>
      <c r="I118" s="932"/>
      <c r="J118" s="3383">
        <v>146</v>
      </c>
      <c r="K118" s="3378" t="s">
        <v>1074</v>
      </c>
      <c r="L118" s="3383" t="s">
        <v>908</v>
      </c>
      <c r="M118" s="3383">
        <v>1</v>
      </c>
      <c r="N118" s="934"/>
      <c r="O118" s="3383">
        <v>142</v>
      </c>
      <c r="P118" s="3324" t="s">
        <v>1075</v>
      </c>
      <c r="Q118" s="2387">
        <v>1</v>
      </c>
      <c r="R118" s="2526">
        <f>SUM(V118:V126)</f>
        <v>230374138</v>
      </c>
      <c r="S118" s="3378" t="s">
        <v>1076</v>
      </c>
      <c r="T118" s="3324" t="s">
        <v>1077</v>
      </c>
      <c r="U118" s="895" t="s">
        <v>1078</v>
      </c>
      <c r="V118" s="939">
        <v>76133655</v>
      </c>
      <c r="W118" s="940"/>
      <c r="X118" s="934"/>
      <c r="Y118" s="3395">
        <v>292684</v>
      </c>
      <c r="Z118" s="3395">
        <v>282326</v>
      </c>
      <c r="AA118" s="3321">
        <v>135912</v>
      </c>
      <c r="AB118" s="3321">
        <v>45122</v>
      </c>
      <c r="AC118" s="3321">
        <f>SUM(AC108)</f>
        <v>307101</v>
      </c>
      <c r="AD118" s="3321">
        <f>SUM(AD108)</f>
        <v>86875</v>
      </c>
      <c r="AE118" s="3321">
        <v>2145</v>
      </c>
      <c r="AF118" s="3321">
        <v>12718</v>
      </c>
      <c r="AG118" s="3321">
        <v>26</v>
      </c>
      <c r="AH118" s="3321">
        <v>37</v>
      </c>
      <c r="AI118" s="3321" t="s">
        <v>915</v>
      </c>
      <c r="AJ118" s="3321" t="s">
        <v>915</v>
      </c>
      <c r="AK118" s="3321">
        <v>53164</v>
      </c>
      <c r="AL118" s="3321">
        <v>16982</v>
      </c>
      <c r="AM118" s="3396">
        <v>60013</v>
      </c>
      <c r="AN118" s="3321">
        <v>575010</v>
      </c>
      <c r="AO118" s="3399">
        <v>43101</v>
      </c>
      <c r="AP118" s="3399">
        <v>43465</v>
      </c>
      <c r="AQ118" s="3387" t="s">
        <v>916</v>
      </c>
    </row>
    <row r="119" spans="1:43" ht="85.5" customHeight="1">
      <c r="A119" s="930"/>
      <c r="B119" s="931"/>
      <c r="C119" s="932"/>
      <c r="D119" s="931"/>
      <c r="E119" s="931"/>
      <c r="F119" s="932"/>
      <c r="G119" s="933"/>
      <c r="H119" s="931"/>
      <c r="I119" s="932"/>
      <c r="J119" s="3384"/>
      <c r="K119" s="3379"/>
      <c r="L119" s="3384"/>
      <c r="M119" s="3384"/>
      <c r="N119" s="936"/>
      <c r="O119" s="3384"/>
      <c r="P119" s="3325"/>
      <c r="Q119" s="2388"/>
      <c r="R119" s="2527"/>
      <c r="S119" s="3379"/>
      <c r="T119" s="3325"/>
      <c r="U119" s="895" t="s">
        <v>1079</v>
      </c>
      <c r="V119" s="939">
        <v>3000000</v>
      </c>
      <c r="W119" s="941"/>
      <c r="X119" s="936"/>
      <c r="Y119" s="3395"/>
      <c r="Z119" s="3395"/>
      <c r="AA119" s="3322"/>
      <c r="AB119" s="3322"/>
      <c r="AC119" s="3322"/>
      <c r="AD119" s="3322"/>
      <c r="AE119" s="3322"/>
      <c r="AF119" s="3322"/>
      <c r="AG119" s="3322"/>
      <c r="AH119" s="3322"/>
      <c r="AI119" s="3322"/>
      <c r="AJ119" s="3322"/>
      <c r="AK119" s="3322"/>
      <c r="AL119" s="3322"/>
      <c r="AM119" s="3397"/>
      <c r="AN119" s="3322"/>
      <c r="AO119" s="3399"/>
      <c r="AP119" s="3399"/>
      <c r="AQ119" s="3388"/>
    </row>
    <row r="120" spans="1:43" ht="64.5" customHeight="1">
      <c r="A120" s="930"/>
      <c r="B120" s="931"/>
      <c r="C120" s="932"/>
      <c r="D120" s="931"/>
      <c r="E120" s="931"/>
      <c r="F120" s="932"/>
      <c r="G120" s="933"/>
      <c r="H120" s="931"/>
      <c r="I120" s="932"/>
      <c r="J120" s="3384"/>
      <c r="K120" s="3379"/>
      <c r="L120" s="3384"/>
      <c r="M120" s="3384"/>
      <c r="N120" s="936" t="s">
        <v>1080</v>
      </c>
      <c r="O120" s="3384"/>
      <c r="P120" s="3325"/>
      <c r="Q120" s="2388"/>
      <c r="R120" s="2527"/>
      <c r="S120" s="3379"/>
      <c r="T120" s="3325"/>
      <c r="U120" s="895" t="s">
        <v>1081</v>
      </c>
      <c r="V120" s="939">
        <v>27000000</v>
      </c>
      <c r="W120" s="941"/>
      <c r="X120" s="936"/>
      <c r="Y120" s="3395"/>
      <c r="Z120" s="3395"/>
      <c r="AA120" s="3322"/>
      <c r="AB120" s="3322"/>
      <c r="AC120" s="3322"/>
      <c r="AD120" s="3322"/>
      <c r="AE120" s="3322"/>
      <c r="AF120" s="3322"/>
      <c r="AG120" s="3322"/>
      <c r="AH120" s="3322"/>
      <c r="AI120" s="3322"/>
      <c r="AJ120" s="3322"/>
      <c r="AK120" s="3322"/>
      <c r="AL120" s="3322"/>
      <c r="AM120" s="3397"/>
      <c r="AN120" s="3322"/>
      <c r="AO120" s="3399"/>
      <c r="AP120" s="3399"/>
      <c r="AQ120" s="3388"/>
    </row>
    <row r="121" spans="1:46" ht="65.25" customHeight="1">
      <c r="A121" s="930"/>
      <c r="B121" s="931"/>
      <c r="C121" s="932"/>
      <c r="D121" s="931"/>
      <c r="E121" s="931"/>
      <c r="F121" s="932"/>
      <c r="G121" s="933"/>
      <c r="H121" s="931"/>
      <c r="I121" s="932"/>
      <c r="J121" s="3384"/>
      <c r="K121" s="3379"/>
      <c r="L121" s="3384"/>
      <c r="M121" s="3384"/>
      <c r="N121" s="936" t="s">
        <v>1082</v>
      </c>
      <c r="O121" s="3384"/>
      <c r="P121" s="3325"/>
      <c r="Q121" s="2388"/>
      <c r="R121" s="2527"/>
      <c r="S121" s="3379"/>
      <c r="T121" s="3326"/>
      <c r="U121" s="895" t="s">
        <v>1083</v>
      </c>
      <c r="V121" s="939">
        <v>10000000</v>
      </c>
      <c r="W121" s="941"/>
      <c r="X121" s="936"/>
      <c r="Y121" s="3395"/>
      <c r="Z121" s="3395"/>
      <c r="AA121" s="3322"/>
      <c r="AB121" s="3322"/>
      <c r="AC121" s="3322"/>
      <c r="AD121" s="3322"/>
      <c r="AE121" s="3322"/>
      <c r="AF121" s="3322"/>
      <c r="AG121" s="3322"/>
      <c r="AH121" s="3322"/>
      <c r="AI121" s="3322"/>
      <c r="AJ121" s="3322"/>
      <c r="AK121" s="3322"/>
      <c r="AL121" s="3322"/>
      <c r="AM121" s="3397"/>
      <c r="AN121" s="3322"/>
      <c r="AO121" s="3399"/>
      <c r="AP121" s="3399"/>
      <c r="AQ121" s="3388"/>
      <c r="AR121" s="928"/>
      <c r="AS121" s="928"/>
      <c r="AT121" s="928"/>
    </row>
    <row r="122" spans="1:43" ht="77.25" customHeight="1">
      <c r="A122" s="930"/>
      <c r="B122" s="931"/>
      <c r="C122" s="932"/>
      <c r="D122" s="931"/>
      <c r="E122" s="931"/>
      <c r="F122" s="932"/>
      <c r="G122" s="933"/>
      <c r="H122" s="931"/>
      <c r="I122" s="932"/>
      <c r="J122" s="3384"/>
      <c r="K122" s="3379"/>
      <c r="L122" s="3384"/>
      <c r="M122" s="3384"/>
      <c r="N122" s="936" t="s">
        <v>1084</v>
      </c>
      <c r="O122" s="3384"/>
      <c r="P122" s="3325"/>
      <c r="Q122" s="2388"/>
      <c r="R122" s="2527"/>
      <c r="S122" s="3379"/>
      <c r="T122" s="3324" t="s">
        <v>1085</v>
      </c>
      <c r="U122" s="895" t="s">
        <v>1086</v>
      </c>
      <c r="V122" s="939">
        <v>7000000</v>
      </c>
      <c r="W122" s="941">
        <v>113</v>
      </c>
      <c r="X122" s="936" t="s">
        <v>1087</v>
      </c>
      <c r="Y122" s="3395"/>
      <c r="Z122" s="3395"/>
      <c r="AA122" s="3322"/>
      <c r="AB122" s="3322"/>
      <c r="AC122" s="3322"/>
      <c r="AD122" s="3322"/>
      <c r="AE122" s="3322"/>
      <c r="AF122" s="3322"/>
      <c r="AG122" s="3322"/>
      <c r="AH122" s="3322"/>
      <c r="AI122" s="3322"/>
      <c r="AJ122" s="3322"/>
      <c r="AK122" s="3322"/>
      <c r="AL122" s="3322"/>
      <c r="AM122" s="3397"/>
      <c r="AN122" s="3322"/>
      <c r="AO122" s="3399"/>
      <c r="AP122" s="3399"/>
      <c r="AQ122" s="3388"/>
    </row>
    <row r="123" spans="1:43" ht="60">
      <c r="A123" s="930"/>
      <c r="B123" s="931"/>
      <c r="C123" s="932"/>
      <c r="D123" s="931"/>
      <c r="E123" s="931"/>
      <c r="F123" s="932"/>
      <c r="G123" s="933"/>
      <c r="H123" s="931"/>
      <c r="I123" s="932"/>
      <c r="J123" s="3384"/>
      <c r="K123" s="3379"/>
      <c r="L123" s="3384"/>
      <c r="M123" s="3384"/>
      <c r="N123" s="936" t="s">
        <v>1088</v>
      </c>
      <c r="O123" s="3384"/>
      <c r="P123" s="3325"/>
      <c r="Q123" s="2388"/>
      <c r="R123" s="2527"/>
      <c r="S123" s="3379"/>
      <c r="T123" s="3325"/>
      <c r="U123" s="895" t="s">
        <v>1089</v>
      </c>
      <c r="V123" s="939">
        <v>48000000</v>
      </c>
      <c r="W123" s="941">
        <v>114</v>
      </c>
      <c r="X123" s="942" t="s">
        <v>1090</v>
      </c>
      <c r="Y123" s="3395"/>
      <c r="Z123" s="3395"/>
      <c r="AA123" s="3322"/>
      <c r="AB123" s="3322"/>
      <c r="AC123" s="3322"/>
      <c r="AD123" s="3322"/>
      <c r="AE123" s="3322"/>
      <c r="AF123" s="3322"/>
      <c r="AG123" s="3322"/>
      <c r="AH123" s="3322"/>
      <c r="AI123" s="3322"/>
      <c r="AJ123" s="3322"/>
      <c r="AK123" s="3322"/>
      <c r="AL123" s="3322"/>
      <c r="AM123" s="3397"/>
      <c r="AN123" s="3322"/>
      <c r="AO123" s="3399"/>
      <c r="AP123" s="3399"/>
      <c r="AQ123" s="3388"/>
    </row>
    <row r="124" spans="1:43" ht="68.25" customHeight="1">
      <c r="A124" s="930"/>
      <c r="B124" s="931"/>
      <c r="C124" s="932"/>
      <c r="D124" s="931"/>
      <c r="E124" s="931"/>
      <c r="F124" s="932"/>
      <c r="G124" s="933"/>
      <c r="H124" s="931"/>
      <c r="I124" s="932"/>
      <c r="J124" s="3384"/>
      <c r="K124" s="3379"/>
      <c r="L124" s="3384"/>
      <c r="M124" s="3384"/>
      <c r="N124" s="936"/>
      <c r="O124" s="3384"/>
      <c r="P124" s="3325"/>
      <c r="Q124" s="2388"/>
      <c r="R124" s="2527"/>
      <c r="S124" s="3379"/>
      <c r="T124" s="3326"/>
      <c r="U124" s="895" t="s">
        <v>1091</v>
      </c>
      <c r="V124" s="939">
        <v>20000000</v>
      </c>
      <c r="W124" s="941">
        <v>61</v>
      </c>
      <c r="X124" s="936" t="s">
        <v>914</v>
      </c>
      <c r="Y124" s="3395"/>
      <c r="Z124" s="3395"/>
      <c r="AA124" s="3322"/>
      <c r="AB124" s="3322"/>
      <c r="AC124" s="3322"/>
      <c r="AD124" s="3322"/>
      <c r="AE124" s="3322"/>
      <c r="AF124" s="3322"/>
      <c r="AG124" s="3322"/>
      <c r="AH124" s="3322"/>
      <c r="AI124" s="3322"/>
      <c r="AJ124" s="3322"/>
      <c r="AK124" s="3322"/>
      <c r="AL124" s="3322"/>
      <c r="AM124" s="3397"/>
      <c r="AN124" s="3322"/>
      <c r="AO124" s="3399"/>
      <c r="AP124" s="3399"/>
      <c r="AQ124" s="3388"/>
    </row>
    <row r="125" spans="1:43" ht="58.5" customHeight="1">
      <c r="A125" s="930"/>
      <c r="B125" s="931"/>
      <c r="C125" s="932"/>
      <c r="D125" s="931"/>
      <c r="E125" s="931"/>
      <c r="F125" s="932"/>
      <c r="G125" s="933"/>
      <c r="H125" s="931"/>
      <c r="I125" s="932"/>
      <c r="J125" s="3384"/>
      <c r="K125" s="3379"/>
      <c r="L125" s="3384"/>
      <c r="M125" s="3384"/>
      <c r="N125" s="936"/>
      <c r="O125" s="3384"/>
      <c r="P125" s="3325"/>
      <c r="Q125" s="2388"/>
      <c r="R125" s="2527"/>
      <c r="S125" s="3379"/>
      <c r="T125" s="3324" t="s">
        <v>1092</v>
      </c>
      <c r="U125" s="895" t="s">
        <v>1093</v>
      </c>
      <c r="V125" s="939">
        <v>22000000</v>
      </c>
      <c r="W125" s="941"/>
      <c r="X125" s="936"/>
      <c r="Y125" s="3395"/>
      <c r="Z125" s="3395"/>
      <c r="AA125" s="3322"/>
      <c r="AB125" s="3322"/>
      <c r="AC125" s="3322"/>
      <c r="AD125" s="3322"/>
      <c r="AE125" s="3322"/>
      <c r="AF125" s="3322"/>
      <c r="AG125" s="3322"/>
      <c r="AH125" s="3322"/>
      <c r="AI125" s="3322"/>
      <c r="AJ125" s="3322"/>
      <c r="AK125" s="3322"/>
      <c r="AL125" s="3322"/>
      <c r="AM125" s="3397"/>
      <c r="AN125" s="3322"/>
      <c r="AO125" s="3399"/>
      <c r="AP125" s="3399"/>
      <c r="AQ125" s="3388"/>
    </row>
    <row r="126" spans="1:46" ht="74.25" customHeight="1">
      <c r="A126" s="930"/>
      <c r="B126" s="931"/>
      <c r="C126" s="932"/>
      <c r="D126" s="931"/>
      <c r="E126" s="931"/>
      <c r="F126" s="932"/>
      <c r="G126" s="943"/>
      <c r="H126" s="944"/>
      <c r="I126" s="945"/>
      <c r="J126" s="3385"/>
      <c r="K126" s="3386"/>
      <c r="L126" s="3385"/>
      <c r="M126" s="3385"/>
      <c r="N126" s="938"/>
      <c r="O126" s="3385"/>
      <c r="P126" s="3326"/>
      <c r="Q126" s="2389"/>
      <c r="R126" s="2528"/>
      <c r="S126" s="3386"/>
      <c r="T126" s="3326"/>
      <c r="U126" s="895" t="s">
        <v>1094</v>
      </c>
      <c r="V126" s="939">
        <v>17240483</v>
      </c>
      <c r="W126" s="946"/>
      <c r="X126" s="938"/>
      <c r="Y126" s="3395"/>
      <c r="Z126" s="3395"/>
      <c r="AA126" s="3323"/>
      <c r="AB126" s="3323"/>
      <c r="AC126" s="3323"/>
      <c r="AD126" s="3323"/>
      <c r="AE126" s="3323"/>
      <c r="AF126" s="3323"/>
      <c r="AG126" s="3323"/>
      <c r="AH126" s="3323"/>
      <c r="AI126" s="3323"/>
      <c r="AJ126" s="3323"/>
      <c r="AK126" s="3323"/>
      <c r="AL126" s="3323"/>
      <c r="AM126" s="3398"/>
      <c r="AN126" s="3323"/>
      <c r="AO126" s="3399"/>
      <c r="AP126" s="3399"/>
      <c r="AQ126" s="3389"/>
      <c r="AR126" s="928"/>
      <c r="AS126" s="928"/>
      <c r="AT126" s="928"/>
    </row>
    <row r="127" spans="1:43" ht="38.25" customHeight="1">
      <c r="A127" s="853"/>
      <c r="B127" s="854"/>
      <c r="C127" s="855"/>
      <c r="D127" s="854"/>
      <c r="E127" s="854"/>
      <c r="F127" s="855"/>
      <c r="G127" s="891">
        <v>41</v>
      </c>
      <c r="H127" s="859" t="s">
        <v>1095</v>
      </c>
      <c r="I127" s="859"/>
      <c r="J127" s="859"/>
      <c r="K127" s="860"/>
      <c r="L127" s="859"/>
      <c r="M127" s="859"/>
      <c r="N127" s="861"/>
      <c r="O127" s="859"/>
      <c r="P127" s="860"/>
      <c r="Q127" s="859"/>
      <c r="R127" s="892"/>
      <c r="S127" s="859"/>
      <c r="T127" s="860"/>
      <c r="U127" s="860"/>
      <c r="V127" s="893"/>
      <c r="W127" s="894"/>
      <c r="X127" s="861"/>
      <c r="Y127" s="861"/>
      <c r="Z127" s="861"/>
      <c r="AA127" s="861"/>
      <c r="AB127" s="861"/>
      <c r="AC127" s="861"/>
      <c r="AD127" s="861"/>
      <c r="AE127" s="861"/>
      <c r="AF127" s="861"/>
      <c r="AG127" s="861"/>
      <c r="AH127" s="861"/>
      <c r="AI127" s="861"/>
      <c r="AJ127" s="861"/>
      <c r="AK127" s="861"/>
      <c r="AL127" s="861"/>
      <c r="AM127" s="861"/>
      <c r="AN127" s="861"/>
      <c r="AO127" s="859"/>
      <c r="AP127" s="859"/>
      <c r="AQ127" s="866"/>
    </row>
    <row r="128" spans="1:43" ht="57.75" customHeight="1">
      <c r="A128" s="867"/>
      <c r="B128" s="868"/>
      <c r="C128" s="869"/>
      <c r="D128" s="868"/>
      <c r="E128" s="868"/>
      <c r="F128" s="869"/>
      <c r="G128" s="870"/>
      <c r="H128" s="871"/>
      <c r="I128" s="872"/>
      <c r="J128" s="3311">
        <v>147</v>
      </c>
      <c r="K128" s="3324" t="s">
        <v>1096</v>
      </c>
      <c r="L128" s="3311" t="s">
        <v>908</v>
      </c>
      <c r="M128" s="3311">
        <v>14</v>
      </c>
      <c r="N128" s="3311" t="s">
        <v>1097</v>
      </c>
      <c r="O128" s="3311">
        <v>143</v>
      </c>
      <c r="P128" s="3324" t="s">
        <v>1098</v>
      </c>
      <c r="Q128" s="2419">
        <f>(V128+V129+V130)/R128</f>
        <v>0.5</v>
      </c>
      <c r="R128" s="2526">
        <f>SUM(V128:V134)</f>
        <v>20000000</v>
      </c>
      <c r="S128" s="3324" t="s">
        <v>1099</v>
      </c>
      <c r="T128" s="3324" t="s">
        <v>1100</v>
      </c>
      <c r="U128" s="895" t="s">
        <v>1101</v>
      </c>
      <c r="V128" s="939">
        <v>6850000</v>
      </c>
      <c r="W128" s="3350">
        <v>61</v>
      </c>
      <c r="X128" s="3311" t="s">
        <v>914</v>
      </c>
      <c r="Y128" s="3311">
        <v>292684</v>
      </c>
      <c r="Z128" s="3311">
        <v>282326</v>
      </c>
      <c r="AA128" s="3321">
        <v>135912</v>
      </c>
      <c r="AB128" s="3321">
        <v>45122</v>
      </c>
      <c r="AC128" s="3321">
        <f>AC118</f>
        <v>307101</v>
      </c>
      <c r="AD128" s="3321">
        <f>AD118</f>
        <v>86875</v>
      </c>
      <c r="AE128" s="3321">
        <v>2145</v>
      </c>
      <c r="AF128" s="3321">
        <v>12718</v>
      </c>
      <c r="AG128" s="3321">
        <v>26</v>
      </c>
      <c r="AH128" s="3321">
        <v>37</v>
      </c>
      <c r="AI128" s="3321" t="s">
        <v>915</v>
      </c>
      <c r="AJ128" s="3321" t="s">
        <v>915</v>
      </c>
      <c r="AK128" s="3321">
        <v>53164</v>
      </c>
      <c r="AL128" s="3321">
        <v>16982</v>
      </c>
      <c r="AM128" s="3321">
        <v>60013</v>
      </c>
      <c r="AN128" s="3321">
        <v>575010</v>
      </c>
      <c r="AO128" s="3330">
        <v>43101</v>
      </c>
      <c r="AP128" s="3330">
        <v>43465</v>
      </c>
      <c r="AQ128" s="3333" t="s">
        <v>916</v>
      </c>
    </row>
    <row r="129" spans="1:43" ht="60">
      <c r="A129" s="867"/>
      <c r="B129" s="868"/>
      <c r="C129" s="869"/>
      <c r="D129" s="868"/>
      <c r="E129" s="868"/>
      <c r="F129" s="869"/>
      <c r="G129" s="877"/>
      <c r="H129" s="868"/>
      <c r="I129" s="869"/>
      <c r="J129" s="3312"/>
      <c r="K129" s="3325"/>
      <c r="L129" s="3312"/>
      <c r="M129" s="3312"/>
      <c r="N129" s="3312"/>
      <c r="O129" s="3312"/>
      <c r="P129" s="3325"/>
      <c r="Q129" s="2420"/>
      <c r="R129" s="2527"/>
      <c r="S129" s="3325"/>
      <c r="T129" s="3325"/>
      <c r="U129" s="895" t="s">
        <v>1102</v>
      </c>
      <c r="V129" s="939">
        <v>2000000</v>
      </c>
      <c r="W129" s="3351"/>
      <c r="X129" s="3312"/>
      <c r="Y129" s="3312"/>
      <c r="Z129" s="3312"/>
      <c r="AA129" s="3322"/>
      <c r="AB129" s="3322"/>
      <c r="AC129" s="3322"/>
      <c r="AD129" s="3322"/>
      <c r="AE129" s="3322"/>
      <c r="AF129" s="3322"/>
      <c r="AG129" s="3322"/>
      <c r="AH129" s="3322"/>
      <c r="AI129" s="3322"/>
      <c r="AJ129" s="3322"/>
      <c r="AK129" s="3322"/>
      <c r="AL129" s="3322"/>
      <c r="AM129" s="3322"/>
      <c r="AN129" s="3322"/>
      <c r="AO129" s="3331"/>
      <c r="AP129" s="3331"/>
      <c r="AQ129" s="3334"/>
    </row>
    <row r="130" spans="1:46" ht="76.5" customHeight="1">
      <c r="A130" s="867"/>
      <c r="B130" s="868"/>
      <c r="C130" s="869"/>
      <c r="D130" s="868"/>
      <c r="E130" s="868"/>
      <c r="F130" s="869"/>
      <c r="G130" s="877"/>
      <c r="H130" s="868"/>
      <c r="I130" s="869"/>
      <c r="J130" s="3313"/>
      <c r="K130" s="3326"/>
      <c r="L130" s="3313"/>
      <c r="M130" s="3313"/>
      <c r="N130" s="3312"/>
      <c r="O130" s="3312"/>
      <c r="P130" s="3325"/>
      <c r="Q130" s="2421"/>
      <c r="R130" s="2527"/>
      <c r="S130" s="3325"/>
      <c r="T130" s="3326"/>
      <c r="U130" s="895" t="s">
        <v>1103</v>
      </c>
      <c r="V130" s="939">
        <v>1150000</v>
      </c>
      <c r="W130" s="3351"/>
      <c r="X130" s="3312"/>
      <c r="Y130" s="3312"/>
      <c r="Z130" s="3312"/>
      <c r="AA130" s="3322"/>
      <c r="AB130" s="3322"/>
      <c r="AC130" s="3322"/>
      <c r="AD130" s="3322"/>
      <c r="AE130" s="3322"/>
      <c r="AF130" s="3322"/>
      <c r="AG130" s="3322"/>
      <c r="AH130" s="3322"/>
      <c r="AI130" s="3322"/>
      <c r="AJ130" s="3322"/>
      <c r="AK130" s="3322"/>
      <c r="AL130" s="3322"/>
      <c r="AM130" s="3322"/>
      <c r="AN130" s="3322"/>
      <c r="AO130" s="3331"/>
      <c r="AP130" s="3331"/>
      <c r="AQ130" s="3334"/>
      <c r="AR130" s="928"/>
      <c r="AS130" s="928"/>
      <c r="AT130" s="928"/>
    </row>
    <row r="131" spans="1:43" ht="94.5" customHeight="1">
      <c r="A131" s="867"/>
      <c r="B131" s="868"/>
      <c r="C131" s="869"/>
      <c r="D131" s="868"/>
      <c r="E131" s="868"/>
      <c r="F131" s="869"/>
      <c r="G131" s="877"/>
      <c r="H131" s="868"/>
      <c r="I131" s="869"/>
      <c r="J131" s="3311">
        <v>148</v>
      </c>
      <c r="K131" s="3324" t="s">
        <v>1104</v>
      </c>
      <c r="L131" s="3311" t="s">
        <v>908</v>
      </c>
      <c r="M131" s="3311">
        <v>11</v>
      </c>
      <c r="N131" s="3312"/>
      <c r="O131" s="3312"/>
      <c r="P131" s="3325"/>
      <c r="Q131" s="2419">
        <f>(V131+V132+V133+V134)/R128</f>
        <v>0.5</v>
      </c>
      <c r="R131" s="2527"/>
      <c r="S131" s="3325"/>
      <c r="T131" s="3324" t="s">
        <v>1105</v>
      </c>
      <c r="U131" s="895" t="s">
        <v>1106</v>
      </c>
      <c r="V131" s="939">
        <v>7850000</v>
      </c>
      <c r="W131" s="3351"/>
      <c r="X131" s="3312"/>
      <c r="Y131" s="3312"/>
      <c r="Z131" s="3312"/>
      <c r="AA131" s="3322"/>
      <c r="AB131" s="3322"/>
      <c r="AC131" s="3322"/>
      <c r="AD131" s="3322"/>
      <c r="AE131" s="3322"/>
      <c r="AF131" s="3322"/>
      <c r="AG131" s="3322"/>
      <c r="AH131" s="3322"/>
      <c r="AI131" s="3322"/>
      <c r="AJ131" s="3322"/>
      <c r="AK131" s="3322"/>
      <c r="AL131" s="3322"/>
      <c r="AM131" s="3322"/>
      <c r="AN131" s="3322"/>
      <c r="AO131" s="3331"/>
      <c r="AP131" s="3331"/>
      <c r="AQ131" s="3334"/>
    </row>
    <row r="132" spans="1:43" ht="45">
      <c r="A132" s="867"/>
      <c r="B132" s="868"/>
      <c r="C132" s="869"/>
      <c r="D132" s="868"/>
      <c r="E132" s="868"/>
      <c r="F132" s="869"/>
      <c r="G132" s="877"/>
      <c r="H132" s="868"/>
      <c r="I132" s="869"/>
      <c r="J132" s="3312"/>
      <c r="K132" s="3325"/>
      <c r="L132" s="3312"/>
      <c r="M132" s="3312"/>
      <c r="N132" s="3312"/>
      <c r="O132" s="3312"/>
      <c r="P132" s="3325"/>
      <c r="Q132" s="2420"/>
      <c r="R132" s="2527"/>
      <c r="S132" s="3325"/>
      <c r="T132" s="3325"/>
      <c r="U132" s="895" t="s">
        <v>1107</v>
      </c>
      <c r="V132" s="939">
        <v>500000</v>
      </c>
      <c r="W132" s="3351"/>
      <c r="X132" s="3312"/>
      <c r="Y132" s="3312"/>
      <c r="Z132" s="3312"/>
      <c r="AA132" s="3322"/>
      <c r="AB132" s="3322"/>
      <c r="AC132" s="3322"/>
      <c r="AD132" s="3322"/>
      <c r="AE132" s="3322"/>
      <c r="AF132" s="3322"/>
      <c r="AG132" s="3322"/>
      <c r="AH132" s="3322"/>
      <c r="AI132" s="3322"/>
      <c r="AJ132" s="3322"/>
      <c r="AK132" s="3322"/>
      <c r="AL132" s="3322"/>
      <c r="AM132" s="3322"/>
      <c r="AN132" s="3322"/>
      <c r="AO132" s="3331"/>
      <c r="AP132" s="3331"/>
      <c r="AQ132" s="3334"/>
    </row>
    <row r="133" spans="1:43" ht="45">
      <c r="A133" s="867"/>
      <c r="B133" s="868"/>
      <c r="C133" s="869"/>
      <c r="D133" s="868"/>
      <c r="E133" s="868"/>
      <c r="F133" s="869"/>
      <c r="G133" s="877"/>
      <c r="H133" s="868"/>
      <c r="I133" s="869"/>
      <c r="J133" s="3312"/>
      <c r="K133" s="3325"/>
      <c r="L133" s="3312"/>
      <c r="M133" s="3312"/>
      <c r="N133" s="3312"/>
      <c r="O133" s="3312"/>
      <c r="P133" s="3325"/>
      <c r="Q133" s="2420"/>
      <c r="R133" s="2527"/>
      <c r="S133" s="3325"/>
      <c r="T133" s="3325"/>
      <c r="U133" s="895" t="s">
        <v>1108</v>
      </c>
      <c r="V133" s="939">
        <v>500000</v>
      </c>
      <c r="W133" s="3351"/>
      <c r="X133" s="3312"/>
      <c r="Y133" s="3312"/>
      <c r="Z133" s="3312"/>
      <c r="AA133" s="3322"/>
      <c r="AB133" s="3322"/>
      <c r="AC133" s="3322"/>
      <c r="AD133" s="3322"/>
      <c r="AE133" s="3322"/>
      <c r="AF133" s="3322"/>
      <c r="AG133" s="3322"/>
      <c r="AH133" s="3322"/>
      <c r="AI133" s="3322"/>
      <c r="AJ133" s="3322"/>
      <c r="AK133" s="3322"/>
      <c r="AL133" s="3322"/>
      <c r="AM133" s="3322"/>
      <c r="AN133" s="3322"/>
      <c r="AO133" s="3331"/>
      <c r="AP133" s="3331"/>
      <c r="AQ133" s="3334"/>
    </row>
    <row r="134" spans="1:43" ht="75">
      <c r="A134" s="867"/>
      <c r="B134" s="868"/>
      <c r="C134" s="869"/>
      <c r="D134" s="868"/>
      <c r="E134" s="868"/>
      <c r="F134" s="869"/>
      <c r="G134" s="883"/>
      <c r="H134" s="881"/>
      <c r="I134" s="882"/>
      <c r="J134" s="3313"/>
      <c r="K134" s="3326"/>
      <c r="L134" s="3313"/>
      <c r="M134" s="3313"/>
      <c r="N134" s="3313"/>
      <c r="O134" s="3313"/>
      <c r="P134" s="3326"/>
      <c r="Q134" s="2421"/>
      <c r="R134" s="2528"/>
      <c r="S134" s="3326"/>
      <c r="T134" s="3326"/>
      <c r="U134" s="895" t="s">
        <v>1109</v>
      </c>
      <c r="V134" s="939">
        <v>1150000</v>
      </c>
      <c r="W134" s="3352"/>
      <c r="X134" s="3313"/>
      <c r="Y134" s="3313"/>
      <c r="Z134" s="3313"/>
      <c r="AA134" s="3323"/>
      <c r="AB134" s="3323"/>
      <c r="AC134" s="3323"/>
      <c r="AD134" s="3323"/>
      <c r="AE134" s="3323"/>
      <c r="AF134" s="3323"/>
      <c r="AG134" s="3323"/>
      <c r="AH134" s="3323"/>
      <c r="AI134" s="3323"/>
      <c r="AJ134" s="3323"/>
      <c r="AK134" s="3323"/>
      <c r="AL134" s="3323"/>
      <c r="AM134" s="3323"/>
      <c r="AN134" s="3323"/>
      <c r="AO134" s="3332"/>
      <c r="AP134" s="3332"/>
      <c r="AQ134" s="3335"/>
    </row>
    <row r="135" spans="1:43" ht="36" customHeight="1">
      <c r="A135" s="853"/>
      <c r="B135" s="854"/>
      <c r="C135" s="855"/>
      <c r="D135" s="854"/>
      <c r="E135" s="854"/>
      <c r="F135" s="855"/>
      <c r="G135" s="891">
        <v>42</v>
      </c>
      <c r="H135" s="859" t="s">
        <v>1110</v>
      </c>
      <c r="I135" s="859"/>
      <c r="J135" s="859"/>
      <c r="K135" s="860"/>
      <c r="L135" s="859"/>
      <c r="M135" s="859"/>
      <c r="N135" s="861"/>
      <c r="O135" s="859"/>
      <c r="P135" s="860"/>
      <c r="Q135" s="859"/>
      <c r="R135" s="892"/>
      <c r="S135" s="859"/>
      <c r="T135" s="860"/>
      <c r="U135" s="860"/>
      <c r="V135" s="893"/>
      <c r="W135" s="894"/>
      <c r="X135" s="861"/>
      <c r="Y135" s="861"/>
      <c r="Z135" s="861"/>
      <c r="AA135" s="861"/>
      <c r="AB135" s="861"/>
      <c r="AC135" s="861"/>
      <c r="AD135" s="861"/>
      <c r="AE135" s="861"/>
      <c r="AF135" s="861"/>
      <c r="AG135" s="861"/>
      <c r="AH135" s="861"/>
      <c r="AI135" s="861"/>
      <c r="AJ135" s="861"/>
      <c r="AK135" s="861"/>
      <c r="AL135" s="861"/>
      <c r="AM135" s="861"/>
      <c r="AN135" s="861"/>
      <c r="AO135" s="859"/>
      <c r="AP135" s="859"/>
      <c r="AQ135" s="866"/>
    </row>
    <row r="136" spans="1:43" ht="81" customHeight="1">
      <c r="A136" s="867"/>
      <c r="B136" s="868"/>
      <c r="C136" s="869"/>
      <c r="D136" s="868"/>
      <c r="E136" s="868"/>
      <c r="F136" s="869"/>
      <c r="G136" s="870"/>
      <c r="H136" s="871"/>
      <c r="I136" s="872"/>
      <c r="J136" s="3311">
        <v>149</v>
      </c>
      <c r="K136" s="3324" t="s">
        <v>1111</v>
      </c>
      <c r="L136" s="3311" t="s">
        <v>908</v>
      </c>
      <c r="M136" s="3311">
        <v>8</v>
      </c>
      <c r="N136" s="3311" t="s">
        <v>1112</v>
      </c>
      <c r="O136" s="3311">
        <v>145</v>
      </c>
      <c r="P136" s="3324" t="s">
        <v>1113</v>
      </c>
      <c r="Q136" s="2419">
        <f>(V136+V140+V141+V137+V138+V139)/R136</f>
        <v>0.5238095238095238</v>
      </c>
      <c r="R136" s="2526">
        <f>SUM(V136:V146)</f>
        <v>63000000</v>
      </c>
      <c r="S136" s="3324" t="s">
        <v>1114</v>
      </c>
      <c r="T136" s="3324" t="s">
        <v>1115</v>
      </c>
      <c r="U136" s="895" t="s">
        <v>1116</v>
      </c>
      <c r="V136" s="939">
        <v>8000000</v>
      </c>
      <c r="W136" s="3350">
        <v>61</v>
      </c>
      <c r="X136" s="3311" t="s">
        <v>914</v>
      </c>
      <c r="Y136" s="3311">
        <v>292684</v>
      </c>
      <c r="Z136" s="3311">
        <v>282326</v>
      </c>
      <c r="AA136" s="3321">
        <v>135912</v>
      </c>
      <c r="AB136" s="3321">
        <v>45122</v>
      </c>
      <c r="AC136" s="3321">
        <f>AC128</f>
        <v>307101</v>
      </c>
      <c r="AD136" s="3321">
        <f>AD128</f>
        <v>86875</v>
      </c>
      <c r="AE136" s="3321">
        <v>2145</v>
      </c>
      <c r="AF136" s="3321">
        <v>12718</v>
      </c>
      <c r="AG136" s="3321">
        <v>26</v>
      </c>
      <c r="AH136" s="3321">
        <v>37</v>
      </c>
      <c r="AI136" s="3321" t="s">
        <v>915</v>
      </c>
      <c r="AJ136" s="3365" t="s">
        <v>915</v>
      </c>
      <c r="AK136" s="3321">
        <v>53164</v>
      </c>
      <c r="AL136" s="3321">
        <v>16982</v>
      </c>
      <c r="AM136" s="3365">
        <v>60013</v>
      </c>
      <c r="AN136" s="3321">
        <v>575010</v>
      </c>
      <c r="AO136" s="3330">
        <v>43101</v>
      </c>
      <c r="AP136" s="3330">
        <v>43465</v>
      </c>
      <c r="AQ136" s="3333" t="s">
        <v>916</v>
      </c>
    </row>
    <row r="137" spans="1:43" ht="75">
      <c r="A137" s="867"/>
      <c r="B137" s="868"/>
      <c r="C137" s="869"/>
      <c r="D137" s="868"/>
      <c r="E137" s="868"/>
      <c r="F137" s="869"/>
      <c r="G137" s="877"/>
      <c r="H137" s="868"/>
      <c r="I137" s="869"/>
      <c r="J137" s="3312"/>
      <c r="K137" s="3325"/>
      <c r="L137" s="3312"/>
      <c r="M137" s="3312"/>
      <c r="N137" s="3312"/>
      <c r="O137" s="3312"/>
      <c r="P137" s="3325"/>
      <c r="Q137" s="2420"/>
      <c r="R137" s="2527"/>
      <c r="S137" s="3325"/>
      <c r="T137" s="3325"/>
      <c r="U137" s="895" t="s">
        <v>1117</v>
      </c>
      <c r="V137" s="939">
        <v>8000000</v>
      </c>
      <c r="W137" s="3351"/>
      <c r="X137" s="3312"/>
      <c r="Y137" s="3312"/>
      <c r="Z137" s="3312"/>
      <c r="AA137" s="3322"/>
      <c r="AB137" s="3322"/>
      <c r="AC137" s="3322"/>
      <c r="AD137" s="3322"/>
      <c r="AE137" s="3322"/>
      <c r="AF137" s="3322"/>
      <c r="AG137" s="3322"/>
      <c r="AH137" s="3322"/>
      <c r="AI137" s="3322"/>
      <c r="AJ137" s="3366"/>
      <c r="AK137" s="3322"/>
      <c r="AL137" s="3322"/>
      <c r="AM137" s="3366"/>
      <c r="AN137" s="3322"/>
      <c r="AO137" s="3331"/>
      <c r="AP137" s="3331"/>
      <c r="AQ137" s="3334"/>
    </row>
    <row r="138" spans="1:43" ht="75">
      <c r="A138" s="867"/>
      <c r="B138" s="868"/>
      <c r="C138" s="869"/>
      <c r="D138" s="868"/>
      <c r="E138" s="868"/>
      <c r="F138" s="869"/>
      <c r="G138" s="877"/>
      <c r="H138" s="868"/>
      <c r="I138" s="869"/>
      <c r="J138" s="3312"/>
      <c r="K138" s="3325"/>
      <c r="L138" s="3312"/>
      <c r="M138" s="3312"/>
      <c r="N138" s="3312"/>
      <c r="O138" s="3312"/>
      <c r="P138" s="3325"/>
      <c r="Q138" s="2420"/>
      <c r="R138" s="2527"/>
      <c r="S138" s="3325"/>
      <c r="T138" s="3325"/>
      <c r="U138" s="895" t="s">
        <v>1118</v>
      </c>
      <c r="V138" s="939">
        <v>8000000</v>
      </c>
      <c r="W138" s="3351"/>
      <c r="X138" s="3312"/>
      <c r="Y138" s="3312"/>
      <c r="Z138" s="3312"/>
      <c r="AA138" s="3322"/>
      <c r="AB138" s="3322"/>
      <c r="AC138" s="3322"/>
      <c r="AD138" s="3322"/>
      <c r="AE138" s="3322"/>
      <c r="AF138" s="3322"/>
      <c r="AG138" s="3322"/>
      <c r="AH138" s="3322"/>
      <c r="AI138" s="3322"/>
      <c r="AJ138" s="3366"/>
      <c r="AK138" s="3322"/>
      <c r="AL138" s="3322"/>
      <c r="AM138" s="3366"/>
      <c r="AN138" s="3322"/>
      <c r="AO138" s="3331"/>
      <c r="AP138" s="3331"/>
      <c r="AQ138" s="3334"/>
    </row>
    <row r="139" spans="1:43" ht="75">
      <c r="A139" s="867"/>
      <c r="B139" s="868"/>
      <c r="C139" s="869"/>
      <c r="D139" s="868"/>
      <c r="E139" s="868"/>
      <c r="F139" s="869"/>
      <c r="G139" s="877"/>
      <c r="H139" s="868"/>
      <c r="I139" s="869"/>
      <c r="J139" s="3312"/>
      <c r="K139" s="3325"/>
      <c r="L139" s="3312"/>
      <c r="M139" s="3312"/>
      <c r="N139" s="3312"/>
      <c r="O139" s="3312"/>
      <c r="P139" s="3325"/>
      <c r="Q139" s="2420"/>
      <c r="R139" s="2527"/>
      <c r="S139" s="3325"/>
      <c r="T139" s="3325"/>
      <c r="U139" s="895" t="s">
        <v>1119</v>
      </c>
      <c r="V139" s="939">
        <v>1000000</v>
      </c>
      <c r="W139" s="3351"/>
      <c r="X139" s="3312"/>
      <c r="Y139" s="3312"/>
      <c r="Z139" s="3312"/>
      <c r="AA139" s="3322"/>
      <c r="AB139" s="3322"/>
      <c r="AC139" s="3322"/>
      <c r="AD139" s="3322"/>
      <c r="AE139" s="3322"/>
      <c r="AF139" s="3322"/>
      <c r="AG139" s="3322"/>
      <c r="AH139" s="3322"/>
      <c r="AI139" s="3322"/>
      <c r="AJ139" s="3366"/>
      <c r="AK139" s="3322"/>
      <c r="AL139" s="3322"/>
      <c r="AM139" s="3366"/>
      <c r="AN139" s="3322"/>
      <c r="AO139" s="3331"/>
      <c r="AP139" s="3331"/>
      <c r="AQ139" s="3334"/>
    </row>
    <row r="140" spans="1:46" ht="60">
      <c r="A140" s="867"/>
      <c r="B140" s="868"/>
      <c r="C140" s="869"/>
      <c r="D140" s="868"/>
      <c r="E140" s="868"/>
      <c r="F140" s="869"/>
      <c r="G140" s="877"/>
      <c r="H140" s="868"/>
      <c r="I140" s="869"/>
      <c r="J140" s="3312"/>
      <c r="K140" s="3325"/>
      <c r="L140" s="3312"/>
      <c r="M140" s="3312"/>
      <c r="N140" s="3312"/>
      <c r="O140" s="3312"/>
      <c r="P140" s="3325"/>
      <c r="Q140" s="2420"/>
      <c r="R140" s="2527"/>
      <c r="S140" s="3325"/>
      <c r="T140" s="3325"/>
      <c r="U140" s="895" t="s">
        <v>1120</v>
      </c>
      <c r="V140" s="939">
        <v>7000000</v>
      </c>
      <c r="W140" s="3351"/>
      <c r="X140" s="3312"/>
      <c r="Y140" s="3312"/>
      <c r="Z140" s="3312"/>
      <c r="AA140" s="3322"/>
      <c r="AB140" s="3322"/>
      <c r="AC140" s="3322"/>
      <c r="AD140" s="3322"/>
      <c r="AE140" s="3322"/>
      <c r="AF140" s="3322"/>
      <c r="AG140" s="3322"/>
      <c r="AH140" s="3322"/>
      <c r="AI140" s="3322"/>
      <c r="AJ140" s="3366"/>
      <c r="AK140" s="3322"/>
      <c r="AL140" s="3322"/>
      <c r="AM140" s="3366"/>
      <c r="AN140" s="3322"/>
      <c r="AO140" s="3331"/>
      <c r="AP140" s="3331"/>
      <c r="AQ140" s="3334"/>
      <c r="AS140" s="935"/>
      <c r="AT140" s="935"/>
    </row>
    <row r="141" spans="1:46" ht="67.5" customHeight="1">
      <c r="A141" s="867"/>
      <c r="B141" s="868"/>
      <c r="C141" s="869"/>
      <c r="D141" s="868"/>
      <c r="E141" s="868"/>
      <c r="F141" s="869"/>
      <c r="G141" s="877"/>
      <c r="H141" s="868"/>
      <c r="I141" s="869"/>
      <c r="J141" s="3313"/>
      <c r="K141" s="3326"/>
      <c r="L141" s="3313"/>
      <c r="M141" s="3313"/>
      <c r="N141" s="3312"/>
      <c r="O141" s="3312"/>
      <c r="P141" s="3325"/>
      <c r="Q141" s="2421"/>
      <c r="R141" s="2527"/>
      <c r="S141" s="3325"/>
      <c r="T141" s="3326"/>
      <c r="U141" s="895" t="s">
        <v>1121</v>
      </c>
      <c r="V141" s="939">
        <v>1000000</v>
      </c>
      <c r="W141" s="3351"/>
      <c r="X141" s="3312"/>
      <c r="Y141" s="3312"/>
      <c r="Z141" s="3312"/>
      <c r="AA141" s="3322"/>
      <c r="AB141" s="3322"/>
      <c r="AC141" s="3322"/>
      <c r="AD141" s="3322"/>
      <c r="AE141" s="3322"/>
      <c r="AF141" s="3322"/>
      <c r="AG141" s="3322"/>
      <c r="AH141" s="3322"/>
      <c r="AI141" s="3322"/>
      <c r="AJ141" s="3366"/>
      <c r="AK141" s="3322"/>
      <c r="AL141" s="3322"/>
      <c r="AM141" s="3366"/>
      <c r="AN141" s="3322"/>
      <c r="AO141" s="3331"/>
      <c r="AP141" s="3331"/>
      <c r="AQ141" s="3334"/>
      <c r="AR141" s="928"/>
      <c r="AS141" s="928"/>
      <c r="AT141" s="928"/>
    </row>
    <row r="142" spans="1:43" ht="60">
      <c r="A142" s="867"/>
      <c r="B142" s="868"/>
      <c r="C142" s="869"/>
      <c r="D142" s="868"/>
      <c r="E142" s="868"/>
      <c r="F142" s="869"/>
      <c r="G142" s="877"/>
      <c r="H142" s="868"/>
      <c r="I142" s="869"/>
      <c r="J142" s="3311">
        <v>150</v>
      </c>
      <c r="K142" s="3324" t="s">
        <v>1122</v>
      </c>
      <c r="L142" s="3311" t="s">
        <v>908</v>
      </c>
      <c r="M142" s="3311">
        <v>14</v>
      </c>
      <c r="N142" s="3312"/>
      <c r="O142" s="3312"/>
      <c r="P142" s="3325"/>
      <c r="Q142" s="2419">
        <f>(V142+V145+V146+V143+V144)/R136</f>
        <v>0.47619047619047616</v>
      </c>
      <c r="R142" s="2527"/>
      <c r="S142" s="3325"/>
      <c r="T142" s="3324" t="s">
        <v>1123</v>
      </c>
      <c r="U142" s="895" t="s">
        <v>1124</v>
      </c>
      <c r="V142" s="939">
        <v>9000000</v>
      </c>
      <c r="W142" s="3351"/>
      <c r="X142" s="3312"/>
      <c r="Y142" s="3312"/>
      <c r="Z142" s="3312"/>
      <c r="AA142" s="3322"/>
      <c r="AB142" s="3322"/>
      <c r="AC142" s="3322"/>
      <c r="AD142" s="3322"/>
      <c r="AE142" s="3322"/>
      <c r="AF142" s="3322"/>
      <c r="AG142" s="3322"/>
      <c r="AH142" s="3322"/>
      <c r="AI142" s="3322"/>
      <c r="AJ142" s="3366"/>
      <c r="AK142" s="3322"/>
      <c r="AL142" s="3322"/>
      <c r="AM142" s="3366"/>
      <c r="AN142" s="3322"/>
      <c r="AO142" s="3331"/>
      <c r="AP142" s="3331"/>
      <c r="AQ142" s="3334"/>
    </row>
    <row r="143" spans="1:43" ht="60">
      <c r="A143" s="867"/>
      <c r="B143" s="868"/>
      <c r="C143" s="869"/>
      <c r="D143" s="868"/>
      <c r="E143" s="868"/>
      <c r="F143" s="869"/>
      <c r="G143" s="877"/>
      <c r="H143" s="868"/>
      <c r="I143" s="869"/>
      <c r="J143" s="3312"/>
      <c r="K143" s="3325"/>
      <c r="L143" s="3312"/>
      <c r="M143" s="3312"/>
      <c r="N143" s="3312"/>
      <c r="O143" s="3312"/>
      <c r="P143" s="3325"/>
      <c r="Q143" s="2420"/>
      <c r="R143" s="2527"/>
      <c r="S143" s="3325"/>
      <c r="T143" s="3325"/>
      <c r="U143" s="895" t="s">
        <v>1125</v>
      </c>
      <c r="V143" s="939">
        <v>6000000</v>
      </c>
      <c r="W143" s="3351"/>
      <c r="X143" s="3312"/>
      <c r="Y143" s="3312"/>
      <c r="Z143" s="3312"/>
      <c r="AA143" s="3322"/>
      <c r="AB143" s="3322"/>
      <c r="AC143" s="3322"/>
      <c r="AD143" s="3322"/>
      <c r="AE143" s="3322"/>
      <c r="AF143" s="3322"/>
      <c r="AG143" s="3322"/>
      <c r="AH143" s="3322"/>
      <c r="AI143" s="3322"/>
      <c r="AJ143" s="3366"/>
      <c r="AK143" s="3322"/>
      <c r="AL143" s="3322"/>
      <c r="AM143" s="3366"/>
      <c r="AN143" s="3322"/>
      <c r="AO143" s="3331"/>
      <c r="AP143" s="3331"/>
      <c r="AQ143" s="3334"/>
    </row>
    <row r="144" spans="1:43" ht="90">
      <c r="A144" s="867"/>
      <c r="B144" s="868"/>
      <c r="C144" s="869"/>
      <c r="D144" s="868"/>
      <c r="E144" s="868"/>
      <c r="F144" s="869"/>
      <c r="G144" s="877"/>
      <c r="H144" s="868"/>
      <c r="I144" s="869"/>
      <c r="J144" s="3312"/>
      <c r="K144" s="3325"/>
      <c r="L144" s="3312"/>
      <c r="M144" s="3312"/>
      <c r="N144" s="3312"/>
      <c r="O144" s="3312"/>
      <c r="P144" s="3325"/>
      <c r="Q144" s="2420"/>
      <c r="R144" s="2527"/>
      <c r="S144" s="3325"/>
      <c r="T144" s="3325"/>
      <c r="U144" s="895" t="s">
        <v>1126</v>
      </c>
      <c r="V144" s="939">
        <v>9000000</v>
      </c>
      <c r="W144" s="3351"/>
      <c r="X144" s="3312"/>
      <c r="Y144" s="3312"/>
      <c r="Z144" s="3312"/>
      <c r="AA144" s="3322"/>
      <c r="AB144" s="3322"/>
      <c r="AC144" s="3322"/>
      <c r="AD144" s="3322"/>
      <c r="AE144" s="3322"/>
      <c r="AF144" s="3322"/>
      <c r="AG144" s="3322"/>
      <c r="AH144" s="3322"/>
      <c r="AI144" s="3322"/>
      <c r="AJ144" s="3366"/>
      <c r="AK144" s="3322"/>
      <c r="AL144" s="3322"/>
      <c r="AM144" s="3366"/>
      <c r="AN144" s="3322"/>
      <c r="AO144" s="3331"/>
      <c r="AP144" s="3331"/>
      <c r="AQ144" s="3334"/>
    </row>
    <row r="145" spans="1:43" ht="58.5" customHeight="1">
      <c r="A145" s="867"/>
      <c r="B145" s="868"/>
      <c r="C145" s="869"/>
      <c r="D145" s="868"/>
      <c r="E145" s="868"/>
      <c r="F145" s="869"/>
      <c r="G145" s="877"/>
      <c r="H145" s="868"/>
      <c r="I145" s="869"/>
      <c r="J145" s="3312"/>
      <c r="K145" s="3325"/>
      <c r="L145" s="3312"/>
      <c r="M145" s="3312"/>
      <c r="N145" s="3312"/>
      <c r="O145" s="3312"/>
      <c r="P145" s="3325"/>
      <c r="Q145" s="2420"/>
      <c r="R145" s="2527"/>
      <c r="S145" s="3325"/>
      <c r="T145" s="3325"/>
      <c r="U145" s="895" t="s">
        <v>1127</v>
      </c>
      <c r="V145" s="939">
        <v>1000000</v>
      </c>
      <c r="W145" s="3351"/>
      <c r="X145" s="3312"/>
      <c r="Y145" s="3312"/>
      <c r="Z145" s="3312"/>
      <c r="AA145" s="3322"/>
      <c r="AB145" s="3322"/>
      <c r="AC145" s="3322"/>
      <c r="AD145" s="3322"/>
      <c r="AE145" s="3322"/>
      <c r="AF145" s="3322"/>
      <c r="AG145" s="3322"/>
      <c r="AH145" s="3322"/>
      <c r="AI145" s="3322"/>
      <c r="AJ145" s="3366"/>
      <c r="AK145" s="3322"/>
      <c r="AL145" s="3322"/>
      <c r="AM145" s="3366"/>
      <c r="AN145" s="3322"/>
      <c r="AO145" s="3331"/>
      <c r="AP145" s="3331"/>
      <c r="AQ145" s="3334"/>
    </row>
    <row r="146" spans="1:46" ht="45">
      <c r="A146" s="867"/>
      <c r="B146" s="868"/>
      <c r="C146" s="869"/>
      <c r="D146" s="868"/>
      <c r="E146" s="868"/>
      <c r="F146" s="869"/>
      <c r="G146" s="883"/>
      <c r="H146" s="881"/>
      <c r="I146" s="882"/>
      <c r="J146" s="3313"/>
      <c r="K146" s="3326"/>
      <c r="L146" s="3313"/>
      <c r="M146" s="3313"/>
      <c r="N146" s="3313"/>
      <c r="O146" s="3313"/>
      <c r="P146" s="3326"/>
      <c r="Q146" s="2421"/>
      <c r="R146" s="2528"/>
      <c r="S146" s="3326"/>
      <c r="T146" s="3326"/>
      <c r="U146" s="895" t="s">
        <v>1128</v>
      </c>
      <c r="V146" s="939">
        <v>5000000</v>
      </c>
      <c r="W146" s="3352"/>
      <c r="X146" s="3313"/>
      <c r="Y146" s="3313"/>
      <c r="Z146" s="3313"/>
      <c r="AA146" s="3323"/>
      <c r="AB146" s="3323"/>
      <c r="AC146" s="3323"/>
      <c r="AD146" s="3323"/>
      <c r="AE146" s="3323"/>
      <c r="AF146" s="3323"/>
      <c r="AG146" s="3323"/>
      <c r="AH146" s="3323"/>
      <c r="AI146" s="3323"/>
      <c r="AJ146" s="3367"/>
      <c r="AK146" s="3323"/>
      <c r="AL146" s="3323"/>
      <c r="AM146" s="3367"/>
      <c r="AN146" s="3323"/>
      <c r="AO146" s="3332"/>
      <c r="AP146" s="3332"/>
      <c r="AQ146" s="3335"/>
      <c r="AR146" s="928"/>
      <c r="AS146" s="928"/>
      <c r="AT146" s="928"/>
    </row>
    <row r="147" spans="1:43" ht="36" customHeight="1">
      <c r="A147" s="853"/>
      <c r="B147" s="854"/>
      <c r="C147" s="855"/>
      <c r="D147" s="854"/>
      <c r="E147" s="854"/>
      <c r="F147" s="855"/>
      <c r="G147" s="891">
        <v>43</v>
      </c>
      <c r="H147" s="859" t="s">
        <v>1129</v>
      </c>
      <c r="I147" s="859"/>
      <c r="J147" s="859"/>
      <c r="K147" s="860"/>
      <c r="L147" s="859"/>
      <c r="M147" s="859"/>
      <c r="N147" s="861"/>
      <c r="O147" s="859"/>
      <c r="P147" s="860"/>
      <c r="Q147" s="859"/>
      <c r="R147" s="892"/>
      <c r="S147" s="859"/>
      <c r="T147" s="860"/>
      <c r="U147" s="860"/>
      <c r="V147" s="893"/>
      <c r="W147" s="894"/>
      <c r="X147" s="861"/>
      <c r="Y147" s="861"/>
      <c r="Z147" s="861"/>
      <c r="AA147" s="861"/>
      <c r="AB147" s="861"/>
      <c r="AC147" s="861"/>
      <c r="AD147" s="861"/>
      <c r="AE147" s="861"/>
      <c r="AF147" s="861"/>
      <c r="AG147" s="861"/>
      <c r="AH147" s="861"/>
      <c r="AI147" s="861"/>
      <c r="AJ147" s="861"/>
      <c r="AK147" s="861"/>
      <c r="AL147" s="861"/>
      <c r="AM147" s="861"/>
      <c r="AN147" s="861"/>
      <c r="AO147" s="859"/>
      <c r="AP147" s="859"/>
      <c r="AQ147" s="866"/>
    </row>
    <row r="148" spans="1:43" ht="107.25" customHeight="1">
      <c r="A148" s="896"/>
      <c r="B148" s="897"/>
      <c r="C148" s="898"/>
      <c r="D148" s="897"/>
      <c r="E148" s="897"/>
      <c r="F148" s="898"/>
      <c r="G148" s="899"/>
      <c r="H148" s="900"/>
      <c r="I148" s="901"/>
      <c r="J148" s="3311">
        <v>151</v>
      </c>
      <c r="K148" s="3324" t="s">
        <v>1130</v>
      </c>
      <c r="L148" s="3336" t="s">
        <v>908</v>
      </c>
      <c r="M148" s="3336">
        <v>12</v>
      </c>
      <c r="N148" s="947"/>
      <c r="O148" s="3311">
        <v>146</v>
      </c>
      <c r="P148" s="3324" t="s">
        <v>1131</v>
      </c>
      <c r="Q148" s="2419">
        <f>+(V148+V151+V150+V149)/R148</f>
        <v>0.08639573025310329</v>
      </c>
      <c r="R148" s="2526">
        <f>SUM(V148:V161)</f>
        <v>1518324003</v>
      </c>
      <c r="S148" s="3324" t="s">
        <v>1132</v>
      </c>
      <c r="T148" s="3324" t="s">
        <v>1133</v>
      </c>
      <c r="U148" s="895" t="s">
        <v>1134</v>
      </c>
      <c r="V148" s="948">
        <f>44000000-11000000</f>
        <v>33000000</v>
      </c>
      <c r="W148" s="949"/>
      <c r="X148" s="947"/>
      <c r="Y148" s="3356">
        <v>292684</v>
      </c>
      <c r="Z148" s="3311">
        <v>282326</v>
      </c>
      <c r="AA148" s="3321">
        <v>135912</v>
      </c>
      <c r="AB148" s="3321">
        <v>45122</v>
      </c>
      <c r="AC148" s="3321">
        <f>AC136</f>
        <v>307101</v>
      </c>
      <c r="AD148" s="3321">
        <f>AD136</f>
        <v>86875</v>
      </c>
      <c r="AE148" s="3321">
        <v>2145</v>
      </c>
      <c r="AF148" s="3321">
        <v>12718</v>
      </c>
      <c r="AG148" s="3321">
        <v>26</v>
      </c>
      <c r="AH148" s="3321">
        <v>37</v>
      </c>
      <c r="AI148" s="3321" t="s">
        <v>915</v>
      </c>
      <c r="AJ148" s="3321" t="s">
        <v>915</v>
      </c>
      <c r="AK148" s="3321">
        <v>53164</v>
      </c>
      <c r="AL148" s="3321">
        <v>16982</v>
      </c>
      <c r="AM148" s="3321">
        <v>60013</v>
      </c>
      <c r="AN148" s="3321">
        <v>575010</v>
      </c>
      <c r="AO148" s="3400">
        <v>43101</v>
      </c>
      <c r="AP148" s="3400">
        <v>43465</v>
      </c>
      <c r="AQ148" s="3333" t="s">
        <v>916</v>
      </c>
    </row>
    <row r="149" spans="1:43" ht="75">
      <c r="A149" s="896"/>
      <c r="B149" s="897"/>
      <c r="C149" s="898"/>
      <c r="D149" s="897"/>
      <c r="E149" s="897"/>
      <c r="F149" s="898"/>
      <c r="G149" s="903"/>
      <c r="H149" s="897"/>
      <c r="I149" s="898"/>
      <c r="J149" s="3312"/>
      <c r="K149" s="3325"/>
      <c r="L149" s="3336"/>
      <c r="M149" s="3336"/>
      <c r="N149" s="950"/>
      <c r="O149" s="3312"/>
      <c r="P149" s="3325"/>
      <c r="Q149" s="2420"/>
      <c r="R149" s="2527"/>
      <c r="S149" s="3325"/>
      <c r="T149" s="3325"/>
      <c r="U149" s="895" t="s">
        <v>1135</v>
      </c>
      <c r="V149" s="948">
        <f>44000000-11000000</f>
        <v>33000000</v>
      </c>
      <c r="W149" s="951"/>
      <c r="X149" s="950"/>
      <c r="Y149" s="3357"/>
      <c r="Z149" s="3312"/>
      <c r="AA149" s="3322"/>
      <c r="AB149" s="3322"/>
      <c r="AC149" s="3322"/>
      <c r="AD149" s="3322"/>
      <c r="AE149" s="3322"/>
      <c r="AF149" s="3322"/>
      <c r="AG149" s="3322"/>
      <c r="AH149" s="3322"/>
      <c r="AI149" s="3322"/>
      <c r="AJ149" s="3322"/>
      <c r="AK149" s="3322"/>
      <c r="AL149" s="3322"/>
      <c r="AM149" s="3322"/>
      <c r="AN149" s="3322"/>
      <c r="AO149" s="3401"/>
      <c r="AP149" s="3401"/>
      <c r="AQ149" s="3334"/>
    </row>
    <row r="150" spans="1:43" ht="69.75" customHeight="1">
      <c r="A150" s="896"/>
      <c r="B150" s="897"/>
      <c r="C150" s="898"/>
      <c r="D150" s="897"/>
      <c r="E150" s="897"/>
      <c r="F150" s="898"/>
      <c r="G150" s="903"/>
      <c r="H150" s="897"/>
      <c r="I150" s="898"/>
      <c r="J150" s="3312"/>
      <c r="K150" s="3325"/>
      <c r="L150" s="3336"/>
      <c r="M150" s="3336"/>
      <c r="N150" s="950"/>
      <c r="O150" s="3312"/>
      <c r="P150" s="3325"/>
      <c r="Q150" s="2420"/>
      <c r="R150" s="2527"/>
      <c r="S150" s="3325"/>
      <c r="T150" s="3325"/>
      <c r="U150" s="895" t="s">
        <v>1136</v>
      </c>
      <c r="V150" s="948">
        <f>0+32176711</f>
        <v>32176711</v>
      </c>
      <c r="W150" s="951"/>
      <c r="X150" s="950"/>
      <c r="Y150" s="3357"/>
      <c r="Z150" s="3312"/>
      <c r="AA150" s="3322"/>
      <c r="AB150" s="3322"/>
      <c r="AC150" s="3322"/>
      <c r="AD150" s="3322"/>
      <c r="AE150" s="3322"/>
      <c r="AF150" s="3322"/>
      <c r="AG150" s="3322"/>
      <c r="AH150" s="3322"/>
      <c r="AI150" s="3322"/>
      <c r="AJ150" s="3322"/>
      <c r="AK150" s="3322"/>
      <c r="AL150" s="3322"/>
      <c r="AM150" s="3322"/>
      <c r="AN150" s="3322"/>
      <c r="AO150" s="3401"/>
      <c r="AP150" s="3401"/>
      <c r="AQ150" s="3334"/>
    </row>
    <row r="151" spans="1:46" ht="90">
      <c r="A151" s="896"/>
      <c r="B151" s="897"/>
      <c r="C151" s="898"/>
      <c r="D151" s="897"/>
      <c r="E151" s="897"/>
      <c r="F151" s="898"/>
      <c r="G151" s="903"/>
      <c r="H151" s="897"/>
      <c r="I151" s="898"/>
      <c r="J151" s="3313"/>
      <c r="K151" s="3326"/>
      <c r="L151" s="3336"/>
      <c r="M151" s="3336"/>
      <c r="N151" s="950"/>
      <c r="O151" s="3312"/>
      <c r="P151" s="3325"/>
      <c r="Q151" s="2421"/>
      <c r="R151" s="2527"/>
      <c r="S151" s="3325"/>
      <c r="T151" s="3326"/>
      <c r="U151" s="895" t="s">
        <v>1137</v>
      </c>
      <c r="V151" s="948">
        <f>43176711-10176711</f>
        <v>33000000</v>
      </c>
      <c r="W151" s="951"/>
      <c r="X151" s="950"/>
      <c r="Y151" s="3357"/>
      <c r="Z151" s="3312"/>
      <c r="AA151" s="3322"/>
      <c r="AB151" s="3322"/>
      <c r="AC151" s="3322"/>
      <c r="AD151" s="3322"/>
      <c r="AE151" s="3322"/>
      <c r="AF151" s="3322"/>
      <c r="AG151" s="3322"/>
      <c r="AH151" s="3322"/>
      <c r="AI151" s="3322"/>
      <c r="AJ151" s="3322"/>
      <c r="AK151" s="3322"/>
      <c r="AL151" s="3322"/>
      <c r="AM151" s="3322"/>
      <c r="AN151" s="3322"/>
      <c r="AO151" s="3401"/>
      <c r="AP151" s="3401"/>
      <c r="AQ151" s="3334"/>
      <c r="AR151" s="928"/>
      <c r="AS151" s="928"/>
      <c r="AT151" s="928"/>
    </row>
    <row r="152" spans="1:43" ht="75">
      <c r="A152" s="896"/>
      <c r="B152" s="897"/>
      <c r="C152" s="898"/>
      <c r="D152" s="897"/>
      <c r="E152" s="897"/>
      <c r="F152" s="898"/>
      <c r="G152" s="903"/>
      <c r="H152" s="897"/>
      <c r="I152" s="898"/>
      <c r="J152" s="3311">
        <v>152</v>
      </c>
      <c r="K152" s="3324" t="s">
        <v>1138</v>
      </c>
      <c r="L152" s="3336" t="s">
        <v>908</v>
      </c>
      <c r="M152" s="3336">
        <v>1</v>
      </c>
      <c r="N152" s="950" t="s">
        <v>1139</v>
      </c>
      <c r="O152" s="3312"/>
      <c r="P152" s="3325"/>
      <c r="Q152" s="2419">
        <f>+(V152+V154+V153)/R148</f>
        <v>0.10702590466785895</v>
      </c>
      <c r="R152" s="2527"/>
      <c r="S152" s="3325"/>
      <c r="T152" s="3324" t="s">
        <v>1140</v>
      </c>
      <c r="U152" s="895" t="s">
        <v>1141</v>
      </c>
      <c r="V152" s="939">
        <v>57000000</v>
      </c>
      <c r="W152" s="952">
        <v>61</v>
      </c>
      <c r="X152" s="950" t="s">
        <v>914</v>
      </c>
      <c r="Y152" s="3357"/>
      <c r="Z152" s="3312"/>
      <c r="AA152" s="3322"/>
      <c r="AB152" s="3322"/>
      <c r="AC152" s="3322"/>
      <c r="AD152" s="3322"/>
      <c r="AE152" s="3322"/>
      <c r="AF152" s="3322"/>
      <c r="AG152" s="3322"/>
      <c r="AH152" s="3322"/>
      <c r="AI152" s="3322"/>
      <c r="AJ152" s="3322"/>
      <c r="AK152" s="3322"/>
      <c r="AL152" s="3322"/>
      <c r="AM152" s="3322"/>
      <c r="AN152" s="3322"/>
      <c r="AO152" s="3401"/>
      <c r="AP152" s="3401"/>
      <c r="AQ152" s="3334"/>
    </row>
    <row r="153" spans="1:43" ht="60">
      <c r="A153" s="896"/>
      <c r="B153" s="897"/>
      <c r="C153" s="898"/>
      <c r="D153" s="897"/>
      <c r="E153" s="897"/>
      <c r="F153" s="898"/>
      <c r="G153" s="903"/>
      <c r="H153" s="897"/>
      <c r="I153" s="898"/>
      <c r="J153" s="3312"/>
      <c r="K153" s="3325"/>
      <c r="L153" s="3336"/>
      <c r="M153" s="3336"/>
      <c r="N153" s="950" t="s">
        <v>1142</v>
      </c>
      <c r="O153" s="3312"/>
      <c r="P153" s="3325"/>
      <c r="Q153" s="2420"/>
      <c r="R153" s="2527"/>
      <c r="S153" s="3325"/>
      <c r="T153" s="3325"/>
      <c r="U153" s="895" t="s">
        <v>1143</v>
      </c>
      <c r="V153" s="939">
        <v>48500000</v>
      </c>
      <c r="W153" s="952"/>
      <c r="X153" s="950"/>
      <c r="Y153" s="3357"/>
      <c r="Z153" s="3312"/>
      <c r="AA153" s="3322"/>
      <c r="AB153" s="3322"/>
      <c r="AC153" s="3322"/>
      <c r="AD153" s="3322"/>
      <c r="AE153" s="3322"/>
      <c r="AF153" s="3322"/>
      <c r="AG153" s="3322"/>
      <c r="AH153" s="3322"/>
      <c r="AI153" s="3322"/>
      <c r="AJ153" s="3322"/>
      <c r="AK153" s="3322"/>
      <c r="AL153" s="3322"/>
      <c r="AM153" s="3322"/>
      <c r="AN153" s="3322"/>
      <c r="AO153" s="3401"/>
      <c r="AP153" s="3401"/>
      <c r="AQ153" s="3334"/>
    </row>
    <row r="154" spans="1:46" ht="75">
      <c r="A154" s="896"/>
      <c r="B154" s="897"/>
      <c r="C154" s="898"/>
      <c r="D154" s="897"/>
      <c r="E154" s="897"/>
      <c r="F154" s="898"/>
      <c r="G154" s="903"/>
      <c r="H154" s="897"/>
      <c r="I154" s="898"/>
      <c r="J154" s="3313"/>
      <c r="K154" s="3326"/>
      <c r="L154" s="3336"/>
      <c r="M154" s="3336"/>
      <c r="N154" s="950" t="s">
        <v>1144</v>
      </c>
      <c r="O154" s="3312"/>
      <c r="P154" s="3325"/>
      <c r="Q154" s="2421"/>
      <c r="R154" s="2527"/>
      <c r="S154" s="3325"/>
      <c r="T154" s="3325"/>
      <c r="U154" s="895" t="s">
        <v>1145</v>
      </c>
      <c r="V154" s="939">
        <v>57000000</v>
      </c>
      <c r="W154" s="952">
        <v>63</v>
      </c>
      <c r="X154" s="950" t="s">
        <v>1146</v>
      </c>
      <c r="Y154" s="3357"/>
      <c r="Z154" s="3312"/>
      <c r="AA154" s="3322"/>
      <c r="AB154" s="3322"/>
      <c r="AC154" s="3322"/>
      <c r="AD154" s="3322"/>
      <c r="AE154" s="3322"/>
      <c r="AF154" s="3322"/>
      <c r="AG154" s="3322"/>
      <c r="AH154" s="3322"/>
      <c r="AI154" s="3322"/>
      <c r="AJ154" s="3322"/>
      <c r="AK154" s="3322"/>
      <c r="AL154" s="3322"/>
      <c r="AM154" s="3322"/>
      <c r="AN154" s="3322"/>
      <c r="AO154" s="3401"/>
      <c r="AP154" s="3401"/>
      <c r="AQ154" s="3334"/>
      <c r="AR154" s="928"/>
      <c r="AS154" s="928"/>
      <c r="AT154" s="928"/>
    </row>
    <row r="155" spans="1:43" ht="75">
      <c r="A155" s="896"/>
      <c r="B155" s="897"/>
      <c r="C155" s="898"/>
      <c r="D155" s="897"/>
      <c r="E155" s="897"/>
      <c r="F155" s="898"/>
      <c r="G155" s="903"/>
      <c r="H155" s="897"/>
      <c r="I155" s="898"/>
      <c r="J155" s="3336">
        <v>153</v>
      </c>
      <c r="K155" s="3324" t="s">
        <v>1147</v>
      </c>
      <c r="L155" s="3312" t="s">
        <v>908</v>
      </c>
      <c r="M155" s="3312">
        <v>150</v>
      </c>
      <c r="N155" s="950" t="s">
        <v>1148</v>
      </c>
      <c r="O155" s="3312"/>
      <c r="P155" s="3325"/>
      <c r="Q155" s="2419">
        <f>SUM(V155:V161)/R148</f>
        <v>0.8065783650790378</v>
      </c>
      <c r="R155" s="2527"/>
      <c r="S155" s="3325"/>
      <c r="T155" s="3325"/>
      <c r="U155" s="895" t="s">
        <v>1149</v>
      </c>
      <c r="V155" s="939">
        <v>23669712</v>
      </c>
      <c r="W155" s="952">
        <v>20</v>
      </c>
      <c r="X155" s="950" t="s">
        <v>80</v>
      </c>
      <c r="Y155" s="3357"/>
      <c r="Z155" s="3312"/>
      <c r="AA155" s="3322"/>
      <c r="AB155" s="3322"/>
      <c r="AC155" s="3322"/>
      <c r="AD155" s="3322"/>
      <c r="AE155" s="3322"/>
      <c r="AF155" s="3322"/>
      <c r="AG155" s="3322"/>
      <c r="AH155" s="3322"/>
      <c r="AI155" s="3322"/>
      <c r="AJ155" s="3322"/>
      <c r="AK155" s="3322"/>
      <c r="AL155" s="3322"/>
      <c r="AM155" s="3322"/>
      <c r="AN155" s="3322"/>
      <c r="AO155" s="3401"/>
      <c r="AP155" s="3401"/>
      <c r="AQ155" s="3334"/>
    </row>
    <row r="156" spans="1:44" ht="56.25" customHeight="1">
      <c r="A156" s="896"/>
      <c r="B156" s="897"/>
      <c r="C156" s="898"/>
      <c r="D156" s="897"/>
      <c r="E156" s="897"/>
      <c r="F156" s="898"/>
      <c r="G156" s="903"/>
      <c r="H156" s="897"/>
      <c r="I156" s="898"/>
      <c r="J156" s="3336"/>
      <c r="K156" s="3325"/>
      <c r="L156" s="3312"/>
      <c r="M156" s="3312"/>
      <c r="N156" s="953" t="s">
        <v>1150</v>
      </c>
      <c r="O156" s="3312"/>
      <c r="P156" s="3325"/>
      <c r="Q156" s="2420"/>
      <c r="R156" s="2527"/>
      <c r="S156" s="3325"/>
      <c r="T156" s="3325"/>
      <c r="U156" s="895" t="s">
        <v>1151</v>
      </c>
      <c r="V156" s="939">
        <v>1100977580</v>
      </c>
      <c r="W156" s="952"/>
      <c r="X156" s="950"/>
      <c r="Y156" s="3357"/>
      <c r="Z156" s="3312"/>
      <c r="AA156" s="3322"/>
      <c r="AB156" s="3322"/>
      <c r="AC156" s="3322"/>
      <c r="AD156" s="3322"/>
      <c r="AE156" s="3322"/>
      <c r="AF156" s="3322"/>
      <c r="AG156" s="3322"/>
      <c r="AH156" s="3322"/>
      <c r="AI156" s="3322"/>
      <c r="AJ156" s="3322"/>
      <c r="AK156" s="3322"/>
      <c r="AL156" s="3322"/>
      <c r="AM156" s="3322"/>
      <c r="AN156" s="3322"/>
      <c r="AO156" s="3401"/>
      <c r="AP156" s="3401"/>
      <c r="AQ156" s="3334"/>
      <c r="AR156" s="928"/>
    </row>
    <row r="157" spans="1:43" ht="45" customHeight="1">
      <c r="A157" s="896"/>
      <c r="B157" s="897"/>
      <c r="C157" s="898"/>
      <c r="D157" s="897"/>
      <c r="E157" s="897"/>
      <c r="F157" s="898"/>
      <c r="G157" s="903"/>
      <c r="H157" s="897"/>
      <c r="I157" s="898"/>
      <c r="J157" s="3336"/>
      <c r="K157" s="3325"/>
      <c r="L157" s="3312"/>
      <c r="M157" s="3312"/>
      <c r="O157" s="3312"/>
      <c r="P157" s="3325"/>
      <c r="Q157" s="2420"/>
      <c r="R157" s="2527"/>
      <c r="S157" s="3325"/>
      <c r="T157" s="3325"/>
      <c r="U157" s="895" t="s">
        <v>1152</v>
      </c>
      <c r="V157" s="939">
        <v>20000000</v>
      </c>
      <c r="W157" s="952"/>
      <c r="X157" s="950"/>
      <c r="Y157" s="3357"/>
      <c r="Z157" s="3312"/>
      <c r="AA157" s="3322"/>
      <c r="AB157" s="3322"/>
      <c r="AC157" s="3322"/>
      <c r="AD157" s="3322"/>
      <c r="AE157" s="3322"/>
      <c r="AF157" s="3322"/>
      <c r="AG157" s="3322"/>
      <c r="AH157" s="3322"/>
      <c r="AI157" s="3322"/>
      <c r="AJ157" s="3322"/>
      <c r="AK157" s="3322"/>
      <c r="AL157" s="3322"/>
      <c r="AM157" s="3322"/>
      <c r="AN157" s="3322"/>
      <c r="AO157" s="3401"/>
      <c r="AP157" s="3401"/>
      <c r="AQ157" s="3334"/>
    </row>
    <row r="158" spans="1:43" ht="86.25" customHeight="1">
      <c r="A158" s="896"/>
      <c r="B158" s="897"/>
      <c r="C158" s="898"/>
      <c r="D158" s="897"/>
      <c r="E158" s="897"/>
      <c r="F158" s="898"/>
      <c r="G158" s="903"/>
      <c r="H158" s="897"/>
      <c r="I158" s="898"/>
      <c r="J158" s="3336"/>
      <c r="K158" s="3325"/>
      <c r="L158" s="3312"/>
      <c r="M158" s="3312"/>
      <c r="N158" s="955" t="s">
        <v>1153</v>
      </c>
      <c r="O158" s="3312"/>
      <c r="P158" s="3325"/>
      <c r="Q158" s="2420"/>
      <c r="R158" s="2527"/>
      <c r="S158" s="3325"/>
      <c r="T158" s="3325"/>
      <c r="U158" s="895" t="s">
        <v>1154</v>
      </c>
      <c r="V158" s="939">
        <v>20000000</v>
      </c>
      <c r="W158" s="952"/>
      <c r="X158" s="950"/>
      <c r="Y158" s="3357"/>
      <c r="Z158" s="3312"/>
      <c r="AA158" s="3322"/>
      <c r="AB158" s="3322"/>
      <c r="AC158" s="3322"/>
      <c r="AD158" s="3322"/>
      <c r="AE158" s="3322"/>
      <c r="AF158" s="3322"/>
      <c r="AG158" s="3322"/>
      <c r="AH158" s="3322"/>
      <c r="AI158" s="3322"/>
      <c r="AJ158" s="3322"/>
      <c r="AK158" s="3322"/>
      <c r="AL158" s="3322"/>
      <c r="AM158" s="3322"/>
      <c r="AN158" s="3322"/>
      <c r="AO158" s="3401"/>
      <c r="AP158" s="3401"/>
      <c r="AQ158" s="3334"/>
    </row>
    <row r="159" spans="1:43" ht="75">
      <c r="A159" s="896"/>
      <c r="B159" s="897"/>
      <c r="C159" s="898"/>
      <c r="D159" s="897"/>
      <c r="E159" s="897"/>
      <c r="F159" s="898"/>
      <c r="G159" s="903"/>
      <c r="H159" s="897"/>
      <c r="I159" s="898"/>
      <c r="J159" s="3336"/>
      <c r="K159" s="3325"/>
      <c r="L159" s="3312"/>
      <c r="M159" s="3312"/>
      <c r="N159" s="950"/>
      <c r="O159" s="3312"/>
      <c r="P159" s="3325"/>
      <c r="Q159" s="2420"/>
      <c r="R159" s="2527"/>
      <c r="S159" s="3325"/>
      <c r="T159" s="3325"/>
      <c r="U159" s="895" t="s">
        <v>1155</v>
      </c>
      <c r="V159" s="939">
        <v>20000000</v>
      </c>
      <c r="W159" s="952"/>
      <c r="X159" s="950"/>
      <c r="Y159" s="3357"/>
      <c r="Z159" s="3312"/>
      <c r="AA159" s="3322"/>
      <c r="AB159" s="3322"/>
      <c r="AC159" s="3322"/>
      <c r="AD159" s="3322"/>
      <c r="AE159" s="3322"/>
      <c r="AF159" s="3322"/>
      <c r="AG159" s="3322"/>
      <c r="AH159" s="3322"/>
      <c r="AI159" s="3322"/>
      <c r="AJ159" s="3322"/>
      <c r="AK159" s="3322"/>
      <c r="AL159" s="3322"/>
      <c r="AM159" s="3322"/>
      <c r="AN159" s="3322"/>
      <c r="AO159" s="3401"/>
      <c r="AP159" s="3401"/>
      <c r="AQ159" s="3334"/>
    </row>
    <row r="160" spans="1:46" ht="45">
      <c r="A160" s="867"/>
      <c r="B160" s="868"/>
      <c r="C160" s="869"/>
      <c r="D160" s="897"/>
      <c r="E160" s="897"/>
      <c r="F160" s="898"/>
      <c r="G160" s="903"/>
      <c r="H160" s="897"/>
      <c r="I160" s="898"/>
      <c r="J160" s="3336"/>
      <c r="K160" s="3325"/>
      <c r="L160" s="3312"/>
      <c r="M160" s="3312"/>
      <c r="N160" s="950"/>
      <c r="O160" s="3312"/>
      <c r="P160" s="3325"/>
      <c r="Q160" s="2420"/>
      <c r="R160" s="2527"/>
      <c r="S160" s="3325"/>
      <c r="T160" s="3325"/>
      <c r="U160" s="895" t="s">
        <v>1156</v>
      </c>
      <c r="V160" s="939">
        <v>20000000</v>
      </c>
      <c r="W160" s="951"/>
      <c r="X160" s="950"/>
      <c r="Y160" s="3357"/>
      <c r="Z160" s="3312"/>
      <c r="AA160" s="3322"/>
      <c r="AB160" s="3322"/>
      <c r="AC160" s="3322"/>
      <c r="AD160" s="3322"/>
      <c r="AE160" s="3322"/>
      <c r="AF160" s="3322"/>
      <c r="AG160" s="3322"/>
      <c r="AH160" s="3322"/>
      <c r="AI160" s="3322"/>
      <c r="AJ160" s="3322"/>
      <c r="AK160" s="3322"/>
      <c r="AL160" s="3322"/>
      <c r="AM160" s="3322"/>
      <c r="AN160" s="3322"/>
      <c r="AO160" s="3401"/>
      <c r="AP160" s="3401"/>
      <c r="AQ160" s="3334"/>
      <c r="AS160" s="928"/>
      <c r="AT160" s="935"/>
    </row>
    <row r="161" spans="1:46" ht="75">
      <c r="A161" s="867"/>
      <c r="B161" s="868"/>
      <c r="C161" s="869"/>
      <c r="D161" s="868"/>
      <c r="E161" s="868"/>
      <c r="F161" s="869"/>
      <c r="G161" s="883"/>
      <c r="H161" s="881"/>
      <c r="I161" s="882"/>
      <c r="J161" s="3336"/>
      <c r="K161" s="3326"/>
      <c r="L161" s="3313"/>
      <c r="M161" s="3313"/>
      <c r="N161" s="956"/>
      <c r="O161" s="3313"/>
      <c r="P161" s="3326"/>
      <c r="Q161" s="2421"/>
      <c r="R161" s="2528"/>
      <c r="S161" s="3326"/>
      <c r="T161" s="3326"/>
      <c r="U161" s="895" t="s">
        <v>1157</v>
      </c>
      <c r="V161" s="939">
        <v>20000000</v>
      </c>
      <c r="W161" s="957"/>
      <c r="X161" s="956"/>
      <c r="Y161" s="3358"/>
      <c r="Z161" s="3313"/>
      <c r="AA161" s="3323"/>
      <c r="AB161" s="3323"/>
      <c r="AC161" s="3323"/>
      <c r="AD161" s="3323"/>
      <c r="AE161" s="3323"/>
      <c r="AF161" s="3323"/>
      <c r="AG161" s="3323"/>
      <c r="AH161" s="3323"/>
      <c r="AI161" s="3323"/>
      <c r="AJ161" s="3323"/>
      <c r="AK161" s="3323"/>
      <c r="AL161" s="3323"/>
      <c r="AM161" s="3323"/>
      <c r="AN161" s="3323"/>
      <c r="AO161" s="3402"/>
      <c r="AP161" s="3402"/>
      <c r="AQ161" s="3335"/>
      <c r="AR161" s="928"/>
      <c r="AS161" s="928"/>
      <c r="AT161" s="958"/>
    </row>
    <row r="162" spans="1:43" ht="36" customHeight="1">
      <c r="A162" s="853"/>
      <c r="B162" s="854"/>
      <c r="C162" s="855"/>
      <c r="D162" s="854"/>
      <c r="E162" s="854"/>
      <c r="F162" s="855"/>
      <c r="G162" s="891">
        <v>44</v>
      </c>
      <c r="H162" s="859" t="s">
        <v>1158</v>
      </c>
      <c r="I162" s="859"/>
      <c r="J162" s="859"/>
      <c r="K162" s="860"/>
      <c r="L162" s="859"/>
      <c r="M162" s="859"/>
      <c r="N162" s="861"/>
      <c r="O162" s="859"/>
      <c r="P162" s="860"/>
      <c r="Q162" s="859"/>
      <c r="R162" s="892"/>
      <c r="S162" s="859"/>
      <c r="T162" s="860"/>
      <c r="U162" s="859"/>
      <c r="V162" s="959"/>
      <c r="W162" s="894"/>
      <c r="X162" s="861"/>
      <c r="Y162" s="861"/>
      <c r="Z162" s="861"/>
      <c r="AA162" s="861"/>
      <c r="AB162" s="861"/>
      <c r="AC162" s="861"/>
      <c r="AD162" s="861"/>
      <c r="AE162" s="861"/>
      <c r="AF162" s="861"/>
      <c r="AG162" s="861"/>
      <c r="AH162" s="861"/>
      <c r="AI162" s="861"/>
      <c r="AJ162" s="861"/>
      <c r="AK162" s="861"/>
      <c r="AL162" s="861"/>
      <c r="AM162" s="861"/>
      <c r="AN162" s="861"/>
      <c r="AO162" s="861"/>
      <c r="AP162" s="859"/>
      <c r="AQ162" s="866"/>
    </row>
    <row r="163" spans="1:43" ht="40.5" customHeight="1">
      <c r="A163" s="867"/>
      <c r="B163" s="868"/>
      <c r="C163" s="869"/>
      <c r="D163" s="868"/>
      <c r="E163" s="868"/>
      <c r="F163" s="869"/>
      <c r="G163" s="870"/>
      <c r="H163" s="871"/>
      <c r="I163" s="872"/>
      <c r="J163" s="3311">
        <v>154</v>
      </c>
      <c r="K163" s="3324" t="s">
        <v>1159</v>
      </c>
      <c r="L163" s="3311" t="s">
        <v>908</v>
      </c>
      <c r="M163" s="3311">
        <v>5</v>
      </c>
      <c r="N163" s="947"/>
      <c r="O163" s="3311">
        <v>148</v>
      </c>
      <c r="P163" s="3324" t="s">
        <v>1160</v>
      </c>
      <c r="Q163" s="2419">
        <f>(V163+V168+V169+V164+V165+V166+V167)/R163</f>
        <v>0.31535832537088154</v>
      </c>
      <c r="R163" s="2526">
        <f>SUM(V163:V186)</f>
        <v>273927352</v>
      </c>
      <c r="S163" s="3324" t="s">
        <v>1161</v>
      </c>
      <c r="T163" s="3324" t="s">
        <v>1162</v>
      </c>
      <c r="U163" s="895" t="s">
        <v>1163</v>
      </c>
      <c r="V163" s="939">
        <v>9885271</v>
      </c>
      <c r="W163" s="949"/>
      <c r="X163" s="960"/>
      <c r="Y163" s="3350">
        <v>292684</v>
      </c>
      <c r="Z163" s="3350">
        <v>282326</v>
      </c>
      <c r="AA163" s="3321" t="s">
        <v>915</v>
      </c>
      <c r="AB163" s="3321" t="s">
        <v>915</v>
      </c>
      <c r="AC163" s="3337" t="s">
        <v>915</v>
      </c>
      <c r="AD163" s="3321" t="s">
        <v>915</v>
      </c>
      <c r="AE163" s="3321">
        <v>2145</v>
      </c>
      <c r="AF163" s="3321">
        <v>12718</v>
      </c>
      <c r="AG163" s="3321">
        <v>26</v>
      </c>
      <c r="AH163" s="3321">
        <v>37</v>
      </c>
      <c r="AI163" s="3321" t="s">
        <v>915</v>
      </c>
      <c r="AJ163" s="3321" t="s">
        <v>915</v>
      </c>
      <c r="AK163" s="3321">
        <v>53164</v>
      </c>
      <c r="AL163" s="3321">
        <v>16982</v>
      </c>
      <c r="AM163" s="3321">
        <v>60013</v>
      </c>
      <c r="AN163" s="3321">
        <v>575010</v>
      </c>
      <c r="AO163" s="3400">
        <v>43101</v>
      </c>
      <c r="AP163" s="3400">
        <v>43465</v>
      </c>
      <c r="AQ163" s="3403" t="s">
        <v>916</v>
      </c>
    </row>
    <row r="164" spans="1:43" ht="40.5" customHeight="1">
      <c r="A164" s="867"/>
      <c r="B164" s="868"/>
      <c r="C164" s="869"/>
      <c r="D164" s="868"/>
      <c r="E164" s="868"/>
      <c r="F164" s="869"/>
      <c r="G164" s="877"/>
      <c r="H164" s="868"/>
      <c r="I164" s="869"/>
      <c r="J164" s="3312"/>
      <c r="K164" s="3325"/>
      <c r="L164" s="3312"/>
      <c r="M164" s="3312"/>
      <c r="N164" s="950"/>
      <c r="O164" s="3312"/>
      <c r="P164" s="3325"/>
      <c r="Q164" s="2420"/>
      <c r="R164" s="2527"/>
      <c r="S164" s="3325"/>
      <c r="T164" s="3325"/>
      <c r="U164" s="895" t="s">
        <v>1164</v>
      </c>
      <c r="V164" s="939">
        <v>500000</v>
      </c>
      <c r="W164" s="951"/>
      <c r="X164" s="952"/>
      <c r="Y164" s="3351"/>
      <c r="Z164" s="3351"/>
      <c r="AA164" s="3322"/>
      <c r="AB164" s="3322"/>
      <c r="AC164" s="3338"/>
      <c r="AD164" s="3322"/>
      <c r="AE164" s="3322"/>
      <c r="AF164" s="3322"/>
      <c r="AG164" s="3322"/>
      <c r="AH164" s="3322"/>
      <c r="AI164" s="3322"/>
      <c r="AJ164" s="3322"/>
      <c r="AK164" s="3322"/>
      <c r="AL164" s="3322"/>
      <c r="AM164" s="3322"/>
      <c r="AN164" s="3322"/>
      <c r="AO164" s="3401"/>
      <c r="AP164" s="3401"/>
      <c r="AQ164" s="3404"/>
    </row>
    <row r="165" spans="1:43" ht="40.5" customHeight="1">
      <c r="A165" s="867"/>
      <c r="B165" s="868"/>
      <c r="C165" s="869"/>
      <c r="D165" s="868"/>
      <c r="E165" s="868"/>
      <c r="F165" s="869"/>
      <c r="G165" s="877"/>
      <c r="H165" s="868"/>
      <c r="I165" s="869"/>
      <c r="J165" s="3312"/>
      <c r="K165" s="3325"/>
      <c r="L165" s="3312"/>
      <c r="M165" s="3312"/>
      <c r="N165" s="950"/>
      <c r="O165" s="3312"/>
      <c r="P165" s="3325"/>
      <c r="Q165" s="2420"/>
      <c r="R165" s="2527"/>
      <c r="S165" s="3325"/>
      <c r="T165" s="3325"/>
      <c r="U165" s="895" t="s">
        <v>1165</v>
      </c>
      <c r="V165" s="939">
        <v>14000000</v>
      </c>
      <c r="W165" s="951"/>
      <c r="X165" s="952"/>
      <c r="Y165" s="3351"/>
      <c r="Z165" s="3351"/>
      <c r="AA165" s="3322"/>
      <c r="AB165" s="3322"/>
      <c r="AC165" s="3338"/>
      <c r="AD165" s="3322"/>
      <c r="AE165" s="3322"/>
      <c r="AF165" s="3322"/>
      <c r="AG165" s="3322"/>
      <c r="AH165" s="3322"/>
      <c r="AI165" s="3322"/>
      <c r="AJ165" s="3322"/>
      <c r="AK165" s="3322"/>
      <c r="AL165" s="3322"/>
      <c r="AM165" s="3322"/>
      <c r="AN165" s="3322"/>
      <c r="AO165" s="3401"/>
      <c r="AP165" s="3401"/>
      <c r="AQ165" s="3404"/>
    </row>
    <row r="166" spans="1:43" ht="40.5" customHeight="1">
      <c r="A166" s="867"/>
      <c r="B166" s="868"/>
      <c r="C166" s="869"/>
      <c r="D166" s="868"/>
      <c r="E166" s="868"/>
      <c r="F166" s="869"/>
      <c r="G166" s="877"/>
      <c r="H166" s="868"/>
      <c r="I166" s="869"/>
      <c r="J166" s="3312"/>
      <c r="K166" s="3325"/>
      <c r="L166" s="3312"/>
      <c r="M166" s="3312"/>
      <c r="N166" s="950"/>
      <c r="O166" s="3312"/>
      <c r="P166" s="3325"/>
      <c r="Q166" s="2420"/>
      <c r="R166" s="2527"/>
      <c r="S166" s="3325"/>
      <c r="T166" s="3325"/>
      <c r="U166" s="895" t="s">
        <v>1166</v>
      </c>
      <c r="V166" s="939">
        <v>14000000</v>
      </c>
      <c r="W166" s="951"/>
      <c r="X166" s="952"/>
      <c r="Y166" s="3351"/>
      <c r="Z166" s="3351"/>
      <c r="AA166" s="3322"/>
      <c r="AB166" s="3322"/>
      <c r="AC166" s="3338"/>
      <c r="AD166" s="3322"/>
      <c r="AE166" s="3322"/>
      <c r="AF166" s="3322"/>
      <c r="AG166" s="3322"/>
      <c r="AH166" s="3322"/>
      <c r="AI166" s="3322"/>
      <c r="AJ166" s="3322"/>
      <c r="AK166" s="3322"/>
      <c r="AL166" s="3322"/>
      <c r="AM166" s="3322"/>
      <c r="AN166" s="3322"/>
      <c r="AO166" s="3401"/>
      <c r="AP166" s="3401"/>
      <c r="AQ166" s="3404"/>
    </row>
    <row r="167" spans="1:43" ht="40.5" customHeight="1">
      <c r="A167" s="867"/>
      <c r="B167" s="868"/>
      <c r="C167" s="869"/>
      <c r="D167" s="868"/>
      <c r="E167" s="868"/>
      <c r="F167" s="869"/>
      <c r="G167" s="877"/>
      <c r="H167" s="868"/>
      <c r="I167" s="869"/>
      <c r="J167" s="3312"/>
      <c r="K167" s="3325"/>
      <c r="L167" s="3312"/>
      <c r="M167" s="3312"/>
      <c r="N167" s="950"/>
      <c r="O167" s="3312"/>
      <c r="P167" s="3325"/>
      <c r="Q167" s="2420"/>
      <c r="R167" s="2527"/>
      <c r="S167" s="3325"/>
      <c r="T167" s="3325"/>
      <c r="U167" s="895" t="s">
        <v>1167</v>
      </c>
      <c r="V167" s="939">
        <v>14000000</v>
      </c>
      <c r="W167" s="951"/>
      <c r="X167" s="952"/>
      <c r="Y167" s="3351"/>
      <c r="Z167" s="3351"/>
      <c r="AA167" s="3322"/>
      <c r="AB167" s="3322"/>
      <c r="AC167" s="3338"/>
      <c r="AD167" s="3322"/>
      <c r="AE167" s="3322"/>
      <c r="AF167" s="3322"/>
      <c r="AG167" s="3322"/>
      <c r="AH167" s="3322"/>
      <c r="AI167" s="3322"/>
      <c r="AJ167" s="3322"/>
      <c r="AK167" s="3322"/>
      <c r="AL167" s="3322"/>
      <c r="AM167" s="3322"/>
      <c r="AN167" s="3322"/>
      <c r="AO167" s="3401"/>
      <c r="AP167" s="3401"/>
      <c r="AQ167" s="3404"/>
    </row>
    <row r="168" spans="1:46" ht="40.5" customHeight="1">
      <c r="A168" s="867"/>
      <c r="B168" s="868"/>
      <c r="C168" s="869"/>
      <c r="D168" s="868"/>
      <c r="E168" s="868"/>
      <c r="F168" s="869"/>
      <c r="G168" s="877"/>
      <c r="H168" s="868"/>
      <c r="I168" s="869"/>
      <c r="J168" s="3312"/>
      <c r="K168" s="3325"/>
      <c r="L168" s="3312"/>
      <c r="M168" s="3312"/>
      <c r="N168" s="950"/>
      <c r="O168" s="3312"/>
      <c r="P168" s="3325"/>
      <c r="Q168" s="2420"/>
      <c r="R168" s="2527"/>
      <c r="S168" s="3325"/>
      <c r="T168" s="3325"/>
      <c r="U168" s="895" t="s">
        <v>1168</v>
      </c>
      <c r="V168" s="939">
        <v>25000000</v>
      </c>
      <c r="W168" s="951"/>
      <c r="X168" s="952"/>
      <c r="Y168" s="3351"/>
      <c r="Z168" s="3351"/>
      <c r="AA168" s="3322"/>
      <c r="AB168" s="3322"/>
      <c r="AC168" s="3338"/>
      <c r="AD168" s="3322"/>
      <c r="AE168" s="3322"/>
      <c r="AF168" s="3322"/>
      <c r="AG168" s="3322"/>
      <c r="AH168" s="3322"/>
      <c r="AI168" s="3322"/>
      <c r="AJ168" s="3322"/>
      <c r="AK168" s="3322"/>
      <c r="AL168" s="3322"/>
      <c r="AM168" s="3322"/>
      <c r="AN168" s="3322"/>
      <c r="AO168" s="3401"/>
      <c r="AP168" s="3401"/>
      <c r="AQ168" s="3404"/>
      <c r="AS168" s="935"/>
      <c r="AT168" s="935"/>
    </row>
    <row r="169" spans="1:46" ht="40.5" customHeight="1">
      <c r="A169" s="867"/>
      <c r="B169" s="868"/>
      <c r="C169" s="869"/>
      <c r="D169" s="868"/>
      <c r="E169" s="868"/>
      <c r="F169" s="869"/>
      <c r="G169" s="877"/>
      <c r="H169" s="868"/>
      <c r="I169" s="869"/>
      <c r="J169" s="3313"/>
      <c r="K169" s="3326"/>
      <c r="L169" s="3313"/>
      <c r="M169" s="3313"/>
      <c r="N169" s="950"/>
      <c r="O169" s="3312"/>
      <c r="P169" s="3325"/>
      <c r="Q169" s="2421"/>
      <c r="R169" s="2527"/>
      <c r="S169" s="3325"/>
      <c r="T169" s="3326"/>
      <c r="U169" s="895" t="s">
        <v>1169</v>
      </c>
      <c r="V169" s="939">
        <v>9000000</v>
      </c>
      <c r="W169" s="951"/>
      <c r="X169" s="952"/>
      <c r="Y169" s="3351"/>
      <c r="Z169" s="3351"/>
      <c r="AA169" s="3322"/>
      <c r="AB169" s="3322"/>
      <c r="AC169" s="3338"/>
      <c r="AD169" s="3322"/>
      <c r="AE169" s="3322"/>
      <c r="AF169" s="3322"/>
      <c r="AG169" s="3322"/>
      <c r="AH169" s="3322"/>
      <c r="AI169" s="3322"/>
      <c r="AJ169" s="3322"/>
      <c r="AK169" s="3322"/>
      <c r="AL169" s="3322"/>
      <c r="AM169" s="3322"/>
      <c r="AN169" s="3322"/>
      <c r="AO169" s="3401"/>
      <c r="AP169" s="3401"/>
      <c r="AQ169" s="3404"/>
      <c r="AR169" s="928"/>
      <c r="AS169" s="928"/>
      <c r="AT169" s="928"/>
    </row>
    <row r="170" spans="1:43" ht="40.5" customHeight="1">
      <c r="A170" s="867"/>
      <c r="B170" s="868"/>
      <c r="C170" s="869"/>
      <c r="D170" s="868"/>
      <c r="E170" s="868"/>
      <c r="F170" s="869"/>
      <c r="G170" s="877"/>
      <c r="H170" s="868"/>
      <c r="I170" s="869"/>
      <c r="J170" s="3311">
        <v>155</v>
      </c>
      <c r="K170" s="3324" t="s">
        <v>1170</v>
      </c>
      <c r="L170" s="3311" t="s">
        <v>908</v>
      </c>
      <c r="M170" s="3311">
        <v>1</v>
      </c>
      <c r="N170" s="950"/>
      <c r="O170" s="3312"/>
      <c r="P170" s="3325"/>
      <c r="Q170" s="2419">
        <f>(V170+V175+V176+V171+V172+V173+V174)/R163</f>
        <v>0.19275183589552605</v>
      </c>
      <c r="R170" s="2527"/>
      <c r="S170" s="3325"/>
      <c r="T170" s="3324" t="s">
        <v>1171</v>
      </c>
      <c r="U170" s="895" t="s">
        <v>1172</v>
      </c>
      <c r="V170" s="939">
        <v>1000000</v>
      </c>
      <c r="W170" s="951"/>
      <c r="X170" s="952"/>
      <c r="Y170" s="3351"/>
      <c r="Z170" s="3351"/>
      <c r="AA170" s="3322"/>
      <c r="AB170" s="3322"/>
      <c r="AC170" s="3338"/>
      <c r="AD170" s="3322"/>
      <c r="AE170" s="3322"/>
      <c r="AF170" s="3322"/>
      <c r="AG170" s="3322"/>
      <c r="AH170" s="3322"/>
      <c r="AI170" s="3322"/>
      <c r="AJ170" s="3322"/>
      <c r="AK170" s="3322"/>
      <c r="AL170" s="3322"/>
      <c r="AM170" s="3322"/>
      <c r="AN170" s="3322"/>
      <c r="AO170" s="3401"/>
      <c r="AP170" s="3401"/>
      <c r="AQ170" s="3404"/>
    </row>
    <row r="171" spans="1:43" ht="40.5" customHeight="1">
      <c r="A171" s="867"/>
      <c r="B171" s="868"/>
      <c r="C171" s="869"/>
      <c r="D171" s="868"/>
      <c r="E171" s="868"/>
      <c r="F171" s="869"/>
      <c r="G171" s="877"/>
      <c r="H171" s="868"/>
      <c r="I171" s="869"/>
      <c r="J171" s="3312"/>
      <c r="K171" s="3325"/>
      <c r="L171" s="3312"/>
      <c r="M171" s="3312"/>
      <c r="N171" s="950"/>
      <c r="O171" s="3312"/>
      <c r="P171" s="3325"/>
      <c r="Q171" s="2420"/>
      <c r="R171" s="2527"/>
      <c r="S171" s="3325"/>
      <c r="T171" s="3325"/>
      <c r="U171" s="895" t="s">
        <v>1173</v>
      </c>
      <c r="V171" s="939">
        <v>18000000</v>
      </c>
      <c r="W171" s="951"/>
      <c r="X171" s="952"/>
      <c r="Y171" s="3351"/>
      <c r="Z171" s="3351"/>
      <c r="AA171" s="3322"/>
      <c r="AB171" s="3322"/>
      <c r="AC171" s="3338"/>
      <c r="AD171" s="3322"/>
      <c r="AE171" s="3322"/>
      <c r="AF171" s="3322"/>
      <c r="AG171" s="3322"/>
      <c r="AH171" s="3322"/>
      <c r="AI171" s="3322"/>
      <c r="AJ171" s="3322"/>
      <c r="AK171" s="3322"/>
      <c r="AL171" s="3322"/>
      <c r="AM171" s="3322"/>
      <c r="AN171" s="3322"/>
      <c r="AO171" s="3401"/>
      <c r="AP171" s="3401"/>
      <c r="AQ171" s="3404"/>
    </row>
    <row r="172" spans="1:43" ht="40.5" customHeight="1">
      <c r="A172" s="867"/>
      <c r="B172" s="868"/>
      <c r="C172" s="869"/>
      <c r="D172" s="868"/>
      <c r="E172" s="868"/>
      <c r="F172" s="869"/>
      <c r="G172" s="877"/>
      <c r="H172" s="868"/>
      <c r="I172" s="869"/>
      <c r="J172" s="3312"/>
      <c r="K172" s="3325"/>
      <c r="L172" s="3312"/>
      <c r="M172" s="3312"/>
      <c r="N172" s="950"/>
      <c r="O172" s="3312"/>
      <c r="P172" s="3325"/>
      <c r="Q172" s="2420"/>
      <c r="R172" s="2527"/>
      <c r="S172" s="3325"/>
      <c r="T172" s="3325"/>
      <c r="U172" s="895" t="s">
        <v>1174</v>
      </c>
      <c r="V172" s="939">
        <v>17300000</v>
      </c>
      <c r="W172" s="951"/>
      <c r="X172" s="952"/>
      <c r="Y172" s="3351"/>
      <c r="Z172" s="3351"/>
      <c r="AA172" s="3322"/>
      <c r="AB172" s="3322"/>
      <c r="AC172" s="3338"/>
      <c r="AD172" s="3322"/>
      <c r="AE172" s="3322"/>
      <c r="AF172" s="3322"/>
      <c r="AG172" s="3322"/>
      <c r="AH172" s="3322"/>
      <c r="AI172" s="3322"/>
      <c r="AJ172" s="3322"/>
      <c r="AK172" s="3322"/>
      <c r="AL172" s="3322"/>
      <c r="AM172" s="3322"/>
      <c r="AN172" s="3322"/>
      <c r="AO172" s="3401"/>
      <c r="AP172" s="3401"/>
      <c r="AQ172" s="3404"/>
    </row>
    <row r="173" spans="1:43" ht="40.5" customHeight="1">
      <c r="A173" s="867"/>
      <c r="B173" s="868"/>
      <c r="C173" s="869"/>
      <c r="D173" s="868"/>
      <c r="E173" s="868"/>
      <c r="F173" s="869"/>
      <c r="G173" s="877"/>
      <c r="H173" s="868"/>
      <c r="I173" s="869"/>
      <c r="J173" s="3312"/>
      <c r="K173" s="3325"/>
      <c r="L173" s="3312"/>
      <c r="M173" s="3312"/>
      <c r="N173" s="950"/>
      <c r="O173" s="3312"/>
      <c r="P173" s="3325"/>
      <c r="Q173" s="2420"/>
      <c r="R173" s="2527"/>
      <c r="S173" s="3325"/>
      <c r="T173" s="3325"/>
      <c r="U173" s="895" t="s">
        <v>1175</v>
      </c>
      <c r="V173" s="939">
        <v>1000000</v>
      </c>
      <c r="W173" s="951"/>
      <c r="X173" s="952"/>
      <c r="Y173" s="3351"/>
      <c r="Z173" s="3351"/>
      <c r="AA173" s="3322"/>
      <c r="AB173" s="3322"/>
      <c r="AC173" s="3338"/>
      <c r="AD173" s="3322"/>
      <c r="AE173" s="3322"/>
      <c r="AF173" s="3322"/>
      <c r="AG173" s="3322"/>
      <c r="AH173" s="3322"/>
      <c r="AI173" s="3322"/>
      <c r="AJ173" s="3322"/>
      <c r="AK173" s="3322"/>
      <c r="AL173" s="3322"/>
      <c r="AM173" s="3322"/>
      <c r="AN173" s="3322"/>
      <c r="AO173" s="3401"/>
      <c r="AP173" s="3401"/>
      <c r="AQ173" s="3404"/>
    </row>
    <row r="174" spans="1:43" ht="40.5" customHeight="1">
      <c r="A174" s="867"/>
      <c r="B174" s="868"/>
      <c r="C174" s="869"/>
      <c r="D174" s="868"/>
      <c r="E174" s="868"/>
      <c r="F174" s="869"/>
      <c r="G174" s="877"/>
      <c r="H174" s="868"/>
      <c r="I174" s="869"/>
      <c r="J174" s="3312"/>
      <c r="K174" s="3325"/>
      <c r="L174" s="3312"/>
      <c r="M174" s="3312"/>
      <c r="N174" s="950"/>
      <c r="O174" s="3312"/>
      <c r="P174" s="3325"/>
      <c r="Q174" s="2420"/>
      <c r="R174" s="2527"/>
      <c r="S174" s="3325"/>
      <c r="T174" s="3325"/>
      <c r="U174" s="895" t="s">
        <v>1176</v>
      </c>
      <c r="V174" s="939">
        <v>1000000</v>
      </c>
      <c r="W174" s="951"/>
      <c r="X174" s="952"/>
      <c r="Y174" s="3351"/>
      <c r="Z174" s="3351"/>
      <c r="AA174" s="3322"/>
      <c r="AB174" s="3322"/>
      <c r="AC174" s="3338"/>
      <c r="AD174" s="3322"/>
      <c r="AE174" s="3322"/>
      <c r="AF174" s="3322"/>
      <c r="AG174" s="3322"/>
      <c r="AH174" s="3322"/>
      <c r="AI174" s="3322"/>
      <c r="AJ174" s="3322"/>
      <c r="AK174" s="3322"/>
      <c r="AL174" s="3322"/>
      <c r="AM174" s="3322"/>
      <c r="AN174" s="3322"/>
      <c r="AO174" s="3401"/>
      <c r="AP174" s="3401"/>
      <c r="AQ174" s="3404"/>
    </row>
    <row r="175" spans="1:43" ht="40.5" customHeight="1">
      <c r="A175" s="867"/>
      <c r="B175" s="868"/>
      <c r="C175" s="869"/>
      <c r="D175" s="868"/>
      <c r="E175" s="868"/>
      <c r="F175" s="869"/>
      <c r="G175" s="877"/>
      <c r="H175" s="868"/>
      <c r="I175" s="869"/>
      <c r="J175" s="3312"/>
      <c r="K175" s="3325"/>
      <c r="L175" s="3312"/>
      <c r="M175" s="3312"/>
      <c r="N175" s="950"/>
      <c r="O175" s="3312"/>
      <c r="P175" s="3325"/>
      <c r="Q175" s="2420"/>
      <c r="R175" s="2527"/>
      <c r="S175" s="3325"/>
      <c r="T175" s="3325"/>
      <c r="U175" s="895" t="s">
        <v>1177</v>
      </c>
      <c r="V175" s="939">
        <v>13500000</v>
      </c>
      <c r="W175" s="951"/>
      <c r="X175" s="952"/>
      <c r="Y175" s="3351"/>
      <c r="Z175" s="3351"/>
      <c r="AA175" s="3322"/>
      <c r="AB175" s="3322"/>
      <c r="AC175" s="3338"/>
      <c r="AD175" s="3322"/>
      <c r="AE175" s="3322"/>
      <c r="AF175" s="3322"/>
      <c r="AG175" s="3322"/>
      <c r="AH175" s="3322"/>
      <c r="AI175" s="3322"/>
      <c r="AJ175" s="3322"/>
      <c r="AK175" s="3322"/>
      <c r="AL175" s="3322"/>
      <c r="AM175" s="3322"/>
      <c r="AN175" s="3322"/>
      <c r="AO175" s="3401"/>
      <c r="AP175" s="3401"/>
      <c r="AQ175" s="3404"/>
    </row>
    <row r="176" spans="1:46" ht="40.5" customHeight="1">
      <c r="A176" s="867"/>
      <c r="B176" s="868"/>
      <c r="C176" s="869"/>
      <c r="D176" s="868"/>
      <c r="E176" s="868"/>
      <c r="F176" s="869"/>
      <c r="G176" s="877"/>
      <c r="H176" s="868"/>
      <c r="I176" s="869"/>
      <c r="J176" s="3313"/>
      <c r="K176" s="3326"/>
      <c r="L176" s="3313"/>
      <c r="M176" s="3313"/>
      <c r="N176" s="950" t="s">
        <v>1178</v>
      </c>
      <c r="O176" s="3312"/>
      <c r="P176" s="3325"/>
      <c r="Q176" s="2421"/>
      <c r="R176" s="2527"/>
      <c r="S176" s="3325"/>
      <c r="T176" s="3326"/>
      <c r="U176" s="895" t="s">
        <v>1179</v>
      </c>
      <c r="V176" s="939">
        <v>1000000</v>
      </c>
      <c r="W176" s="952">
        <v>61</v>
      </c>
      <c r="X176" s="950" t="s">
        <v>914</v>
      </c>
      <c r="Y176" s="3351"/>
      <c r="Z176" s="3351"/>
      <c r="AA176" s="3322"/>
      <c r="AB176" s="3322"/>
      <c r="AC176" s="3338"/>
      <c r="AD176" s="3322"/>
      <c r="AE176" s="3322"/>
      <c r="AF176" s="3322"/>
      <c r="AG176" s="3322"/>
      <c r="AH176" s="3322"/>
      <c r="AI176" s="3322"/>
      <c r="AJ176" s="3322"/>
      <c r="AK176" s="3322"/>
      <c r="AL176" s="3322"/>
      <c r="AM176" s="3322"/>
      <c r="AN176" s="3322"/>
      <c r="AO176" s="3401"/>
      <c r="AP176" s="3401"/>
      <c r="AQ176" s="3404"/>
      <c r="AR176" s="928"/>
      <c r="AS176" s="928"/>
      <c r="AT176" s="928"/>
    </row>
    <row r="177" spans="1:43" ht="40.5" customHeight="1">
      <c r="A177" s="867"/>
      <c r="B177" s="868"/>
      <c r="C177" s="869"/>
      <c r="D177" s="868"/>
      <c r="E177" s="868"/>
      <c r="F177" s="869"/>
      <c r="G177" s="877"/>
      <c r="H177" s="868"/>
      <c r="I177" s="869"/>
      <c r="J177" s="3311">
        <v>156</v>
      </c>
      <c r="K177" s="3324" t="s">
        <v>1180</v>
      </c>
      <c r="L177" s="3311" t="s">
        <v>908</v>
      </c>
      <c r="M177" s="3311">
        <v>12</v>
      </c>
      <c r="N177" s="961" t="s">
        <v>1181</v>
      </c>
      <c r="O177" s="3312"/>
      <c r="P177" s="3325"/>
      <c r="Q177" s="2419">
        <f>(V177+V178+V179+V180+V181+V182)/R163</f>
        <v>0.29934944211047604</v>
      </c>
      <c r="R177" s="2527"/>
      <c r="S177" s="3325"/>
      <c r="T177" s="3324" t="s">
        <v>1182</v>
      </c>
      <c r="U177" s="895" t="s">
        <v>1183</v>
      </c>
      <c r="V177" s="939">
        <v>14000000</v>
      </c>
      <c r="W177" s="952">
        <v>20</v>
      </c>
      <c r="X177" s="950" t="s">
        <v>80</v>
      </c>
      <c r="Y177" s="3351"/>
      <c r="Z177" s="3351"/>
      <c r="AA177" s="3322"/>
      <c r="AB177" s="3322"/>
      <c r="AC177" s="3338"/>
      <c r="AD177" s="3322"/>
      <c r="AE177" s="3322"/>
      <c r="AF177" s="3322"/>
      <c r="AG177" s="3322"/>
      <c r="AH177" s="3322"/>
      <c r="AI177" s="3322"/>
      <c r="AJ177" s="3322"/>
      <c r="AK177" s="3322"/>
      <c r="AL177" s="3322"/>
      <c r="AM177" s="3322"/>
      <c r="AN177" s="3322"/>
      <c r="AO177" s="3401"/>
      <c r="AP177" s="3401"/>
      <c r="AQ177" s="3404"/>
    </row>
    <row r="178" spans="1:47" ht="40.5" customHeight="1">
      <c r="A178" s="867"/>
      <c r="B178" s="868"/>
      <c r="C178" s="869"/>
      <c r="D178" s="868"/>
      <c r="E178" s="868"/>
      <c r="F178" s="869"/>
      <c r="G178" s="877"/>
      <c r="H178" s="868"/>
      <c r="I178" s="869"/>
      <c r="J178" s="3312"/>
      <c r="K178" s="3325"/>
      <c r="L178" s="3312"/>
      <c r="M178" s="3312"/>
      <c r="N178" s="950"/>
      <c r="O178" s="3312"/>
      <c r="P178" s="3325"/>
      <c r="Q178" s="2420"/>
      <c r="R178" s="2527"/>
      <c r="S178" s="3325"/>
      <c r="T178" s="3325"/>
      <c r="U178" s="895" t="s">
        <v>1184</v>
      </c>
      <c r="V178" s="939">
        <v>14000000</v>
      </c>
      <c r="W178" s="952"/>
      <c r="X178" s="950"/>
      <c r="Y178" s="3351"/>
      <c r="Z178" s="3351"/>
      <c r="AA178" s="3322"/>
      <c r="AB178" s="3322"/>
      <c r="AC178" s="3338"/>
      <c r="AD178" s="3322"/>
      <c r="AE178" s="3322"/>
      <c r="AF178" s="3322"/>
      <c r="AG178" s="3322"/>
      <c r="AH178" s="3322"/>
      <c r="AI178" s="3322"/>
      <c r="AJ178" s="3322"/>
      <c r="AK178" s="3322"/>
      <c r="AL178" s="3322"/>
      <c r="AM178" s="3322"/>
      <c r="AN178" s="3322"/>
      <c r="AO178" s="3401"/>
      <c r="AP178" s="3401"/>
      <c r="AQ178" s="3404"/>
      <c r="AT178" s="928"/>
      <c r="AU178" s="962"/>
    </row>
    <row r="179" spans="1:47" ht="40.5" customHeight="1">
      <c r="A179" s="867"/>
      <c r="B179" s="868"/>
      <c r="C179" s="869"/>
      <c r="D179" s="868"/>
      <c r="E179" s="868"/>
      <c r="F179" s="869"/>
      <c r="G179" s="877"/>
      <c r="H179" s="868"/>
      <c r="I179" s="869"/>
      <c r="J179" s="3312"/>
      <c r="K179" s="3325"/>
      <c r="L179" s="3312"/>
      <c r="M179" s="3312"/>
      <c r="N179" s="950"/>
      <c r="O179" s="3312"/>
      <c r="P179" s="3325"/>
      <c r="Q179" s="2420"/>
      <c r="R179" s="2527"/>
      <c r="S179" s="3325"/>
      <c r="T179" s="3325"/>
      <c r="U179" s="895" t="s">
        <v>1185</v>
      </c>
      <c r="V179" s="939">
        <v>14800000</v>
      </c>
      <c r="W179" s="952"/>
      <c r="X179" s="950"/>
      <c r="Y179" s="3351"/>
      <c r="Z179" s="3351"/>
      <c r="AA179" s="3322"/>
      <c r="AB179" s="3322"/>
      <c r="AC179" s="3338"/>
      <c r="AD179" s="3322"/>
      <c r="AE179" s="3322"/>
      <c r="AF179" s="3322"/>
      <c r="AG179" s="3322"/>
      <c r="AH179" s="3322"/>
      <c r="AI179" s="3322"/>
      <c r="AJ179" s="3322"/>
      <c r="AK179" s="3322"/>
      <c r="AL179" s="3322"/>
      <c r="AM179" s="3322"/>
      <c r="AN179" s="3322"/>
      <c r="AO179" s="3401"/>
      <c r="AP179" s="3401"/>
      <c r="AQ179" s="3404"/>
      <c r="AU179" s="935">
        <f>SUM(AU178-AT178)</f>
        <v>0</v>
      </c>
    </row>
    <row r="180" spans="1:43" ht="40.5" customHeight="1">
      <c r="A180" s="867"/>
      <c r="B180" s="868"/>
      <c r="C180" s="869"/>
      <c r="D180" s="868"/>
      <c r="E180" s="868"/>
      <c r="F180" s="869"/>
      <c r="G180" s="877"/>
      <c r="H180" s="868"/>
      <c r="I180" s="869"/>
      <c r="J180" s="3312"/>
      <c r="K180" s="3325"/>
      <c r="L180" s="3312"/>
      <c r="M180" s="3312"/>
      <c r="N180" s="950"/>
      <c r="O180" s="3312"/>
      <c r="P180" s="3325"/>
      <c r="Q180" s="2420"/>
      <c r="R180" s="2527"/>
      <c r="S180" s="3325"/>
      <c r="T180" s="3325"/>
      <c r="U180" s="895" t="s">
        <v>1186</v>
      </c>
      <c r="V180" s="939">
        <v>14800000</v>
      </c>
      <c r="W180" s="952"/>
      <c r="X180" s="950"/>
      <c r="Y180" s="3351"/>
      <c r="Z180" s="3351"/>
      <c r="AA180" s="3322"/>
      <c r="AB180" s="3322"/>
      <c r="AC180" s="3338"/>
      <c r="AD180" s="3322"/>
      <c r="AE180" s="3322"/>
      <c r="AF180" s="3322"/>
      <c r="AG180" s="3322"/>
      <c r="AH180" s="3322"/>
      <c r="AI180" s="3322"/>
      <c r="AJ180" s="3322"/>
      <c r="AK180" s="3322"/>
      <c r="AL180" s="3322"/>
      <c r="AM180" s="3322"/>
      <c r="AN180" s="3322"/>
      <c r="AO180" s="3401"/>
      <c r="AP180" s="3401"/>
      <c r="AQ180" s="3404"/>
    </row>
    <row r="181" spans="1:43" ht="40.5" customHeight="1">
      <c r="A181" s="867"/>
      <c r="B181" s="868"/>
      <c r="C181" s="869"/>
      <c r="D181" s="868"/>
      <c r="E181" s="868"/>
      <c r="F181" s="869"/>
      <c r="G181" s="877"/>
      <c r="H181" s="868"/>
      <c r="I181" s="869"/>
      <c r="J181" s="3312"/>
      <c r="K181" s="3325"/>
      <c r="L181" s="3312"/>
      <c r="M181" s="3312"/>
      <c r="N181" s="950"/>
      <c r="O181" s="3312"/>
      <c r="P181" s="3325"/>
      <c r="Q181" s="2420"/>
      <c r="R181" s="2527"/>
      <c r="S181" s="3325"/>
      <c r="T181" s="3325"/>
      <c r="U181" s="895" t="s">
        <v>1187</v>
      </c>
      <c r="V181" s="939">
        <v>14800000</v>
      </c>
      <c r="W181" s="952"/>
      <c r="X181" s="950"/>
      <c r="Y181" s="3351"/>
      <c r="Z181" s="3351"/>
      <c r="AA181" s="3322"/>
      <c r="AB181" s="3322"/>
      <c r="AC181" s="3338"/>
      <c r="AD181" s="3322"/>
      <c r="AE181" s="3322"/>
      <c r="AF181" s="3322"/>
      <c r="AG181" s="3322"/>
      <c r="AH181" s="3322"/>
      <c r="AI181" s="3322"/>
      <c r="AJ181" s="3322"/>
      <c r="AK181" s="3322"/>
      <c r="AL181" s="3322"/>
      <c r="AM181" s="3322"/>
      <c r="AN181" s="3322"/>
      <c r="AO181" s="3401"/>
      <c r="AP181" s="3401"/>
      <c r="AQ181" s="3404"/>
    </row>
    <row r="182" spans="1:46" ht="40.5" customHeight="1">
      <c r="A182" s="867"/>
      <c r="B182" s="868"/>
      <c r="C182" s="869"/>
      <c r="D182" s="868"/>
      <c r="E182" s="868"/>
      <c r="F182" s="869"/>
      <c r="G182" s="877"/>
      <c r="H182" s="868"/>
      <c r="I182" s="869"/>
      <c r="J182" s="3313"/>
      <c r="K182" s="3326"/>
      <c r="L182" s="3313"/>
      <c r="M182" s="3313"/>
      <c r="N182" s="950"/>
      <c r="O182" s="3312"/>
      <c r="P182" s="3325"/>
      <c r="Q182" s="2421"/>
      <c r="R182" s="2527"/>
      <c r="S182" s="3325"/>
      <c r="T182" s="3326"/>
      <c r="U182" s="895" t="s">
        <v>1188</v>
      </c>
      <c r="V182" s="939">
        <v>9600000</v>
      </c>
      <c r="W182" s="951"/>
      <c r="X182" s="952"/>
      <c r="Y182" s="3351"/>
      <c r="Z182" s="3351"/>
      <c r="AA182" s="3322"/>
      <c r="AB182" s="3322"/>
      <c r="AC182" s="3338"/>
      <c r="AD182" s="3322"/>
      <c r="AE182" s="3322"/>
      <c r="AF182" s="3322"/>
      <c r="AG182" s="3322"/>
      <c r="AH182" s="3322"/>
      <c r="AI182" s="3322"/>
      <c r="AJ182" s="3322"/>
      <c r="AK182" s="3322"/>
      <c r="AL182" s="3322"/>
      <c r="AM182" s="3322"/>
      <c r="AN182" s="3322"/>
      <c r="AO182" s="3401"/>
      <c r="AP182" s="3401"/>
      <c r="AQ182" s="3404"/>
      <c r="AR182" s="928"/>
      <c r="AS182" s="928"/>
      <c r="AT182" s="928"/>
    </row>
    <row r="183" spans="1:43" ht="40.5" customHeight="1">
      <c r="A183" s="867"/>
      <c r="B183" s="868"/>
      <c r="C183" s="869"/>
      <c r="D183" s="868"/>
      <c r="E183" s="868"/>
      <c r="F183" s="869"/>
      <c r="G183" s="877"/>
      <c r="H183" s="868"/>
      <c r="I183" s="869"/>
      <c r="J183" s="3311">
        <v>157</v>
      </c>
      <c r="K183" s="3324" t="s">
        <v>1189</v>
      </c>
      <c r="L183" s="3311" t="s">
        <v>908</v>
      </c>
      <c r="M183" s="3311">
        <v>12</v>
      </c>
      <c r="N183" s="950"/>
      <c r="O183" s="3312"/>
      <c r="P183" s="3325"/>
      <c r="Q183" s="2419">
        <f>(V183+V186+V184+V185)/R163</f>
        <v>0.19254039662311634</v>
      </c>
      <c r="R183" s="2527"/>
      <c r="S183" s="3325"/>
      <c r="T183" s="3324" t="s">
        <v>1190</v>
      </c>
      <c r="U183" s="895" t="s">
        <v>1191</v>
      </c>
      <c r="V183" s="963">
        <v>24342081</v>
      </c>
      <c r="W183" s="951"/>
      <c r="X183" s="952"/>
      <c r="Y183" s="3351"/>
      <c r="Z183" s="3351"/>
      <c r="AA183" s="3322"/>
      <c r="AB183" s="3322"/>
      <c r="AC183" s="3338"/>
      <c r="AD183" s="3322"/>
      <c r="AE183" s="3322"/>
      <c r="AF183" s="3322"/>
      <c r="AG183" s="3322"/>
      <c r="AH183" s="3322"/>
      <c r="AI183" s="3322"/>
      <c r="AJ183" s="3322"/>
      <c r="AK183" s="3322"/>
      <c r="AL183" s="3322"/>
      <c r="AM183" s="3322"/>
      <c r="AN183" s="3322"/>
      <c r="AO183" s="3401"/>
      <c r="AP183" s="3401"/>
      <c r="AQ183" s="3404"/>
    </row>
    <row r="184" spans="1:43" ht="40.5" customHeight="1">
      <c r="A184" s="867"/>
      <c r="B184" s="868"/>
      <c r="C184" s="869"/>
      <c r="D184" s="868"/>
      <c r="E184" s="868"/>
      <c r="F184" s="869"/>
      <c r="G184" s="877"/>
      <c r="H184" s="868"/>
      <c r="I184" s="869"/>
      <c r="J184" s="3312"/>
      <c r="K184" s="3325"/>
      <c r="L184" s="3312"/>
      <c r="M184" s="3312"/>
      <c r="N184" s="950"/>
      <c r="O184" s="3312"/>
      <c r="P184" s="3325"/>
      <c r="Q184" s="2420"/>
      <c r="R184" s="2527"/>
      <c r="S184" s="3325"/>
      <c r="T184" s="3325"/>
      <c r="U184" s="895" t="s">
        <v>1192</v>
      </c>
      <c r="V184" s="939">
        <v>8000000</v>
      </c>
      <c r="W184" s="951"/>
      <c r="X184" s="952"/>
      <c r="Y184" s="3351"/>
      <c r="Z184" s="3351"/>
      <c r="AA184" s="3322"/>
      <c r="AB184" s="3322"/>
      <c r="AC184" s="3338"/>
      <c r="AD184" s="3322"/>
      <c r="AE184" s="3322"/>
      <c r="AF184" s="3322"/>
      <c r="AG184" s="3322"/>
      <c r="AH184" s="3322"/>
      <c r="AI184" s="3322"/>
      <c r="AJ184" s="3322"/>
      <c r="AK184" s="3322"/>
      <c r="AL184" s="3322"/>
      <c r="AM184" s="3322"/>
      <c r="AN184" s="3322"/>
      <c r="AO184" s="3401"/>
      <c r="AP184" s="3401"/>
      <c r="AQ184" s="3404"/>
    </row>
    <row r="185" spans="1:46" ht="40.5" customHeight="1">
      <c r="A185" s="867"/>
      <c r="B185" s="868"/>
      <c r="C185" s="869"/>
      <c r="D185" s="868"/>
      <c r="E185" s="868"/>
      <c r="F185" s="869"/>
      <c r="G185" s="877"/>
      <c r="H185" s="868"/>
      <c r="I185" s="869"/>
      <c r="J185" s="3312"/>
      <c r="K185" s="3325"/>
      <c r="L185" s="3312"/>
      <c r="M185" s="3312"/>
      <c r="N185" s="950"/>
      <c r="O185" s="3312"/>
      <c r="P185" s="3325"/>
      <c r="Q185" s="2420"/>
      <c r="R185" s="2527"/>
      <c r="S185" s="3325"/>
      <c r="T185" s="3325"/>
      <c r="U185" s="895" t="s">
        <v>1193</v>
      </c>
      <c r="V185" s="939">
        <v>6000000</v>
      </c>
      <c r="W185" s="951"/>
      <c r="X185" s="952"/>
      <c r="Y185" s="3351"/>
      <c r="Z185" s="3351"/>
      <c r="AA185" s="3322"/>
      <c r="AB185" s="3322"/>
      <c r="AC185" s="3338"/>
      <c r="AD185" s="3322"/>
      <c r="AE185" s="3322"/>
      <c r="AF185" s="3322"/>
      <c r="AG185" s="3322"/>
      <c r="AH185" s="3322"/>
      <c r="AI185" s="3322"/>
      <c r="AJ185" s="3322"/>
      <c r="AK185" s="3322"/>
      <c r="AL185" s="3322"/>
      <c r="AM185" s="3322"/>
      <c r="AN185" s="3322"/>
      <c r="AO185" s="3401"/>
      <c r="AP185" s="3401"/>
      <c r="AQ185" s="3404"/>
      <c r="AS185" s="935"/>
      <c r="AT185" s="935"/>
    </row>
    <row r="186" spans="1:46" ht="40.5" customHeight="1">
      <c r="A186" s="867"/>
      <c r="B186" s="868"/>
      <c r="C186" s="869"/>
      <c r="D186" s="868"/>
      <c r="E186" s="868"/>
      <c r="F186" s="869"/>
      <c r="G186" s="883"/>
      <c r="H186" s="881"/>
      <c r="I186" s="882"/>
      <c r="J186" s="3313"/>
      <c r="K186" s="3326"/>
      <c r="L186" s="3313"/>
      <c r="M186" s="3313"/>
      <c r="N186" s="956"/>
      <c r="O186" s="3313"/>
      <c r="P186" s="3326"/>
      <c r="Q186" s="2421"/>
      <c r="R186" s="2528"/>
      <c r="S186" s="3326"/>
      <c r="T186" s="3326"/>
      <c r="U186" s="895" t="s">
        <v>1194</v>
      </c>
      <c r="V186" s="939">
        <v>14400000</v>
      </c>
      <c r="W186" s="957"/>
      <c r="X186" s="964"/>
      <c r="Y186" s="3352"/>
      <c r="Z186" s="3352"/>
      <c r="AA186" s="3323"/>
      <c r="AB186" s="3323"/>
      <c r="AC186" s="3339"/>
      <c r="AD186" s="3323"/>
      <c r="AE186" s="3323"/>
      <c r="AF186" s="3323"/>
      <c r="AG186" s="3323"/>
      <c r="AH186" s="3323"/>
      <c r="AI186" s="3323"/>
      <c r="AJ186" s="3323"/>
      <c r="AK186" s="3323"/>
      <c r="AL186" s="3323"/>
      <c r="AM186" s="3323"/>
      <c r="AN186" s="3323"/>
      <c r="AO186" s="3402"/>
      <c r="AP186" s="3402"/>
      <c r="AQ186" s="3405"/>
      <c r="AR186" s="928"/>
      <c r="AS186" s="928"/>
      <c r="AT186" s="928"/>
    </row>
    <row r="187" spans="1:43" ht="36" customHeight="1">
      <c r="A187" s="853"/>
      <c r="B187" s="854"/>
      <c r="C187" s="855"/>
      <c r="D187" s="854"/>
      <c r="E187" s="854"/>
      <c r="F187" s="855"/>
      <c r="G187" s="891">
        <v>45</v>
      </c>
      <c r="H187" s="859" t="s">
        <v>1195</v>
      </c>
      <c r="I187" s="859"/>
      <c r="J187" s="859"/>
      <c r="K187" s="860"/>
      <c r="L187" s="859"/>
      <c r="M187" s="859"/>
      <c r="N187" s="861"/>
      <c r="O187" s="859"/>
      <c r="P187" s="860"/>
      <c r="Q187" s="859"/>
      <c r="R187" s="892"/>
      <c r="S187" s="859"/>
      <c r="T187" s="860"/>
      <c r="U187" s="860"/>
      <c r="V187" s="965"/>
      <c r="W187" s="894"/>
      <c r="X187" s="861"/>
      <c r="Y187" s="861"/>
      <c r="Z187" s="861"/>
      <c r="AA187" s="861"/>
      <c r="AB187" s="861"/>
      <c r="AC187" s="861"/>
      <c r="AD187" s="861"/>
      <c r="AE187" s="861"/>
      <c r="AF187" s="861"/>
      <c r="AG187" s="861"/>
      <c r="AH187" s="861"/>
      <c r="AI187" s="861"/>
      <c r="AJ187" s="861"/>
      <c r="AK187" s="861"/>
      <c r="AL187" s="861"/>
      <c r="AM187" s="861"/>
      <c r="AN187" s="861"/>
      <c r="AO187" s="861"/>
      <c r="AP187" s="859"/>
      <c r="AQ187" s="866"/>
    </row>
    <row r="188" spans="1:43" s="876" customFormat="1" ht="35.25" customHeight="1">
      <c r="A188" s="867"/>
      <c r="B188" s="868"/>
      <c r="C188" s="869"/>
      <c r="D188" s="868"/>
      <c r="E188" s="868"/>
      <c r="F188" s="869"/>
      <c r="G188" s="870"/>
      <c r="H188" s="871"/>
      <c r="I188" s="872"/>
      <c r="J188" s="3311">
        <v>158</v>
      </c>
      <c r="K188" s="3311" t="s">
        <v>1196</v>
      </c>
      <c r="L188" s="3311" t="s">
        <v>908</v>
      </c>
      <c r="M188" s="3311">
        <v>11</v>
      </c>
      <c r="N188" s="3311" t="s">
        <v>1197</v>
      </c>
      <c r="O188" s="3311">
        <v>150</v>
      </c>
      <c r="P188" s="3324" t="s">
        <v>1198</v>
      </c>
      <c r="Q188" s="2419">
        <f>+(V188+V189+V190+V191)/R188</f>
        <v>1</v>
      </c>
      <c r="R188" s="2526">
        <f>SUM(V188:V192)</f>
        <v>1284098541</v>
      </c>
      <c r="S188" s="3324" t="s">
        <v>1199</v>
      </c>
      <c r="T188" s="3327" t="s">
        <v>1200</v>
      </c>
      <c r="U188" s="895" t="s">
        <v>1201</v>
      </c>
      <c r="V188" s="909">
        <v>150000000</v>
      </c>
      <c r="W188" s="3350">
        <v>61</v>
      </c>
      <c r="X188" s="3311" t="s">
        <v>914</v>
      </c>
      <c r="Y188" s="3311">
        <v>292684</v>
      </c>
      <c r="Z188" s="3311">
        <v>282326</v>
      </c>
      <c r="AA188" s="3353">
        <v>135912</v>
      </c>
      <c r="AB188" s="3353">
        <v>45122</v>
      </c>
      <c r="AC188" s="3353">
        <v>307101</v>
      </c>
      <c r="AD188" s="3353">
        <v>86875</v>
      </c>
      <c r="AE188" s="3353">
        <v>2145</v>
      </c>
      <c r="AF188" s="3353">
        <v>12718</v>
      </c>
      <c r="AG188" s="3353">
        <v>26</v>
      </c>
      <c r="AH188" s="3353">
        <v>37</v>
      </c>
      <c r="AI188" s="3353" t="s">
        <v>915</v>
      </c>
      <c r="AJ188" s="3353" t="s">
        <v>915</v>
      </c>
      <c r="AK188" s="3353">
        <v>53164</v>
      </c>
      <c r="AL188" s="3353">
        <v>16982</v>
      </c>
      <c r="AM188" s="3353">
        <v>60013</v>
      </c>
      <c r="AN188" s="3353">
        <v>575010</v>
      </c>
      <c r="AO188" s="3330">
        <v>43101</v>
      </c>
      <c r="AP188" s="3330">
        <v>43465</v>
      </c>
      <c r="AQ188" s="3333" t="s">
        <v>916</v>
      </c>
    </row>
    <row r="189" spans="1:43" s="876" customFormat="1" ht="30" customHeight="1">
      <c r="A189" s="867"/>
      <c r="B189" s="868"/>
      <c r="C189" s="869"/>
      <c r="D189" s="868"/>
      <c r="E189" s="868"/>
      <c r="F189" s="869"/>
      <c r="G189" s="877"/>
      <c r="H189" s="868"/>
      <c r="I189" s="869"/>
      <c r="J189" s="3312"/>
      <c r="K189" s="3312"/>
      <c r="L189" s="3312"/>
      <c r="M189" s="3312"/>
      <c r="N189" s="3312"/>
      <c r="O189" s="3312"/>
      <c r="P189" s="3325"/>
      <c r="Q189" s="2420"/>
      <c r="R189" s="2527"/>
      <c r="S189" s="3325"/>
      <c r="T189" s="3328"/>
      <c r="U189" s="895" t="s">
        <v>1202</v>
      </c>
      <c r="V189" s="909">
        <v>20000000</v>
      </c>
      <c r="W189" s="3351"/>
      <c r="X189" s="3312"/>
      <c r="Y189" s="3312"/>
      <c r="Z189" s="3312"/>
      <c r="AA189" s="3354"/>
      <c r="AB189" s="3354"/>
      <c r="AC189" s="3354"/>
      <c r="AD189" s="3354"/>
      <c r="AE189" s="3354"/>
      <c r="AF189" s="3354"/>
      <c r="AG189" s="3354"/>
      <c r="AH189" s="3354"/>
      <c r="AI189" s="3354"/>
      <c r="AJ189" s="3354"/>
      <c r="AK189" s="3354"/>
      <c r="AL189" s="3354"/>
      <c r="AM189" s="3354"/>
      <c r="AN189" s="3354"/>
      <c r="AO189" s="3331"/>
      <c r="AP189" s="3331"/>
      <c r="AQ189" s="3334"/>
    </row>
    <row r="190" spans="1:46" s="876" customFormat="1" ht="45">
      <c r="A190" s="867"/>
      <c r="B190" s="868"/>
      <c r="C190" s="869"/>
      <c r="D190" s="868"/>
      <c r="E190" s="868"/>
      <c r="F190" s="869"/>
      <c r="G190" s="877"/>
      <c r="H190" s="868"/>
      <c r="I190" s="869"/>
      <c r="J190" s="3312"/>
      <c r="K190" s="3312"/>
      <c r="L190" s="3312"/>
      <c r="M190" s="3312"/>
      <c r="N190" s="3312"/>
      <c r="O190" s="3312"/>
      <c r="P190" s="3325"/>
      <c r="Q190" s="2420"/>
      <c r="R190" s="2527"/>
      <c r="S190" s="3325"/>
      <c r="T190" s="3328"/>
      <c r="U190" s="895" t="s">
        <v>1203</v>
      </c>
      <c r="V190" s="909">
        <v>644098541</v>
      </c>
      <c r="W190" s="3351"/>
      <c r="X190" s="3312"/>
      <c r="Y190" s="3312"/>
      <c r="Z190" s="3312"/>
      <c r="AA190" s="3354"/>
      <c r="AB190" s="3354"/>
      <c r="AC190" s="3354"/>
      <c r="AD190" s="3354"/>
      <c r="AE190" s="3354"/>
      <c r="AF190" s="3354"/>
      <c r="AG190" s="3354"/>
      <c r="AH190" s="3354"/>
      <c r="AI190" s="3354"/>
      <c r="AJ190" s="3354"/>
      <c r="AK190" s="3354"/>
      <c r="AL190" s="3354"/>
      <c r="AM190" s="3354"/>
      <c r="AN190" s="3354"/>
      <c r="AO190" s="3331"/>
      <c r="AP190" s="3331"/>
      <c r="AQ190" s="3334"/>
      <c r="AS190" s="875"/>
      <c r="AT190" s="875"/>
    </row>
    <row r="191" spans="1:46" s="876" customFormat="1" ht="30">
      <c r="A191" s="867"/>
      <c r="B191" s="868"/>
      <c r="C191" s="869"/>
      <c r="D191" s="868"/>
      <c r="E191" s="868"/>
      <c r="F191" s="869"/>
      <c r="G191" s="877"/>
      <c r="H191" s="868"/>
      <c r="I191" s="869"/>
      <c r="J191" s="3313"/>
      <c r="K191" s="3313"/>
      <c r="L191" s="950"/>
      <c r="M191" s="3313"/>
      <c r="N191" s="3312"/>
      <c r="O191" s="3312"/>
      <c r="P191" s="3325"/>
      <c r="Q191" s="2420"/>
      <c r="R191" s="2527"/>
      <c r="S191" s="3325"/>
      <c r="T191" s="3329"/>
      <c r="U191" s="895" t="s">
        <v>1204</v>
      </c>
      <c r="V191" s="909">
        <v>470000000</v>
      </c>
      <c r="W191" s="3351"/>
      <c r="X191" s="3312"/>
      <c r="Y191" s="3312"/>
      <c r="Z191" s="3312"/>
      <c r="AA191" s="3354"/>
      <c r="AB191" s="3354"/>
      <c r="AC191" s="3354"/>
      <c r="AD191" s="3354"/>
      <c r="AE191" s="3354"/>
      <c r="AF191" s="3354"/>
      <c r="AG191" s="3354"/>
      <c r="AH191" s="3354"/>
      <c r="AI191" s="3354"/>
      <c r="AJ191" s="3354"/>
      <c r="AK191" s="3354"/>
      <c r="AL191" s="3354"/>
      <c r="AM191" s="3354"/>
      <c r="AN191" s="3354"/>
      <c r="AO191" s="3331"/>
      <c r="AP191" s="3331"/>
      <c r="AQ191" s="3334"/>
      <c r="AR191" s="878"/>
      <c r="AS191" s="878"/>
      <c r="AT191" s="878"/>
    </row>
    <row r="192" spans="1:43" s="876" customFormat="1" ht="75">
      <c r="A192" s="867"/>
      <c r="B192" s="868"/>
      <c r="C192" s="869"/>
      <c r="D192" s="868"/>
      <c r="E192" s="868"/>
      <c r="F192" s="869"/>
      <c r="G192" s="883"/>
      <c r="H192" s="881"/>
      <c r="I192" s="882"/>
      <c r="J192" s="966">
        <v>159</v>
      </c>
      <c r="K192" s="967" t="s">
        <v>1205</v>
      </c>
      <c r="L192" s="956" t="s">
        <v>908</v>
      </c>
      <c r="M192" s="966">
        <v>8</v>
      </c>
      <c r="N192" s="3313"/>
      <c r="O192" s="3313"/>
      <c r="P192" s="3326"/>
      <c r="Q192" s="2421"/>
      <c r="R192" s="2528"/>
      <c r="S192" s="3326"/>
      <c r="T192" s="968" t="s">
        <v>1206</v>
      </c>
      <c r="U192" s="895" t="s">
        <v>1207</v>
      </c>
      <c r="V192" s="909">
        <v>0</v>
      </c>
      <c r="W192" s="3352"/>
      <c r="X192" s="3313"/>
      <c r="Y192" s="3313"/>
      <c r="Z192" s="3313"/>
      <c r="AA192" s="3355"/>
      <c r="AB192" s="3355"/>
      <c r="AC192" s="3355"/>
      <c r="AD192" s="3355"/>
      <c r="AE192" s="3355"/>
      <c r="AF192" s="3355"/>
      <c r="AG192" s="3355"/>
      <c r="AH192" s="3355"/>
      <c r="AI192" s="3355"/>
      <c r="AJ192" s="3355"/>
      <c r="AK192" s="3355"/>
      <c r="AL192" s="3355"/>
      <c r="AM192" s="3355"/>
      <c r="AN192" s="3355"/>
      <c r="AO192" s="3332"/>
      <c r="AP192" s="3332"/>
      <c r="AQ192" s="3335"/>
    </row>
    <row r="193" spans="1:43" ht="36" customHeight="1">
      <c r="A193" s="853"/>
      <c r="B193" s="854"/>
      <c r="C193" s="855"/>
      <c r="D193" s="854"/>
      <c r="E193" s="854"/>
      <c r="F193" s="855"/>
      <c r="G193" s="891">
        <v>46</v>
      </c>
      <c r="H193" s="859" t="s">
        <v>1208</v>
      </c>
      <c r="I193" s="859"/>
      <c r="J193" s="859"/>
      <c r="K193" s="860"/>
      <c r="L193" s="859"/>
      <c r="M193" s="859"/>
      <c r="N193" s="861"/>
      <c r="O193" s="859"/>
      <c r="P193" s="860"/>
      <c r="Q193" s="859"/>
      <c r="R193" s="892"/>
      <c r="S193" s="859"/>
      <c r="T193" s="860"/>
      <c r="U193" s="860"/>
      <c r="V193" s="893"/>
      <c r="W193" s="894"/>
      <c r="X193" s="861"/>
      <c r="Y193" s="861"/>
      <c r="Z193" s="861"/>
      <c r="AA193" s="861"/>
      <c r="AB193" s="861"/>
      <c r="AC193" s="861"/>
      <c r="AD193" s="861"/>
      <c r="AE193" s="861"/>
      <c r="AF193" s="861"/>
      <c r="AG193" s="861"/>
      <c r="AH193" s="861"/>
      <c r="AI193" s="861"/>
      <c r="AJ193" s="861"/>
      <c r="AK193" s="861"/>
      <c r="AL193" s="861"/>
      <c r="AM193" s="861"/>
      <c r="AN193" s="861"/>
      <c r="AO193" s="859"/>
      <c r="AP193" s="859"/>
      <c r="AQ193" s="866"/>
    </row>
    <row r="194" spans="1:44" ht="31.5" customHeight="1">
      <c r="A194" s="867"/>
      <c r="B194" s="868"/>
      <c r="C194" s="869"/>
      <c r="D194" s="868"/>
      <c r="E194" s="868"/>
      <c r="F194" s="869"/>
      <c r="G194" s="870"/>
      <c r="H194" s="871"/>
      <c r="I194" s="872"/>
      <c r="J194" s="3336">
        <v>160</v>
      </c>
      <c r="K194" s="3324" t="s">
        <v>1209</v>
      </c>
      <c r="L194" s="3311" t="s">
        <v>908</v>
      </c>
      <c r="M194" s="3311">
        <v>300</v>
      </c>
      <c r="N194" s="3311" t="s">
        <v>1210</v>
      </c>
      <c r="O194" s="3311">
        <v>151</v>
      </c>
      <c r="P194" s="3324" t="s">
        <v>1211</v>
      </c>
      <c r="Q194" s="2419">
        <v>1</v>
      </c>
      <c r="R194" s="2526">
        <f>SUM(V194:V200)</f>
        <v>1010853359</v>
      </c>
      <c r="S194" s="3324" t="s">
        <v>1212</v>
      </c>
      <c r="T194" s="3390" t="s">
        <v>1213</v>
      </c>
      <c r="U194" s="895" t="s">
        <v>1214</v>
      </c>
      <c r="V194" s="902">
        <f>750441270-229410811-5727940+52560000</f>
        <v>567862519</v>
      </c>
      <c r="W194" s="3350">
        <v>61</v>
      </c>
      <c r="X194" s="3311" t="s">
        <v>914</v>
      </c>
      <c r="Y194" s="3311">
        <v>292684</v>
      </c>
      <c r="Z194" s="3311">
        <v>282326</v>
      </c>
      <c r="AA194" s="3311">
        <v>135912</v>
      </c>
      <c r="AB194" s="3311">
        <v>45122</v>
      </c>
      <c r="AC194" s="3311">
        <f>SUM(AC188)</f>
        <v>307101</v>
      </c>
      <c r="AD194" s="3311">
        <f>SUM(AD188)</f>
        <v>86875</v>
      </c>
      <c r="AE194" s="3311">
        <v>2145</v>
      </c>
      <c r="AF194" s="3311">
        <v>12718</v>
      </c>
      <c r="AG194" s="3311">
        <v>26</v>
      </c>
      <c r="AH194" s="3311">
        <v>37</v>
      </c>
      <c r="AI194" s="3311" t="s">
        <v>915</v>
      </c>
      <c r="AJ194" s="3311" t="s">
        <v>915</v>
      </c>
      <c r="AK194" s="3311">
        <v>53164</v>
      </c>
      <c r="AL194" s="3311">
        <v>16982</v>
      </c>
      <c r="AM194" s="3311">
        <v>60013</v>
      </c>
      <c r="AN194" s="3311">
        <v>575010</v>
      </c>
      <c r="AO194" s="3406">
        <v>43101</v>
      </c>
      <c r="AP194" s="3406">
        <v>43465</v>
      </c>
      <c r="AQ194" s="3333" t="s">
        <v>916</v>
      </c>
      <c r="AR194" s="969"/>
    </row>
    <row r="195" spans="1:44" ht="31.5" customHeight="1">
      <c r="A195" s="867"/>
      <c r="B195" s="868"/>
      <c r="C195" s="869"/>
      <c r="D195" s="868"/>
      <c r="E195" s="868"/>
      <c r="F195" s="869"/>
      <c r="G195" s="877"/>
      <c r="H195" s="868"/>
      <c r="I195" s="869"/>
      <c r="J195" s="3336"/>
      <c r="K195" s="3325"/>
      <c r="L195" s="3312"/>
      <c r="M195" s="3312"/>
      <c r="N195" s="3312"/>
      <c r="O195" s="3312"/>
      <c r="P195" s="3325"/>
      <c r="Q195" s="2420"/>
      <c r="R195" s="2527"/>
      <c r="S195" s="3325"/>
      <c r="T195" s="3391"/>
      <c r="U195" s="895" t="s">
        <v>1215</v>
      </c>
      <c r="V195" s="902">
        <v>82822900</v>
      </c>
      <c r="W195" s="3351"/>
      <c r="X195" s="3312"/>
      <c r="Y195" s="3312"/>
      <c r="Z195" s="3312"/>
      <c r="AA195" s="3312"/>
      <c r="AB195" s="3312"/>
      <c r="AC195" s="3312"/>
      <c r="AD195" s="3312"/>
      <c r="AE195" s="3312"/>
      <c r="AF195" s="3312"/>
      <c r="AG195" s="3312"/>
      <c r="AH195" s="3312"/>
      <c r="AI195" s="3312"/>
      <c r="AJ195" s="3312"/>
      <c r="AK195" s="3312"/>
      <c r="AL195" s="3312"/>
      <c r="AM195" s="3312"/>
      <c r="AN195" s="3312"/>
      <c r="AO195" s="3406"/>
      <c r="AP195" s="3406"/>
      <c r="AQ195" s="3334"/>
      <c r="AR195" s="969"/>
    </row>
    <row r="196" spans="1:46" ht="75">
      <c r="A196" s="867"/>
      <c r="B196" s="868"/>
      <c r="C196" s="869"/>
      <c r="D196" s="868"/>
      <c r="E196" s="868"/>
      <c r="F196" s="869"/>
      <c r="G196" s="877"/>
      <c r="H196" s="868"/>
      <c r="I196" s="869"/>
      <c r="J196" s="3336"/>
      <c r="K196" s="3325"/>
      <c r="L196" s="3312"/>
      <c r="M196" s="3312"/>
      <c r="N196" s="3312"/>
      <c r="O196" s="3312"/>
      <c r="P196" s="3325"/>
      <c r="Q196" s="2420"/>
      <c r="R196" s="2527"/>
      <c r="S196" s="3325"/>
      <c r="T196" s="3391"/>
      <c r="U196" s="895" t="s">
        <v>1216</v>
      </c>
      <c r="V196" s="902">
        <f>74900000+59899940-40310000</f>
        <v>94489940</v>
      </c>
      <c r="W196" s="3351"/>
      <c r="X196" s="3312"/>
      <c r="Y196" s="3312"/>
      <c r="Z196" s="3312"/>
      <c r="AA196" s="3312"/>
      <c r="AB196" s="3312"/>
      <c r="AC196" s="3312"/>
      <c r="AD196" s="3312"/>
      <c r="AE196" s="3312"/>
      <c r="AF196" s="3312"/>
      <c r="AG196" s="3312"/>
      <c r="AH196" s="3312"/>
      <c r="AI196" s="3312"/>
      <c r="AJ196" s="3312"/>
      <c r="AK196" s="3312"/>
      <c r="AL196" s="3312"/>
      <c r="AM196" s="3312"/>
      <c r="AN196" s="3312"/>
      <c r="AO196" s="3406"/>
      <c r="AP196" s="3406"/>
      <c r="AQ196" s="3334"/>
      <c r="AR196" s="969"/>
      <c r="AS196" s="935"/>
      <c r="AT196" s="935"/>
    </row>
    <row r="197" spans="1:46" ht="45">
      <c r="A197" s="867"/>
      <c r="B197" s="868"/>
      <c r="C197" s="869"/>
      <c r="D197" s="868"/>
      <c r="E197" s="868"/>
      <c r="F197" s="869"/>
      <c r="G197" s="877"/>
      <c r="H197" s="868"/>
      <c r="I197" s="869"/>
      <c r="J197" s="3336"/>
      <c r="K197" s="3325"/>
      <c r="L197" s="3312"/>
      <c r="M197" s="3312"/>
      <c r="N197" s="3312"/>
      <c r="O197" s="3312"/>
      <c r="P197" s="3325"/>
      <c r="Q197" s="2420"/>
      <c r="R197" s="2527"/>
      <c r="S197" s="3325"/>
      <c r="T197" s="3392"/>
      <c r="U197" s="895" t="s">
        <v>1217</v>
      </c>
      <c r="V197" s="902">
        <v>40630000</v>
      </c>
      <c r="W197" s="3351"/>
      <c r="X197" s="3312"/>
      <c r="Y197" s="3312"/>
      <c r="Z197" s="3312"/>
      <c r="AA197" s="3312"/>
      <c r="AB197" s="3312"/>
      <c r="AC197" s="3312"/>
      <c r="AD197" s="3312"/>
      <c r="AE197" s="3312"/>
      <c r="AF197" s="3312"/>
      <c r="AG197" s="3312"/>
      <c r="AH197" s="3312"/>
      <c r="AI197" s="3312"/>
      <c r="AJ197" s="3312"/>
      <c r="AK197" s="3312"/>
      <c r="AL197" s="3312"/>
      <c r="AM197" s="3312"/>
      <c r="AN197" s="3312"/>
      <c r="AO197" s="3406"/>
      <c r="AP197" s="3406"/>
      <c r="AQ197" s="3334"/>
      <c r="AR197" s="928"/>
      <c r="AS197" s="928"/>
      <c r="AT197" s="928"/>
    </row>
    <row r="198" spans="1:43" ht="45">
      <c r="A198" s="867"/>
      <c r="B198" s="868"/>
      <c r="C198" s="869"/>
      <c r="D198" s="868"/>
      <c r="E198" s="868"/>
      <c r="F198" s="869"/>
      <c r="G198" s="877"/>
      <c r="H198" s="868"/>
      <c r="I198" s="869"/>
      <c r="J198" s="3336"/>
      <c r="K198" s="3325"/>
      <c r="L198" s="3312"/>
      <c r="M198" s="3312"/>
      <c r="N198" s="3312"/>
      <c r="O198" s="3312"/>
      <c r="P198" s="3325"/>
      <c r="Q198" s="2420"/>
      <c r="R198" s="2527"/>
      <c r="S198" s="3325"/>
      <c r="T198" s="3407" t="s">
        <v>1218</v>
      </c>
      <c r="U198" s="895" t="s">
        <v>1219</v>
      </c>
      <c r="V198" s="902">
        <v>44000000</v>
      </c>
      <c r="W198" s="3351"/>
      <c r="X198" s="3312"/>
      <c r="Y198" s="3312"/>
      <c r="Z198" s="3312"/>
      <c r="AA198" s="3312"/>
      <c r="AB198" s="3312"/>
      <c r="AC198" s="3312"/>
      <c r="AD198" s="3312"/>
      <c r="AE198" s="3312"/>
      <c r="AF198" s="3312"/>
      <c r="AG198" s="3312"/>
      <c r="AH198" s="3312"/>
      <c r="AI198" s="3312"/>
      <c r="AJ198" s="3312"/>
      <c r="AK198" s="3312"/>
      <c r="AL198" s="3312"/>
      <c r="AM198" s="3312"/>
      <c r="AN198" s="3312"/>
      <c r="AO198" s="3406"/>
      <c r="AP198" s="3406"/>
      <c r="AQ198" s="3334"/>
    </row>
    <row r="199" spans="1:43" ht="45">
      <c r="A199" s="867"/>
      <c r="B199" s="868"/>
      <c r="C199" s="869"/>
      <c r="D199" s="868"/>
      <c r="E199" s="868"/>
      <c r="F199" s="869"/>
      <c r="G199" s="877"/>
      <c r="H199" s="868"/>
      <c r="I199" s="869"/>
      <c r="J199" s="3336"/>
      <c r="K199" s="3325"/>
      <c r="L199" s="3312"/>
      <c r="M199" s="3312"/>
      <c r="N199" s="3312"/>
      <c r="O199" s="3312"/>
      <c r="P199" s="3325"/>
      <c r="Q199" s="2420"/>
      <c r="R199" s="2527"/>
      <c r="S199" s="3325"/>
      <c r="T199" s="3408"/>
      <c r="U199" s="895" t="s">
        <v>1220</v>
      </c>
      <c r="V199" s="902">
        <v>140470000</v>
      </c>
      <c r="W199" s="3351"/>
      <c r="X199" s="3312"/>
      <c r="Y199" s="3312"/>
      <c r="Z199" s="3312"/>
      <c r="AA199" s="3312"/>
      <c r="AB199" s="3312"/>
      <c r="AC199" s="3312"/>
      <c r="AD199" s="3312"/>
      <c r="AE199" s="3312"/>
      <c r="AF199" s="3312"/>
      <c r="AG199" s="3312"/>
      <c r="AH199" s="3312"/>
      <c r="AI199" s="3312"/>
      <c r="AJ199" s="3312"/>
      <c r="AK199" s="3312"/>
      <c r="AL199" s="3312"/>
      <c r="AM199" s="3312"/>
      <c r="AN199" s="3312"/>
      <c r="AO199" s="3406"/>
      <c r="AP199" s="3406"/>
      <c r="AQ199" s="3334"/>
    </row>
    <row r="200" spans="1:78" ht="45">
      <c r="A200" s="867"/>
      <c r="B200" s="868"/>
      <c r="C200" s="869"/>
      <c r="D200" s="868"/>
      <c r="E200" s="868"/>
      <c r="F200" s="869"/>
      <c r="G200" s="877"/>
      <c r="H200" s="868"/>
      <c r="I200" s="869"/>
      <c r="J200" s="3336"/>
      <c r="K200" s="3326"/>
      <c r="L200" s="3313"/>
      <c r="M200" s="3313"/>
      <c r="N200" s="3313"/>
      <c r="O200" s="3313"/>
      <c r="P200" s="3326"/>
      <c r="Q200" s="2421"/>
      <c r="R200" s="2528"/>
      <c r="S200" s="3326"/>
      <c r="T200" s="970" t="s">
        <v>1221</v>
      </c>
      <c r="U200" s="895" t="s">
        <v>1222</v>
      </c>
      <c r="V200" s="902">
        <f>107000000-54172000-12250000</f>
        <v>40578000</v>
      </c>
      <c r="W200" s="3352"/>
      <c r="X200" s="3313"/>
      <c r="Y200" s="3313"/>
      <c r="Z200" s="3313"/>
      <c r="AA200" s="3313"/>
      <c r="AB200" s="3313"/>
      <c r="AC200" s="3313"/>
      <c r="AD200" s="3313"/>
      <c r="AE200" s="3313"/>
      <c r="AF200" s="3313"/>
      <c r="AG200" s="3313"/>
      <c r="AH200" s="3313"/>
      <c r="AI200" s="3313"/>
      <c r="AJ200" s="3313"/>
      <c r="AK200" s="3313"/>
      <c r="AL200" s="3313"/>
      <c r="AM200" s="3313"/>
      <c r="AN200" s="3313"/>
      <c r="AO200" s="3406"/>
      <c r="AP200" s="3406"/>
      <c r="AQ200" s="3335"/>
      <c r="AR200" s="971"/>
      <c r="AS200" s="928"/>
      <c r="AT200" s="928"/>
      <c r="BN200" s="876"/>
      <c r="BO200" s="876"/>
      <c r="BP200" s="876"/>
      <c r="BQ200" s="876"/>
      <c r="BR200" s="876"/>
      <c r="BS200" s="876"/>
      <c r="BT200" s="876"/>
      <c r="BU200" s="876"/>
      <c r="BV200" s="876"/>
      <c r="BW200" s="876"/>
      <c r="BX200" s="876"/>
      <c r="BY200" s="876"/>
      <c r="BZ200" s="876"/>
    </row>
    <row r="201" spans="1:256" s="972" customFormat="1" ht="47.25" customHeight="1">
      <c r="A201" s="867"/>
      <c r="B201" s="868"/>
      <c r="C201" s="869"/>
      <c r="D201" s="868"/>
      <c r="E201" s="868"/>
      <c r="F201" s="869"/>
      <c r="G201" s="877"/>
      <c r="H201" s="868"/>
      <c r="I201" s="869"/>
      <c r="J201" s="3311">
        <v>161</v>
      </c>
      <c r="K201" s="3324" t="s">
        <v>1223</v>
      </c>
      <c r="L201" s="3311" t="s">
        <v>908</v>
      </c>
      <c r="M201" s="3311">
        <v>100</v>
      </c>
      <c r="N201" s="3311" t="s">
        <v>1224</v>
      </c>
      <c r="O201" s="3311">
        <v>152</v>
      </c>
      <c r="P201" s="3324" t="s">
        <v>1225</v>
      </c>
      <c r="Q201" s="2419">
        <f>(V201+V203+V204+V202)/R201</f>
        <v>0.2966319353980812</v>
      </c>
      <c r="R201" s="2526">
        <f>SUM(V201:V209)</f>
        <v>459626843</v>
      </c>
      <c r="S201" s="3324" t="s">
        <v>1226</v>
      </c>
      <c r="T201" s="3324" t="s">
        <v>1227</v>
      </c>
      <c r="U201" s="895" t="s">
        <v>1228</v>
      </c>
      <c r="V201" s="902">
        <v>25500000</v>
      </c>
      <c r="W201" s="3350" t="s">
        <v>1229</v>
      </c>
      <c r="X201" s="3311" t="s">
        <v>1230</v>
      </c>
      <c r="Y201" s="3311">
        <v>292684</v>
      </c>
      <c r="Z201" s="3311">
        <v>282326</v>
      </c>
      <c r="AA201" s="3321">
        <v>135912</v>
      </c>
      <c r="AB201" s="3321">
        <v>45122</v>
      </c>
      <c r="AC201" s="3321">
        <f>AC194</f>
        <v>307101</v>
      </c>
      <c r="AD201" s="3321">
        <f>AD194</f>
        <v>86875</v>
      </c>
      <c r="AE201" s="3321">
        <v>2145</v>
      </c>
      <c r="AF201" s="3321">
        <v>12718</v>
      </c>
      <c r="AG201" s="3321">
        <v>26</v>
      </c>
      <c r="AH201" s="3321">
        <v>37</v>
      </c>
      <c r="AI201" s="3321" t="s">
        <v>915</v>
      </c>
      <c r="AJ201" s="3321" t="s">
        <v>915</v>
      </c>
      <c r="AK201" s="3321">
        <v>53164</v>
      </c>
      <c r="AL201" s="3321">
        <v>16982</v>
      </c>
      <c r="AM201" s="3321">
        <v>60013</v>
      </c>
      <c r="AN201" s="3321">
        <v>575010</v>
      </c>
      <c r="AO201" s="3330">
        <v>43101</v>
      </c>
      <c r="AP201" s="3330">
        <v>43465</v>
      </c>
      <c r="AQ201" s="3333" t="s">
        <v>916</v>
      </c>
      <c r="AR201" s="876"/>
      <c r="AS201" s="876"/>
      <c r="AT201" s="876"/>
      <c r="AU201" s="876"/>
      <c r="AV201" s="876"/>
      <c r="AW201" s="876"/>
      <c r="AX201" s="876"/>
      <c r="AY201" s="876"/>
      <c r="AZ201" s="876"/>
      <c r="BA201" s="876"/>
      <c r="BB201" s="876"/>
      <c r="BC201" s="876"/>
      <c r="BD201" s="876"/>
      <c r="BE201" s="876"/>
      <c r="BF201" s="876"/>
      <c r="BG201" s="876"/>
      <c r="BH201" s="876"/>
      <c r="BI201" s="876"/>
      <c r="BJ201" s="876"/>
      <c r="BK201" s="876"/>
      <c r="BL201" s="876"/>
      <c r="BM201" s="876"/>
      <c r="BN201" s="876"/>
      <c r="BO201" s="876"/>
      <c r="BP201" s="876"/>
      <c r="BQ201" s="876"/>
      <c r="BR201" s="876"/>
      <c r="BS201" s="876"/>
      <c r="BT201" s="876"/>
      <c r="BU201" s="876"/>
      <c r="BV201" s="876"/>
      <c r="BW201" s="876"/>
      <c r="BX201" s="876"/>
      <c r="BY201" s="876"/>
      <c r="BZ201" s="876"/>
      <c r="CA201" s="842"/>
      <c r="CB201" s="842"/>
      <c r="CC201" s="842"/>
      <c r="CD201" s="842"/>
      <c r="CE201" s="842"/>
      <c r="CF201" s="842"/>
      <c r="CG201" s="842"/>
      <c r="CH201" s="842"/>
      <c r="CI201" s="842"/>
      <c r="CJ201" s="842"/>
      <c r="CK201" s="842"/>
      <c r="CL201" s="842"/>
      <c r="CM201" s="842"/>
      <c r="CN201" s="842"/>
      <c r="CO201" s="842"/>
      <c r="CP201" s="842"/>
      <c r="CQ201" s="842"/>
      <c r="CR201" s="842"/>
      <c r="CS201" s="842"/>
      <c r="CT201" s="842"/>
      <c r="CU201" s="842"/>
      <c r="CV201" s="842"/>
      <c r="CW201" s="842"/>
      <c r="CX201" s="842"/>
      <c r="CY201" s="842"/>
      <c r="CZ201" s="842"/>
      <c r="DA201" s="842"/>
      <c r="DB201" s="842"/>
      <c r="DC201" s="842"/>
      <c r="DD201" s="842"/>
      <c r="DE201" s="842"/>
      <c r="DF201" s="842"/>
      <c r="DG201" s="842"/>
      <c r="DH201" s="842"/>
      <c r="DI201" s="842"/>
      <c r="DJ201" s="842"/>
      <c r="DK201" s="842"/>
      <c r="DL201" s="842"/>
      <c r="DM201" s="842"/>
      <c r="DN201" s="842"/>
      <c r="DO201" s="842"/>
      <c r="DP201" s="842"/>
      <c r="DQ201" s="842"/>
      <c r="DR201" s="842"/>
      <c r="DS201" s="842"/>
      <c r="DT201" s="842"/>
      <c r="DU201" s="842"/>
      <c r="DV201" s="842"/>
      <c r="DW201" s="842"/>
      <c r="DX201" s="842"/>
      <c r="DY201" s="842"/>
      <c r="DZ201" s="842"/>
      <c r="EA201" s="842"/>
      <c r="EB201" s="842"/>
      <c r="EC201" s="842"/>
      <c r="ED201" s="842"/>
      <c r="EE201" s="842"/>
      <c r="EF201" s="842"/>
      <c r="EG201" s="842"/>
      <c r="EH201" s="842"/>
      <c r="EI201" s="842"/>
      <c r="EJ201" s="842"/>
      <c r="EK201" s="842"/>
      <c r="EL201" s="842"/>
      <c r="EM201" s="842"/>
      <c r="EN201" s="842"/>
      <c r="EO201" s="842"/>
      <c r="EP201" s="842"/>
      <c r="EQ201" s="842"/>
      <c r="ER201" s="842"/>
      <c r="ES201" s="842"/>
      <c r="ET201" s="842"/>
      <c r="EU201" s="842"/>
      <c r="EV201" s="842"/>
      <c r="EW201" s="842"/>
      <c r="EX201" s="842"/>
      <c r="EY201" s="842"/>
      <c r="EZ201" s="842"/>
      <c r="FA201" s="842"/>
      <c r="FB201" s="842"/>
      <c r="FC201" s="842"/>
      <c r="FD201" s="842"/>
      <c r="FE201" s="842"/>
      <c r="FF201" s="842"/>
      <c r="FG201" s="842"/>
      <c r="FH201" s="842"/>
      <c r="FI201" s="842"/>
      <c r="FJ201" s="842"/>
      <c r="FK201" s="842"/>
      <c r="FL201" s="842"/>
      <c r="FM201" s="842"/>
      <c r="FN201" s="842"/>
      <c r="FO201" s="842"/>
      <c r="FP201" s="842"/>
      <c r="FQ201" s="842"/>
      <c r="FR201" s="842"/>
      <c r="FS201" s="842"/>
      <c r="FT201" s="842"/>
      <c r="FU201" s="842"/>
      <c r="FV201" s="842"/>
      <c r="FW201" s="842"/>
      <c r="FX201" s="842"/>
      <c r="FY201" s="842"/>
      <c r="FZ201" s="842"/>
      <c r="GA201" s="842"/>
      <c r="GB201" s="842"/>
      <c r="GC201" s="842"/>
      <c r="GD201" s="842"/>
      <c r="GE201" s="842"/>
      <c r="GF201" s="842"/>
      <c r="GG201" s="842"/>
      <c r="GH201" s="842"/>
      <c r="GI201" s="842"/>
      <c r="GJ201" s="842"/>
      <c r="GK201" s="842"/>
      <c r="GL201" s="842"/>
      <c r="GM201" s="842"/>
      <c r="GN201" s="842"/>
      <c r="GO201" s="842"/>
      <c r="GP201" s="842"/>
      <c r="GQ201" s="842"/>
      <c r="GR201" s="842"/>
      <c r="GS201" s="842"/>
      <c r="GT201" s="842"/>
      <c r="GU201" s="842"/>
      <c r="GV201" s="842"/>
      <c r="GW201" s="842"/>
      <c r="GX201" s="842"/>
      <c r="GY201" s="842"/>
      <c r="GZ201" s="842"/>
      <c r="HA201" s="842"/>
      <c r="HB201" s="842"/>
      <c r="HC201" s="842"/>
      <c r="HD201" s="842"/>
      <c r="HE201" s="842"/>
      <c r="HF201" s="842"/>
      <c r="HG201" s="842"/>
      <c r="HH201" s="842"/>
      <c r="HI201" s="842"/>
      <c r="HJ201" s="842"/>
      <c r="HK201" s="842"/>
      <c r="HL201" s="842"/>
      <c r="HM201" s="842"/>
      <c r="HN201" s="842"/>
      <c r="HO201" s="842"/>
      <c r="HP201" s="842"/>
      <c r="HQ201" s="842"/>
      <c r="HR201" s="842"/>
      <c r="HS201" s="842"/>
      <c r="HT201" s="842"/>
      <c r="HU201" s="842"/>
      <c r="HV201" s="842"/>
      <c r="HW201" s="842"/>
      <c r="HX201" s="842"/>
      <c r="HY201" s="842"/>
      <c r="HZ201" s="842"/>
      <c r="IA201" s="842"/>
      <c r="IB201" s="842"/>
      <c r="IC201" s="842"/>
      <c r="ID201" s="842"/>
      <c r="IE201" s="842"/>
      <c r="IF201" s="842"/>
      <c r="IG201" s="842"/>
      <c r="IH201" s="842"/>
      <c r="II201" s="842"/>
      <c r="IJ201" s="842"/>
      <c r="IK201" s="842"/>
      <c r="IL201" s="842"/>
      <c r="IM201" s="842"/>
      <c r="IN201" s="842"/>
      <c r="IO201" s="842"/>
      <c r="IP201" s="842"/>
      <c r="IQ201" s="842"/>
      <c r="IR201" s="842"/>
      <c r="IS201" s="842"/>
      <c r="IT201" s="842"/>
      <c r="IU201" s="842"/>
      <c r="IV201" s="842"/>
    </row>
    <row r="202" spans="1:256" s="972" customFormat="1" ht="30">
      <c r="A202" s="867"/>
      <c r="B202" s="868"/>
      <c r="C202" s="869"/>
      <c r="D202" s="868"/>
      <c r="E202" s="868"/>
      <c r="F202" s="869"/>
      <c r="G202" s="877"/>
      <c r="H202" s="868"/>
      <c r="I202" s="869"/>
      <c r="J202" s="3312"/>
      <c r="K202" s="3325"/>
      <c r="L202" s="3312"/>
      <c r="M202" s="3312"/>
      <c r="N202" s="3312"/>
      <c r="O202" s="3312"/>
      <c r="P202" s="3325"/>
      <c r="Q202" s="2420"/>
      <c r="R202" s="2527"/>
      <c r="S202" s="3325"/>
      <c r="T202" s="3325"/>
      <c r="U202" s="895" t="s">
        <v>1231</v>
      </c>
      <c r="V202" s="902">
        <v>45000000</v>
      </c>
      <c r="W202" s="3351"/>
      <c r="X202" s="3312"/>
      <c r="Y202" s="3312"/>
      <c r="Z202" s="3312"/>
      <c r="AA202" s="3322"/>
      <c r="AB202" s="3322"/>
      <c r="AC202" s="3322"/>
      <c r="AD202" s="3322"/>
      <c r="AE202" s="3322"/>
      <c r="AF202" s="3322"/>
      <c r="AG202" s="3322"/>
      <c r="AH202" s="3322"/>
      <c r="AI202" s="3322"/>
      <c r="AJ202" s="3322"/>
      <c r="AK202" s="3322"/>
      <c r="AL202" s="3322"/>
      <c r="AM202" s="3322"/>
      <c r="AN202" s="3322"/>
      <c r="AO202" s="3331"/>
      <c r="AP202" s="3331"/>
      <c r="AQ202" s="3334"/>
      <c r="AR202" s="876"/>
      <c r="AS202" s="876"/>
      <c r="AT202" s="876"/>
      <c r="AU202" s="876"/>
      <c r="AV202" s="876"/>
      <c r="AW202" s="876"/>
      <c r="AX202" s="876"/>
      <c r="AY202" s="876"/>
      <c r="AZ202" s="876"/>
      <c r="BA202" s="876"/>
      <c r="BB202" s="876"/>
      <c r="BC202" s="876"/>
      <c r="BD202" s="876"/>
      <c r="BE202" s="876"/>
      <c r="BF202" s="876"/>
      <c r="BG202" s="876"/>
      <c r="BH202" s="876"/>
      <c r="BI202" s="876"/>
      <c r="BJ202" s="876"/>
      <c r="BK202" s="876"/>
      <c r="BL202" s="876"/>
      <c r="BM202" s="876"/>
      <c r="BN202" s="876"/>
      <c r="BO202" s="876"/>
      <c r="BP202" s="876"/>
      <c r="BQ202" s="876"/>
      <c r="BR202" s="876"/>
      <c r="BS202" s="876"/>
      <c r="BT202" s="876"/>
      <c r="BU202" s="876"/>
      <c r="BV202" s="876"/>
      <c r="BW202" s="876"/>
      <c r="BX202" s="876"/>
      <c r="BY202" s="876"/>
      <c r="BZ202" s="876"/>
      <c r="CA202" s="842"/>
      <c r="CB202" s="842"/>
      <c r="CC202" s="842"/>
      <c r="CD202" s="842"/>
      <c r="CE202" s="842"/>
      <c r="CF202" s="842"/>
      <c r="CG202" s="842"/>
      <c r="CH202" s="842"/>
      <c r="CI202" s="842"/>
      <c r="CJ202" s="842"/>
      <c r="CK202" s="842"/>
      <c r="CL202" s="842"/>
      <c r="CM202" s="842"/>
      <c r="CN202" s="842"/>
      <c r="CO202" s="842"/>
      <c r="CP202" s="842"/>
      <c r="CQ202" s="842"/>
      <c r="CR202" s="842"/>
      <c r="CS202" s="842"/>
      <c r="CT202" s="842"/>
      <c r="CU202" s="842"/>
      <c r="CV202" s="842"/>
      <c r="CW202" s="842"/>
      <c r="CX202" s="842"/>
      <c r="CY202" s="842"/>
      <c r="CZ202" s="842"/>
      <c r="DA202" s="842"/>
      <c r="DB202" s="842"/>
      <c r="DC202" s="842"/>
      <c r="DD202" s="842"/>
      <c r="DE202" s="842"/>
      <c r="DF202" s="842"/>
      <c r="DG202" s="842"/>
      <c r="DH202" s="842"/>
      <c r="DI202" s="842"/>
      <c r="DJ202" s="842"/>
      <c r="DK202" s="842"/>
      <c r="DL202" s="842"/>
      <c r="DM202" s="842"/>
      <c r="DN202" s="842"/>
      <c r="DO202" s="842"/>
      <c r="DP202" s="842"/>
      <c r="DQ202" s="842"/>
      <c r="DR202" s="842"/>
      <c r="DS202" s="842"/>
      <c r="DT202" s="842"/>
      <c r="DU202" s="842"/>
      <c r="DV202" s="842"/>
      <c r="DW202" s="842"/>
      <c r="DX202" s="842"/>
      <c r="DY202" s="842"/>
      <c r="DZ202" s="842"/>
      <c r="EA202" s="842"/>
      <c r="EB202" s="842"/>
      <c r="EC202" s="842"/>
      <c r="ED202" s="842"/>
      <c r="EE202" s="842"/>
      <c r="EF202" s="842"/>
      <c r="EG202" s="842"/>
      <c r="EH202" s="842"/>
      <c r="EI202" s="842"/>
      <c r="EJ202" s="842"/>
      <c r="EK202" s="842"/>
      <c r="EL202" s="842"/>
      <c r="EM202" s="842"/>
      <c r="EN202" s="842"/>
      <c r="EO202" s="842"/>
      <c r="EP202" s="842"/>
      <c r="EQ202" s="842"/>
      <c r="ER202" s="842"/>
      <c r="ES202" s="842"/>
      <c r="ET202" s="842"/>
      <c r="EU202" s="842"/>
      <c r="EV202" s="842"/>
      <c r="EW202" s="842"/>
      <c r="EX202" s="842"/>
      <c r="EY202" s="842"/>
      <c r="EZ202" s="842"/>
      <c r="FA202" s="842"/>
      <c r="FB202" s="842"/>
      <c r="FC202" s="842"/>
      <c r="FD202" s="842"/>
      <c r="FE202" s="842"/>
      <c r="FF202" s="842"/>
      <c r="FG202" s="842"/>
      <c r="FH202" s="842"/>
      <c r="FI202" s="842"/>
      <c r="FJ202" s="842"/>
      <c r="FK202" s="842"/>
      <c r="FL202" s="842"/>
      <c r="FM202" s="842"/>
      <c r="FN202" s="842"/>
      <c r="FO202" s="842"/>
      <c r="FP202" s="842"/>
      <c r="FQ202" s="842"/>
      <c r="FR202" s="842"/>
      <c r="FS202" s="842"/>
      <c r="FT202" s="842"/>
      <c r="FU202" s="842"/>
      <c r="FV202" s="842"/>
      <c r="FW202" s="842"/>
      <c r="FX202" s="842"/>
      <c r="FY202" s="842"/>
      <c r="FZ202" s="842"/>
      <c r="GA202" s="842"/>
      <c r="GB202" s="842"/>
      <c r="GC202" s="842"/>
      <c r="GD202" s="842"/>
      <c r="GE202" s="842"/>
      <c r="GF202" s="842"/>
      <c r="GG202" s="842"/>
      <c r="GH202" s="842"/>
      <c r="GI202" s="842"/>
      <c r="GJ202" s="842"/>
      <c r="GK202" s="842"/>
      <c r="GL202" s="842"/>
      <c r="GM202" s="842"/>
      <c r="GN202" s="842"/>
      <c r="GO202" s="842"/>
      <c r="GP202" s="842"/>
      <c r="GQ202" s="842"/>
      <c r="GR202" s="842"/>
      <c r="GS202" s="842"/>
      <c r="GT202" s="842"/>
      <c r="GU202" s="842"/>
      <c r="GV202" s="842"/>
      <c r="GW202" s="842"/>
      <c r="GX202" s="842"/>
      <c r="GY202" s="842"/>
      <c r="GZ202" s="842"/>
      <c r="HA202" s="842"/>
      <c r="HB202" s="842"/>
      <c r="HC202" s="842"/>
      <c r="HD202" s="842"/>
      <c r="HE202" s="842"/>
      <c r="HF202" s="842"/>
      <c r="HG202" s="842"/>
      <c r="HH202" s="842"/>
      <c r="HI202" s="842"/>
      <c r="HJ202" s="842"/>
      <c r="HK202" s="842"/>
      <c r="HL202" s="842"/>
      <c r="HM202" s="842"/>
      <c r="HN202" s="842"/>
      <c r="HO202" s="842"/>
      <c r="HP202" s="842"/>
      <c r="HQ202" s="842"/>
      <c r="HR202" s="842"/>
      <c r="HS202" s="842"/>
      <c r="HT202" s="842"/>
      <c r="HU202" s="842"/>
      <c r="HV202" s="842"/>
      <c r="HW202" s="842"/>
      <c r="HX202" s="842"/>
      <c r="HY202" s="842"/>
      <c r="HZ202" s="842"/>
      <c r="IA202" s="842"/>
      <c r="IB202" s="842"/>
      <c r="IC202" s="842"/>
      <c r="ID202" s="842"/>
      <c r="IE202" s="842"/>
      <c r="IF202" s="842"/>
      <c r="IG202" s="842"/>
      <c r="IH202" s="842"/>
      <c r="II202" s="842"/>
      <c r="IJ202" s="842"/>
      <c r="IK202" s="842"/>
      <c r="IL202" s="842"/>
      <c r="IM202" s="842"/>
      <c r="IN202" s="842"/>
      <c r="IO202" s="842"/>
      <c r="IP202" s="842"/>
      <c r="IQ202" s="842"/>
      <c r="IR202" s="842"/>
      <c r="IS202" s="842"/>
      <c r="IT202" s="842"/>
      <c r="IU202" s="842"/>
      <c r="IV202" s="842"/>
    </row>
    <row r="203" spans="1:256" s="972" customFormat="1" ht="90">
      <c r="A203" s="867"/>
      <c r="B203" s="868"/>
      <c r="C203" s="869"/>
      <c r="D203" s="868"/>
      <c r="E203" s="868"/>
      <c r="F203" s="869"/>
      <c r="G203" s="877"/>
      <c r="H203" s="868"/>
      <c r="I203" s="869"/>
      <c r="J203" s="3312"/>
      <c r="K203" s="3325"/>
      <c r="L203" s="3312"/>
      <c r="M203" s="3312"/>
      <c r="N203" s="3312"/>
      <c r="O203" s="3312"/>
      <c r="P203" s="3325"/>
      <c r="Q203" s="2420"/>
      <c r="R203" s="2527"/>
      <c r="S203" s="3325"/>
      <c r="T203" s="3325"/>
      <c r="U203" s="895" t="s">
        <v>1232</v>
      </c>
      <c r="V203" s="902">
        <v>45000000</v>
      </c>
      <c r="W203" s="3351"/>
      <c r="X203" s="3312"/>
      <c r="Y203" s="3312"/>
      <c r="Z203" s="3312"/>
      <c r="AA203" s="3322"/>
      <c r="AB203" s="3322"/>
      <c r="AC203" s="3322"/>
      <c r="AD203" s="3322"/>
      <c r="AE203" s="3322"/>
      <c r="AF203" s="3322"/>
      <c r="AG203" s="3322"/>
      <c r="AH203" s="3322"/>
      <c r="AI203" s="3322"/>
      <c r="AJ203" s="3322"/>
      <c r="AK203" s="3322"/>
      <c r="AL203" s="3322"/>
      <c r="AM203" s="3322"/>
      <c r="AN203" s="3322"/>
      <c r="AO203" s="3331"/>
      <c r="AP203" s="3331"/>
      <c r="AQ203" s="3334"/>
      <c r="AR203" s="876"/>
      <c r="AS203" s="875"/>
      <c r="AT203" s="875"/>
      <c r="AU203" s="876"/>
      <c r="AV203" s="876"/>
      <c r="AW203" s="876"/>
      <c r="AX203" s="876"/>
      <c r="AY203" s="876"/>
      <c r="AZ203" s="876"/>
      <c r="BA203" s="876"/>
      <c r="BB203" s="876"/>
      <c r="BC203" s="876"/>
      <c r="BD203" s="876"/>
      <c r="BE203" s="876"/>
      <c r="BF203" s="876"/>
      <c r="BG203" s="876"/>
      <c r="BH203" s="876"/>
      <c r="BI203" s="876"/>
      <c r="BJ203" s="876"/>
      <c r="BK203" s="876"/>
      <c r="BL203" s="876"/>
      <c r="BM203" s="876"/>
      <c r="BN203" s="876"/>
      <c r="BO203" s="876"/>
      <c r="BP203" s="876"/>
      <c r="BQ203" s="876"/>
      <c r="BR203" s="876"/>
      <c r="BS203" s="876"/>
      <c r="BT203" s="876"/>
      <c r="BU203" s="876"/>
      <c r="BV203" s="876"/>
      <c r="BW203" s="876"/>
      <c r="BX203" s="876"/>
      <c r="BY203" s="876"/>
      <c r="BZ203" s="876"/>
      <c r="CA203" s="842"/>
      <c r="CB203" s="842"/>
      <c r="CC203" s="842"/>
      <c r="CD203" s="842"/>
      <c r="CE203" s="842"/>
      <c r="CF203" s="842"/>
      <c r="CG203" s="842"/>
      <c r="CH203" s="842"/>
      <c r="CI203" s="842"/>
      <c r="CJ203" s="842"/>
      <c r="CK203" s="842"/>
      <c r="CL203" s="842"/>
      <c r="CM203" s="842"/>
      <c r="CN203" s="842"/>
      <c r="CO203" s="842"/>
      <c r="CP203" s="842"/>
      <c r="CQ203" s="842"/>
      <c r="CR203" s="842"/>
      <c r="CS203" s="842"/>
      <c r="CT203" s="842"/>
      <c r="CU203" s="842"/>
      <c r="CV203" s="842"/>
      <c r="CW203" s="842"/>
      <c r="CX203" s="842"/>
      <c r="CY203" s="842"/>
      <c r="CZ203" s="842"/>
      <c r="DA203" s="842"/>
      <c r="DB203" s="842"/>
      <c r="DC203" s="842"/>
      <c r="DD203" s="842"/>
      <c r="DE203" s="842"/>
      <c r="DF203" s="842"/>
      <c r="DG203" s="842"/>
      <c r="DH203" s="842"/>
      <c r="DI203" s="842"/>
      <c r="DJ203" s="842"/>
      <c r="DK203" s="842"/>
      <c r="DL203" s="842"/>
      <c r="DM203" s="842"/>
      <c r="DN203" s="842"/>
      <c r="DO203" s="842"/>
      <c r="DP203" s="842"/>
      <c r="DQ203" s="842"/>
      <c r="DR203" s="842"/>
      <c r="DS203" s="842"/>
      <c r="DT203" s="842"/>
      <c r="DU203" s="842"/>
      <c r="DV203" s="842"/>
      <c r="DW203" s="842"/>
      <c r="DX203" s="842"/>
      <c r="DY203" s="842"/>
      <c r="DZ203" s="842"/>
      <c r="EA203" s="842"/>
      <c r="EB203" s="842"/>
      <c r="EC203" s="842"/>
      <c r="ED203" s="842"/>
      <c r="EE203" s="842"/>
      <c r="EF203" s="842"/>
      <c r="EG203" s="842"/>
      <c r="EH203" s="842"/>
      <c r="EI203" s="842"/>
      <c r="EJ203" s="842"/>
      <c r="EK203" s="842"/>
      <c r="EL203" s="842"/>
      <c r="EM203" s="842"/>
      <c r="EN203" s="842"/>
      <c r="EO203" s="842"/>
      <c r="EP203" s="842"/>
      <c r="EQ203" s="842"/>
      <c r="ER203" s="842"/>
      <c r="ES203" s="842"/>
      <c r="ET203" s="842"/>
      <c r="EU203" s="842"/>
      <c r="EV203" s="842"/>
      <c r="EW203" s="842"/>
      <c r="EX203" s="842"/>
      <c r="EY203" s="842"/>
      <c r="EZ203" s="842"/>
      <c r="FA203" s="842"/>
      <c r="FB203" s="842"/>
      <c r="FC203" s="842"/>
      <c r="FD203" s="842"/>
      <c r="FE203" s="842"/>
      <c r="FF203" s="842"/>
      <c r="FG203" s="842"/>
      <c r="FH203" s="842"/>
      <c r="FI203" s="842"/>
      <c r="FJ203" s="842"/>
      <c r="FK203" s="842"/>
      <c r="FL203" s="842"/>
      <c r="FM203" s="842"/>
      <c r="FN203" s="842"/>
      <c r="FO203" s="842"/>
      <c r="FP203" s="842"/>
      <c r="FQ203" s="842"/>
      <c r="FR203" s="842"/>
      <c r="FS203" s="842"/>
      <c r="FT203" s="842"/>
      <c r="FU203" s="842"/>
      <c r="FV203" s="842"/>
      <c r="FW203" s="842"/>
      <c r="FX203" s="842"/>
      <c r="FY203" s="842"/>
      <c r="FZ203" s="842"/>
      <c r="GA203" s="842"/>
      <c r="GB203" s="842"/>
      <c r="GC203" s="842"/>
      <c r="GD203" s="842"/>
      <c r="GE203" s="842"/>
      <c r="GF203" s="842"/>
      <c r="GG203" s="842"/>
      <c r="GH203" s="842"/>
      <c r="GI203" s="842"/>
      <c r="GJ203" s="842"/>
      <c r="GK203" s="842"/>
      <c r="GL203" s="842"/>
      <c r="GM203" s="842"/>
      <c r="GN203" s="842"/>
      <c r="GO203" s="842"/>
      <c r="GP203" s="842"/>
      <c r="GQ203" s="842"/>
      <c r="GR203" s="842"/>
      <c r="GS203" s="842"/>
      <c r="GT203" s="842"/>
      <c r="GU203" s="842"/>
      <c r="GV203" s="842"/>
      <c r="GW203" s="842"/>
      <c r="GX203" s="842"/>
      <c r="GY203" s="842"/>
      <c r="GZ203" s="842"/>
      <c r="HA203" s="842"/>
      <c r="HB203" s="842"/>
      <c r="HC203" s="842"/>
      <c r="HD203" s="842"/>
      <c r="HE203" s="842"/>
      <c r="HF203" s="842"/>
      <c r="HG203" s="842"/>
      <c r="HH203" s="842"/>
      <c r="HI203" s="842"/>
      <c r="HJ203" s="842"/>
      <c r="HK203" s="842"/>
      <c r="HL203" s="842"/>
      <c r="HM203" s="842"/>
      <c r="HN203" s="842"/>
      <c r="HO203" s="842"/>
      <c r="HP203" s="842"/>
      <c r="HQ203" s="842"/>
      <c r="HR203" s="842"/>
      <c r="HS203" s="842"/>
      <c r="HT203" s="842"/>
      <c r="HU203" s="842"/>
      <c r="HV203" s="842"/>
      <c r="HW203" s="842"/>
      <c r="HX203" s="842"/>
      <c r="HY203" s="842"/>
      <c r="HZ203" s="842"/>
      <c r="IA203" s="842"/>
      <c r="IB203" s="842"/>
      <c r="IC203" s="842"/>
      <c r="ID203" s="842"/>
      <c r="IE203" s="842"/>
      <c r="IF203" s="842"/>
      <c r="IG203" s="842"/>
      <c r="IH203" s="842"/>
      <c r="II203" s="842"/>
      <c r="IJ203" s="842"/>
      <c r="IK203" s="842"/>
      <c r="IL203" s="842"/>
      <c r="IM203" s="842"/>
      <c r="IN203" s="842"/>
      <c r="IO203" s="842"/>
      <c r="IP203" s="842"/>
      <c r="IQ203" s="842"/>
      <c r="IR203" s="842"/>
      <c r="IS203" s="842"/>
      <c r="IT203" s="842"/>
      <c r="IU203" s="842"/>
      <c r="IV203" s="842"/>
    </row>
    <row r="204" spans="1:256" s="972" customFormat="1" ht="30">
      <c r="A204" s="867"/>
      <c r="B204" s="868"/>
      <c r="C204" s="869"/>
      <c r="D204" s="868"/>
      <c r="E204" s="868"/>
      <c r="F204" s="869"/>
      <c r="G204" s="877"/>
      <c r="H204" s="868"/>
      <c r="I204" s="869"/>
      <c r="J204" s="3313"/>
      <c r="K204" s="3326"/>
      <c r="L204" s="3313"/>
      <c r="M204" s="3313"/>
      <c r="N204" s="3312"/>
      <c r="O204" s="3312"/>
      <c r="P204" s="3325"/>
      <c r="Q204" s="2421"/>
      <c r="R204" s="2527"/>
      <c r="S204" s="3325"/>
      <c r="T204" s="3326"/>
      <c r="U204" s="895" t="s">
        <v>1233</v>
      </c>
      <c r="V204" s="909">
        <v>20840000</v>
      </c>
      <c r="W204" s="3351"/>
      <c r="X204" s="3312"/>
      <c r="Y204" s="3312"/>
      <c r="Z204" s="3312"/>
      <c r="AA204" s="3322"/>
      <c r="AB204" s="3322"/>
      <c r="AC204" s="3322"/>
      <c r="AD204" s="3322"/>
      <c r="AE204" s="3322"/>
      <c r="AF204" s="3322"/>
      <c r="AG204" s="3322"/>
      <c r="AH204" s="3322"/>
      <c r="AI204" s="3322"/>
      <c r="AJ204" s="3322"/>
      <c r="AK204" s="3322"/>
      <c r="AL204" s="3322"/>
      <c r="AM204" s="3322"/>
      <c r="AN204" s="3322"/>
      <c r="AO204" s="3331"/>
      <c r="AP204" s="3331"/>
      <c r="AQ204" s="3334"/>
      <c r="AR204" s="878"/>
      <c r="AS204" s="878"/>
      <c r="AT204" s="878"/>
      <c r="AU204" s="876"/>
      <c r="AV204" s="876"/>
      <c r="AW204" s="876"/>
      <c r="AX204" s="876"/>
      <c r="AY204" s="876"/>
      <c r="AZ204" s="876"/>
      <c r="BA204" s="876"/>
      <c r="BB204" s="876"/>
      <c r="BC204" s="876"/>
      <c r="BD204" s="876"/>
      <c r="BE204" s="876"/>
      <c r="BF204" s="876"/>
      <c r="BG204" s="876"/>
      <c r="BH204" s="876"/>
      <c r="BI204" s="876"/>
      <c r="BJ204" s="876"/>
      <c r="BK204" s="876"/>
      <c r="BL204" s="876"/>
      <c r="BM204" s="876"/>
      <c r="BN204" s="876"/>
      <c r="BO204" s="876"/>
      <c r="BP204" s="876"/>
      <c r="BQ204" s="876"/>
      <c r="BR204" s="876"/>
      <c r="BS204" s="876"/>
      <c r="BT204" s="876"/>
      <c r="BU204" s="876"/>
      <c r="BV204" s="876"/>
      <c r="BW204" s="876"/>
      <c r="BX204" s="876"/>
      <c r="BY204" s="876"/>
      <c r="BZ204" s="876"/>
      <c r="CA204" s="842"/>
      <c r="CB204" s="842"/>
      <c r="CC204" s="842"/>
      <c r="CD204" s="842"/>
      <c r="CE204" s="842"/>
      <c r="CF204" s="842"/>
      <c r="CG204" s="842"/>
      <c r="CH204" s="842"/>
      <c r="CI204" s="842"/>
      <c r="CJ204" s="842"/>
      <c r="CK204" s="842"/>
      <c r="CL204" s="842"/>
      <c r="CM204" s="842"/>
      <c r="CN204" s="842"/>
      <c r="CO204" s="842"/>
      <c r="CP204" s="842"/>
      <c r="CQ204" s="842"/>
      <c r="CR204" s="842"/>
      <c r="CS204" s="842"/>
      <c r="CT204" s="842"/>
      <c r="CU204" s="842"/>
      <c r="CV204" s="842"/>
      <c r="CW204" s="842"/>
      <c r="CX204" s="842"/>
      <c r="CY204" s="842"/>
      <c r="CZ204" s="842"/>
      <c r="DA204" s="842"/>
      <c r="DB204" s="842"/>
      <c r="DC204" s="842"/>
      <c r="DD204" s="842"/>
      <c r="DE204" s="842"/>
      <c r="DF204" s="842"/>
      <c r="DG204" s="842"/>
      <c r="DH204" s="842"/>
      <c r="DI204" s="842"/>
      <c r="DJ204" s="842"/>
      <c r="DK204" s="842"/>
      <c r="DL204" s="842"/>
      <c r="DM204" s="842"/>
      <c r="DN204" s="842"/>
      <c r="DO204" s="842"/>
      <c r="DP204" s="842"/>
      <c r="DQ204" s="842"/>
      <c r="DR204" s="842"/>
      <c r="DS204" s="842"/>
      <c r="DT204" s="842"/>
      <c r="DU204" s="842"/>
      <c r="DV204" s="842"/>
      <c r="DW204" s="842"/>
      <c r="DX204" s="842"/>
      <c r="DY204" s="842"/>
      <c r="DZ204" s="842"/>
      <c r="EA204" s="842"/>
      <c r="EB204" s="842"/>
      <c r="EC204" s="842"/>
      <c r="ED204" s="842"/>
      <c r="EE204" s="842"/>
      <c r="EF204" s="842"/>
      <c r="EG204" s="842"/>
      <c r="EH204" s="842"/>
      <c r="EI204" s="842"/>
      <c r="EJ204" s="842"/>
      <c r="EK204" s="842"/>
      <c r="EL204" s="842"/>
      <c r="EM204" s="842"/>
      <c r="EN204" s="842"/>
      <c r="EO204" s="842"/>
      <c r="EP204" s="842"/>
      <c r="EQ204" s="842"/>
      <c r="ER204" s="842"/>
      <c r="ES204" s="842"/>
      <c r="ET204" s="842"/>
      <c r="EU204" s="842"/>
      <c r="EV204" s="842"/>
      <c r="EW204" s="842"/>
      <c r="EX204" s="842"/>
      <c r="EY204" s="842"/>
      <c r="EZ204" s="842"/>
      <c r="FA204" s="842"/>
      <c r="FB204" s="842"/>
      <c r="FC204" s="842"/>
      <c r="FD204" s="842"/>
      <c r="FE204" s="842"/>
      <c r="FF204" s="842"/>
      <c r="FG204" s="842"/>
      <c r="FH204" s="842"/>
      <c r="FI204" s="842"/>
      <c r="FJ204" s="842"/>
      <c r="FK204" s="842"/>
      <c r="FL204" s="842"/>
      <c r="FM204" s="842"/>
      <c r="FN204" s="842"/>
      <c r="FO204" s="842"/>
      <c r="FP204" s="842"/>
      <c r="FQ204" s="842"/>
      <c r="FR204" s="842"/>
      <c r="FS204" s="842"/>
      <c r="FT204" s="842"/>
      <c r="FU204" s="842"/>
      <c r="FV204" s="842"/>
      <c r="FW204" s="842"/>
      <c r="FX204" s="842"/>
      <c r="FY204" s="842"/>
      <c r="FZ204" s="842"/>
      <c r="GA204" s="842"/>
      <c r="GB204" s="842"/>
      <c r="GC204" s="842"/>
      <c r="GD204" s="842"/>
      <c r="GE204" s="842"/>
      <c r="GF204" s="842"/>
      <c r="GG204" s="842"/>
      <c r="GH204" s="842"/>
      <c r="GI204" s="842"/>
      <c r="GJ204" s="842"/>
      <c r="GK204" s="842"/>
      <c r="GL204" s="842"/>
      <c r="GM204" s="842"/>
      <c r="GN204" s="842"/>
      <c r="GO204" s="842"/>
      <c r="GP204" s="842"/>
      <c r="GQ204" s="842"/>
      <c r="GR204" s="842"/>
      <c r="GS204" s="842"/>
      <c r="GT204" s="842"/>
      <c r="GU204" s="842"/>
      <c r="GV204" s="842"/>
      <c r="GW204" s="842"/>
      <c r="GX204" s="842"/>
      <c r="GY204" s="842"/>
      <c r="GZ204" s="842"/>
      <c r="HA204" s="842"/>
      <c r="HB204" s="842"/>
      <c r="HC204" s="842"/>
      <c r="HD204" s="842"/>
      <c r="HE204" s="842"/>
      <c r="HF204" s="842"/>
      <c r="HG204" s="842"/>
      <c r="HH204" s="842"/>
      <c r="HI204" s="842"/>
      <c r="HJ204" s="842"/>
      <c r="HK204" s="842"/>
      <c r="HL204" s="842"/>
      <c r="HM204" s="842"/>
      <c r="HN204" s="842"/>
      <c r="HO204" s="842"/>
      <c r="HP204" s="842"/>
      <c r="HQ204" s="842"/>
      <c r="HR204" s="842"/>
      <c r="HS204" s="842"/>
      <c r="HT204" s="842"/>
      <c r="HU204" s="842"/>
      <c r="HV204" s="842"/>
      <c r="HW204" s="842"/>
      <c r="HX204" s="842"/>
      <c r="HY204" s="842"/>
      <c r="HZ204" s="842"/>
      <c r="IA204" s="842"/>
      <c r="IB204" s="842"/>
      <c r="IC204" s="842"/>
      <c r="ID204" s="842"/>
      <c r="IE204" s="842"/>
      <c r="IF204" s="842"/>
      <c r="IG204" s="842"/>
      <c r="IH204" s="842"/>
      <c r="II204" s="842"/>
      <c r="IJ204" s="842"/>
      <c r="IK204" s="842"/>
      <c r="IL204" s="842"/>
      <c r="IM204" s="842"/>
      <c r="IN204" s="842"/>
      <c r="IO204" s="842"/>
      <c r="IP204" s="842"/>
      <c r="IQ204" s="842"/>
      <c r="IR204" s="842"/>
      <c r="IS204" s="842"/>
      <c r="IT204" s="842"/>
      <c r="IU204" s="842"/>
      <c r="IV204" s="842"/>
    </row>
    <row r="205" spans="1:256" s="972" customFormat="1" ht="75">
      <c r="A205" s="867"/>
      <c r="B205" s="868"/>
      <c r="C205" s="869"/>
      <c r="D205" s="868"/>
      <c r="E205" s="868"/>
      <c r="F205" s="869"/>
      <c r="G205" s="877"/>
      <c r="H205" s="868"/>
      <c r="I205" s="869"/>
      <c r="J205" s="3336">
        <v>162</v>
      </c>
      <c r="K205" s="3324" t="s">
        <v>1234</v>
      </c>
      <c r="L205" s="3311" t="s">
        <v>908</v>
      </c>
      <c r="M205" s="3311">
        <v>83</v>
      </c>
      <c r="N205" s="3312"/>
      <c r="O205" s="3312"/>
      <c r="P205" s="3325"/>
      <c r="Q205" s="2419">
        <f>(V205+V206+V207+V208+V209)/R201</f>
        <v>0.7033680646019188</v>
      </c>
      <c r="R205" s="2527"/>
      <c r="S205" s="3325"/>
      <c r="T205" s="3324" t="s">
        <v>1235</v>
      </c>
      <c r="U205" s="895" t="s">
        <v>1236</v>
      </c>
      <c r="V205" s="909">
        <v>160000000</v>
      </c>
      <c r="W205" s="3351"/>
      <c r="X205" s="3312"/>
      <c r="Y205" s="3312"/>
      <c r="Z205" s="3312"/>
      <c r="AA205" s="3322"/>
      <c r="AB205" s="3322"/>
      <c r="AC205" s="3322"/>
      <c r="AD205" s="3322"/>
      <c r="AE205" s="3322"/>
      <c r="AF205" s="3322"/>
      <c r="AG205" s="3322"/>
      <c r="AH205" s="3322"/>
      <c r="AI205" s="3322"/>
      <c r="AJ205" s="3322"/>
      <c r="AK205" s="3322"/>
      <c r="AL205" s="3322"/>
      <c r="AM205" s="3322"/>
      <c r="AN205" s="3322"/>
      <c r="AO205" s="3331"/>
      <c r="AP205" s="3331"/>
      <c r="AQ205" s="3334"/>
      <c r="AR205" s="876"/>
      <c r="AS205" s="876"/>
      <c r="AT205" s="876"/>
      <c r="AU205" s="876"/>
      <c r="AV205" s="876"/>
      <c r="AW205" s="876"/>
      <c r="AX205" s="876"/>
      <c r="AY205" s="876"/>
      <c r="AZ205" s="876"/>
      <c r="BA205" s="876"/>
      <c r="BB205" s="876"/>
      <c r="BC205" s="876"/>
      <c r="BD205" s="876"/>
      <c r="BE205" s="876"/>
      <c r="BF205" s="876"/>
      <c r="BG205" s="876"/>
      <c r="BH205" s="876"/>
      <c r="BI205" s="876"/>
      <c r="BJ205" s="876"/>
      <c r="BK205" s="876"/>
      <c r="BL205" s="876"/>
      <c r="BM205" s="876"/>
      <c r="BN205" s="876"/>
      <c r="BO205" s="876"/>
      <c r="BP205" s="876"/>
      <c r="BQ205" s="876"/>
      <c r="BR205" s="876"/>
      <c r="BS205" s="876"/>
      <c r="BT205" s="876"/>
      <c r="BU205" s="876"/>
      <c r="BV205" s="876"/>
      <c r="BW205" s="876"/>
      <c r="BX205" s="876"/>
      <c r="BY205" s="876"/>
      <c r="BZ205" s="876"/>
      <c r="CA205" s="842"/>
      <c r="CB205" s="842"/>
      <c r="CC205" s="842"/>
      <c r="CD205" s="842"/>
      <c r="CE205" s="842"/>
      <c r="CF205" s="842"/>
      <c r="CG205" s="842"/>
      <c r="CH205" s="842"/>
      <c r="CI205" s="842"/>
      <c r="CJ205" s="842"/>
      <c r="CK205" s="842"/>
      <c r="CL205" s="842"/>
      <c r="CM205" s="842"/>
      <c r="CN205" s="842"/>
      <c r="CO205" s="842"/>
      <c r="CP205" s="842"/>
      <c r="CQ205" s="842"/>
      <c r="CR205" s="842"/>
      <c r="CS205" s="842"/>
      <c r="CT205" s="842"/>
      <c r="CU205" s="842"/>
      <c r="CV205" s="842"/>
      <c r="CW205" s="842"/>
      <c r="CX205" s="842"/>
      <c r="CY205" s="842"/>
      <c r="CZ205" s="842"/>
      <c r="DA205" s="842"/>
      <c r="DB205" s="842"/>
      <c r="DC205" s="842"/>
      <c r="DD205" s="842"/>
      <c r="DE205" s="842"/>
      <c r="DF205" s="842"/>
      <c r="DG205" s="842"/>
      <c r="DH205" s="842"/>
      <c r="DI205" s="842"/>
      <c r="DJ205" s="842"/>
      <c r="DK205" s="842"/>
      <c r="DL205" s="842"/>
      <c r="DM205" s="842"/>
      <c r="DN205" s="842"/>
      <c r="DO205" s="842"/>
      <c r="DP205" s="842"/>
      <c r="DQ205" s="842"/>
      <c r="DR205" s="842"/>
      <c r="DS205" s="842"/>
      <c r="DT205" s="842"/>
      <c r="DU205" s="842"/>
      <c r="DV205" s="842"/>
      <c r="DW205" s="842"/>
      <c r="DX205" s="842"/>
      <c r="DY205" s="842"/>
      <c r="DZ205" s="842"/>
      <c r="EA205" s="842"/>
      <c r="EB205" s="842"/>
      <c r="EC205" s="842"/>
      <c r="ED205" s="842"/>
      <c r="EE205" s="842"/>
      <c r="EF205" s="842"/>
      <c r="EG205" s="842"/>
      <c r="EH205" s="842"/>
      <c r="EI205" s="842"/>
      <c r="EJ205" s="842"/>
      <c r="EK205" s="842"/>
      <c r="EL205" s="842"/>
      <c r="EM205" s="842"/>
      <c r="EN205" s="842"/>
      <c r="EO205" s="842"/>
      <c r="EP205" s="842"/>
      <c r="EQ205" s="842"/>
      <c r="ER205" s="842"/>
      <c r="ES205" s="842"/>
      <c r="ET205" s="842"/>
      <c r="EU205" s="842"/>
      <c r="EV205" s="842"/>
      <c r="EW205" s="842"/>
      <c r="EX205" s="842"/>
      <c r="EY205" s="842"/>
      <c r="EZ205" s="842"/>
      <c r="FA205" s="842"/>
      <c r="FB205" s="842"/>
      <c r="FC205" s="842"/>
      <c r="FD205" s="842"/>
      <c r="FE205" s="842"/>
      <c r="FF205" s="842"/>
      <c r="FG205" s="842"/>
      <c r="FH205" s="842"/>
      <c r="FI205" s="842"/>
      <c r="FJ205" s="842"/>
      <c r="FK205" s="842"/>
      <c r="FL205" s="842"/>
      <c r="FM205" s="842"/>
      <c r="FN205" s="842"/>
      <c r="FO205" s="842"/>
      <c r="FP205" s="842"/>
      <c r="FQ205" s="842"/>
      <c r="FR205" s="842"/>
      <c r="FS205" s="842"/>
      <c r="FT205" s="842"/>
      <c r="FU205" s="842"/>
      <c r="FV205" s="842"/>
      <c r="FW205" s="842"/>
      <c r="FX205" s="842"/>
      <c r="FY205" s="842"/>
      <c r="FZ205" s="842"/>
      <c r="GA205" s="842"/>
      <c r="GB205" s="842"/>
      <c r="GC205" s="842"/>
      <c r="GD205" s="842"/>
      <c r="GE205" s="842"/>
      <c r="GF205" s="842"/>
      <c r="GG205" s="842"/>
      <c r="GH205" s="842"/>
      <c r="GI205" s="842"/>
      <c r="GJ205" s="842"/>
      <c r="GK205" s="842"/>
      <c r="GL205" s="842"/>
      <c r="GM205" s="842"/>
      <c r="GN205" s="842"/>
      <c r="GO205" s="842"/>
      <c r="GP205" s="842"/>
      <c r="GQ205" s="842"/>
      <c r="GR205" s="842"/>
      <c r="GS205" s="842"/>
      <c r="GT205" s="842"/>
      <c r="GU205" s="842"/>
      <c r="GV205" s="842"/>
      <c r="GW205" s="842"/>
      <c r="GX205" s="842"/>
      <c r="GY205" s="842"/>
      <c r="GZ205" s="842"/>
      <c r="HA205" s="842"/>
      <c r="HB205" s="842"/>
      <c r="HC205" s="842"/>
      <c r="HD205" s="842"/>
      <c r="HE205" s="842"/>
      <c r="HF205" s="842"/>
      <c r="HG205" s="842"/>
      <c r="HH205" s="842"/>
      <c r="HI205" s="842"/>
      <c r="HJ205" s="842"/>
      <c r="HK205" s="842"/>
      <c r="HL205" s="842"/>
      <c r="HM205" s="842"/>
      <c r="HN205" s="842"/>
      <c r="HO205" s="842"/>
      <c r="HP205" s="842"/>
      <c r="HQ205" s="842"/>
      <c r="HR205" s="842"/>
      <c r="HS205" s="842"/>
      <c r="HT205" s="842"/>
      <c r="HU205" s="842"/>
      <c r="HV205" s="842"/>
      <c r="HW205" s="842"/>
      <c r="HX205" s="842"/>
      <c r="HY205" s="842"/>
      <c r="HZ205" s="842"/>
      <c r="IA205" s="842"/>
      <c r="IB205" s="842"/>
      <c r="IC205" s="842"/>
      <c r="ID205" s="842"/>
      <c r="IE205" s="842"/>
      <c r="IF205" s="842"/>
      <c r="IG205" s="842"/>
      <c r="IH205" s="842"/>
      <c r="II205" s="842"/>
      <c r="IJ205" s="842"/>
      <c r="IK205" s="842"/>
      <c r="IL205" s="842"/>
      <c r="IM205" s="842"/>
      <c r="IN205" s="842"/>
      <c r="IO205" s="842"/>
      <c r="IP205" s="842"/>
      <c r="IQ205" s="842"/>
      <c r="IR205" s="842"/>
      <c r="IS205" s="842"/>
      <c r="IT205" s="842"/>
      <c r="IU205" s="842"/>
      <c r="IV205" s="842"/>
    </row>
    <row r="206" spans="1:256" s="972" customFormat="1" ht="44.25" customHeight="1">
      <c r="A206" s="867"/>
      <c r="B206" s="868"/>
      <c r="C206" s="869"/>
      <c r="D206" s="868"/>
      <c r="E206" s="868"/>
      <c r="F206" s="869"/>
      <c r="G206" s="877"/>
      <c r="H206" s="868"/>
      <c r="I206" s="869"/>
      <c r="J206" s="3336"/>
      <c r="K206" s="3325"/>
      <c r="L206" s="3312"/>
      <c r="M206" s="3312"/>
      <c r="N206" s="3312"/>
      <c r="O206" s="3312"/>
      <c r="P206" s="3325"/>
      <c r="Q206" s="2420"/>
      <c r="R206" s="2527"/>
      <c r="S206" s="3325"/>
      <c r="T206" s="3325"/>
      <c r="U206" s="895" t="s">
        <v>1237</v>
      </c>
      <c r="V206" s="909">
        <v>62000000</v>
      </c>
      <c r="W206" s="3351"/>
      <c r="X206" s="3312"/>
      <c r="Y206" s="3312"/>
      <c r="Z206" s="3312"/>
      <c r="AA206" s="3322"/>
      <c r="AB206" s="3322"/>
      <c r="AC206" s="3322"/>
      <c r="AD206" s="3322"/>
      <c r="AE206" s="3322"/>
      <c r="AF206" s="3322"/>
      <c r="AG206" s="3322"/>
      <c r="AH206" s="3322"/>
      <c r="AI206" s="3322"/>
      <c r="AJ206" s="3322"/>
      <c r="AK206" s="3322"/>
      <c r="AL206" s="3322"/>
      <c r="AM206" s="3322"/>
      <c r="AN206" s="3322"/>
      <c r="AO206" s="3331"/>
      <c r="AP206" s="3331"/>
      <c r="AQ206" s="3334"/>
      <c r="AR206" s="876"/>
      <c r="AS206" s="876"/>
      <c r="AT206" s="876"/>
      <c r="AU206" s="876"/>
      <c r="AV206" s="876"/>
      <c r="AW206" s="876"/>
      <c r="AX206" s="876"/>
      <c r="AY206" s="876"/>
      <c r="AZ206" s="876"/>
      <c r="BA206" s="876"/>
      <c r="BB206" s="876"/>
      <c r="BC206" s="876"/>
      <c r="BD206" s="876"/>
      <c r="BE206" s="876"/>
      <c r="BF206" s="876"/>
      <c r="BG206" s="876"/>
      <c r="BH206" s="876"/>
      <c r="BI206" s="876"/>
      <c r="BJ206" s="876"/>
      <c r="BK206" s="876"/>
      <c r="BL206" s="876"/>
      <c r="BM206" s="876"/>
      <c r="BN206" s="876"/>
      <c r="BO206" s="876"/>
      <c r="BP206" s="876"/>
      <c r="BQ206" s="876"/>
      <c r="BR206" s="876"/>
      <c r="BS206" s="842"/>
      <c r="BT206" s="842"/>
      <c r="BU206" s="842"/>
      <c r="BV206" s="842"/>
      <c r="BW206" s="842"/>
      <c r="BX206" s="842"/>
      <c r="BY206" s="842"/>
      <c r="BZ206" s="842"/>
      <c r="CA206" s="842"/>
      <c r="CB206" s="842"/>
      <c r="CC206" s="842"/>
      <c r="CD206" s="842"/>
      <c r="CE206" s="842"/>
      <c r="CF206" s="842"/>
      <c r="CG206" s="842"/>
      <c r="CH206" s="842"/>
      <c r="CI206" s="842"/>
      <c r="CJ206" s="842"/>
      <c r="CK206" s="842"/>
      <c r="CL206" s="842"/>
      <c r="CM206" s="842"/>
      <c r="CN206" s="842"/>
      <c r="CO206" s="842"/>
      <c r="CP206" s="842"/>
      <c r="CQ206" s="842"/>
      <c r="CR206" s="842"/>
      <c r="CS206" s="842"/>
      <c r="CT206" s="842"/>
      <c r="CU206" s="842"/>
      <c r="CV206" s="842"/>
      <c r="CW206" s="842"/>
      <c r="CX206" s="842"/>
      <c r="CY206" s="842"/>
      <c r="CZ206" s="842"/>
      <c r="DA206" s="842"/>
      <c r="DB206" s="842"/>
      <c r="DC206" s="842"/>
      <c r="DD206" s="842"/>
      <c r="DE206" s="842"/>
      <c r="DF206" s="842"/>
      <c r="DG206" s="842"/>
      <c r="DH206" s="842"/>
      <c r="DI206" s="842"/>
      <c r="DJ206" s="842"/>
      <c r="DK206" s="842"/>
      <c r="DL206" s="842"/>
      <c r="DM206" s="842"/>
      <c r="DN206" s="842"/>
      <c r="DO206" s="842"/>
      <c r="DP206" s="842"/>
      <c r="DQ206" s="842"/>
      <c r="DR206" s="842"/>
      <c r="DS206" s="842"/>
      <c r="DT206" s="842"/>
      <c r="DU206" s="842"/>
      <c r="DV206" s="842"/>
      <c r="DW206" s="842"/>
      <c r="DX206" s="842"/>
      <c r="DY206" s="842"/>
      <c r="DZ206" s="842"/>
      <c r="EA206" s="842"/>
      <c r="EB206" s="842"/>
      <c r="EC206" s="842"/>
      <c r="ED206" s="842"/>
      <c r="EE206" s="842"/>
      <c r="EF206" s="842"/>
      <c r="EG206" s="842"/>
      <c r="EH206" s="842"/>
      <c r="EI206" s="842"/>
      <c r="EJ206" s="842"/>
      <c r="EK206" s="842"/>
      <c r="EL206" s="842"/>
      <c r="EM206" s="842"/>
      <c r="EN206" s="842"/>
      <c r="EO206" s="842"/>
      <c r="EP206" s="842"/>
      <c r="EQ206" s="842"/>
      <c r="ER206" s="842"/>
      <c r="ES206" s="842"/>
      <c r="ET206" s="842"/>
      <c r="EU206" s="842"/>
      <c r="EV206" s="842"/>
      <c r="EW206" s="842"/>
      <c r="EX206" s="842"/>
      <c r="EY206" s="842"/>
      <c r="EZ206" s="842"/>
      <c r="FA206" s="842"/>
      <c r="FB206" s="842"/>
      <c r="FC206" s="842"/>
      <c r="FD206" s="842"/>
      <c r="FE206" s="842"/>
      <c r="FF206" s="842"/>
      <c r="FG206" s="842"/>
      <c r="FH206" s="842"/>
      <c r="FI206" s="842"/>
      <c r="FJ206" s="842"/>
      <c r="FK206" s="842"/>
      <c r="FL206" s="842"/>
      <c r="FM206" s="842"/>
      <c r="FN206" s="842"/>
      <c r="FO206" s="842"/>
      <c r="FP206" s="842"/>
      <c r="FQ206" s="842"/>
      <c r="FR206" s="842"/>
      <c r="FS206" s="842"/>
      <c r="FT206" s="842"/>
      <c r="FU206" s="842"/>
      <c r="FV206" s="842"/>
      <c r="FW206" s="842"/>
      <c r="FX206" s="842"/>
      <c r="FY206" s="842"/>
      <c r="FZ206" s="842"/>
      <c r="GA206" s="842"/>
      <c r="GB206" s="842"/>
      <c r="GC206" s="842"/>
      <c r="GD206" s="842"/>
      <c r="GE206" s="842"/>
      <c r="GF206" s="842"/>
      <c r="GG206" s="842"/>
      <c r="GH206" s="842"/>
      <c r="GI206" s="842"/>
      <c r="GJ206" s="842"/>
      <c r="GK206" s="842"/>
      <c r="GL206" s="842"/>
      <c r="GM206" s="842"/>
      <c r="GN206" s="842"/>
      <c r="GO206" s="842"/>
      <c r="GP206" s="842"/>
      <c r="GQ206" s="842"/>
      <c r="GR206" s="842"/>
      <c r="GS206" s="842"/>
      <c r="GT206" s="842"/>
      <c r="GU206" s="842"/>
      <c r="GV206" s="842"/>
      <c r="GW206" s="842"/>
      <c r="GX206" s="842"/>
      <c r="GY206" s="842"/>
      <c r="GZ206" s="842"/>
      <c r="HA206" s="842"/>
      <c r="HB206" s="842"/>
      <c r="HC206" s="842"/>
      <c r="HD206" s="842"/>
      <c r="HE206" s="842"/>
      <c r="HF206" s="842"/>
      <c r="HG206" s="842"/>
      <c r="HH206" s="842"/>
      <c r="HI206" s="842"/>
      <c r="HJ206" s="842"/>
      <c r="HK206" s="842"/>
      <c r="HL206" s="842"/>
      <c r="HM206" s="842"/>
      <c r="HN206" s="842"/>
      <c r="HO206" s="842"/>
      <c r="HP206" s="842"/>
      <c r="HQ206" s="842"/>
      <c r="HR206" s="842"/>
      <c r="HS206" s="842"/>
      <c r="HT206" s="842"/>
      <c r="HU206" s="842"/>
      <c r="HV206" s="842"/>
      <c r="HW206" s="842"/>
      <c r="HX206" s="842"/>
      <c r="HY206" s="842"/>
      <c r="HZ206" s="842"/>
      <c r="IA206" s="842"/>
      <c r="IB206" s="842"/>
      <c r="IC206" s="842"/>
      <c r="ID206" s="842"/>
      <c r="IE206" s="842"/>
      <c r="IF206" s="842"/>
      <c r="IG206" s="842"/>
      <c r="IH206" s="842"/>
      <c r="II206" s="842"/>
      <c r="IJ206" s="842"/>
      <c r="IK206" s="842"/>
      <c r="IL206" s="842"/>
      <c r="IM206" s="842"/>
      <c r="IN206" s="842"/>
      <c r="IO206" s="842"/>
      <c r="IP206" s="842"/>
      <c r="IQ206" s="842"/>
      <c r="IR206" s="842"/>
      <c r="IS206" s="842"/>
      <c r="IT206" s="842"/>
      <c r="IU206" s="842"/>
      <c r="IV206" s="842"/>
    </row>
    <row r="207" spans="1:256" s="972" customFormat="1" ht="70.5" customHeight="1">
      <c r="A207" s="867"/>
      <c r="B207" s="868"/>
      <c r="C207" s="869"/>
      <c r="D207" s="868"/>
      <c r="E207" s="868"/>
      <c r="F207" s="869"/>
      <c r="G207" s="877"/>
      <c r="H207" s="868"/>
      <c r="I207" s="869"/>
      <c r="J207" s="3336"/>
      <c r="K207" s="3325"/>
      <c r="L207" s="3312"/>
      <c r="M207" s="3312"/>
      <c r="N207" s="3312"/>
      <c r="O207" s="3312"/>
      <c r="P207" s="3325"/>
      <c r="Q207" s="2420"/>
      <c r="R207" s="2527"/>
      <c r="S207" s="3325"/>
      <c r="T207" s="3325"/>
      <c r="U207" s="895" t="s">
        <v>1238</v>
      </c>
      <c r="V207" s="909">
        <v>42000000</v>
      </c>
      <c r="W207" s="3351"/>
      <c r="X207" s="3312"/>
      <c r="Y207" s="3312"/>
      <c r="Z207" s="3312"/>
      <c r="AA207" s="3322"/>
      <c r="AB207" s="3322"/>
      <c r="AC207" s="3322"/>
      <c r="AD207" s="3322"/>
      <c r="AE207" s="3322"/>
      <c r="AF207" s="3322"/>
      <c r="AG207" s="3322"/>
      <c r="AH207" s="3322"/>
      <c r="AI207" s="3322"/>
      <c r="AJ207" s="3322"/>
      <c r="AK207" s="3322"/>
      <c r="AL207" s="3322"/>
      <c r="AM207" s="3322"/>
      <c r="AN207" s="3322"/>
      <c r="AO207" s="3331"/>
      <c r="AP207" s="3331"/>
      <c r="AQ207" s="3334"/>
      <c r="AR207" s="876"/>
      <c r="AS207" s="876"/>
      <c r="AT207" s="876"/>
      <c r="AU207" s="876"/>
      <c r="AV207" s="876"/>
      <c r="AW207" s="876"/>
      <c r="AX207" s="876"/>
      <c r="AY207" s="876"/>
      <c r="AZ207" s="876"/>
      <c r="BA207" s="876"/>
      <c r="BB207" s="876"/>
      <c r="BC207" s="876"/>
      <c r="BD207" s="876"/>
      <c r="BE207" s="876"/>
      <c r="BF207" s="876"/>
      <c r="BG207" s="876"/>
      <c r="BH207" s="876"/>
      <c r="BI207" s="876"/>
      <c r="BJ207" s="876"/>
      <c r="BK207" s="876"/>
      <c r="BL207" s="876"/>
      <c r="BM207" s="876"/>
      <c r="BN207" s="876"/>
      <c r="BO207" s="876"/>
      <c r="BP207" s="876"/>
      <c r="BQ207" s="876"/>
      <c r="BR207" s="876"/>
      <c r="BS207" s="842"/>
      <c r="BT207" s="842"/>
      <c r="BU207" s="842"/>
      <c r="BV207" s="842"/>
      <c r="BW207" s="842"/>
      <c r="BX207" s="842"/>
      <c r="BY207" s="842"/>
      <c r="BZ207" s="842"/>
      <c r="CA207" s="842"/>
      <c r="CB207" s="842"/>
      <c r="CC207" s="842"/>
      <c r="CD207" s="842"/>
      <c r="CE207" s="842"/>
      <c r="CF207" s="842"/>
      <c r="CG207" s="842"/>
      <c r="CH207" s="842"/>
      <c r="CI207" s="842"/>
      <c r="CJ207" s="842"/>
      <c r="CK207" s="842"/>
      <c r="CL207" s="842"/>
      <c r="CM207" s="842"/>
      <c r="CN207" s="842"/>
      <c r="CO207" s="842"/>
      <c r="CP207" s="842"/>
      <c r="CQ207" s="842"/>
      <c r="CR207" s="842"/>
      <c r="CS207" s="842"/>
      <c r="CT207" s="842"/>
      <c r="CU207" s="842"/>
      <c r="CV207" s="842"/>
      <c r="CW207" s="842"/>
      <c r="CX207" s="842"/>
      <c r="CY207" s="842"/>
      <c r="CZ207" s="842"/>
      <c r="DA207" s="842"/>
      <c r="DB207" s="842"/>
      <c r="DC207" s="842"/>
      <c r="DD207" s="842"/>
      <c r="DE207" s="842"/>
      <c r="DF207" s="842"/>
      <c r="DG207" s="842"/>
      <c r="DH207" s="842"/>
      <c r="DI207" s="842"/>
      <c r="DJ207" s="842"/>
      <c r="DK207" s="842"/>
      <c r="DL207" s="842"/>
      <c r="DM207" s="842"/>
      <c r="DN207" s="842"/>
      <c r="DO207" s="842"/>
      <c r="DP207" s="842"/>
      <c r="DQ207" s="842"/>
      <c r="DR207" s="842"/>
      <c r="DS207" s="842"/>
      <c r="DT207" s="842"/>
      <c r="DU207" s="842"/>
      <c r="DV207" s="842"/>
      <c r="DW207" s="842"/>
      <c r="DX207" s="842"/>
      <c r="DY207" s="842"/>
      <c r="DZ207" s="842"/>
      <c r="EA207" s="842"/>
      <c r="EB207" s="842"/>
      <c r="EC207" s="842"/>
      <c r="ED207" s="842"/>
      <c r="EE207" s="842"/>
      <c r="EF207" s="842"/>
      <c r="EG207" s="842"/>
      <c r="EH207" s="842"/>
      <c r="EI207" s="842"/>
      <c r="EJ207" s="842"/>
      <c r="EK207" s="842"/>
      <c r="EL207" s="842"/>
      <c r="EM207" s="842"/>
      <c r="EN207" s="842"/>
      <c r="EO207" s="842"/>
      <c r="EP207" s="842"/>
      <c r="EQ207" s="842"/>
      <c r="ER207" s="842"/>
      <c r="ES207" s="842"/>
      <c r="ET207" s="842"/>
      <c r="EU207" s="842"/>
      <c r="EV207" s="842"/>
      <c r="EW207" s="842"/>
      <c r="EX207" s="842"/>
      <c r="EY207" s="842"/>
      <c r="EZ207" s="842"/>
      <c r="FA207" s="842"/>
      <c r="FB207" s="842"/>
      <c r="FC207" s="842"/>
      <c r="FD207" s="842"/>
      <c r="FE207" s="842"/>
      <c r="FF207" s="842"/>
      <c r="FG207" s="842"/>
      <c r="FH207" s="842"/>
      <c r="FI207" s="842"/>
      <c r="FJ207" s="842"/>
      <c r="FK207" s="842"/>
      <c r="FL207" s="842"/>
      <c r="FM207" s="842"/>
      <c r="FN207" s="842"/>
      <c r="FO207" s="842"/>
      <c r="FP207" s="842"/>
      <c r="FQ207" s="842"/>
      <c r="FR207" s="842"/>
      <c r="FS207" s="842"/>
      <c r="FT207" s="842"/>
      <c r="FU207" s="842"/>
      <c r="FV207" s="842"/>
      <c r="FW207" s="842"/>
      <c r="FX207" s="842"/>
      <c r="FY207" s="842"/>
      <c r="FZ207" s="842"/>
      <c r="GA207" s="842"/>
      <c r="GB207" s="842"/>
      <c r="GC207" s="842"/>
      <c r="GD207" s="842"/>
      <c r="GE207" s="842"/>
      <c r="GF207" s="842"/>
      <c r="GG207" s="842"/>
      <c r="GH207" s="842"/>
      <c r="GI207" s="842"/>
      <c r="GJ207" s="842"/>
      <c r="GK207" s="842"/>
      <c r="GL207" s="842"/>
      <c r="GM207" s="842"/>
      <c r="GN207" s="842"/>
      <c r="GO207" s="842"/>
      <c r="GP207" s="842"/>
      <c r="GQ207" s="842"/>
      <c r="GR207" s="842"/>
      <c r="GS207" s="842"/>
      <c r="GT207" s="842"/>
      <c r="GU207" s="842"/>
      <c r="GV207" s="842"/>
      <c r="GW207" s="842"/>
      <c r="GX207" s="842"/>
      <c r="GY207" s="842"/>
      <c r="GZ207" s="842"/>
      <c r="HA207" s="842"/>
      <c r="HB207" s="842"/>
      <c r="HC207" s="842"/>
      <c r="HD207" s="842"/>
      <c r="HE207" s="842"/>
      <c r="HF207" s="842"/>
      <c r="HG207" s="842"/>
      <c r="HH207" s="842"/>
      <c r="HI207" s="842"/>
      <c r="HJ207" s="842"/>
      <c r="HK207" s="842"/>
      <c r="HL207" s="842"/>
      <c r="HM207" s="842"/>
      <c r="HN207" s="842"/>
      <c r="HO207" s="842"/>
      <c r="HP207" s="842"/>
      <c r="HQ207" s="842"/>
      <c r="HR207" s="842"/>
      <c r="HS207" s="842"/>
      <c r="HT207" s="842"/>
      <c r="HU207" s="842"/>
      <c r="HV207" s="842"/>
      <c r="HW207" s="842"/>
      <c r="HX207" s="842"/>
      <c r="HY207" s="842"/>
      <c r="HZ207" s="842"/>
      <c r="IA207" s="842"/>
      <c r="IB207" s="842"/>
      <c r="IC207" s="842"/>
      <c r="ID207" s="842"/>
      <c r="IE207" s="842"/>
      <c r="IF207" s="842"/>
      <c r="IG207" s="842"/>
      <c r="IH207" s="842"/>
      <c r="II207" s="842"/>
      <c r="IJ207" s="842"/>
      <c r="IK207" s="842"/>
      <c r="IL207" s="842"/>
      <c r="IM207" s="842"/>
      <c r="IN207" s="842"/>
      <c r="IO207" s="842"/>
      <c r="IP207" s="842"/>
      <c r="IQ207" s="842"/>
      <c r="IR207" s="842"/>
      <c r="IS207" s="842"/>
      <c r="IT207" s="842"/>
      <c r="IU207" s="842"/>
      <c r="IV207" s="842"/>
    </row>
    <row r="208" spans="1:256" s="972" customFormat="1" ht="67.5" customHeight="1">
      <c r="A208" s="867"/>
      <c r="B208" s="868"/>
      <c r="C208" s="869"/>
      <c r="D208" s="868"/>
      <c r="E208" s="868"/>
      <c r="F208" s="869"/>
      <c r="G208" s="877"/>
      <c r="H208" s="868"/>
      <c r="I208" s="869"/>
      <c r="J208" s="3336"/>
      <c r="K208" s="3325"/>
      <c r="L208" s="3312"/>
      <c r="M208" s="3312"/>
      <c r="N208" s="3312"/>
      <c r="O208" s="3312"/>
      <c r="P208" s="3325"/>
      <c r="Q208" s="2420"/>
      <c r="R208" s="2527"/>
      <c r="S208" s="3325"/>
      <c r="T208" s="3325"/>
      <c r="U208" s="895" t="s">
        <v>1239</v>
      </c>
      <c r="V208" s="909">
        <v>20000000</v>
      </c>
      <c r="W208" s="3351"/>
      <c r="X208" s="3312"/>
      <c r="Y208" s="3312"/>
      <c r="Z208" s="3312"/>
      <c r="AA208" s="3322"/>
      <c r="AB208" s="3322"/>
      <c r="AC208" s="3322"/>
      <c r="AD208" s="3322"/>
      <c r="AE208" s="3322"/>
      <c r="AF208" s="3322"/>
      <c r="AG208" s="3322"/>
      <c r="AH208" s="3322"/>
      <c r="AI208" s="3322"/>
      <c r="AJ208" s="3322"/>
      <c r="AK208" s="3322"/>
      <c r="AL208" s="3322"/>
      <c r="AM208" s="3322"/>
      <c r="AN208" s="3322"/>
      <c r="AO208" s="3331"/>
      <c r="AP208" s="3331"/>
      <c r="AQ208" s="3334"/>
      <c r="AR208" s="876"/>
      <c r="AS208" s="875"/>
      <c r="AT208" s="875"/>
      <c r="AU208" s="876"/>
      <c r="AV208" s="876"/>
      <c r="AW208" s="876"/>
      <c r="AX208" s="876"/>
      <c r="AY208" s="876"/>
      <c r="AZ208" s="876"/>
      <c r="BA208" s="876"/>
      <c r="BB208" s="876"/>
      <c r="BC208" s="876"/>
      <c r="BD208" s="876"/>
      <c r="BE208" s="876"/>
      <c r="BF208" s="876"/>
      <c r="BG208" s="876"/>
      <c r="BH208" s="876"/>
      <c r="BI208" s="876"/>
      <c r="BJ208" s="876"/>
      <c r="BK208" s="876"/>
      <c r="BL208" s="876"/>
      <c r="BM208" s="876"/>
      <c r="BN208" s="876"/>
      <c r="BO208" s="876"/>
      <c r="BP208" s="876"/>
      <c r="BQ208" s="876"/>
      <c r="BR208" s="876"/>
      <c r="BS208" s="842"/>
      <c r="BT208" s="842"/>
      <c r="BU208" s="842"/>
      <c r="BV208" s="842"/>
      <c r="BW208" s="842"/>
      <c r="BX208" s="842"/>
      <c r="BY208" s="842"/>
      <c r="BZ208" s="842"/>
      <c r="CA208" s="842"/>
      <c r="CB208" s="842"/>
      <c r="CC208" s="842"/>
      <c r="CD208" s="842"/>
      <c r="CE208" s="842"/>
      <c r="CF208" s="842"/>
      <c r="CG208" s="842"/>
      <c r="CH208" s="842"/>
      <c r="CI208" s="842"/>
      <c r="CJ208" s="842"/>
      <c r="CK208" s="842"/>
      <c r="CL208" s="842"/>
      <c r="CM208" s="842"/>
      <c r="CN208" s="842"/>
      <c r="CO208" s="842"/>
      <c r="CP208" s="842"/>
      <c r="CQ208" s="842"/>
      <c r="CR208" s="842"/>
      <c r="CS208" s="842"/>
      <c r="CT208" s="842"/>
      <c r="CU208" s="842"/>
      <c r="CV208" s="842"/>
      <c r="CW208" s="842"/>
      <c r="CX208" s="842"/>
      <c r="CY208" s="842"/>
      <c r="CZ208" s="842"/>
      <c r="DA208" s="842"/>
      <c r="DB208" s="842"/>
      <c r="DC208" s="842"/>
      <c r="DD208" s="842"/>
      <c r="DE208" s="842"/>
      <c r="DF208" s="842"/>
      <c r="DG208" s="842"/>
      <c r="DH208" s="842"/>
      <c r="DI208" s="842"/>
      <c r="DJ208" s="842"/>
      <c r="DK208" s="842"/>
      <c r="DL208" s="842"/>
      <c r="DM208" s="842"/>
      <c r="DN208" s="842"/>
      <c r="DO208" s="842"/>
      <c r="DP208" s="842"/>
      <c r="DQ208" s="842"/>
      <c r="DR208" s="842"/>
      <c r="DS208" s="842"/>
      <c r="DT208" s="842"/>
      <c r="DU208" s="842"/>
      <c r="DV208" s="842"/>
      <c r="DW208" s="842"/>
      <c r="DX208" s="842"/>
      <c r="DY208" s="842"/>
      <c r="DZ208" s="842"/>
      <c r="EA208" s="842"/>
      <c r="EB208" s="842"/>
      <c r="EC208" s="842"/>
      <c r="ED208" s="842"/>
      <c r="EE208" s="842"/>
      <c r="EF208" s="842"/>
      <c r="EG208" s="842"/>
      <c r="EH208" s="842"/>
      <c r="EI208" s="842"/>
      <c r="EJ208" s="842"/>
      <c r="EK208" s="842"/>
      <c r="EL208" s="842"/>
      <c r="EM208" s="842"/>
      <c r="EN208" s="842"/>
      <c r="EO208" s="842"/>
      <c r="EP208" s="842"/>
      <c r="EQ208" s="842"/>
      <c r="ER208" s="842"/>
      <c r="ES208" s="842"/>
      <c r="ET208" s="842"/>
      <c r="EU208" s="842"/>
      <c r="EV208" s="842"/>
      <c r="EW208" s="842"/>
      <c r="EX208" s="842"/>
      <c r="EY208" s="842"/>
      <c r="EZ208" s="842"/>
      <c r="FA208" s="842"/>
      <c r="FB208" s="842"/>
      <c r="FC208" s="842"/>
      <c r="FD208" s="842"/>
      <c r="FE208" s="842"/>
      <c r="FF208" s="842"/>
      <c r="FG208" s="842"/>
      <c r="FH208" s="842"/>
      <c r="FI208" s="842"/>
      <c r="FJ208" s="842"/>
      <c r="FK208" s="842"/>
      <c r="FL208" s="842"/>
      <c r="FM208" s="842"/>
      <c r="FN208" s="842"/>
      <c r="FO208" s="842"/>
      <c r="FP208" s="842"/>
      <c r="FQ208" s="842"/>
      <c r="FR208" s="842"/>
      <c r="FS208" s="842"/>
      <c r="FT208" s="842"/>
      <c r="FU208" s="842"/>
      <c r="FV208" s="842"/>
      <c r="FW208" s="842"/>
      <c r="FX208" s="842"/>
      <c r="FY208" s="842"/>
      <c r="FZ208" s="842"/>
      <c r="GA208" s="842"/>
      <c r="GB208" s="842"/>
      <c r="GC208" s="842"/>
      <c r="GD208" s="842"/>
      <c r="GE208" s="842"/>
      <c r="GF208" s="842"/>
      <c r="GG208" s="842"/>
      <c r="GH208" s="842"/>
      <c r="GI208" s="842"/>
      <c r="GJ208" s="842"/>
      <c r="GK208" s="842"/>
      <c r="GL208" s="842"/>
      <c r="GM208" s="842"/>
      <c r="GN208" s="842"/>
      <c r="GO208" s="842"/>
      <c r="GP208" s="842"/>
      <c r="GQ208" s="842"/>
      <c r="GR208" s="842"/>
      <c r="GS208" s="842"/>
      <c r="GT208" s="842"/>
      <c r="GU208" s="842"/>
      <c r="GV208" s="842"/>
      <c r="GW208" s="842"/>
      <c r="GX208" s="842"/>
      <c r="GY208" s="842"/>
      <c r="GZ208" s="842"/>
      <c r="HA208" s="842"/>
      <c r="HB208" s="842"/>
      <c r="HC208" s="842"/>
      <c r="HD208" s="842"/>
      <c r="HE208" s="842"/>
      <c r="HF208" s="842"/>
      <c r="HG208" s="842"/>
      <c r="HH208" s="842"/>
      <c r="HI208" s="842"/>
      <c r="HJ208" s="842"/>
      <c r="HK208" s="842"/>
      <c r="HL208" s="842"/>
      <c r="HM208" s="842"/>
      <c r="HN208" s="842"/>
      <c r="HO208" s="842"/>
      <c r="HP208" s="842"/>
      <c r="HQ208" s="842"/>
      <c r="HR208" s="842"/>
      <c r="HS208" s="842"/>
      <c r="HT208" s="842"/>
      <c r="HU208" s="842"/>
      <c r="HV208" s="842"/>
      <c r="HW208" s="842"/>
      <c r="HX208" s="842"/>
      <c r="HY208" s="842"/>
      <c r="HZ208" s="842"/>
      <c r="IA208" s="842"/>
      <c r="IB208" s="842"/>
      <c r="IC208" s="842"/>
      <c r="ID208" s="842"/>
      <c r="IE208" s="842"/>
      <c r="IF208" s="842"/>
      <c r="IG208" s="842"/>
      <c r="IH208" s="842"/>
      <c r="II208" s="842"/>
      <c r="IJ208" s="842"/>
      <c r="IK208" s="842"/>
      <c r="IL208" s="842"/>
      <c r="IM208" s="842"/>
      <c r="IN208" s="842"/>
      <c r="IO208" s="842"/>
      <c r="IP208" s="842"/>
      <c r="IQ208" s="842"/>
      <c r="IR208" s="842"/>
      <c r="IS208" s="842"/>
      <c r="IT208" s="842"/>
      <c r="IU208" s="842"/>
      <c r="IV208" s="842"/>
    </row>
    <row r="209" spans="1:256" s="972" customFormat="1" ht="90">
      <c r="A209" s="867"/>
      <c r="B209" s="868"/>
      <c r="C209" s="869"/>
      <c r="D209" s="881"/>
      <c r="E209" s="881"/>
      <c r="F209" s="882"/>
      <c r="G209" s="883"/>
      <c r="H209" s="881"/>
      <c r="I209" s="882"/>
      <c r="J209" s="3336"/>
      <c r="K209" s="3325"/>
      <c r="L209" s="3312"/>
      <c r="M209" s="3312"/>
      <c r="N209" s="3312"/>
      <c r="O209" s="3312"/>
      <c r="P209" s="3325"/>
      <c r="Q209" s="2420"/>
      <c r="R209" s="2527"/>
      <c r="S209" s="3325"/>
      <c r="T209" s="3325"/>
      <c r="U209" s="895" t="s">
        <v>1240</v>
      </c>
      <c r="V209" s="909">
        <v>39286843</v>
      </c>
      <c r="W209" s="3351"/>
      <c r="X209" s="3312"/>
      <c r="Y209" s="3312"/>
      <c r="Z209" s="3312"/>
      <c r="AA209" s="3322"/>
      <c r="AB209" s="3322"/>
      <c r="AC209" s="3322"/>
      <c r="AD209" s="3322"/>
      <c r="AE209" s="3322"/>
      <c r="AF209" s="3322"/>
      <c r="AG209" s="3322"/>
      <c r="AH209" s="3322"/>
      <c r="AI209" s="3322"/>
      <c r="AJ209" s="3322"/>
      <c r="AK209" s="3322"/>
      <c r="AL209" s="3322"/>
      <c r="AM209" s="3322"/>
      <c r="AN209" s="3322"/>
      <c r="AO209" s="3331"/>
      <c r="AP209" s="3331"/>
      <c r="AQ209" s="3334"/>
      <c r="AR209" s="878"/>
      <c r="AS209" s="878"/>
      <c r="AT209" s="878"/>
      <c r="AU209" s="876"/>
      <c r="AV209" s="876"/>
      <c r="AW209" s="876"/>
      <c r="AX209" s="876"/>
      <c r="AY209" s="876"/>
      <c r="AZ209" s="876"/>
      <c r="BA209" s="876"/>
      <c r="BB209" s="876"/>
      <c r="BC209" s="876"/>
      <c r="BD209" s="876"/>
      <c r="BE209" s="876"/>
      <c r="BF209" s="876"/>
      <c r="BG209" s="876"/>
      <c r="BH209" s="876"/>
      <c r="BI209" s="876"/>
      <c r="BJ209" s="876"/>
      <c r="BK209" s="876"/>
      <c r="BL209" s="876"/>
      <c r="BM209" s="876"/>
      <c r="BN209" s="876"/>
      <c r="BO209" s="876"/>
      <c r="BP209" s="876"/>
      <c r="BQ209" s="876"/>
      <c r="BR209" s="876"/>
      <c r="BS209" s="842"/>
      <c r="BT209" s="842"/>
      <c r="BU209" s="842"/>
      <c r="BV209" s="842"/>
      <c r="BW209" s="842"/>
      <c r="BX209" s="842"/>
      <c r="BY209" s="842"/>
      <c r="BZ209" s="842"/>
      <c r="CA209" s="842"/>
      <c r="CB209" s="842"/>
      <c r="CC209" s="842"/>
      <c r="CD209" s="842"/>
      <c r="CE209" s="842"/>
      <c r="CF209" s="842"/>
      <c r="CG209" s="842"/>
      <c r="CH209" s="842"/>
      <c r="CI209" s="842"/>
      <c r="CJ209" s="842"/>
      <c r="CK209" s="842"/>
      <c r="CL209" s="842"/>
      <c r="CM209" s="842"/>
      <c r="CN209" s="842"/>
      <c r="CO209" s="842"/>
      <c r="CP209" s="842"/>
      <c r="CQ209" s="842"/>
      <c r="CR209" s="842"/>
      <c r="CS209" s="842"/>
      <c r="CT209" s="842"/>
      <c r="CU209" s="842"/>
      <c r="CV209" s="842"/>
      <c r="CW209" s="842"/>
      <c r="CX209" s="842"/>
      <c r="CY209" s="842"/>
      <c r="CZ209" s="842"/>
      <c r="DA209" s="842"/>
      <c r="DB209" s="842"/>
      <c r="DC209" s="842"/>
      <c r="DD209" s="842"/>
      <c r="DE209" s="842"/>
      <c r="DF209" s="842"/>
      <c r="DG209" s="842"/>
      <c r="DH209" s="842"/>
      <c r="DI209" s="842"/>
      <c r="DJ209" s="842"/>
      <c r="DK209" s="842"/>
      <c r="DL209" s="842"/>
      <c r="DM209" s="842"/>
      <c r="DN209" s="842"/>
      <c r="DO209" s="842"/>
      <c r="DP209" s="842"/>
      <c r="DQ209" s="842"/>
      <c r="DR209" s="842"/>
      <c r="DS209" s="842"/>
      <c r="DT209" s="842"/>
      <c r="DU209" s="842"/>
      <c r="DV209" s="842"/>
      <c r="DW209" s="842"/>
      <c r="DX209" s="842"/>
      <c r="DY209" s="842"/>
      <c r="DZ209" s="842"/>
      <c r="EA209" s="842"/>
      <c r="EB209" s="842"/>
      <c r="EC209" s="842"/>
      <c r="ED209" s="842"/>
      <c r="EE209" s="842"/>
      <c r="EF209" s="842"/>
      <c r="EG209" s="842"/>
      <c r="EH209" s="842"/>
      <c r="EI209" s="842"/>
      <c r="EJ209" s="842"/>
      <c r="EK209" s="842"/>
      <c r="EL209" s="842"/>
      <c r="EM209" s="842"/>
      <c r="EN209" s="842"/>
      <c r="EO209" s="842"/>
      <c r="EP209" s="842"/>
      <c r="EQ209" s="842"/>
      <c r="ER209" s="842"/>
      <c r="ES209" s="842"/>
      <c r="ET209" s="842"/>
      <c r="EU209" s="842"/>
      <c r="EV209" s="842"/>
      <c r="EW209" s="842"/>
      <c r="EX209" s="842"/>
      <c r="EY209" s="842"/>
      <c r="EZ209" s="842"/>
      <c r="FA209" s="842"/>
      <c r="FB209" s="842"/>
      <c r="FC209" s="842"/>
      <c r="FD209" s="842"/>
      <c r="FE209" s="842"/>
      <c r="FF209" s="842"/>
      <c r="FG209" s="842"/>
      <c r="FH209" s="842"/>
      <c r="FI209" s="842"/>
      <c r="FJ209" s="842"/>
      <c r="FK209" s="842"/>
      <c r="FL209" s="842"/>
      <c r="FM209" s="842"/>
      <c r="FN209" s="842"/>
      <c r="FO209" s="842"/>
      <c r="FP209" s="842"/>
      <c r="FQ209" s="842"/>
      <c r="FR209" s="842"/>
      <c r="FS209" s="842"/>
      <c r="FT209" s="842"/>
      <c r="FU209" s="842"/>
      <c r="FV209" s="842"/>
      <c r="FW209" s="842"/>
      <c r="FX209" s="842"/>
      <c r="FY209" s="842"/>
      <c r="FZ209" s="842"/>
      <c r="GA209" s="842"/>
      <c r="GB209" s="842"/>
      <c r="GC209" s="842"/>
      <c r="GD209" s="842"/>
      <c r="GE209" s="842"/>
      <c r="GF209" s="842"/>
      <c r="GG209" s="842"/>
      <c r="GH209" s="842"/>
      <c r="GI209" s="842"/>
      <c r="GJ209" s="842"/>
      <c r="GK209" s="842"/>
      <c r="GL209" s="842"/>
      <c r="GM209" s="842"/>
      <c r="GN209" s="842"/>
      <c r="GO209" s="842"/>
      <c r="GP209" s="842"/>
      <c r="GQ209" s="842"/>
      <c r="GR209" s="842"/>
      <c r="GS209" s="842"/>
      <c r="GT209" s="842"/>
      <c r="GU209" s="842"/>
      <c r="GV209" s="842"/>
      <c r="GW209" s="842"/>
      <c r="GX209" s="842"/>
      <c r="GY209" s="842"/>
      <c r="GZ209" s="842"/>
      <c r="HA209" s="842"/>
      <c r="HB209" s="842"/>
      <c r="HC209" s="842"/>
      <c r="HD209" s="842"/>
      <c r="HE209" s="842"/>
      <c r="HF209" s="842"/>
      <c r="HG209" s="842"/>
      <c r="HH209" s="842"/>
      <c r="HI209" s="842"/>
      <c r="HJ209" s="842"/>
      <c r="HK209" s="842"/>
      <c r="HL209" s="842"/>
      <c r="HM209" s="842"/>
      <c r="HN209" s="842"/>
      <c r="HO209" s="842"/>
      <c r="HP209" s="842"/>
      <c r="HQ209" s="842"/>
      <c r="HR209" s="842"/>
      <c r="HS209" s="842"/>
      <c r="HT209" s="842"/>
      <c r="HU209" s="842"/>
      <c r="HV209" s="842"/>
      <c r="HW209" s="842"/>
      <c r="HX209" s="842"/>
      <c r="HY209" s="842"/>
      <c r="HZ209" s="842"/>
      <c r="IA209" s="842"/>
      <c r="IB209" s="842"/>
      <c r="IC209" s="842"/>
      <c r="ID209" s="842"/>
      <c r="IE209" s="842"/>
      <c r="IF209" s="842"/>
      <c r="IG209" s="842"/>
      <c r="IH209" s="842"/>
      <c r="II209" s="842"/>
      <c r="IJ209" s="842"/>
      <c r="IK209" s="842"/>
      <c r="IL209" s="842"/>
      <c r="IM209" s="842"/>
      <c r="IN209" s="842"/>
      <c r="IO209" s="842"/>
      <c r="IP209" s="842"/>
      <c r="IQ209" s="842"/>
      <c r="IR209" s="842"/>
      <c r="IS209" s="842"/>
      <c r="IT209" s="842"/>
      <c r="IU209" s="842"/>
      <c r="IV209" s="842"/>
    </row>
    <row r="210" spans="1:43" ht="15.75">
      <c r="A210" s="853"/>
      <c r="C210" s="884"/>
      <c r="D210" s="973">
        <v>13</v>
      </c>
      <c r="E210" s="974" t="s">
        <v>1241</v>
      </c>
      <c r="F210" s="974"/>
      <c r="G210" s="975"/>
      <c r="H210" s="975"/>
      <c r="I210" s="975"/>
      <c r="J210" s="975"/>
      <c r="K210" s="976"/>
      <c r="L210" s="975"/>
      <c r="M210" s="975"/>
      <c r="N210" s="977"/>
      <c r="O210" s="975"/>
      <c r="P210" s="976"/>
      <c r="Q210" s="975"/>
      <c r="R210" s="978"/>
      <c r="S210" s="975"/>
      <c r="T210" s="976"/>
      <c r="U210" s="976"/>
      <c r="V210" s="979"/>
      <c r="W210" s="980"/>
      <c r="X210" s="977"/>
      <c r="Y210" s="977"/>
      <c r="Z210" s="977"/>
      <c r="AA210" s="977"/>
      <c r="AB210" s="977"/>
      <c r="AC210" s="977"/>
      <c r="AD210" s="977"/>
      <c r="AE210" s="977"/>
      <c r="AF210" s="977"/>
      <c r="AG210" s="977"/>
      <c r="AH210" s="977"/>
      <c r="AI210" s="977"/>
      <c r="AJ210" s="977"/>
      <c r="AK210" s="977"/>
      <c r="AL210" s="977"/>
      <c r="AM210" s="977"/>
      <c r="AN210" s="977"/>
      <c r="AO210" s="975"/>
      <c r="AP210" s="975"/>
      <c r="AQ210" s="981"/>
    </row>
    <row r="211" spans="1:43" ht="15.75">
      <c r="A211" s="853"/>
      <c r="B211" s="854"/>
      <c r="C211" s="855"/>
      <c r="D211" s="3409"/>
      <c r="E211" s="3410"/>
      <c r="F211" s="3410"/>
      <c r="G211" s="891">
        <v>47</v>
      </c>
      <c r="H211" s="859" t="s">
        <v>1242</v>
      </c>
      <c r="I211" s="859"/>
      <c r="J211" s="859"/>
      <c r="K211" s="860"/>
      <c r="L211" s="859"/>
      <c r="M211" s="859"/>
      <c r="N211" s="861"/>
      <c r="O211" s="859"/>
      <c r="P211" s="860"/>
      <c r="Q211" s="859"/>
      <c r="R211" s="892"/>
      <c r="S211" s="859"/>
      <c r="T211" s="860"/>
      <c r="U211" s="860"/>
      <c r="V211" s="893"/>
      <c r="W211" s="894"/>
      <c r="X211" s="861"/>
      <c r="Y211" s="861"/>
      <c r="Z211" s="861"/>
      <c r="AA211" s="861"/>
      <c r="AB211" s="861"/>
      <c r="AC211" s="861"/>
      <c r="AD211" s="861"/>
      <c r="AE211" s="861"/>
      <c r="AF211" s="861"/>
      <c r="AG211" s="861"/>
      <c r="AH211" s="861"/>
      <c r="AI211" s="861"/>
      <c r="AJ211" s="861"/>
      <c r="AK211" s="861"/>
      <c r="AL211" s="861"/>
      <c r="AM211" s="861"/>
      <c r="AN211" s="861"/>
      <c r="AO211" s="859"/>
      <c r="AP211" s="859"/>
      <c r="AQ211" s="866"/>
    </row>
    <row r="212" spans="1:46" ht="69" customHeight="1">
      <c r="A212" s="853"/>
      <c r="B212" s="854"/>
      <c r="C212" s="855"/>
      <c r="D212" s="3411"/>
      <c r="E212" s="3412"/>
      <c r="F212" s="3412"/>
      <c r="G212" s="3336"/>
      <c r="H212" s="3336"/>
      <c r="I212" s="3336"/>
      <c r="J212" s="3336">
        <v>163</v>
      </c>
      <c r="K212" s="3415" t="s">
        <v>1243</v>
      </c>
      <c r="L212" s="3336" t="s">
        <v>908</v>
      </c>
      <c r="M212" s="3336">
        <v>12</v>
      </c>
      <c r="N212" s="3415" t="s">
        <v>1244</v>
      </c>
      <c r="O212" s="3336">
        <v>153</v>
      </c>
      <c r="P212" s="3336" t="s">
        <v>1245</v>
      </c>
      <c r="Q212" s="3426">
        <f>(V212+V213)/R212</f>
        <v>0.0013926382163753604</v>
      </c>
      <c r="R212" s="3427">
        <f>SUM(V212+V213+V215+V217+V218)</f>
        <v>20856816694</v>
      </c>
      <c r="S212" s="3428" t="s">
        <v>1246</v>
      </c>
      <c r="T212" s="3327" t="s">
        <v>1247</v>
      </c>
      <c r="U212" s="982" t="s">
        <v>1248</v>
      </c>
      <c r="V212" s="983">
        <v>14523000</v>
      </c>
      <c r="W212" s="3418">
        <v>72</v>
      </c>
      <c r="X212" s="3415" t="s">
        <v>1249</v>
      </c>
      <c r="Y212" s="3336">
        <v>292684</v>
      </c>
      <c r="Z212" s="3336">
        <v>282326</v>
      </c>
      <c r="AA212" s="3417">
        <v>135912</v>
      </c>
      <c r="AB212" s="3417">
        <v>45122</v>
      </c>
      <c r="AC212" s="3417">
        <f>SUM(AC201)</f>
        <v>307101</v>
      </c>
      <c r="AD212" s="3417">
        <f>SUM(AD201)</f>
        <v>86875</v>
      </c>
      <c r="AE212" s="3417">
        <v>2145</v>
      </c>
      <c r="AF212" s="3417">
        <v>12718</v>
      </c>
      <c r="AG212" s="3417">
        <v>26</v>
      </c>
      <c r="AH212" s="3417">
        <v>37</v>
      </c>
      <c r="AI212" s="3417" t="s">
        <v>915</v>
      </c>
      <c r="AJ212" s="3417" t="s">
        <v>915</v>
      </c>
      <c r="AK212" s="3417">
        <v>53164</v>
      </c>
      <c r="AL212" s="3417">
        <v>16982</v>
      </c>
      <c r="AM212" s="3417">
        <v>60013</v>
      </c>
      <c r="AN212" s="3318">
        <v>575010</v>
      </c>
      <c r="AO212" s="3406">
        <v>43101</v>
      </c>
      <c r="AP212" s="3406">
        <v>43465</v>
      </c>
      <c r="AQ212" s="3333" t="s">
        <v>916</v>
      </c>
      <c r="AS212" s="935"/>
      <c r="AT212" s="935"/>
    </row>
    <row r="213" spans="1:46" ht="69" customHeight="1">
      <c r="A213" s="853"/>
      <c r="B213" s="854"/>
      <c r="C213" s="855"/>
      <c r="D213" s="3411"/>
      <c r="E213" s="3412"/>
      <c r="F213" s="3412"/>
      <c r="G213" s="3336"/>
      <c r="H213" s="3336"/>
      <c r="I213" s="3336"/>
      <c r="J213" s="3336"/>
      <c r="K213" s="3416"/>
      <c r="L213" s="3336"/>
      <c r="M213" s="3336"/>
      <c r="N213" s="3416"/>
      <c r="O213" s="3336"/>
      <c r="P213" s="3336"/>
      <c r="Q213" s="3426"/>
      <c r="R213" s="3427"/>
      <c r="S213" s="3428"/>
      <c r="T213" s="3329"/>
      <c r="U213" s="982" t="s">
        <v>1250</v>
      </c>
      <c r="V213" s="983">
        <v>14523000</v>
      </c>
      <c r="W213" s="3418"/>
      <c r="X213" s="3416"/>
      <c r="Y213" s="3336"/>
      <c r="Z213" s="3336"/>
      <c r="AA213" s="3417"/>
      <c r="AB213" s="3417"/>
      <c r="AC213" s="3417"/>
      <c r="AD213" s="3417"/>
      <c r="AE213" s="3417"/>
      <c r="AF213" s="3417"/>
      <c r="AG213" s="3417"/>
      <c r="AH213" s="3417"/>
      <c r="AI213" s="3417"/>
      <c r="AJ213" s="3417"/>
      <c r="AK213" s="3417"/>
      <c r="AL213" s="3417"/>
      <c r="AM213" s="3417"/>
      <c r="AN213" s="3319"/>
      <c r="AO213" s="3406"/>
      <c r="AP213" s="3406"/>
      <c r="AQ213" s="3334"/>
      <c r="AR213" s="928"/>
      <c r="AS213" s="928"/>
      <c r="AT213" s="928"/>
    </row>
    <row r="214" spans="1:43" ht="34.5" customHeight="1">
      <c r="A214" s="853"/>
      <c r="B214" s="854"/>
      <c r="C214" s="855"/>
      <c r="D214" s="3411"/>
      <c r="E214" s="3412"/>
      <c r="F214" s="3412"/>
      <c r="G214" s="891">
        <v>48</v>
      </c>
      <c r="H214" s="859" t="s">
        <v>1251</v>
      </c>
      <c r="I214" s="859"/>
      <c r="J214" s="859"/>
      <c r="K214" s="860"/>
      <c r="L214" s="859"/>
      <c r="M214" s="859"/>
      <c r="N214" s="861"/>
      <c r="O214" s="3336"/>
      <c r="P214" s="3336"/>
      <c r="Q214" s="984"/>
      <c r="R214" s="3427"/>
      <c r="S214" s="3428"/>
      <c r="T214" s="860"/>
      <c r="U214" s="860"/>
      <c r="V214" s="893"/>
      <c r="W214" s="862"/>
      <c r="X214" s="861"/>
      <c r="Y214" s="3336"/>
      <c r="Z214" s="3336"/>
      <c r="AA214" s="3417"/>
      <c r="AB214" s="3417"/>
      <c r="AC214" s="3417"/>
      <c r="AD214" s="3417"/>
      <c r="AE214" s="3417"/>
      <c r="AF214" s="3417"/>
      <c r="AG214" s="3417"/>
      <c r="AH214" s="3417"/>
      <c r="AI214" s="3417"/>
      <c r="AJ214" s="3417"/>
      <c r="AK214" s="3417"/>
      <c r="AL214" s="3417"/>
      <c r="AM214" s="3417"/>
      <c r="AN214" s="3319"/>
      <c r="AO214" s="3406"/>
      <c r="AP214" s="3406"/>
      <c r="AQ214" s="3334"/>
    </row>
    <row r="215" spans="1:46" ht="133.5" customHeight="1">
      <c r="A215" s="853"/>
      <c r="B215" s="854"/>
      <c r="C215" s="855"/>
      <c r="D215" s="3411"/>
      <c r="E215" s="3412"/>
      <c r="F215" s="3412"/>
      <c r="G215" s="870"/>
      <c r="H215" s="871"/>
      <c r="I215" s="872"/>
      <c r="J215" s="966">
        <v>164</v>
      </c>
      <c r="K215" s="967" t="s">
        <v>1252</v>
      </c>
      <c r="L215" s="966" t="s">
        <v>908</v>
      </c>
      <c r="M215" s="966">
        <v>12</v>
      </c>
      <c r="N215" s="985" t="s">
        <v>1253</v>
      </c>
      <c r="O215" s="3336"/>
      <c r="P215" s="3336"/>
      <c r="Q215" s="986">
        <f>V215/R212</f>
        <v>0.9976046622678344</v>
      </c>
      <c r="R215" s="3427"/>
      <c r="S215" s="3428"/>
      <c r="T215" s="967" t="s">
        <v>1254</v>
      </c>
      <c r="U215" s="982" t="s">
        <v>1255</v>
      </c>
      <c r="V215" s="926">
        <f>31002757525-9241365080+230956319+149505234-1334996424</f>
        <v>20806857574</v>
      </c>
      <c r="W215" s="987" t="s">
        <v>1256</v>
      </c>
      <c r="X215" s="985" t="s">
        <v>1257</v>
      </c>
      <c r="Y215" s="3336"/>
      <c r="Z215" s="3336"/>
      <c r="AA215" s="3417"/>
      <c r="AB215" s="3417"/>
      <c r="AC215" s="3417"/>
      <c r="AD215" s="3417"/>
      <c r="AE215" s="3417"/>
      <c r="AF215" s="3417"/>
      <c r="AG215" s="3417"/>
      <c r="AH215" s="3417"/>
      <c r="AI215" s="3417"/>
      <c r="AJ215" s="3417"/>
      <c r="AK215" s="3417"/>
      <c r="AL215" s="3417"/>
      <c r="AM215" s="3417"/>
      <c r="AN215" s="3319"/>
      <c r="AO215" s="3406"/>
      <c r="AP215" s="3406"/>
      <c r="AQ215" s="3334"/>
      <c r="AR215" s="928"/>
      <c r="AS215" s="928"/>
      <c r="AT215" s="928"/>
    </row>
    <row r="216" spans="1:43" ht="34.5" customHeight="1">
      <c r="A216" s="853"/>
      <c r="B216" s="854"/>
      <c r="C216" s="855"/>
      <c r="D216" s="3411"/>
      <c r="E216" s="3412"/>
      <c r="F216" s="3412"/>
      <c r="G216" s="891">
        <v>49</v>
      </c>
      <c r="H216" s="859" t="s">
        <v>1258</v>
      </c>
      <c r="I216" s="859"/>
      <c r="J216" s="859"/>
      <c r="K216" s="860"/>
      <c r="L216" s="859"/>
      <c r="M216" s="859"/>
      <c r="N216" s="861"/>
      <c r="O216" s="3336"/>
      <c r="P216" s="3336"/>
      <c r="Q216" s="984"/>
      <c r="R216" s="3427"/>
      <c r="S216" s="3428"/>
      <c r="T216" s="860"/>
      <c r="U216" s="860"/>
      <c r="V216" s="893"/>
      <c r="W216" s="862"/>
      <c r="X216" s="861"/>
      <c r="Y216" s="3336"/>
      <c r="Z216" s="3336"/>
      <c r="AA216" s="3417"/>
      <c r="AB216" s="3417"/>
      <c r="AC216" s="3417"/>
      <c r="AD216" s="3417"/>
      <c r="AE216" s="3417"/>
      <c r="AF216" s="3417"/>
      <c r="AG216" s="3417"/>
      <c r="AH216" s="3417"/>
      <c r="AI216" s="3417"/>
      <c r="AJ216" s="3417"/>
      <c r="AK216" s="3417"/>
      <c r="AL216" s="3417"/>
      <c r="AM216" s="3417"/>
      <c r="AN216" s="3319"/>
      <c r="AO216" s="3406"/>
      <c r="AP216" s="3406"/>
      <c r="AQ216" s="3334"/>
    </row>
    <row r="217" spans="1:43" ht="45">
      <c r="A217" s="853"/>
      <c r="B217" s="854"/>
      <c r="C217" s="855"/>
      <c r="D217" s="3411"/>
      <c r="E217" s="3412"/>
      <c r="F217" s="3412"/>
      <c r="G217" s="3336"/>
      <c r="H217" s="3336"/>
      <c r="I217" s="3336"/>
      <c r="J217" s="3336">
        <v>165</v>
      </c>
      <c r="K217" s="3377" t="s">
        <v>1259</v>
      </c>
      <c r="L217" s="3336" t="s">
        <v>908</v>
      </c>
      <c r="M217" s="3336">
        <v>12</v>
      </c>
      <c r="N217" s="3336" t="s">
        <v>1260</v>
      </c>
      <c r="O217" s="3336"/>
      <c r="P217" s="3336"/>
      <c r="Q217" s="3426">
        <f>(V217+V218)/R212</f>
        <v>0.0010026995157902594</v>
      </c>
      <c r="R217" s="3427"/>
      <c r="S217" s="3428"/>
      <c r="T217" s="3424" t="s">
        <v>1261</v>
      </c>
      <c r="U217" s="988" t="s">
        <v>1262</v>
      </c>
      <c r="V217" s="989">
        <v>10456560</v>
      </c>
      <c r="W217" s="3418">
        <v>72</v>
      </c>
      <c r="X217" s="3336" t="s">
        <v>1249</v>
      </c>
      <c r="Y217" s="3336"/>
      <c r="Z217" s="3336"/>
      <c r="AA217" s="3417"/>
      <c r="AB217" s="3417"/>
      <c r="AC217" s="3417"/>
      <c r="AD217" s="3417"/>
      <c r="AE217" s="3417"/>
      <c r="AF217" s="3417"/>
      <c r="AG217" s="3417"/>
      <c r="AH217" s="3417"/>
      <c r="AI217" s="3417"/>
      <c r="AJ217" s="3417"/>
      <c r="AK217" s="3417"/>
      <c r="AL217" s="3417"/>
      <c r="AM217" s="3417"/>
      <c r="AN217" s="3319"/>
      <c r="AO217" s="3406"/>
      <c r="AP217" s="3406"/>
      <c r="AQ217" s="3334"/>
    </row>
    <row r="218" spans="1:46" ht="45">
      <c r="A218" s="853"/>
      <c r="B218" s="854"/>
      <c r="C218" s="855"/>
      <c r="D218" s="3413"/>
      <c r="E218" s="3414"/>
      <c r="F218" s="3414"/>
      <c r="G218" s="3336"/>
      <c r="H218" s="3336"/>
      <c r="I218" s="3336"/>
      <c r="J218" s="3336"/>
      <c r="K218" s="3377"/>
      <c r="L218" s="3336"/>
      <c r="M218" s="3336"/>
      <c r="N218" s="3336"/>
      <c r="O218" s="3336"/>
      <c r="P218" s="3336"/>
      <c r="Q218" s="3426"/>
      <c r="R218" s="3427"/>
      <c r="S218" s="990"/>
      <c r="T218" s="3425"/>
      <c r="U218" s="982" t="s">
        <v>1263</v>
      </c>
      <c r="V218" s="983">
        <v>10456560</v>
      </c>
      <c r="W218" s="3418"/>
      <c r="X218" s="3336"/>
      <c r="Y218" s="3336"/>
      <c r="Z218" s="3336"/>
      <c r="AA218" s="3417"/>
      <c r="AB218" s="3417"/>
      <c r="AC218" s="3417"/>
      <c r="AD218" s="3417"/>
      <c r="AE218" s="3417"/>
      <c r="AF218" s="3417"/>
      <c r="AG218" s="3417"/>
      <c r="AH218" s="3417"/>
      <c r="AI218" s="3417"/>
      <c r="AJ218" s="3417"/>
      <c r="AK218" s="3417"/>
      <c r="AL218" s="3417"/>
      <c r="AM218" s="3417"/>
      <c r="AN218" s="3320"/>
      <c r="AO218" s="3406"/>
      <c r="AP218" s="3406"/>
      <c r="AQ218" s="3335"/>
      <c r="AR218" s="928"/>
      <c r="AS218" s="928"/>
      <c r="AT218" s="928"/>
    </row>
    <row r="219" spans="1:43" ht="36" customHeight="1">
      <c r="A219" s="853"/>
      <c r="C219" s="884"/>
      <c r="D219" s="991">
        <v>14</v>
      </c>
      <c r="E219" s="844" t="s">
        <v>1264</v>
      </c>
      <c r="F219" s="844"/>
      <c r="G219" s="845"/>
      <c r="H219" s="845"/>
      <c r="I219" s="845"/>
      <c r="J219" s="845"/>
      <c r="K219" s="846"/>
      <c r="L219" s="845"/>
      <c r="M219" s="845"/>
      <c r="N219" s="847"/>
      <c r="O219" s="845"/>
      <c r="P219" s="846"/>
      <c r="Q219" s="845"/>
      <c r="R219" s="888"/>
      <c r="S219" s="845"/>
      <c r="T219" s="846"/>
      <c r="U219" s="846"/>
      <c r="V219" s="889"/>
      <c r="W219" s="890"/>
      <c r="X219" s="847"/>
      <c r="Y219" s="847"/>
      <c r="Z219" s="847"/>
      <c r="AA219" s="847"/>
      <c r="AB219" s="847"/>
      <c r="AC219" s="847"/>
      <c r="AD219" s="847"/>
      <c r="AE219" s="847"/>
      <c r="AF219" s="847"/>
      <c r="AG219" s="847"/>
      <c r="AH219" s="847"/>
      <c r="AI219" s="847"/>
      <c r="AJ219" s="847"/>
      <c r="AK219" s="847"/>
      <c r="AL219" s="847"/>
      <c r="AM219" s="847"/>
      <c r="AN219" s="847"/>
      <c r="AO219" s="845"/>
      <c r="AP219" s="845"/>
      <c r="AQ219" s="852"/>
    </row>
    <row r="220" spans="1:43" ht="36" customHeight="1">
      <c r="A220" s="853"/>
      <c r="B220" s="854"/>
      <c r="C220" s="855"/>
      <c r="D220" s="856"/>
      <c r="E220" s="856"/>
      <c r="F220" s="857"/>
      <c r="G220" s="992">
        <v>50</v>
      </c>
      <c r="H220" s="993" t="s">
        <v>1265</v>
      </c>
      <c r="I220" s="993"/>
      <c r="J220" s="993"/>
      <c r="K220" s="994"/>
      <c r="L220" s="993"/>
      <c r="M220" s="993"/>
      <c r="N220" s="995"/>
      <c r="O220" s="993"/>
      <c r="P220" s="994"/>
      <c r="Q220" s="993"/>
      <c r="R220" s="996"/>
      <c r="S220" s="993"/>
      <c r="T220" s="994"/>
      <c r="U220" s="994"/>
      <c r="V220" s="997"/>
      <c r="W220" s="998"/>
      <c r="X220" s="995"/>
      <c r="Y220" s="995"/>
      <c r="Z220" s="995"/>
      <c r="AA220" s="995"/>
      <c r="AB220" s="995"/>
      <c r="AC220" s="995"/>
      <c r="AD220" s="995"/>
      <c r="AE220" s="995"/>
      <c r="AF220" s="995"/>
      <c r="AG220" s="995"/>
      <c r="AH220" s="995"/>
      <c r="AI220" s="995"/>
      <c r="AJ220" s="995"/>
      <c r="AK220" s="995"/>
      <c r="AL220" s="995"/>
      <c r="AM220" s="995"/>
      <c r="AN220" s="995"/>
      <c r="AO220" s="993"/>
      <c r="AP220" s="993"/>
      <c r="AQ220" s="999"/>
    </row>
    <row r="221" spans="1:207" s="1004" customFormat="1" ht="100.5" customHeight="1">
      <c r="A221" s="853"/>
      <c r="B221" s="854"/>
      <c r="C221" s="855"/>
      <c r="D221" s="854"/>
      <c r="E221" s="854"/>
      <c r="F221" s="855"/>
      <c r="G221" s="856"/>
      <c r="H221" s="856"/>
      <c r="I221" s="857"/>
      <c r="J221" s="947">
        <v>166</v>
      </c>
      <c r="K221" s="1000" t="s">
        <v>1266</v>
      </c>
      <c r="L221" s="947" t="s">
        <v>908</v>
      </c>
      <c r="M221" s="1001">
        <v>1</v>
      </c>
      <c r="N221" s="3311" t="s">
        <v>1267</v>
      </c>
      <c r="O221" s="3419">
        <v>154</v>
      </c>
      <c r="P221" s="3324" t="s">
        <v>1268</v>
      </c>
      <c r="Q221" s="1002">
        <v>0</v>
      </c>
      <c r="R221" s="2526">
        <f>SUM(V222)</f>
        <v>23424840038</v>
      </c>
      <c r="S221" s="3324" t="s">
        <v>1269</v>
      </c>
      <c r="T221" s="968" t="s">
        <v>1270</v>
      </c>
      <c r="U221" s="1003" t="s">
        <v>1271</v>
      </c>
      <c r="V221" s="983">
        <v>0</v>
      </c>
      <c r="W221" s="3421" t="s">
        <v>1272</v>
      </c>
      <c r="X221" s="3311" t="s">
        <v>1273</v>
      </c>
      <c r="Y221" s="3311">
        <v>292684</v>
      </c>
      <c r="Z221" s="3311">
        <v>282326</v>
      </c>
      <c r="AA221" s="3321">
        <v>135912</v>
      </c>
      <c r="AB221" s="3321">
        <v>45122</v>
      </c>
      <c r="AC221" s="3321">
        <f>SUM(AC212)</f>
        <v>307101</v>
      </c>
      <c r="AD221" s="3321">
        <f>SUM(AD212)</f>
        <v>86875</v>
      </c>
      <c r="AE221" s="3321">
        <v>2145</v>
      </c>
      <c r="AF221" s="3429">
        <v>12718</v>
      </c>
      <c r="AG221" s="3429">
        <v>26</v>
      </c>
      <c r="AH221" s="3429">
        <v>37</v>
      </c>
      <c r="AI221" s="3429" t="s">
        <v>915</v>
      </c>
      <c r="AJ221" s="3429" t="s">
        <v>915</v>
      </c>
      <c r="AK221" s="3429">
        <v>53164</v>
      </c>
      <c r="AL221" s="3429">
        <v>16982</v>
      </c>
      <c r="AM221" s="3429">
        <v>60013</v>
      </c>
      <c r="AN221" s="3321">
        <v>575010</v>
      </c>
      <c r="AO221" s="3330">
        <v>43101</v>
      </c>
      <c r="AP221" s="3330">
        <v>43465</v>
      </c>
      <c r="AQ221" s="3333" t="s">
        <v>916</v>
      </c>
      <c r="AR221" s="842"/>
      <c r="AS221" s="842"/>
      <c r="AT221" s="842"/>
      <c r="AU221" s="842"/>
      <c r="AV221" s="842"/>
      <c r="AW221" s="842"/>
      <c r="AX221" s="842"/>
      <c r="AY221" s="842"/>
      <c r="AZ221" s="842"/>
      <c r="BA221" s="842"/>
      <c r="BB221" s="842"/>
      <c r="BC221" s="842"/>
      <c r="BD221" s="842"/>
      <c r="BE221" s="842"/>
      <c r="BF221" s="842"/>
      <c r="BG221" s="842"/>
      <c r="BH221" s="842"/>
      <c r="BI221" s="842"/>
      <c r="BJ221" s="842"/>
      <c r="BK221" s="842"/>
      <c r="BL221" s="842"/>
      <c r="BM221" s="842"/>
      <c r="BN221" s="842"/>
      <c r="BO221" s="842"/>
      <c r="BP221" s="842"/>
      <c r="BQ221" s="842"/>
      <c r="BR221" s="842"/>
      <c r="BS221" s="842"/>
      <c r="BT221" s="842"/>
      <c r="BU221" s="842"/>
      <c r="BV221" s="842"/>
      <c r="BW221" s="842"/>
      <c r="BX221" s="842"/>
      <c r="BY221" s="842"/>
      <c r="BZ221" s="842"/>
      <c r="CA221" s="842"/>
      <c r="CB221" s="842"/>
      <c r="CC221" s="842"/>
      <c r="CD221" s="842"/>
      <c r="CE221" s="842"/>
      <c r="CF221" s="842"/>
      <c r="CG221" s="842"/>
      <c r="CH221" s="842"/>
      <c r="CI221" s="842"/>
      <c r="CJ221" s="842"/>
      <c r="CK221" s="842"/>
      <c r="CL221" s="842"/>
      <c r="CM221" s="842"/>
      <c r="CN221" s="842"/>
      <c r="CO221" s="842"/>
      <c r="CP221" s="842"/>
      <c r="CQ221" s="842"/>
      <c r="CR221" s="842"/>
      <c r="CS221" s="842"/>
      <c r="CT221" s="842"/>
      <c r="CU221" s="842"/>
      <c r="CV221" s="842"/>
      <c r="CW221" s="842"/>
      <c r="CX221" s="842"/>
      <c r="CY221" s="842"/>
      <c r="CZ221" s="842"/>
      <c r="DA221" s="842"/>
      <c r="DB221" s="842"/>
      <c r="DC221" s="842"/>
      <c r="DD221" s="842"/>
      <c r="DE221" s="842"/>
      <c r="DF221" s="842"/>
      <c r="DG221" s="842"/>
      <c r="DH221" s="842"/>
      <c r="DI221" s="842"/>
      <c r="DJ221" s="842"/>
      <c r="DK221" s="842"/>
      <c r="DL221" s="842"/>
      <c r="DM221" s="842"/>
      <c r="DN221" s="842"/>
      <c r="DO221" s="842"/>
      <c r="DP221" s="842"/>
      <c r="DQ221" s="842"/>
      <c r="DR221" s="842"/>
      <c r="DS221" s="842"/>
      <c r="DT221" s="842"/>
      <c r="DU221" s="842"/>
      <c r="DV221" s="842"/>
      <c r="DW221" s="842"/>
      <c r="DX221" s="842"/>
      <c r="DY221" s="842"/>
      <c r="DZ221" s="842"/>
      <c r="EA221" s="842"/>
      <c r="EB221" s="842"/>
      <c r="EC221" s="842"/>
      <c r="ED221" s="842"/>
      <c r="EE221" s="842"/>
      <c r="EF221" s="842"/>
      <c r="EG221" s="842"/>
      <c r="EH221" s="842"/>
      <c r="EI221" s="842"/>
      <c r="EJ221" s="842"/>
      <c r="EK221" s="842"/>
      <c r="EL221" s="842"/>
      <c r="EM221" s="842"/>
      <c r="EN221" s="842"/>
      <c r="EO221" s="842"/>
      <c r="EP221" s="842"/>
      <c r="EQ221" s="842"/>
      <c r="ER221" s="842"/>
      <c r="ES221" s="842"/>
      <c r="ET221" s="842"/>
      <c r="EU221" s="842"/>
      <c r="EV221" s="842"/>
      <c r="EW221" s="842"/>
      <c r="EX221" s="842"/>
      <c r="EY221" s="842"/>
      <c r="EZ221" s="842"/>
      <c r="FA221" s="842"/>
      <c r="FB221" s="842"/>
      <c r="FC221" s="842"/>
      <c r="FD221" s="842"/>
      <c r="FE221" s="842"/>
      <c r="FF221" s="842"/>
      <c r="FG221" s="842"/>
      <c r="FH221" s="842"/>
      <c r="FI221" s="842"/>
      <c r="FJ221" s="842"/>
      <c r="FK221" s="842"/>
      <c r="FL221" s="842"/>
      <c r="FM221" s="842"/>
      <c r="FN221" s="842"/>
      <c r="FO221" s="842"/>
      <c r="FP221" s="842"/>
      <c r="FQ221" s="842"/>
      <c r="FR221" s="842"/>
      <c r="FS221" s="842"/>
      <c r="FT221" s="842"/>
      <c r="FU221" s="842"/>
      <c r="FV221" s="842"/>
      <c r="FW221" s="842"/>
      <c r="FX221" s="842"/>
      <c r="FY221" s="842"/>
      <c r="FZ221" s="842"/>
      <c r="GA221" s="842"/>
      <c r="GB221" s="842"/>
      <c r="GC221" s="842"/>
      <c r="GD221" s="842"/>
      <c r="GE221" s="842"/>
      <c r="GF221" s="842"/>
      <c r="GG221" s="842"/>
      <c r="GH221" s="842"/>
      <c r="GI221" s="842"/>
      <c r="GJ221" s="842"/>
      <c r="GK221" s="842"/>
      <c r="GL221" s="842"/>
      <c r="GM221" s="842"/>
      <c r="GN221" s="842"/>
      <c r="GO221" s="842"/>
      <c r="GP221" s="842"/>
      <c r="GQ221" s="842"/>
      <c r="GR221" s="842"/>
      <c r="GS221" s="842"/>
      <c r="GT221" s="842"/>
      <c r="GU221" s="842"/>
      <c r="GV221" s="842"/>
      <c r="GW221" s="842"/>
      <c r="GX221" s="842"/>
      <c r="GY221" s="842"/>
    </row>
    <row r="222" spans="1:207" s="1009" customFormat="1" ht="100.5" customHeight="1">
      <c r="A222" s="853"/>
      <c r="B222" s="854"/>
      <c r="C222" s="855"/>
      <c r="D222" s="854"/>
      <c r="E222" s="854"/>
      <c r="F222" s="855"/>
      <c r="G222" s="854"/>
      <c r="H222" s="854"/>
      <c r="I222" s="855"/>
      <c r="J222" s="947">
        <v>167</v>
      </c>
      <c r="K222" s="1000" t="s">
        <v>1274</v>
      </c>
      <c r="L222" s="947" t="s">
        <v>908</v>
      </c>
      <c r="M222" s="1001">
        <v>15</v>
      </c>
      <c r="N222" s="3312"/>
      <c r="O222" s="3420"/>
      <c r="P222" s="3325"/>
      <c r="Q222" s="1005">
        <v>1</v>
      </c>
      <c r="R222" s="2527"/>
      <c r="S222" s="3325"/>
      <c r="T222" s="1006" t="s">
        <v>1275</v>
      </c>
      <c r="U222" s="1007" t="s">
        <v>1276</v>
      </c>
      <c r="V222" s="1008">
        <f>14138365032-34387140+9241365080+79497066</f>
        <v>23424840038</v>
      </c>
      <c r="W222" s="3422"/>
      <c r="X222" s="3312"/>
      <c r="Y222" s="3312"/>
      <c r="Z222" s="3312"/>
      <c r="AA222" s="3322"/>
      <c r="AB222" s="3322"/>
      <c r="AC222" s="3322"/>
      <c r="AD222" s="3322"/>
      <c r="AE222" s="3322"/>
      <c r="AF222" s="3429"/>
      <c r="AG222" s="3429"/>
      <c r="AH222" s="3429"/>
      <c r="AI222" s="3429"/>
      <c r="AJ222" s="3429"/>
      <c r="AK222" s="3429"/>
      <c r="AL222" s="3429"/>
      <c r="AM222" s="3429"/>
      <c r="AN222" s="3322"/>
      <c r="AO222" s="3331"/>
      <c r="AP222" s="3331"/>
      <c r="AQ222" s="3334"/>
      <c r="AR222" s="842"/>
      <c r="AS222" s="842"/>
      <c r="AT222" s="842"/>
      <c r="AU222" s="842"/>
      <c r="AV222" s="842"/>
      <c r="AW222" s="842"/>
      <c r="AX222" s="842"/>
      <c r="AY222" s="842"/>
      <c r="AZ222" s="842"/>
      <c r="BA222" s="842"/>
      <c r="BB222" s="842"/>
      <c r="BC222" s="842"/>
      <c r="BD222" s="842"/>
      <c r="BE222" s="842"/>
      <c r="BF222" s="842"/>
      <c r="BG222" s="842"/>
      <c r="BH222" s="842"/>
      <c r="BI222" s="842"/>
      <c r="BJ222" s="842"/>
      <c r="BK222" s="842"/>
      <c r="BL222" s="842"/>
      <c r="BM222" s="842"/>
      <c r="BN222" s="842"/>
      <c r="BO222" s="842"/>
      <c r="BP222" s="842"/>
      <c r="BQ222" s="842"/>
      <c r="BR222" s="842"/>
      <c r="BS222" s="842"/>
      <c r="BT222" s="842"/>
      <c r="BU222" s="842"/>
      <c r="BV222" s="842"/>
      <c r="BW222" s="842"/>
      <c r="BX222" s="842"/>
      <c r="BY222" s="842"/>
      <c r="BZ222" s="842"/>
      <c r="CA222" s="842"/>
      <c r="CB222" s="842"/>
      <c r="CC222" s="842"/>
      <c r="CD222" s="842"/>
      <c r="CE222" s="842"/>
      <c r="CF222" s="842"/>
      <c r="CG222" s="842"/>
      <c r="CH222" s="842"/>
      <c r="CI222" s="842"/>
      <c r="CJ222" s="842"/>
      <c r="CK222" s="842"/>
      <c r="CL222" s="842"/>
      <c r="CM222" s="842"/>
      <c r="CN222" s="842"/>
      <c r="CO222" s="842"/>
      <c r="CP222" s="842"/>
      <c r="CQ222" s="842"/>
      <c r="CR222" s="842"/>
      <c r="CS222" s="842"/>
      <c r="CT222" s="842"/>
      <c r="CU222" s="842"/>
      <c r="CV222" s="842"/>
      <c r="CW222" s="842"/>
      <c r="CX222" s="842"/>
      <c r="CY222" s="842"/>
      <c r="CZ222" s="842"/>
      <c r="DA222" s="842"/>
      <c r="DB222" s="842"/>
      <c r="DC222" s="842"/>
      <c r="DD222" s="842"/>
      <c r="DE222" s="842"/>
      <c r="DF222" s="842"/>
      <c r="DG222" s="842"/>
      <c r="DH222" s="842"/>
      <c r="DI222" s="842"/>
      <c r="DJ222" s="842"/>
      <c r="DK222" s="842"/>
      <c r="DL222" s="842"/>
      <c r="DM222" s="842"/>
      <c r="DN222" s="842"/>
      <c r="DO222" s="842"/>
      <c r="DP222" s="842"/>
      <c r="DQ222" s="842"/>
      <c r="DR222" s="842"/>
      <c r="DS222" s="842"/>
      <c r="DT222" s="842"/>
      <c r="DU222" s="842"/>
      <c r="DV222" s="842"/>
      <c r="DW222" s="842"/>
      <c r="DX222" s="842"/>
      <c r="DY222" s="842"/>
      <c r="DZ222" s="842"/>
      <c r="EA222" s="842"/>
      <c r="EB222" s="842"/>
      <c r="EC222" s="842"/>
      <c r="ED222" s="842"/>
      <c r="EE222" s="842"/>
      <c r="EF222" s="842"/>
      <c r="EG222" s="842"/>
      <c r="EH222" s="842"/>
      <c r="EI222" s="842"/>
      <c r="EJ222" s="842"/>
      <c r="EK222" s="842"/>
      <c r="EL222" s="842"/>
      <c r="EM222" s="842"/>
      <c r="EN222" s="842"/>
      <c r="EO222" s="842"/>
      <c r="EP222" s="842"/>
      <c r="EQ222" s="842"/>
      <c r="ER222" s="842"/>
      <c r="ES222" s="842"/>
      <c r="ET222" s="842"/>
      <c r="EU222" s="842"/>
      <c r="EV222" s="842"/>
      <c r="EW222" s="842"/>
      <c r="EX222" s="842"/>
      <c r="EY222" s="842"/>
      <c r="EZ222" s="842"/>
      <c r="FA222" s="842"/>
      <c r="FB222" s="842"/>
      <c r="FC222" s="842"/>
      <c r="FD222" s="842"/>
      <c r="FE222" s="842"/>
      <c r="FF222" s="842"/>
      <c r="FG222" s="842"/>
      <c r="FH222" s="842"/>
      <c r="FI222" s="842"/>
      <c r="FJ222" s="842"/>
      <c r="FK222" s="842"/>
      <c r="FL222" s="842"/>
      <c r="FM222" s="842"/>
      <c r="FN222" s="842"/>
      <c r="FO222" s="842"/>
      <c r="FP222" s="842"/>
      <c r="FQ222" s="842"/>
      <c r="FR222" s="842"/>
      <c r="FS222" s="842"/>
      <c r="FT222" s="842"/>
      <c r="FU222" s="842"/>
      <c r="FV222" s="842"/>
      <c r="FW222" s="842"/>
      <c r="FX222" s="842"/>
      <c r="FY222" s="842"/>
      <c r="FZ222" s="842"/>
      <c r="GA222" s="842"/>
      <c r="GB222" s="842"/>
      <c r="GC222" s="842"/>
      <c r="GD222" s="842"/>
      <c r="GE222" s="842"/>
      <c r="GF222" s="842"/>
      <c r="GG222" s="842"/>
      <c r="GH222" s="842"/>
      <c r="GI222" s="842"/>
      <c r="GJ222" s="842"/>
      <c r="GK222" s="842"/>
      <c r="GL222" s="842"/>
      <c r="GM222" s="842"/>
      <c r="GN222" s="842"/>
      <c r="GO222" s="842"/>
      <c r="GP222" s="842"/>
      <c r="GQ222" s="842"/>
      <c r="GR222" s="842"/>
      <c r="GS222" s="842"/>
      <c r="GT222" s="842"/>
      <c r="GU222" s="842"/>
      <c r="GV222" s="842"/>
      <c r="GW222" s="842"/>
      <c r="GX222" s="842"/>
      <c r="GY222" s="842"/>
    </row>
    <row r="223" spans="1:43" ht="70.5" customHeight="1">
      <c r="A223" s="853"/>
      <c r="B223" s="854"/>
      <c r="C223" s="855"/>
      <c r="D223" s="854"/>
      <c r="E223" s="854"/>
      <c r="F223" s="855"/>
      <c r="G223" s="854"/>
      <c r="H223" s="854"/>
      <c r="I223" s="855"/>
      <c r="J223" s="3311">
        <v>168</v>
      </c>
      <c r="K223" s="3324" t="s">
        <v>1277</v>
      </c>
      <c r="L223" s="3311" t="s">
        <v>908</v>
      </c>
      <c r="M223" s="3311">
        <v>14</v>
      </c>
      <c r="N223" s="3312"/>
      <c r="O223" s="3420"/>
      <c r="P223" s="3325"/>
      <c r="Q223" s="2419">
        <v>0</v>
      </c>
      <c r="R223" s="2527"/>
      <c r="S223" s="3325"/>
      <c r="T223" s="3327" t="s">
        <v>1278</v>
      </c>
      <c r="U223" s="1007" t="s">
        <v>1279</v>
      </c>
      <c r="V223" s="1010">
        <f>0</f>
        <v>0</v>
      </c>
      <c r="W223" s="3422"/>
      <c r="X223" s="3312"/>
      <c r="Y223" s="3312"/>
      <c r="Z223" s="3312"/>
      <c r="AA223" s="3322"/>
      <c r="AB223" s="3322"/>
      <c r="AC223" s="3322"/>
      <c r="AD223" s="3322"/>
      <c r="AE223" s="3322"/>
      <c r="AF223" s="3429"/>
      <c r="AG223" s="3429"/>
      <c r="AH223" s="3429"/>
      <c r="AI223" s="3429"/>
      <c r="AJ223" s="3429"/>
      <c r="AK223" s="3429"/>
      <c r="AL223" s="3429"/>
      <c r="AM223" s="3429"/>
      <c r="AN223" s="3322"/>
      <c r="AO223" s="3331"/>
      <c r="AP223" s="3331"/>
      <c r="AQ223" s="3334"/>
    </row>
    <row r="224" spans="1:46" ht="79.5" customHeight="1">
      <c r="A224" s="853"/>
      <c r="B224" s="854"/>
      <c r="C224" s="855"/>
      <c r="D224" s="854"/>
      <c r="E224" s="854"/>
      <c r="F224" s="855"/>
      <c r="G224" s="1011"/>
      <c r="H224" s="1011"/>
      <c r="I224" s="1012"/>
      <c r="J224" s="3313"/>
      <c r="K224" s="3326"/>
      <c r="L224" s="3312"/>
      <c r="M224" s="3312"/>
      <c r="N224" s="3313"/>
      <c r="O224" s="3420"/>
      <c r="P224" s="3325"/>
      <c r="Q224" s="2421"/>
      <c r="R224" s="2527"/>
      <c r="S224" s="3325"/>
      <c r="T224" s="3329"/>
      <c r="U224" s="1013" t="s">
        <v>1280</v>
      </c>
      <c r="V224" s="1014">
        <f>0</f>
        <v>0</v>
      </c>
      <c r="W224" s="3423"/>
      <c r="X224" s="3313"/>
      <c r="Y224" s="3313"/>
      <c r="Z224" s="3313"/>
      <c r="AA224" s="3323"/>
      <c r="AB224" s="3323"/>
      <c r="AC224" s="3323"/>
      <c r="AD224" s="3323"/>
      <c r="AE224" s="3323"/>
      <c r="AF224" s="3321"/>
      <c r="AG224" s="3321"/>
      <c r="AH224" s="3321"/>
      <c r="AI224" s="3321"/>
      <c r="AJ224" s="3321"/>
      <c r="AK224" s="3321"/>
      <c r="AL224" s="3321"/>
      <c r="AM224" s="3321"/>
      <c r="AN224" s="3323"/>
      <c r="AO224" s="3331"/>
      <c r="AP224" s="3331"/>
      <c r="AQ224" s="3335"/>
      <c r="AR224" s="928"/>
      <c r="AS224" s="928"/>
      <c r="AT224" s="958"/>
    </row>
    <row r="225" spans="1:43" ht="36" customHeight="1">
      <c r="A225" s="853"/>
      <c r="B225" s="854"/>
      <c r="C225" s="855"/>
      <c r="D225" s="854"/>
      <c r="E225" s="854"/>
      <c r="F225" s="855"/>
      <c r="G225" s="1015">
        <v>51</v>
      </c>
      <c r="H225" s="1016" t="s">
        <v>1281</v>
      </c>
      <c r="I225" s="1016"/>
      <c r="J225" s="1017"/>
      <c r="K225" s="1018"/>
      <c r="L225" s="859"/>
      <c r="M225" s="859"/>
      <c r="N225" s="861"/>
      <c r="O225" s="859"/>
      <c r="P225" s="860"/>
      <c r="Q225" s="859"/>
      <c r="R225" s="892"/>
      <c r="S225" s="859"/>
      <c r="T225" s="860"/>
      <c r="U225" s="860"/>
      <c r="V225" s="1019"/>
      <c r="W225" s="894"/>
      <c r="X225" s="861"/>
      <c r="Y225" s="861"/>
      <c r="Z225" s="861"/>
      <c r="AA225" s="3430"/>
      <c r="AB225" s="3430"/>
      <c r="AC225" s="3430"/>
      <c r="AD225" s="3430"/>
      <c r="AE225" s="3430"/>
      <c r="AF225" s="3430"/>
      <c r="AG225" s="3430"/>
      <c r="AH225" s="3430"/>
      <c r="AI225" s="3430"/>
      <c r="AJ225" s="3430"/>
      <c r="AK225" s="3430"/>
      <c r="AL225" s="3430"/>
      <c r="AM225" s="3430"/>
      <c r="AN225" s="1020"/>
      <c r="AO225" s="859"/>
      <c r="AP225" s="859"/>
      <c r="AQ225" s="866"/>
    </row>
    <row r="226" spans="1:43" ht="76.5" customHeight="1">
      <c r="A226" s="1021"/>
      <c r="B226" s="1022"/>
      <c r="C226" s="1023"/>
      <c r="D226" s="1022"/>
      <c r="E226" s="1022"/>
      <c r="F226" s="1023"/>
      <c r="G226" s="1024"/>
      <c r="H226" s="1024"/>
      <c r="I226" s="1025"/>
      <c r="J226" s="3311">
        <v>169</v>
      </c>
      <c r="K226" s="3324" t="s">
        <v>1282</v>
      </c>
      <c r="L226" s="3311" t="s">
        <v>908</v>
      </c>
      <c r="M226" s="3311">
        <v>12</v>
      </c>
      <c r="N226" s="3311" t="s">
        <v>1283</v>
      </c>
      <c r="O226" s="3311">
        <v>155</v>
      </c>
      <c r="P226" s="3324" t="s">
        <v>1284</v>
      </c>
      <c r="Q226" s="2419">
        <v>1</v>
      </c>
      <c r="R226" s="2526">
        <f>SUM(V226+V227+V228)</f>
        <v>44149920</v>
      </c>
      <c r="S226" s="3324" t="s">
        <v>1285</v>
      </c>
      <c r="T226" s="967" t="s">
        <v>1286</v>
      </c>
      <c r="U226" s="908" t="s">
        <v>1287</v>
      </c>
      <c r="V226" s="874">
        <v>14716640</v>
      </c>
      <c r="W226" s="3350">
        <v>72</v>
      </c>
      <c r="X226" s="3311" t="s">
        <v>1249</v>
      </c>
      <c r="Y226" s="3311">
        <v>292684</v>
      </c>
      <c r="Z226" s="3311">
        <v>282326</v>
      </c>
      <c r="AA226" s="3321">
        <v>135912</v>
      </c>
      <c r="AB226" s="3321">
        <v>45122</v>
      </c>
      <c r="AC226" s="3432">
        <f>SUM(AC221)</f>
        <v>307101</v>
      </c>
      <c r="AD226" s="3321">
        <v>86875</v>
      </c>
      <c r="AE226" s="3321">
        <v>2145</v>
      </c>
      <c r="AF226" s="3321">
        <v>12718</v>
      </c>
      <c r="AG226" s="3321">
        <v>26</v>
      </c>
      <c r="AH226" s="3321">
        <v>37</v>
      </c>
      <c r="AI226" s="3321" t="s">
        <v>915</v>
      </c>
      <c r="AJ226" s="3432" t="s">
        <v>915</v>
      </c>
      <c r="AK226" s="3321">
        <v>53164</v>
      </c>
      <c r="AL226" s="3321">
        <v>16982</v>
      </c>
      <c r="AM226" s="3432">
        <v>60013</v>
      </c>
      <c r="AN226" s="3429">
        <v>575010</v>
      </c>
      <c r="AO226" s="3406">
        <v>43101</v>
      </c>
      <c r="AP226" s="3406">
        <v>43465</v>
      </c>
      <c r="AQ226" s="3333" t="s">
        <v>916</v>
      </c>
    </row>
    <row r="227" spans="1:43" ht="60">
      <c r="A227" s="1021"/>
      <c r="B227" s="1022"/>
      <c r="C227" s="1023"/>
      <c r="D227" s="1022"/>
      <c r="E227" s="1022"/>
      <c r="F227" s="1023"/>
      <c r="G227" s="1022"/>
      <c r="H227" s="1022"/>
      <c r="I227" s="1023"/>
      <c r="J227" s="3312"/>
      <c r="K227" s="3325"/>
      <c r="L227" s="3312"/>
      <c r="M227" s="3312"/>
      <c r="N227" s="3312"/>
      <c r="O227" s="3312"/>
      <c r="P227" s="3325"/>
      <c r="Q227" s="2420"/>
      <c r="R227" s="2527"/>
      <c r="S227" s="3325"/>
      <c r="T227" s="967" t="s">
        <v>1288</v>
      </c>
      <c r="U227" s="908" t="s">
        <v>1289</v>
      </c>
      <c r="V227" s="874">
        <v>14716640</v>
      </c>
      <c r="W227" s="3351"/>
      <c r="X227" s="3312"/>
      <c r="Y227" s="3312"/>
      <c r="Z227" s="3312"/>
      <c r="AA227" s="3322"/>
      <c r="AB227" s="3322"/>
      <c r="AC227" s="3433"/>
      <c r="AD227" s="3322"/>
      <c r="AE227" s="3322"/>
      <c r="AF227" s="3322"/>
      <c r="AG227" s="3322"/>
      <c r="AH227" s="3322"/>
      <c r="AI227" s="3322"/>
      <c r="AJ227" s="3433"/>
      <c r="AK227" s="3322"/>
      <c r="AL227" s="3322"/>
      <c r="AM227" s="3433"/>
      <c r="AN227" s="3429"/>
      <c r="AO227" s="3406"/>
      <c r="AP227" s="3406"/>
      <c r="AQ227" s="3334"/>
    </row>
    <row r="228" spans="1:46" ht="75">
      <c r="A228" s="867"/>
      <c r="B228" s="868"/>
      <c r="C228" s="869"/>
      <c r="D228" s="868"/>
      <c r="E228" s="868"/>
      <c r="F228" s="869"/>
      <c r="G228" s="881"/>
      <c r="H228" s="881"/>
      <c r="I228" s="882"/>
      <c r="J228" s="3313"/>
      <c r="K228" s="3326"/>
      <c r="L228" s="3313"/>
      <c r="M228" s="3313"/>
      <c r="N228" s="3313"/>
      <c r="O228" s="3313"/>
      <c r="P228" s="3326"/>
      <c r="Q228" s="2421"/>
      <c r="R228" s="2528"/>
      <c r="S228" s="3326"/>
      <c r="T228" s="967" t="s">
        <v>1277</v>
      </c>
      <c r="U228" s="908" t="s">
        <v>1290</v>
      </c>
      <c r="V228" s="874">
        <v>14716640</v>
      </c>
      <c r="W228" s="3352"/>
      <c r="X228" s="3313"/>
      <c r="Y228" s="3313"/>
      <c r="Z228" s="3313"/>
      <c r="AA228" s="3322"/>
      <c r="AB228" s="3322"/>
      <c r="AC228" s="3433"/>
      <c r="AD228" s="3322"/>
      <c r="AE228" s="3322"/>
      <c r="AF228" s="3322"/>
      <c r="AG228" s="3322"/>
      <c r="AH228" s="3322"/>
      <c r="AI228" s="3322"/>
      <c r="AJ228" s="3433"/>
      <c r="AK228" s="3322"/>
      <c r="AL228" s="3322"/>
      <c r="AM228" s="3433"/>
      <c r="AN228" s="3429"/>
      <c r="AO228" s="3406"/>
      <c r="AP228" s="3406"/>
      <c r="AQ228" s="3335"/>
      <c r="AR228" s="928"/>
      <c r="AS228" s="928"/>
      <c r="AT228" s="958"/>
    </row>
    <row r="229" spans="1:43" ht="36" customHeight="1">
      <c r="A229" s="853"/>
      <c r="B229" s="854"/>
      <c r="C229" s="855"/>
      <c r="D229" s="854"/>
      <c r="E229" s="854"/>
      <c r="F229" s="855"/>
      <c r="G229" s="891">
        <v>52</v>
      </c>
      <c r="H229" s="859" t="s">
        <v>1291</v>
      </c>
      <c r="I229" s="859"/>
      <c r="J229" s="859"/>
      <c r="K229" s="860"/>
      <c r="L229" s="859"/>
      <c r="M229" s="859"/>
      <c r="N229" s="861"/>
      <c r="O229" s="859"/>
      <c r="P229" s="860"/>
      <c r="Q229" s="859"/>
      <c r="R229" s="892"/>
      <c r="S229" s="859"/>
      <c r="T229" s="860"/>
      <c r="U229" s="860"/>
      <c r="V229" s="893"/>
      <c r="W229" s="894"/>
      <c r="X229" s="861"/>
      <c r="Y229" s="861"/>
      <c r="Z229" s="861"/>
      <c r="AA229" s="3431"/>
      <c r="AB229" s="3430"/>
      <c r="AC229" s="3430"/>
      <c r="AD229" s="3430"/>
      <c r="AE229" s="3430"/>
      <c r="AF229" s="3430"/>
      <c r="AG229" s="3430"/>
      <c r="AH229" s="3430"/>
      <c r="AI229" s="3430"/>
      <c r="AJ229" s="3430"/>
      <c r="AK229" s="3430"/>
      <c r="AL229" s="3430"/>
      <c r="AM229" s="3430"/>
      <c r="AN229" s="1026"/>
      <c r="AO229" s="859"/>
      <c r="AP229" s="859"/>
      <c r="AQ229" s="866"/>
    </row>
    <row r="230" spans="1:43" ht="51" customHeight="1">
      <c r="A230" s="896"/>
      <c r="B230" s="897"/>
      <c r="C230" s="898"/>
      <c r="D230" s="897"/>
      <c r="E230" s="897"/>
      <c r="F230" s="898"/>
      <c r="G230" s="900"/>
      <c r="H230" s="900"/>
      <c r="I230" s="901"/>
      <c r="J230" s="3311">
        <v>170</v>
      </c>
      <c r="K230" s="3327" t="s">
        <v>1292</v>
      </c>
      <c r="L230" s="3311" t="s">
        <v>908</v>
      </c>
      <c r="M230" s="3311">
        <v>14</v>
      </c>
      <c r="N230" s="3311" t="s">
        <v>1293</v>
      </c>
      <c r="O230" s="3311">
        <v>156</v>
      </c>
      <c r="P230" s="3311" t="s">
        <v>1294</v>
      </c>
      <c r="Q230" s="2419">
        <f>(V230+V232+V231+V233+V234)/R230</f>
        <v>1</v>
      </c>
      <c r="R230" s="2526">
        <f>SUM(V230:V235)</f>
        <v>138195556</v>
      </c>
      <c r="S230" s="3311" t="s">
        <v>1295</v>
      </c>
      <c r="T230" s="3324" t="s">
        <v>1296</v>
      </c>
      <c r="U230" s="1027" t="s">
        <v>1297</v>
      </c>
      <c r="V230" s="1028">
        <v>12817718</v>
      </c>
      <c r="W230" s="3421">
        <v>72</v>
      </c>
      <c r="X230" s="3311" t="s">
        <v>1249</v>
      </c>
      <c r="Y230" s="3311">
        <v>292684</v>
      </c>
      <c r="Z230" s="3311">
        <v>282326</v>
      </c>
      <c r="AA230" s="3321">
        <v>135912</v>
      </c>
      <c r="AB230" s="3321">
        <v>45122</v>
      </c>
      <c r="AC230" s="3432">
        <f>SUM(AC226)</f>
        <v>307101</v>
      </c>
      <c r="AD230" s="3321">
        <v>86875</v>
      </c>
      <c r="AE230" s="3321">
        <v>2145</v>
      </c>
      <c r="AF230" s="3321">
        <v>12718</v>
      </c>
      <c r="AG230" s="3321">
        <v>26</v>
      </c>
      <c r="AH230" s="3321">
        <v>37</v>
      </c>
      <c r="AI230" s="3321" t="s">
        <v>915</v>
      </c>
      <c r="AJ230" s="3321" t="s">
        <v>915</v>
      </c>
      <c r="AK230" s="3321">
        <v>53164</v>
      </c>
      <c r="AL230" s="3321">
        <v>16982</v>
      </c>
      <c r="AM230" s="3321">
        <v>60013</v>
      </c>
      <c r="AN230" s="3429">
        <v>575010</v>
      </c>
      <c r="AO230" s="3434">
        <v>43101</v>
      </c>
      <c r="AP230" s="3434">
        <v>43465</v>
      </c>
      <c r="AQ230" s="3435" t="s">
        <v>916</v>
      </c>
    </row>
    <row r="231" spans="1:43" ht="51" customHeight="1">
      <c r="A231" s="896"/>
      <c r="B231" s="897"/>
      <c r="C231" s="898"/>
      <c r="D231" s="897"/>
      <c r="E231" s="897"/>
      <c r="F231" s="898"/>
      <c r="G231" s="897"/>
      <c r="H231" s="897"/>
      <c r="I231" s="898"/>
      <c r="J231" s="3312"/>
      <c r="K231" s="3328"/>
      <c r="L231" s="3312"/>
      <c r="M231" s="3312"/>
      <c r="N231" s="3312"/>
      <c r="O231" s="3312"/>
      <c r="P231" s="3312"/>
      <c r="Q231" s="2420"/>
      <c r="R231" s="2527"/>
      <c r="S231" s="3312"/>
      <c r="T231" s="3325"/>
      <c r="U231" s="1027" t="s">
        <v>1298</v>
      </c>
      <c r="V231" s="1028">
        <v>15455421</v>
      </c>
      <c r="W231" s="3422"/>
      <c r="X231" s="3312"/>
      <c r="Y231" s="3312"/>
      <c r="Z231" s="3312"/>
      <c r="AA231" s="3322"/>
      <c r="AB231" s="3322"/>
      <c r="AC231" s="3322"/>
      <c r="AD231" s="3322"/>
      <c r="AE231" s="3322"/>
      <c r="AF231" s="3322"/>
      <c r="AG231" s="3322"/>
      <c r="AH231" s="3322"/>
      <c r="AI231" s="3322"/>
      <c r="AJ231" s="3322"/>
      <c r="AK231" s="3322"/>
      <c r="AL231" s="3322"/>
      <c r="AM231" s="3322"/>
      <c r="AN231" s="3429"/>
      <c r="AO231" s="3322"/>
      <c r="AP231" s="3322"/>
      <c r="AQ231" s="3436"/>
    </row>
    <row r="232" spans="1:43" ht="51" customHeight="1">
      <c r="A232" s="896"/>
      <c r="B232" s="897"/>
      <c r="C232" s="898"/>
      <c r="D232" s="897"/>
      <c r="E232" s="897"/>
      <c r="F232" s="898"/>
      <c r="G232" s="897"/>
      <c r="H232" s="897"/>
      <c r="I232" s="898"/>
      <c r="J232" s="3312"/>
      <c r="K232" s="3328"/>
      <c r="L232" s="3312"/>
      <c r="M232" s="3312"/>
      <c r="N232" s="3312"/>
      <c r="O232" s="3312"/>
      <c r="P232" s="3312"/>
      <c r="Q232" s="2420"/>
      <c r="R232" s="2527"/>
      <c r="S232" s="3312"/>
      <c r="T232" s="3326"/>
      <c r="U232" s="1027" t="s">
        <v>1299</v>
      </c>
      <c r="V232" s="874">
        <v>13862686</v>
      </c>
      <c r="W232" s="3422"/>
      <c r="X232" s="3312"/>
      <c r="Y232" s="3312"/>
      <c r="Z232" s="3312"/>
      <c r="AA232" s="3322"/>
      <c r="AB232" s="3322"/>
      <c r="AC232" s="3322"/>
      <c r="AD232" s="3322"/>
      <c r="AE232" s="3322"/>
      <c r="AF232" s="3322"/>
      <c r="AG232" s="3322"/>
      <c r="AH232" s="3322"/>
      <c r="AI232" s="3322"/>
      <c r="AJ232" s="3322"/>
      <c r="AK232" s="3322"/>
      <c r="AL232" s="3322"/>
      <c r="AM232" s="3322"/>
      <c r="AN232" s="3429"/>
      <c r="AO232" s="3322"/>
      <c r="AP232" s="3322"/>
      <c r="AQ232" s="3436"/>
    </row>
    <row r="233" spans="1:46" ht="57.75" customHeight="1">
      <c r="A233" s="896"/>
      <c r="B233" s="897"/>
      <c r="C233" s="898"/>
      <c r="D233" s="897"/>
      <c r="E233" s="897"/>
      <c r="F233" s="898"/>
      <c r="G233" s="897"/>
      <c r="H233" s="897"/>
      <c r="I233" s="898"/>
      <c r="J233" s="3312"/>
      <c r="K233" s="3328"/>
      <c r="L233" s="3312"/>
      <c r="M233" s="3312"/>
      <c r="N233" s="3312"/>
      <c r="O233" s="3312"/>
      <c r="P233" s="3312"/>
      <c r="Q233" s="2421"/>
      <c r="R233" s="2527"/>
      <c r="S233" s="3312"/>
      <c r="T233" s="1029"/>
      <c r="U233" s="1027" t="s">
        <v>1300</v>
      </c>
      <c r="V233" s="874">
        <v>90000000</v>
      </c>
      <c r="W233" s="3422"/>
      <c r="X233" s="3312"/>
      <c r="Y233" s="3312"/>
      <c r="Z233" s="3312"/>
      <c r="AA233" s="3322"/>
      <c r="AB233" s="3322"/>
      <c r="AC233" s="3322"/>
      <c r="AD233" s="3322"/>
      <c r="AE233" s="3322"/>
      <c r="AF233" s="3322"/>
      <c r="AG233" s="3322"/>
      <c r="AH233" s="3322"/>
      <c r="AI233" s="3322"/>
      <c r="AJ233" s="3322"/>
      <c r="AK233" s="3322"/>
      <c r="AL233" s="3322"/>
      <c r="AM233" s="3322"/>
      <c r="AN233" s="3429"/>
      <c r="AO233" s="3322"/>
      <c r="AP233" s="3322"/>
      <c r="AQ233" s="3436"/>
      <c r="AR233" s="928"/>
      <c r="AS233" s="928"/>
      <c r="AT233" s="958"/>
    </row>
    <row r="234" spans="1:43" ht="38.25" customHeight="1">
      <c r="A234" s="896"/>
      <c r="B234" s="897"/>
      <c r="C234" s="898"/>
      <c r="D234" s="897"/>
      <c r="E234" s="897"/>
      <c r="F234" s="898"/>
      <c r="G234" s="897"/>
      <c r="H234" s="897"/>
      <c r="I234" s="898"/>
      <c r="J234" s="3313"/>
      <c r="K234" s="3329"/>
      <c r="L234" s="3313"/>
      <c r="M234" s="3313"/>
      <c r="N234" s="3312"/>
      <c r="O234" s="3312"/>
      <c r="P234" s="3312"/>
      <c r="Q234" s="2419">
        <v>0</v>
      </c>
      <c r="R234" s="2527"/>
      <c r="S234" s="3312"/>
      <c r="T234" s="3327" t="s">
        <v>1301</v>
      </c>
      <c r="U234" s="1027" t="s">
        <v>1302</v>
      </c>
      <c r="V234" s="874">
        <v>6059731</v>
      </c>
      <c r="W234" s="3422"/>
      <c r="X234" s="3312"/>
      <c r="Y234" s="3312"/>
      <c r="Z234" s="3312"/>
      <c r="AA234" s="3322"/>
      <c r="AB234" s="3322"/>
      <c r="AC234" s="3322"/>
      <c r="AD234" s="3322"/>
      <c r="AE234" s="3322"/>
      <c r="AF234" s="3322"/>
      <c r="AG234" s="3322"/>
      <c r="AH234" s="3322"/>
      <c r="AI234" s="3322"/>
      <c r="AJ234" s="3322"/>
      <c r="AK234" s="3322"/>
      <c r="AL234" s="3322"/>
      <c r="AM234" s="3322"/>
      <c r="AN234" s="3429"/>
      <c r="AO234" s="3322"/>
      <c r="AP234" s="3322"/>
      <c r="AQ234" s="3436"/>
    </row>
    <row r="235" spans="1:46" ht="50.25" customHeight="1">
      <c r="A235" s="896"/>
      <c r="B235" s="897"/>
      <c r="C235" s="898"/>
      <c r="D235" s="897"/>
      <c r="E235" s="897"/>
      <c r="F235" s="898"/>
      <c r="G235" s="897"/>
      <c r="H235" s="897"/>
      <c r="I235" s="898"/>
      <c r="J235" s="947">
        <v>171</v>
      </c>
      <c r="K235" s="1030" t="s">
        <v>1303</v>
      </c>
      <c r="L235" s="947" t="s">
        <v>908</v>
      </c>
      <c r="M235" s="947">
        <v>1</v>
      </c>
      <c r="N235" s="3313"/>
      <c r="O235" s="3313"/>
      <c r="P235" s="3313"/>
      <c r="Q235" s="2421"/>
      <c r="R235" s="2528"/>
      <c r="S235" s="3313"/>
      <c r="T235" s="3329"/>
      <c r="U235" s="1027" t="s">
        <v>1304</v>
      </c>
      <c r="V235" s="874">
        <v>0</v>
      </c>
      <c r="W235" s="3423"/>
      <c r="X235" s="3313"/>
      <c r="Y235" s="3313"/>
      <c r="Z235" s="3313"/>
      <c r="AA235" s="3323"/>
      <c r="AB235" s="3323"/>
      <c r="AC235" s="3323"/>
      <c r="AD235" s="3323"/>
      <c r="AE235" s="3323"/>
      <c r="AF235" s="3323"/>
      <c r="AG235" s="3323"/>
      <c r="AH235" s="3323"/>
      <c r="AI235" s="3323"/>
      <c r="AJ235" s="3323"/>
      <c r="AK235" s="3323"/>
      <c r="AL235" s="3323"/>
      <c r="AM235" s="3323"/>
      <c r="AN235" s="3429"/>
      <c r="AO235" s="3323"/>
      <c r="AP235" s="3323"/>
      <c r="AQ235" s="3437"/>
      <c r="AR235" s="928"/>
      <c r="AS235" s="928"/>
      <c r="AT235" s="928"/>
    </row>
    <row r="236" spans="1:43" ht="53.25" customHeight="1">
      <c r="A236" s="896"/>
      <c r="B236" s="897"/>
      <c r="C236" s="898"/>
      <c r="D236" s="897"/>
      <c r="E236" s="897"/>
      <c r="F236" s="898"/>
      <c r="G236" s="897"/>
      <c r="H236" s="897"/>
      <c r="I236" s="898"/>
      <c r="J236" s="3311">
        <v>172</v>
      </c>
      <c r="K236" s="3324" t="s">
        <v>1305</v>
      </c>
      <c r="L236" s="3311" t="s">
        <v>908</v>
      </c>
      <c r="M236" s="3311">
        <v>12</v>
      </c>
      <c r="N236" s="947"/>
      <c r="O236" s="3311">
        <v>157</v>
      </c>
      <c r="P236" s="3324" t="s">
        <v>1306</v>
      </c>
      <c r="Q236" s="2419">
        <v>1</v>
      </c>
      <c r="R236" s="2526">
        <f>SUM(V236:V243)</f>
        <v>465004444</v>
      </c>
      <c r="S236" s="3324" t="s">
        <v>1307</v>
      </c>
      <c r="T236" s="3324" t="s">
        <v>1308</v>
      </c>
      <c r="U236" s="1031" t="s">
        <v>1309</v>
      </c>
      <c r="V236" s="874">
        <v>42000000</v>
      </c>
      <c r="W236" s="960"/>
      <c r="X236" s="1030"/>
      <c r="Y236" s="3311">
        <v>292684</v>
      </c>
      <c r="Z236" s="3311">
        <v>282326</v>
      </c>
      <c r="AA236" s="3321">
        <v>135912</v>
      </c>
      <c r="AB236" s="3321">
        <v>45122</v>
      </c>
      <c r="AC236" s="3432">
        <f>SUM(AC230)</f>
        <v>307101</v>
      </c>
      <c r="AD236" s="3321">
        <v>86875</v>
      </c>
      <c r="AE236" s="3321">
        <v>2145</v>
      </c>
      <c r="AF236" s="3321">
        <v>12718</v>
      </c>
      <c r="AG236" s="3321">
        <v>26</v>
      </c>
      <c r="AH236" s="3321">
        <v>37</v>
      </c>
      <c r="AI236" s="3321" t="s">
        <v>915</v>
      </c>
      <c r="AJ236" s="3321" t="s">
        <v>915</v>
      </c>
      <c r="AK236" s="3321">
        <v>53164</v>
      </c>
      <c r="AL236" s="3321">
        <v>16982</v>
      </c>
      <c r="AM236" s="3321">
        <v>60013</v>
      </c>
      <c r="AN236" s="3321">
        <v>575010</v>
      </c>
      <c r="AO236" s="3330">
        <v>43101</v>
      </c>
      <c r="AP236" s="3330">
        <v>43465</v>
      </c>
      <c r="AQ236" s="3333" t="s">
        <v>916</v>
      </c>
    </row>
    <row r="237" spans="1:43" ht="75">
      <c r="A237" s="896"/>
      <c r="B237" s="897"/>
      <c r="C237" s="898"/>
      <c r="D237" s="897"/>
      <c r="E237" s="897"/>
      <c r="F237" s="898"/>
      <c r="G237" s="897"/>
      <c r="H237" s="897"/>
      <c r="I237" s="898"/>
      <c r="J237" s="3312"/>
      <c r="K237" s="3325"/>
      <c r="L237" s="3312"/>
      <c r="M237" s="3312"/>
      <c r="N237" s="950" t="s">
        <v>1310</v>
      </c>
      <c r="O237" s="3312"/>
      <c r="P237" s="3325"/>
      <c r="Q237" s="2420"/>
      <c r="R237" s="2527"/>
      <c r="S237" s="3325"/>
      <c r="T237" s="3325"/>
      <c r="U237" s="1031" t="s">
        <v>1311</v>
      </c>
      <c r="V237" s="874">
        <v>50000000</v>
      </c>
      <c r="W237" s="952">
        <v>72</v>
      </c>
      <c r="X237" s="1032" t="s">
        <v>1249</v>
      </c>
      <c r="Y237" s="3312"/>
      <c r="Z237" s="3312"/>
      <c r="AA237" s="3322"/>
      <c r="AB237" s="3322"/>
      <c r="AC237" s="3322"/>
      <c r="AD237" s="3322"/>
      <c r="AE237" s="3322"/>
      <c r="AF237" s="3322"/>
      <c r="AG237" s="3322"/>
      <c r="AH237" s="3322"/>
      <c r="AI237" s="3322"/>
      <c r="AJ237" s="3322"/>
      <c r="AK237" s="3322"/>
      <c r="AL237" s="3322"/>
      <c r="AM237" s="3322"/>
      <c r="AN237" s="3322"/>
      <c r="AO237" s="3331"/>
      <c r="AP237" s="3331"/>
      <c r="AQ237" s="3334"/>
    </row>
    <row r="238" spans="1:43" ht="30">
      <c r="A238" s="896"/>
      <c r="B238" s="897"/>
      <c r="C238" s="898"/>
      <c r="D238" s="897"/>
      <c r="E238" s="897"/>
      <c r="F238" s="898"/>
      <c r="G238" s="897"/>
      <c r="H238" s="897"/>
      <c r="I238" s="898"/>
      <c r="J238" s="3312"/>
      <c r="K238" s="3325"/>
      <c r="L238" s="3312"/>
      <c r="M238" s="3312"/>
      <c r="N238" s="950"/>
      <c r="O238" s="3312"/>
      <c r="P238" s="3325"/>
      <c r="Q238" s="2420"/>
      <c r="R238" s="2527"/>
      <c r="S238" s="3325"/>
      <c r="T238" s="3325"/>
      <c r="U238" s="1031" t="s">
        <v>1312</v>
      </c>
      <c r="V238" s="874">
        <v>30000000</v>
      </c>
      <c r="W238" s="952"/>
      <c r="X238" s="1032"/>
      <c r="Y238" s="3312"/>
      <c r="Z238" s="3312"/>
      <c r="AA238" s="3322"/>
      <c r="AB238" s="3322"/>
      <c r="AC238" s="3322"/>
      <c r="AD238" s="3322"/>
      <c r="AE238" s="3322"/>
      <c r="AF238" s="3322"/>
      <c r="AG238" s="3322"/>
      <c r="AH238" s="3322"/>
      <c r="AI238" s="3322"/>
      <c r="AJ238" s="3322"/>
      <c r="AK238" s="3322"/>
      <c r="AL238" s="3322"/>
      <c r="AM238" s="3322"/>
      <c r="AN238" s="3322"/>
      <c r="AO238" s="3331"/>
      <c r="AP238" s="3331"/>
      <c r="AQ238" s="3334"/>
    </row>
    <row r="239" spans="1:43" ht="30">
      <c r="A239" s="896"/>
      <c r="B239" s="897"/>
      <c r="C239" s="898"/>
      <c r="D239" s="897"/>
      <c r="E239" s="897"/>
      <c r="F239" s="898"/>
      <c r="G239" s="897"/>
      <c r="H239" s="897"/>
      <c r="I239" s="898"/>
      <c r="J239" s="3312"/>
      <c r="K239" s="3325"/>
      <c r="L239" s="3312"/>
      <c r="M239" s="3312"/>
      <c r="N239" s="950"/>
      <c r="O239" s="3312"/>
      <c r="P239" s="3325"/>
      <c r="Q239" s="2420"/>
      <c r="R239" s="2527"/>
      <c r="S239" s="3325"/>
      <c r="T239" s="3325"/>
      <c r="U239" s="1031" t="s">
        <v>1313</v>
      </c>
      <c r="V239" s="926">
        <f>24000000+60000000</f>
        <v>84000000</v>
      </c>
      <c r="W239" s="952"/>
      <c r="X239" s="1032"/>
      <c r="Y239" s="3312"/>
      <c r="Z239" s="3312"/>
      <c r="AA239" s="3322"/>
      <c r="AB239" s="3322"/>
      <c r="AC239" s="3322"/>
      <c r="AD239" s="3322"/>
      <c r="AE239" s="3322"/>
      <c r="AF239" s="3322"/>
      <c r="AG239" s="3322"/>
      <c r="AH239" s="3322"/>
      <c r="AI239" s="3322"/>
      <c r="AJ239" s="3322"/>
      <c r="AK239" s="3322"/>
      <c r="AL239" s="3322"/>
      <c r="AM239" s="3322"/>
      <c r="AN239" s="3322"/>
      <c r="AO239" s="3331"/>
      <c r="AP239" s="3331"/>
      <c r="AQ239" s="3334"/>
    </row>
    <row r="240" spans="1:43" ht="45">
      <c r="A240" s="896"/>
      <c r="B240" s="897"/>
      <c r="C240" s="898"/>
      <c r="D240" s="897"/>
      <c r="E240" s="897"/>
      <c r="F240" s="898"/>
      <c r="G240" s="897"/>
      <c r="H240" s="897"/>
      <c r="I240" s="898"/>
      <c r="J240" s="3312"/>
      <c r="K240" s="3325"/>
      <c r="L240" s="3312"/>
      <c r="M240" s="3312"/>
      <c r="N240" s="950"/>
      <c r="O240" s="3312"/>
      <c r="P240" s="3325"/>
      <c r="Q240" s="2420"/>
      <c r="R240" s="2527"/>
      <c r="S240" s="3325"/>
      <c r="T240" s="3325"/>
      <c r="U240" s="1031" t="s">
        <v>1314</v>
      </c>
      <c r="V240" s="874">
        <v>100000000</v>
      </c>
      <c r="W240" s="952"/>
      <c r="X240" s="1032"/>
      <c r="Y240" s="3312"/>
      <c r="Z240" s="3312"/>
      <c r="AA240" s="3322"/>
      <c r="AB240" s="3322"/>
      <c r="AC240" s="3322"/>
      <c r="AD240" s="3322"/>
      <c r="AE240" s="3322"/>
      <c r="AF240" s="3322"/>
      <c r="AG240" s="3322"/>
      <c r="AH240" s="3322"/>
      <c r="AI240" s="3322"/>
      <c r="AJ240" s="3322"/>
      <c r="AK240" s="3322"/>
      <c r="AL240" s="3322"/>
      <c r="AM240" s="3322"/>
      <c r="AN240" s="3322"/>
      <c r="AO240" s="3331"/>
      <c r="AP240" s="3331"/>
      <c r="AQ240" s="3334"/>
    </row>
    <row r="241" spans="1:43" ht="30">
      <c r="A241" s="896"/>
      <c r="B241" s="897"/>
      <c r="C241" s="898"/>
      <c r="D241" s="897"/>
      <c r="E241" s="897"/>
      <c r="F241" s="898"/>
      <c r="G241" s="897"/>
      <c r="H241" s="897"/>
      <c r="I241" s="898"/>
      <c r="J241" s="3312"/>
      <c r="K241" s="3325"/>
      <c r="L241" s="3312"/>
      <c r="M241" s="3312"/>
      <c r="N241" s="950"/>
      <c r="O241" s="3312"/>
      <c r="P241" s="3325"/>
      <c r="Q241" s="2420"/>
      <c r="R241" s="2527"/>
      <c r="S241" s="3325"/>
      <c r="T241" s="3325"/>
      <c r="U241" s="1031" t="s">
        <v>1315</v>
      </c>
      <c r="V241" s="874">
        <v>124004444</v>
      </c>
      <c r="W241" s="952"/>
      <c r="X241" s="1032"/>
      <c r="Y241" s="3312"/>
      <c r="Z241" s="3312"/>
      <c r="AA241" s="3322"/>
      <c r="AB241" s="3322"/>
      <c r="AC241" s="3322"/>
      <c r="AD241" s="3322"/>
      <c r="AE241" s="3322"/>
      <c r="AF241" s="3322"/>
      <c r="AG241" s="3322"/>
      <c r="AH241" s="3322"/>
      <c r="AI241" s="3322"/>
      <c r="AJ241" s="3322"/>
      <c r="AK241" s="3322"/>
      <c r="AL241" s="3322"/>
      <c r="AM241" s="3322"/>
      <c r="AN241" s="3322"/>
      <c r="AO241" s="3331"/>
      <c r="AP241" s="3331"/>
      <c r="AQ241" s="3334"/>
    </row>
    <row r="242" spans="1:46" ht="45">
      <c r="A242" s="896"/>
      <c r="B242" s="897"/>
      <c r="C242" s="898"/>
      <c r="D242" s="897"/>
      <c r="E242" s="897"/>
      <c r="F242" s="898"/>
      <c r="G242" s="897"/>
      <c r="H242" s="897"/>
      <c r="I242" s="898"/>
      <c r="J242" s="3312"/>
      <c r="K242" s="3325"/>
      <c r="L242" s="3312"/>
      <c r="M242" s="3312"/>
      <c r="N242" s="950" t="s">
        <v>1316</v>
      </c>
      <c r="O242" s="3312"/>
      <c r="P242" s="3325"/>
      <c r="Q242" s="2420"/>
      <c r="R242" s="2527"/>
      <c r="S242" s="3325"/>
      <c r="T242" s="3326"/>
      <c r="U242" s="1031" t="s">
        <v>1317</v>
      </c>
      <c r="V242" s="874">
        <v>20000000</v>
      </c>
      <c r="W242" s="952">
        <v>20</v>
      </c>
      <c r="X242" s="950" t="s">
        <v>80</v>
      </c>
      <c r="Y242" s="3312"/>
      <c r="Z242" s="3312"/>
      <c r="AA242" s="3322"/>
      <c r="AB242" s="3322"/>
      <c r="AC242" s="3322"/>
      <c r="AD242" s="3322"/>
      <c r="AE242" s="3322"/>
      <c r="AF242" s="3322"/>
      <c r="AG242" s="3322"/>
      <c r="AH242" s="3322"/>
      <c r="AI242" s="3322"/>
      <c r="AJ242" s="3322"/>
      <c r="AK242" s="3322"/>
      <c r="AL242" s="3322"/>
      <c r="AM242" s="3322"/>
      <c r="AN242" s="3322"/>
      <c r="AO242" s="3331"/>
      <c r="AP242" s="3331"/>
      <c r="AQ242" s="3334"/>
      <c r="AS242" s="935"/>
      <c r="AT242" s="935"/>
    </row>
    <row r="243" spans="1:46" ht="45">
      <c r="A243" s="896"/>
      <c r="B243" s="897"/>
      <c r="C243" s="898"/>
      <c r="D243" s="897"/>
      <c r="E243" s="897"/>
      <c r="F243" s="898"/>
      <c r="G243" s="906"/>
      <c r="H243" s="906"/>
      <c r="I243" s="907"/>
      <c r="J243" s="3313"/>
      <c r="K243" s="3326"/>
      <c r="L243" s="3313"/>
      <c r="M243" s="3313"/>
      <c r="N243" s="956"/>
      <c r="O243" s="3313"/>
      <c r="P243" s="3326"/>
      <c r="Q243" s="2421"/>
      <c r="R243" s="2528"/>
      <c r="S243" s="3326"/>
      <c r="T243" s="967" t="s">
        <v>1318</v>
      </c>
      <c r="U243" s="1033" t="s">
        <v>1319</v>
      </c>
      <c r="V243" s="874">
        <v>15000000</v>
      </c>
      <c r="W243" s="964"/>
      <c r="X243" s="1034"/>
      <c r="Y243" s="3313"/>
      <c r="Z243" s="3313"/>
      <c r="AA243" s="3323"/>
      <c r="AB243" s="3323"/>
      <c r="AC243" s="3323"/>
      <c r="AD243" s="3323"/>
      <c r="AE243" s="3323"/>
      <c r="AF243" s="3323"/>
      <c r="AG243" s="3323"/>
      <c r="AH243" s="3323"/>
      <c r="AI243" s="3323"/>
      <c r="AJ243" s="3323"/>
      <c r="AK243" s="3323"/>
      <c r="AL243" s="3323"/>
      <c r="AM243" s="3323"/>
      <c r="AN243" s="3323"/>
      <c r="AO243" s="3332"/>
      <c r="AP243" s="3332"/>
      <c r="AQ243" s="3335"/>
      <c r="AR243" s="928"/>
      <c r="AS243" s="928"/>
      <c r="AT243" s="958"/>
    </row>
    <row r="244" spans="1:43" ht="36" customHeight="1">
      <c r="A244" s="853"/>
      <c r="B244" s="854"/>
      <c r="C244" s="855"/>
      <c r="D244" s="854"/>
      <c r="E244" s="854"/>
      <c r="F244" s="855"/>
      <c r="G244" s="891">
        <v>53</v>
      </c>
      <c r="H244" s="859" t="s">
        <v>1320</v>
      </c>
      <c r="I244" s="859"/>
      <c r="J244" s="859"/>
      <c r="K244" s="860"/>
      <c r="L244" s="859"/>
      <c r="M244" s="859"/>
      <c r="N244" s="861"/>
      <c r="O244" s="859"/>
      <c r="P244" s="860"/>
      <c r="Q244" s="859"/>
      <c r="R244" s="892"/>
      <c r="S244" s="859"/>
      <c r="T244" s="860"/>
      <c r="U244" s="860"/>
      <c r="V244" s="893"/>
      <c r="W244" s="894"/>
      <c r="X244" s="861"/>
      <c r="Y244" s="861"/>
      <c r="Z244" s="861"/>
      <c r="AA244" s="1035"/>
      <c r="AB244" s="1035"/>
      <c r="AC244" s="1036"/>
      <c r="AD244" s="1035"/>
      <c r="AE244" s="1035"/>
      <c r="AF244" s="1035"/>
      <c r="AG244" s="1035"/>
      <c r="AH244" s="1020"/>
      <c r="AI244" s="1035"/>
      <c r="AJ244" s="1036"/>
      <c r="AK244" s="1035"/>
      <c r="AL244" s="1035"/>
      <c r="AM244" s="1036"/>
      <c r="AN244" s="1035"/>
      <c r="AO244" s="859"/>
      <c r="AP244" s="859"/>
      <c r="AQ244" s="866"/>
    </row>
    <row r="245" spans="1:43" ht="51.75" customHeight="1">
      <c r="A245" s="867"/>
      <c r="B245" s="868"/>
      <c r="C245" s="869"/>
      <c r="D245" s="868"/>
      <c r="E245" s="868"/>
      <c r="F245" s="869"/>
      <c r="G245" s="871"/>
      <c r="H245" s="871"/>
      <c r="I245" s="872"/>
      <c r="J245" s="3311">
        <v>173</v>
      </c>
      <c r="K245" s="3324" t="s">
        <v>1321</v>
      </c>
      <c r="L245" s="3311" t="s">
        <v>908</v>
      </c>
      <c r="M245" s="3311">
        <v>7</v>
      </c>
      <c r="N245" s="3311" t="s">
        <v>1322</v>
      </c>
      <c r="O245" s="3311">
        <v>158</v>
      </c>
      <c r="P245" s="3324" t="s">
        <v>1323</v>
      </c>
      <c r="Q245" s="2419">
        <f>+(V245+V246+V247+V248+V249+V250+V251+V252)/R245</f>
        <v>1</v>
      </c>
      <c r="R245" s="2526">
        <f>SUM(V245:V253)</f>
        <v>35436120</v>
      </c>
      <c r="S245" s="3324" t="s">
        <v>1324</v>
      </c>
      <c r="T245" s="3327" t="s">
        <v>1325</v>
      </c>
      <c r="U245" s="1037" t="s">
        <v>1326</v>
      </c>
      <c r="V245" s="963">
        <v>2859030</v>
      </c>
      <c r="W245" s="3350">
        <v>72</v>
      </c>
      <c r="X245" s="3311" t="s">
        <v>1249</v>
      </c>
      <c r="Y245" s="3311">
        <v>292684</v>
      </c>
      <c r="Z245" s="3311">
        <v>282326</v>
      </c>
      <c r="AA245" s="3321">
        <v>135912</v>
      </c>
      <c r="AB245" s="3321">
        <v>45122</v>
      </c>
      <c r="AC245" s="3321">
        <f>AC236</f>
        <v>307101</v>
      </c>
      <c r="AD245" s="3321">
        <f>AD236</f>
        <v>86875</v>
      </c>
      <c r="AE245" s="3321">
        <v>2145</v>
      </c>
      <c r="AF245" s="3321">
        <v>12718</v>
      </c>
      <c r="AG245" s="3321">
        <v>26</v>
      </c>
      <c r="AH245" s="3321">
        <v>37</v>
      </c>
      <c r="AI245" s="3321" t="s">
        <v>915</v>
      </c>
      <c r="AJ245" s="3321" t="s">
        <v>915</v>
      </c>
      <c r="AK245" s="3321">
        <v>53164</v>
      </c>
      <c r="AL245" s="3321">
        <v>16982</v>
      </c>
      <c r="AM245" s="3321">
        <v>60013</v>
      </c>
      <c r="AN245" s="3321">
        <v>575010</v>
      </c>
      <c r="AO245" s="3330">
        <v>43101</v>
      </c>
      <c r="AP245" s="3330">
        <v>43465</v>
      </c>
      <c r="AQ245" s="3333" t="s">
        <v>916</v>
      </c>
    </row>
    <row r="246" spans="1:43" ht="66" customHeight="1">
      <c r="A246" s="867"/>
      <c r="B246" s="868"/>
      <c r="C246" s="869"/>
      <c r="D246" s="868"/>
      <c r="E246" s="868"/>
      <c r="F246" s="869"/>
      <c r="G246" s="868"/>
      <c r="H246" s="868"/>
      <c r="I246" s="869"/>
      <c r="J246" s="3312"/>
      <c r="K246" s="3325"/>
      <c r="L246" s="3312"/>
      <c r="M246" s="3312"/>
      <c r="N246" s="3312"/>
      <c r="O246" s="3312"/>
      <c r="P246" s="3325"/>
      <c r="Q246" s="2420"/>
      <c r="R246" s="2527"/>
      <c r="S246" s="3325"/>
      <c r="T246" s="3328"/>
      <c r="U246" s="1037" t="s">
        <v>1327</v>
      </c>
      <c r="V246" s="963">
        <v>2000000</v>
      </c>
      <c r="W246" s="3351"/>
      <c r="X246" s="3312"/>
      <c r="Y246" s="3312"/>
      <c r="Z246" s="3312"/>
      <c r="AA246" s="3322"/>
      <c r="AB246" s="3322"/>
      <c r="AC246" s="3322"/>
      <c r="AD246" s="3322"/>
      <c r="AE246" s="3322"/>
      <c r="AF246" s="3322"/>
      <c r="AG246" s="3322"/>
      <c r="AH246" s="3322"/>
      <c r="AI246" s="3322"/>
      <c r="AJ246" s="3322"/>
      <c r="AK246" s="3322"/>
      <c r="AL246" s="3322"/>
      <c r="AM246" s="3322"/>
      <c r="AN246" s="3322"/>
      <c r="AO246" s="3331"/>
      <c r="AP246" s="3331"/>
      <c r="AQ246" s="3334"/>
    </row>
    <row r="247" spans="1:43" ht="45">
      <c r="A247" s="867"/>
      <c r="B247" s="868"/>
      <c r="C247" s="869"/>
      <c r="D247" s="868"/>
      <c r="E247" s="868"/>
      <c r="F247" s="869"/>
      <c r="G247" s="868"/>
      <c r="H247" s="868"/>
      <c r="I247" s="869"/>
      <c r="J247" s="3312"/>
      <c r="K247" s="3325"/>
      <c r="L247" s="3312"/>
      <c r="M247" s="3312"/>
      <c r="N247" s="3312"/>
      <c r="O247" s="3312"/>
      <c r="P247" s="3325"/>
      <c r="Q247" s="2420"/>
      <c r="R247" s="2527"/>
      <c r="S247" s="3325"/>
      <c r="T247" s="3328"/>
      <c r="U247" s="1037" t="s">
        <v>1328</v>
      </c>
      <c r="V247" s="963">
        <v>2000000</v>
      </c>
      <c r="W247" s="3351"/>
      <c r="X247" s="3312"/>
      <c r="Y247" s="3312"/>
      <c r="Z247" s="3312"/>
      <c r="AA247" s="3322"/>
      <c r="AB247" s="3322"/>
      <c r="AC247" s="3322"/>
      <c r="AD247" s="3322"/>
      <c r="AE247" s="3322"/>
      <c r="AF247" s="3322"/>
      <c r="AG247" s="3322"/>
      <c r="AH247" s="3322"/>
      <c r="AI247" s="3322"/>
      <c r="AJ247" s="3322"/>
      <c r="AK247" s="3322"/>
      <c r="AL247" s="3322"/>
      <c r="AM247" s="3322"/>
      <c r="AN247" s="3322"/>
      <c r="AO247" s="3331"/>
      <c r="AP247" s="3331"/>
      <c r="AQ247" s="3334"/>
    </row>
    <row r="248" spans="1:43" ht="60">
      <c r="A248" s="867"/>
      <c r="B248" s="868"/>
      <c r="C248" s="869"/>
      <c r="D248" s="868"/>
      <c r="E248" s="868"/>
      <c r="F248" s="869"/>
      <c r="G248" s="868"/>
      <c r="H248" s="868"/>
      <c r="I248" s="869"/>
      <c r="J248" s="3312"/>
      <c r="K248" s="3325"/>
      <c r="L248" s="3312"/>
      <c r="M248" s="3312"/>
      <c r="N248" s="3312"/>
      <c r="O248" s="3312"/>
      <c r="P248" s="3325"/>
      <c r="Q248" s="2420"/>
      <c r="R248" s="2527"/>
      <c r="S248" s="3325"/>
      <c r="T248" s="3328"/>
      <c r="U248" s="1037" t="s">
        <v>1329</v>
      </c>
      <c r="V248" s="963">
        <v>2000000</v>
      </c>
      <c r="W248" s="3351"/>
      <c r="X248" s="3312"/>
      <c r="Y248" s="3312"/>
      <c r="Z248" s="3312"/>
      <c r="AA248" s="3322"/>
      <c r="AB248" s="3322"/>
      <c r="AC248" s="3322"/>
      <c r="AD248" s="3322"/>
      <c r="AE248" s="3322"/>
      <c r="AF248" s="3322"/>
      <c r="AG248" s="3322"/>
      <c r="AH248" s="3322"/>
      <c r="AI248" s="3322"/>
      <c r="AJ248" s="3322"/>
      <c r="AK248" s="3322"/>
      <c r="AL248" s="3322"/>
      <c r="AM248" s="3322"/>
      <c r="AN248" s="3322"/>
      <c r="AO248" s="3331"/>
      <c r="AP248" s="3331"/>
      <c r="AQ248" s="3334"/>
    </row>
    <row r="249" spans="1:46" ht="45">
      <c r="A249" s="867"/>
      <c r="B249" s="868"/>
      <c r="C249" s="869"/>
      <c r="D249" s="868"/>
      <c r="E249" s="868"/>
      <c r="F249" s="869"/>
      <c r="G249" s="868"/>
      <c r="H249" s="868"/>
      <c r="I249" s="869"/>
      <c r="J249" s="3312"/>
      <c r="K249" s="3325"/>
      <c r="L249" s="3312"/>
      <c r="M249" s="3312"/>
      <c r="N249" s="3312"/>
      <c r="O249" s="3312"/>
      <c r="P249" s="3325"/>
      <c r="Q249" s="2420"/>
      <c r="R249" s="2527"/>
      <c r="S249" s="3325"/>
      <c r="T249" s="3329"/>
      <c r="U249" s="1037" t="s">
        <v>1330</v>
      </c>
      <c r="V249" s="963">
        <v>17718060</v>
      </c>
      <c r="W249" s="3351"/>
      <c r="X249" s="3312"/>
      <c r="Y249" s="3312"/>
      <c r="Z249" s="3312"/>
      <c r="AA249" s="3322"/>
      <c r="AB249" s="3322"/>
      <c r="AC249" s="3322"/>
      <c r="AD249" s="3322"/>
      <c r="AE249" s="3322"/>
      <c r="AF249" s="3322"/>
      <c r="AG249" s="3322"/>
      <c r="AH249" s="3322"/>
      <c r="AI249" s="3322"/>
      <c r="AJ249" s="3322"/>
      <c r="AK249" s="3322"/>
      <c r="AL249" s="3322"/>
      <c r="AM249" s="3322"/>
      <c r="AN249" s="3322"/>
      <c r="AO249" s="3331"/>
      <c r="AP249" s="3331"/>
      <c r="AQ249" s="3334"/>
      <c r="AR249" s="928"/>
      <c r="AS249" s="928"/>
      <c r="AT249" s="928"/>
    </row>
    <row r="250" spans="1:43" ht="51" customHeight="1">
      <c r="A250" s="867"/>
      <c r="B250" s="868"/>
      <c r="C250" s="869"/>
      <c r="D250" s="868"/>
      <c r="E250" s="868"/>
      <c r="F250" s="869"/>
      <c r="G250" s="868"/>
      <c r="H250" s="868"/>
      <c r="I250" s="869"/>
      <c r="J250" s="3312"/>
      <c r="K250" s="3325"/>
      <c r="L250" s="3312"/>
      <c r="M250" s="3312"/>
      <c r="N250" s="3312"/>
      <c r="O250" s="3312"/>
      <c r="P250" s="3325"/>
      <c r="Q250" s="2420"/>
      <c r="R250" s="2527"/>
      <c r="S250" s="3325"/>
      <c r="T250" s="3327" t="s">
        <v>1331</v>
      </c>
      <c r="U250" s="1037" t="s">
        <v>1332</v>
      </c>
      <c r="V250" s="963">
        <v>3859030</v>
      </c>
      <c r="W250" s="3351"/>
      <c r="X250" s="3312"/>
      <c r="Y250" s="3312"/>
      <c r="Z250" s="3312"/>
      <c r="AA250" s="3322"/>
      <c r="AB250" s="3322"/>
      <c r="AC250" s="3322"/>
      <c r="AD250" s="3322"/>
      <c r="AE250" s="3322"/>
      <c r="AF250" s="3322"/>
      <c r="AG250" s="3322"/>
      <c r="AH250" s="3322"/>
      <c r="AI250" s="3322"/>
      <c r="AJ250" s="3322"/>
      <c r="AK250" s="3322"/>
      <c r="AL250" s="3322"/>
      <c r="AM250" s="3322"/>
      <c r="AN250" s="3322"/>
      <c r="AO250" s="3331"/>
      <c r="AP250" s="3331"/>
      <c r="AQ250" s="3334"/>
    </row>
    <row r="251" spans="1:43" ht="82.5" customHeight="1">
      <c r="A251" s="867"/>
      <c r="B251" s="868"/>
      <c r="C251" s="869"/>
      <c r="D251" s="868"/>
      <c r="E251" s="868"/>
      <c r="F251" s="869"/>
      <c r="G251" s="868"/>
      <c r="H251" s="868"/>
      <c r="I251" s="869"/>
      <c r="J251" s="3312"/>
      <c r="K251" s="3325"/>
      <c r="L251" s="3312"/>
      <c r="M251" s="3312"/>
      <c r="N251" s="3312"/>
      <c r="O251" s="3312"/>
      <c r="P251" s="3325"/>
      <c r="Q251" s="2420"/>
      <c r="R251" s="2527"/>
      <c r="S251" s="3325"/>
      <c r="T251" s="3329"/>
      <c r="U251" s="1037" t="s">
        <v>1333</v>
      </c>
      <c r="V251" s="963">
        <v>2000000</v>
      </c>
      <c r="W251" s="3351"/>
      <c r="X251" s="3312"/>
      <c r="Y251" s="3312"/>
      <c r="Z251" s="3312"/>
      <c r="AA251" s="3322"/>
      <c r="AB251" s="3322"/>
      <c r="AC251" s="3322"/>
      <c r="AD251" s="3322"/>
      <c r="AE251" s="3322"/>
      <c r="AF251" s="3322"/>
      <c r="AG251" s="3322"/>
      <c r="AH251" s="3322"/>
      <c r="AI251" s="3322"/>
      <c r="AJ251" s="3322"/>
      <c r="AK251" s="3322"/>
      <c r="AL251" s="3322"/>
      <c r="AM251" s="3322"/>
      <c r="AN251" s="3322"/>
      <c r="AO251" s="3331"/>
      <c r="AP251" s="3331"/>
      <c r="AQ251" s="3334"/>
    </row>
    <row r="252" spans="1:46" ht="58.5" customHeight="1">
      <c r="A252" s="867"/>
      <c r="B252" s="868"/>
      <c r="C252" s="869"/>
      <c r="D252" s="868"/>
      <c r="E252" s="868"/>
      <c r="F252" s="869"/>
      <c r="G252" s="868"/>
      <c r="H252" s="868"/>
      <c r="I252" s="869"/>
      <c r="J252" s="3312"/>
      <c r="K252" s="3325"/>
      <c r="L252" s="3312"/>
      <c r="M252" s="3312"/>
      <c r="N252" s="3312"/>
      <c r="O252" s="3312"/>
      <c r="P252" s="3325"/>
      <c r="Q252" s="2420"/>
      <c r="R252" s="2527"/>
      <c r="S252" s="3325"/>
      <c r="T252" s="1000" t="s">
        <v>1334</v>
      </c>
      <c r="U252" s="1037" t="s">
        <v>1335</v>
      </c>
      <c r="V252" s="963">
        <v>3000000</v>
      </c>
      <c r="W252" s="3351"/>
      <c r="X252" s="3312"/>
      <c r="Y252" s="3312"/>
      <c r="Z252" s="3312"/>
      <c r="AA252" s="3322"/>
      <c r="AB252" s="3322"/>
      <c r="AC252" s="3322"/>
      <c r="AD252" s="3322"/>
      <c r="AE252" s="3322"/>
      <c r="AF252" s="3322"/>
      <c r="AG252" s="3322"/>
      <c r="AH252" s="3322"/>
      <c r="AI252" s="3322"/>
      <c r="AJ252" s="3322"/>
      <c r="AK252" s="3322"/>
      <c r="AL252" s="3322"/>
      <c r="AM252" s="3322"/>
      <c r="AN252" s="3322"/>
      <c r="AO252" s="3331"/>
      <c r="AP252" s="3331"/>
      <c r="AQ252" s="3334"/>
      <c r="AR252" s="928"/>
      <c r="AS252" s="928"/>
      <c r="AT252" s="958"/>
    </row>
    <row r="253" spans="1:43" ht="66.75" customHeight="1">
      <c r="A253" s="1021"/>
      <c r="B253" s="1022"/>
      <c r="C253" s="1023"/>
      <c r="D253" s="1022"/>
      <c r="E253" s="1022"/>
      <c r="F253" s="1023"/>
      <c r="G253" s="1038"/>
      <c r="H253" s="1038"/>
      <c r="I253" s="1039"/>
      <c r="J253" s="966">
        <v>174</v>
      </c>
      <c r="K253" s="967" t="s">
        <v>1336</v>
      </c>
      <c r="L253" s="966" t="s">
        <v>908</v>
      </c>
      <c r="M253" s="966">
        <v>150</v>
      </c>
      <c r="N253" s="3313"/>
      <c r="O253" s="3313"/>
      <c r="P253" s="3326"/>
      <c r="Q253" s="1005">
        <v>0</v>
      </c>
      <c r="R253" s="2528"/>
      <c r="S253" s="3326"/>
      <c r="T253" s="1000" t="s">
        <v>1337</v>
      </c>
      <c r="U253" s="908" t="s">
        <v>1338</v>
      </c>
      <c r="V253" s="963">
        <v>0</v>
      </c>
      <c r="W253" s="3352"/>
      <c r="X253" s="3313"/>
      <c r="Y253" s="3313"/>
      <c r="Z253" s="3313"/>
      <c r="AA253" s="3323"/>
      <c r="AB253" s="3323"/>
      <c r="AC253" s="3323"/>
      <c r="AD253" s="3323"/>
      <c r="AE253" s="3323"/>
      <c r="AF253" s="3323"/>
      <c r="AG253" s="3323"/>
      <c r="AH253" s="3323"/>
      <c r="AI253" s="3323"/>
      <c r="AJ253" s="3323"/>
      <c r="AK253" s="3323"/>
      <c r="AL253" s="3323"/>
      <c r="AM253" s="3323"/>
      <c r="AN253" s="3323"/>
      <c r="AO253" s="3332"/>
      <c r="AP253" s="3332"/>
      <c r="AQ253" s="3335"/>
    </row>
    <row r="254" spans="1:43" ht="36" customHeight="1">
      <c r="A254" s="853"/>
      <c r="B254" s="854"/>
      <c r="C254" s="855"/>
      <c r="D254" s="854"/>
      <c r="E254" s="854"/>
      <c r="F254" s="855"/>
      <c r="G254" s="992">
        <v>54</v>
      </c>
      <c r="H254" s="993" t="s">
        <v>1339</v>
      </c>
      <c r="I254" s="993"/>
      <c r="J254" s="859"/>
      <c r="K254" s="860"/>
      <c r="L254" s="859"/>
      <c r="M254" s="859"/>
      <c r="N254" s="861"/>
      <c r="O254" s="859"/>
      <c r="P254" s="860"/>
      <c r="Q254" s="859"/>
      <c r="R254" s="892"/>
      <c r="S254" s="859"/>
      <c r="T254" s="860"/>
      <c r="U254" s="860"/>
      <c r="V254" s="893"/>
      <c r="W254" s="894"/>
      <c r="X254" s="861"/>
      <c r="Y254" s="861"/>
      <c r="Z254" s="861"/>
      <c r="AA254" s="1035"/>
      <c r="AB254" s="1035"/>
      <c r="AC254" s="1036"/>
      <c r="AD254" s="1035"/>
      <c r="AE254" s="1035"/>
      <c r="AF254" s="1035"/>
      <c r="AG254" s="1035"/>
      <c r="AH254" s="1020"/>
      <c r="AI254" s="1035"/>
      <c r="AJ254" s="1036"/>
      <c r="AK254" s="1035"/>
      <c r="AL254" s="1035"/>
      <c r="AM254" s="1036"/>
      <c r="AN254" s="1035"/>
      <c r="AO254" s="859"/>
      <c r="AP254" s="859"/>
      <c r="AQ254" s="866"/>
    </row>
    <row r="255" spans="1:47" ht="64.5" customHeight="1">
      <c r="A255" s="867"/>
      <c r="B255" s="868"/>
      <c r="C255" s="869"/>
      <c r="D255" s="868"/>
      <c r="E255" s="868"/>
      <c r="F255" s="868"/>
      <c r="G255" s="870"/>
      <c r="H255" s="871"/>
      <c r="I255" s="872"/>
      <c r="J255" s="3383">
        <v>175</v>
      </c>
      <c r="K255" s="3390" t="s">
        <v>1340</v>
      </c>
      <c r="L255" s="3383" t="s">
        <v>908</v>
      </c>
      <c r="M255" s="3383">
        <v>14</v>
      </c>
      <c r="N255" s="3383" t="s">
        <v>1341</v>
      </c>
      <c r="O255" s="3383">
        <v>159</v>
      </c>
      <c r="P255" s="3378" t="s">
        <v>1342</v>
      </c>
      <c r="Q255" s="2409">
        <v>1</v>
      </c>
      <c r="R255" s="3427">
        <v>1248452415</v>
      </c>
      <c r="S255" s="3378" t="s">
        <v>1343</v>
      </c>
      <c r="T255" s="3444" t="s">
        <v>1344</v>
      </c>
      <c r="U255" s="1037" t="s">
        <v>1345</v>
      </c>
      <c r="V255" s="1040">
        <f>173817720-100000000</f>
        <v>73817720</v>
      </c>
      <c r="W255" s="3445" t="s">
        <v>1346</v>
      </c>
      <c r="X255" s="3415" t="s">
        <v>1347</v>
      </c>
      <c r="Y255" s="3336">
        <v>292684</v>
      </c>
      <c r="Z255" s="3336">
        <v>282326</v>
      </c>
      <c r="AA255" s="2259">
        <v>135912</v>
      </c>
      <c r="AB255" s="2259">
        <v>45122</v>
      </c>
      <c r="AC255" s="2259">
        <f>AC245</f>
        <v>307101</v>
      </c>
      <c r="AD255" s="2259">
        <f>AD245</f>
        <v>86875</v>
      </c>
      <c r="AE255" s="2259">
        <v>2145</v>
      </c>
      <c r="AF255" s="2259">
        <v>12718</v>
      </c>
      <c r="AG255" s="2259">
        <v>26</v>
      </c>
      <c r="AH255" s="2259">
        <v>37</v>
      </c>
      <c r="AI255" s="2259" t="s">
        <v>915</v>
      </c>
      <c r="AJ255" s="2259" t="s">
        <v>915</v>
      </c>
      <c r="AK255" s="2259">
        <v>53164</v>
      </c>
      <c r="AL255" s="2259">
        <v>16982</v>
      </c>
      <c r="AM255" s="2259">
        <v>60013</v>
      </c>
      <c r="AN255" s="3353">
        <v>575010</v>
      </c>
      <c r="AO255" s="3440">
        <v>43101</v>
      </c>
      <c r="AP255" s="3440">
        <v>43465</v>
      </c>
      <c r="AQ255" s="3333" t="s">
        <v>916</v>
      </c>
      <c r="AS255" s="935"/>
      <c r="AT255" s="935"/>
      <c r="AU255" s="935"/>
    </row>
    <row r="256" spans="1:48" ht="48" customHeight="1">
      <c r="A256" s="867"/>
      <c r="B256" s="868"/>
      <c r="C256" s="869"/>
      <c r="D256" s="868"/>
      <c r="E256" s="868"/>
      <c r="F256" s="868"/>
      <c r="G256" s="877"/>
      <c r="H256" s="868"/>
      <c r="I256" s="869"/>
      <c r="J256" s="3384"/>
      <c r="K256" s="3391"/>
      <c r="L256" s="3384"/>
      <c r="M256" s="3384"/>
      <c r="N256" s="3384"/>
      <c r="O256" s="3384"/>
      <c r="P256" s="3379"/>
      <c r="Q256" s="2409"/>
      <c r="R256" s="3427"/>
      <c r="S256" s="3379"/>
      <c r="T256" s="3444"/>
      <c r="U256" s="1037" t="s">
        <v>1348</v>
      </c>
      <c r="V256" s="926">
        <f>0+100000000+74634695+1000000000</f>
        <v>1174634695</v>
      </c>
      <c r="W256" s="3445"/>
      <c r="X256" s="3446"/>
      <c r="Y256" s="3336"/>
      <c r="Z256" s="3336"/>
      <c r="AA256" s="2259"/>
      <c r="AB256" s="2259"/>
      <c r="AC256" s="2259"/>
      <c r="AD256" s="2259"/>
      <c r="AE256" s="2259"/>
      <c r="AF256" s="2259"/>
      <c r="AG256" s="2259"/>
      <c r="AH256" s="2259"/>
      <c r="AI256" s="2259"/>
      <c r="AJ256" s="2259"/>
      <c r="AK256" s="2259"/>
      <c r="AL256" s="2259"/>
      <c r="AM256" s="2259"/>
      <c r="AN256" s="3354"/>
      <c r="AO256" s="2259"/>
      <c r="AP256" s="2259"/>
      <c r="AQ256" s="3334"/>
      <c r="AR256" s="928"/>
      <c r="AS256" s="928"/>
      <c r="AT256" s="958"/>
      <c r="AU256" s="935"/>
      <c r="AV256" s="935"/>
    </row>
    <row r="257" spans="1:43" ht="66.75" customHeight="1">
      <c r="A257" s="867"/>
      <c r="B257" s="868"/>
      <c r="C257" s="869"/>
      <c r="D257" s="881"/>
      <c r="E257" s="881"/>
      <c r="F257" s="881"/>
      <c r="G257" s="877"/>
      <c r="H257" s="868"/>
      <c r="I257" s="869"/>
      <c r="J257" s="1041">
        <v>176</v>
      </c>
      <c r="K257" s="1042" t="s">
        <v>1349</v>
      </c>
      <c r="L257" s="1041" t="s">
        <v>185</v>
      </c>
      <c r="M257" s="1041">
        <v>2</v>
      </c>
      <c r="N257" s="3385"/>
      <c r="O257" s="3385"/>
      <c r="P257" s="3386"/>
      <c r="Q257" s="2409"/>
      <c r="R257" s="3427"/>
      <c r="S257" s="3379"/>
      <c r="T257" s="1043" t="s">
        <v>1350</v>
      </c>
      <c r="U257" s="1037" t="s">
        <v>1351</v>
      </c>
      <c r="V257" s="874">
        <v>0</v>
      </c>
      <c r="W257" s="3445"/>
      <c r="X257" s="3446"/>
      <c r="Y257" s="3336"/>
      <c r="Z257" s="3336"/>
      <c r="AA257" s="2259"/>
      <c r="AB257" s="2259"/>
      <c r="AC257" s="2259"/>
      <c r="AD257" s="2259"/>
      <c r="AE257" s="2259"/>
      <c r="AF257" s="2259"/>
      <c r="AG257" s="2259"/>
      <c r="AH257" s="2259"/>
      <c r="AI257" s="2259"/>
      <c r="AJ257" s="2259"/>
      <c r="AK257" s="2259"/>
      <c r="AL257" s="2259"/>
      <c r="AM257" s="2259"/>
      <c r="AN257" s="3355"/>
      <c r="AO257" s="2259"/>
      <c r="AP257" s="2259"/>
      <c r="AQ257" s="3335"/>
    </row>
    <row r="258" spans="1:43" ht="36" customHeight="1">
      <c r="A258" s="853"/>
      <c r="C258" s="884"/>
      <c r="D258" s="991">
        <v>15</v>
      </c>
      <c r="E258" s="844" t="s">
        <v>1352</v>
      </c>
      <c r="F258" s="844"/>
      <c r="G258" s="975"/>
      <c r="H258" s="975"/>
      <c r="I258" s="975"/>
      <c r="J258" s="845"/>
      <c r="K258" s="846"/>
      <c r="L258" s="845"/>
      <c r="M258" s="845"/>
      <c r="N258" s="847"/>
      <c r="O258" s="845"/>
      <c r="P258" s="846"/>
      <c r="Q258" s="845"/>
      <c r="R258" s="888"/>
      <c r="S258" s="845"/>
      <c r="T258" s="846"/>
      <c r="U258" s="846"/>
      <c r="V258" s="889"/>
      <c r="W258" s="890"/>
      <c r="X258" s="847"/>
      <c r="Y258" s="847"/>
      <c r="Z258" s="847"/>
      <c r="AA258" s="1044"/>
      <c r="AB258" s="1044"/>
      <c r="AC258" s="1045"/>
      <c r="AD258" s="1044"/>
      <c r="AE258" s="1044"/>
      <c r="AF258" s="1044"/>
      <c r="AG258" s="1044"/>
      <c r="AH258" s="1046"/>
      <c r="AI258" s="1044"/>
      <c r="AJ258" s="1045"/>
      <c r="AK258" s="1044"/>
      <c r="AL258" s="1044"/>
      <c r="AM258" s="1045"/>
      <c r="AN258" s="1044"/>
      <c r="AO258" s="845"/>
      <c r="AP258" s="845"/>
      <c r="AQ258" s="852"/>
    </row>
    <row r="259" spans="1:43" ht="36" customHeight="1">
      <c r="A259" s="853"/>
      <c r="B259" s="854"/>
      <c r="C259" s="855"/>
      <c r="D259" s="856"/>
      <c r="E259" s="856"/>
      <c r="F259" s="857"/>
      <c r="G259" s="891">
        <v>55</v>
      </c>
      <c r="H259" s="859" t="s">
        <v>1353</v>
      </c>
      <c r="I259" s="859"/>
      <c r="J259" s="859"/>
      <c r="K259" s="860"/>
      <c r="L259" s="859"/>
      <c r="M259" s="859"/>
      <c r="N259" s="861"/>
      <c r="O259" s="859"/>
      <c r="P259" s="860"/>
      <c r="Q259" s="859"/>
      <c r="R259" s="892"/>
      <c r="S259" s="859"/>
      <c r="T259" s="860"/>
      <c r="U259" s="860"/>
      <c r="V259" s="893"/>
      <c r="W259" s="894"/>
      <c r="X259" s="1047"/>
      <c r="Y259" s="1047"/>
      <c r="Z259" s="1047"/>
      <c r="AA259" s="1048"/>
      <c r="AB259" s="1048"/>
      <c r="AC259" s="1049"/>
      <c r="AD259" s="1048"/>
      <c r="AE259" s="1048"/>
      <c r="AF259" s="1048"/>
      <c r="AG259" s="1048"/>
      <c r="AH259" s="1050"/>
      <c r="AI259" s="1048"/>
      <c r="AJ259" s="1049"/>
      <c r="AK259" s="1048"/>
      <c r="AL259" s="1048"/>
      <c r="AM259" s="1049"/>
      <c r="AN259" s="1048"/>
      <c r="AO259" s="859"/>
      <c r="AP259" s="859"/>
      <c r="AQ259" s="866"/>
    </row>
    <row r="260" spans="1:43" s="876" customFormat="1" ht="75" customHeight="1">
      <c r="A260" s="896"/>
      <c r="B260" s="897"/>
      <c r="C260" s="898"/>
      <c r="D260" s="897"/>
      <c r="E260" s="897"/>
      <c r="F260" s="898"/>
      <c r="G260" s="900"/>
      <c r="H260" s="900"/>
      <c r="I260" s="901"/>
      <c r="J260" s="956">
        <v>177</v>
      </c>
      <c r="K260" s="1051" t="s">
        <v>1354</v>
      </c>
      <c r="L260" s="956" t="s">
        <v>908</v>
      </c>
      <c r="M260" s="956">
        <v>2</v>
      </c>
      <c r="N260" s="3311" t="s">
        <v>1355</v>
      </c>
      <c r="O260" s="3311">
        <v>160</v>
      </c>
      <c r="P260" s="3324" t="s">
        <v>1356</v>
      </c>
      <c r="Q260" s="1052">
        <v>0</v>
      </c>
      <c r="R260" s="2526">
        <f>SUM(V261:V265)</f>
        <v>157396240</v>
      </c>
      <c r="S260" s="3324" t="s">
        <v>1357</v>
      </c>
      <c r="T260" s="1030" t="s">
        <v>1358</v>
      </c>
      <c r="U260" s="908" t="s">
        <v>1359</v>
      </c>
      <c r="V260" s="1053">
        <v>0</v>
      </c>
      <c r="W260" s="3438">
        <v>72</v>
      </c>
      <c r="X260" s="3311" t="s">
        <v>1249</v>
      </c>
      <c r="Y260" s="3311">
        <v>292684</v>
      </c>
      <c r="Z260" s="3311">
        <v>282326</v>
      </c>
      <c r="AA260" s="3321">
        <v>135912</v>
      </c>
      <c r="AB260" s="3321">
        <v>45122</v>
      </c>
      <c r="AC260" s="3321">
        <f>SUM(AC255)</f>
        <v>307101</v>
      </c>
      <c r="AD260" s="3321">
        <v>86875</v>
      </c>
      <c r="AE260" s="3321">
        <v>2145</v>
      </c>
      <c r="AF260" s="3321">
        <v>12718</v>
      </c>
      <c r="AG260" s="3321">
        <v>26</v>
      </c>
      <c r="AH260" s="3321">
        <v>37</v>
      </c>
      <c r="AI260" s="3321" t="s">
        <v>915</v>
      </c>
      <c r="AJ260" s="3321" t="s">
        <v>915</v>
      </c>
      <c r="AK260" s="3321">
        <v>53164</v>
      </c>
      <c r="AL260" s="3321">
        <v>16982</v>
      </c>
      <c r="AM260" s="3321">
        <v>60013</v>
      </c>
      <c r="AN260" s="3321">
        <v>575010</v>
      </c>
      <c r="AO260" s="3330">
        <v>43101</v>
      </c>
      <c r="AP260" s="3330">
        <v>43465</v>
      </c>
      <c r="AQ260" s="3333" t="s">
        <v>916</v>
      </c>
    </row>
    <row r="261" spans="1:43" ht="45">
      <c r="A261" s="896"/>
      <c r="B261" s="897"/>
      <c r="C261" s="898"/>
      <c r="D261" s="897"/>
      <c r="E261" s="897"/>
      <c r="F261" s="898"/>
      <c r="G261" s="897"/>
      <c r="H261" s="897"/>
      <c r="I261" s="898"/>
      <c r="J261" s="3311">
        <v>178</v>
      </c>
      <c r="K261" s="3324" t="s">
        <v>1360</v>
      </c>
      <c r="L261" s="3311" t="s">
        <v>908</v>
      </c>
      <c r="M261" s="3311">
        <v>3</v>
      </c>
      <c r="N261" s="3312"/>
      <c r="O261" s="3312"/>
      <c r="P261" s="3325"/>
      <c r="Q261" s="2419">
        <v>1</v>
      </c>
      <c r="R261" s="2527"/>
      <c r="S261" s="3325"/>
      <c r="T261" s="3377" t="s">
        <v>1361</v>
      </c>
      <c r="U261" s="1037" t="s">
        <v>1362</v>
      </c>
      <c r="V261" s="909">
        <v>68071048</v>
      </c>
      <c r="W261" s="3439"/>
      <c r="X261" s="3312"/>
      <c r="Y261" s="3312"/>
      <c r="Z261" s="3312"/>
      <c r="AA261" s="3322"/>
      <c r="AB261" s="3322"/>
      <c r="AC261" s="3322"/>
      <c r="AD261" s="3322"/>
      <c r="AE261" s="3322"/>
      <c r="AF261" s="3322"/>
      <c r="AG261" s="3322"/>
      <c r="AH261" s="3322"/>
      <c r="AI261" s="3322"/>
      <c r="AJ261" s="3322"/>
      <c r="AK261" s="3322"/>
      <c r="AL261" s="3322"/>
      <c r="AM261" s="3322"/>
      <c r="AN261" s="3322"/>
      <c r="AO261" s="3331"/>
      <c r="AP261" s="3331"/>
      <c r="AQ261" s="3334"/>
    </row>
    <row r="262" spans="1:43" ht="30">
      <c r="A262" s="896"/>
      <c r="B262" s="897"/>
      <c r="C262" s="898"/>
      <c r="D262" s="897"/>
      <c r="E262" s="897"/>
      <c r="F262" s="898"/>
      <c r="G262" s="897"/>
      <c r="H262" s="897"/>
      <c r="I262" s="898"/>
      <c r="J262" s="3312"/>
      <c r="K262" s="3325"/>
      <c r="L262" s="3312"/>
      <c r="M262" s="3312"/>
      <c r="N262" s="3312"/>
      <c r="O262" s="3312"/>
      <c r="P262" s="3325"/>
      <c r="Q262" s="2420"/>
      <c r="R262" s="2527"/>
      <c r="S262" s="3325"/>
      <c r="T262" s="3377"/>
      <c r="U262" s="1037" t="s">
        <v>1363</v>
      </c>
      <c r="V262" s="909">
        <v>40000000</v>
      </c>
      <c r="W262" s="3439"/>
      <c r="X262" s="3312"/>
      <c r="Y262" s="3312"/>
      <c r="Z262" s="3312"/>
      <c r="AA262" s="3322"/>
      <c r="AB262" s="3322"/>
      <c r="AC262" s="3322"/>
      <c r="AD262" s="3322"/>
      <c r="AE262" s="3322"/>
      <c r="AF262" s="3322"/>
      <c r="AG262" s="3322"/>
      <c r="AH262" s="3322"/>
      <c r="AI262" s="3322"/>
      <c r="AJ262" s="3322"/>
      <c r="AK262" s="3322"/>
      <c r="AL262" s="3322"/>
      <c r="AM262" s="3322"/>
      <c r="AN262" s="3322"/>
      <c r="AO262" s="3331"/>
      <c r="AP262" s="3331"/>
      <c r="AQ262" s="3334"/>
    </row>
    <row r="263" spans="1:43" ht="30">
      <c r="A263" s="896"/>
      <c r="B263" s="897"/>
      <c r="C263" s="898"/>
      <c r="D263" s="897"/>
      <c r="E263" s="897"/>
      <c r="F263" s="898"/>
      <c r="G263" s="897"/>
      <c r="H263" s="897"/>
      <c r="I263" s="898"/>
      <c r="J263" s="3312"/>
      <c r="K263" s="3325"/>
      <c r="L263" s="3312"/>
      <c r="M263" s="3312"/>
      <c r="N263" s="3312"/>
      <c r="O263" s="3312"/>
      <c r="P263" s="3325"/>
      <c r="Q263" s="2420"/>
      <c r="R263" s="2527"/>
      <c r="S263" s="3325"/>
      <c r="T263" s="3377"/>
      <c r="U263" s="1037" t="s">
        <v>1364</v>
      </c>
      <c r="V263" s="909">
        <v>20000000</v>
      </c>
      <c r="W263" s="3439"/>
      <c r="X263" s="3312"/>
      <c r="Y263" s="3312"/>
      <c r="Z263" s="3312"/>
      <c r="AA263" s="3322"/>
      <c r="AB263" s="3322"/>
      <c r="AC263" s="3322"/>
      <c r="AD263" s="3322"/>
      <c r="AE263" s="3322"/>
      <c r="AF263" s="3322"/>
      <c r="AG263" s="3322"/>
      <c r="AH263" s="3322"/>
      <c r="AI263" s="3322"/>
      <c r="AJ263" s="3322"/>
      <c r="AK263" s="3322"/>
      <c r="AL263" s="3322"/>
      <c r="AM263" s="3322"/>
      <c r="AN263" s="3322"/>
      <c r="AO263" s="3331"/>
      <c r="AP263" s="3331"/>
      <c r="AQ263" s="3334"/>
    </row>
    <row r="264" spans="1:46" ht="30" customHeight="1">
      <c r="A264" s="896"/>
      <c r="B264" s="897"/>
      <c r="C264" s="898"/>
      <c r="D264" s="897"/>
      <c r="E264" s="897"/>
      <c r="F264" s="898"/>
      <c r="G264" s="897"/>
      <c r="H264" s="897"/>
      <c r="I264" s="898"/>
      <c r="J264" s="3312"/>
      <c r="K264" s="3325"/>
      <c r="L264" s="3312"/>
      <c r="M264" s="3312"/>
      <c r="N264" s="3312"/>
      <c r="O264" s="3312"/>
      <c r="P264" s="3325"/>
      <c r="Q264" s="2420"/>
      <c r="R264" s="2527"/>
      <c r="S264" s="3325"/>
      <c r="T264" s="3377" t="s">
        <v>1365</v>
      </c>
      <c r="U264" s="1054" t="s">
        <v>1366</v>
      </c>
      <c r="V264" s="909">
        <v>15000000</v>
      </c>
      <c r="W264" s="3439"/>
      <c r="X264" s="3312"/>
      <c r="Y264" s="3312"/>
      <c r="Z264" s="3312"/>
      <c r="AA264" s="3322"/>
      <c r="AB264" s="3322"/>
      <c r="AC264" s="3322"/>
      <c r="AD264" s="3322"/>
      <c r="AE264" s="3322"/>
      <c r="AF264" s="3322"/>
      <c r="AG264" s="3322"/>
      <c r="AH264" s="3322"/>
      <c r="AI264" s="3322"/>
      <c r="AJ264" s="3322"/>
      <c r="AK264" s="3322"/>
      <c r="AL264" s="3322"/>
      <c r="AM264" s="3322"/>
      <c r="AN264" s="3322"/>
      <c r="AO264" s="3331"/>
      <c r="AP264" s="3331"/>
      <c r="AQ264" s="3334"/>
      <c r="AS264" s="935"/>
      <c r="AT264" s="935"/>
    </row>
    <row r="265" spans="1:46" ht="30">
      <c r="A265" s="896"/>
      <c r="B265" s="897"/>
      <c r="C265" s="898"/>
      <c r="D265" s="897"/>
      <c r="E265" s="897"/>
      <c r="F265" s="898"/>
      <c r="G265" s="897"/>
      <c r="H265" s="897"/>
      <c r="I265" s="898"/>
      <c r="J265" s="3313"/>
      <c r="K265" s="3326"/>
      <c r="L265" s="3313"/>
      <c r="M265" s="3313"/>
      <c r="N265" s="3312"/>
      <c r="O265" s="3312"/>
      <c r="P265" s="3325"/>
      <c r="Q265" s="2421"/>
      <c r="R265" s="2527"/>
      <c r="S265" s="3325"/>
      <c r="T265" s="3377"/>
      <c r="U265" s="1054" t="s">
        <v>1367</v>
      </c>
      <c r="V265" s="909">
        <v>14325192</v>
      </c>
      <c r="W265" s="3439"/>
      <c r="X265" s="3312"/>
      <c r="Y265" s="3312"/>
      <c r="Z265" s="3312"/>
      <c r="AA265" s="3322"/>
      <c r="AB265" s="3322"/>
      <c r="AC265" s="3322"/>
      <c r="AD265" s="3322"/>
      <c r="AE265" s="3322"/>
      <c r="AF265" s="3322"/>
      <c r="AG265" s="3322"/>
      <c r="AH265" s="3322"/>
      <c r="AI265" s="3322"/>
      <c r="AJ265" s="3322"/>
      <c r="AK265" s="3322"/>
      <c r="AL265" s="3322"/>
      <c r="AM265" s="3322"/>
      <c r="AN265" s="3322"/>
      <c r="AO265" s="3331"/>
      <c r="AP265" s="3331"/>
      <c r="AQ265" s="3334"/>
      <c r="AR265" s="928"/>
      <c r="AS265" s="928"/>
      <c r="AT265" s="958"/>
    </row>
    <row r="266" spans="1:256" s="1057" customFormat="1" ht="60.75" thickBot="1">
      <c r="A266" s="896"/>
      <c r="B266" s="897"/>
      <c r="C266" s="898"/>
      <c r="D266" s="897"/>
      <c r="E266" s="897"/>
      <c r="F266" s="898"/>
      <c r="G266" s="897"/>
      <c r="H266" s="897"/>
      <c r="I266" s="898"/>
      <c r="J266" s="947">
        <v>179</v>
      </c>
      <c r="K266" s="1030" t="s">
        <v>1368</v>
      </c>
      <c r="L266" s="947" t="s">
        <v>908</v>
      </c>
      <c r="M266" s="947">
        <v>4</v>
      </c>
      <c r="N266" s="3312"/>
      <c r="O266" s="3312"/>
      <c r="P266" s="3325"/>
      <c r="Q266" s="1002">
        <v>0</v>
      </c>
      <c r="R266" s="2527"/>
      <c r="S266" s="3325"/>
      <c r="T266" s="1030" t="s">
        <v>1369</v>
      </c>
      <c r="U266" s="1055" t="s">
        <v>1370</v>
      </c>
      <c r="V266" s="1056">
        <v>0</v>
      </c>
      <c r="W266" s="3439"/>
      <c r="X266" s="3312"/>
      <c r="Y266" s="3312"/>
      <c r="Z266" s="3312"/>
      <c r="AA266" s="3322"/>
      <c r="AB266" s="3322"/>
      <c r="AC266" s="3322"/>
      <c r="AD266" s="3322"/>
      <c r="AE266" s="3322"/>
      <c r="AF266" s="3322"/>
      <c r="AG266" s="3322"/>
      <c r="AH266" s="3322"/>
      <c r="AI266" s="3322"/>
      <c r="AJ266" s="3322"/>
      <c r="AK266" s="3322"/>
      <c r="AL266" s="3322"/>
      <c r="AM266" s="3322"/>
      <c r="AN266" s="3322"/>
      <c r="AO266" s="3331"/>
      <c r="AP266" s="3331"/>
      <c r="AQ266" s="3447"/>
      <c r="AR266" s="842"/>
      <c r="AS266" s="842"/>
      <c r="AT266" s="842"/>
      <c r="AU266" s="842"/>
      <c r="AV266" s="842"/>
      <c r="AW266" s="842"/>
      <c r="AX266" s="842"/>
      <c r="AY266" s="842"/>
      <c r="AZ266" s="842"/>
      <c r="BA266" s="842"/>
      <c r="BB266" s="842"/>
      <c r="BC266" s="842"/>
      <c r="BD266" s="842"/>
      <c r="BE266" s="842"/>
      <c r="BF266" s="842"/>
      <c r="BG266" s="842"/>
      <c r="BH266" s="842"/>
      <c r="BI266" s="842"/>
      <c r="BJ266" s="842"/>
      <c r="BK266" s="842"/>
      <c r="BL266" s="842"/>
      <c r="BM266" s="842"/>
      <c r="BN266" s="842"/>
      <c r="BO266" s="842"/>
      <c r="BP266" s="842"/>
      <c r="BQ266" s="842"/>
      <c r="BR266" s="842"/>
      <c r="BS266" s="842"/>
      <c r="BT266" s="842"/>
      <c r="BU266" s="842"/>
      <c r="BV266" s="842"/>
      <c r="BW266" s="842"/>
      <c r="BX266" s="842"/>
      <c r="BY266" s="842"/>
      <c r="BZ266" s="842"/>
      <c r="CA266" s="842"/>
      <c r="CB266" s="842"/>
      <c r="CC266" s="842"/>
      <c r="CD266" s="842"/>
      <c r="CE266" s="842"/>
      <c r="CF266" s="842"/>
      <c r="CG266" s="842"/>
      <c r="CH266" s="842"/>
      <c r="CI266" s="842"/>
      <c r="CJ266" s="842"/>
      <c r="CK266" s="842"/>
      <c r="CL266" s="842"/>
      <c r="CM266" s="842"/>
      <c r="CN266" s="842"/>
      <c r="CO266" s="842"/>
      <c r="CP266" s="842"/>
      <c r="CQ266" s="842"/>
      <c r="CR266" s="842"/>
      <c r="CS266" s="842"/>
      <c r="CT266" s="842"/>
      <c r="CU266" s="842"/>
      <c r="CV266" s="842"/>
      <c r="CW266" s="842"/>
      <c r="CX266" s="842"/>
      <c r="CY266" s="842"/>
      <c r="CZ266" s="842"/>
      <c r="DA266" s="842"/>
      <c r="DB266" s="842"/>
      <c r="DC266" s="842"/>
      <c r="DD266" s="842"/>
      <c r="DE266" s="842"/>
      <c r="DF266" s="842"/>
      <c r="DG266" s="842"/>
      <c r="DH266" s="842"/>
      <c r="DI266" s="842"/>
      <c r="DJ266" s="842"/>
      <c r="DK266" s="842"/>
      <c r="DL266" s="842"/>
      <c r="DM266" s="842"/>
      <c r="DN266" s="842"/>
      <c r="DO266" s="842"/>
      <c r="DP266" s="842"/>
      <c r="DQ266" s="842"/>
      <c r="DR266" s="842"/>
      <c r="DS266" s="842"/>
      <c r="DT266" s="842"/>
      <c r="DU266" s="842"/>
      <c r="DV266" s="842"/>
      <c r="DW266" s="842"/>
      <c r="DX266" s="842"/>
      <c r="DY266" s="842"/>
      <c r="DZ266" s="842"/>
      <c r="EA266" s="842"/>
      <c r="EB266" s="842"/>
      <c r="EC266" s="842"/>
      <c r="ED266" s="842"/>
      <c r="EE266" s="842"/>
      <c r="EF266" s="842"/>
      <c r="EG266" s="842"/>
      <c r="EH266" s="842"/>
      <c r="EI266" s="842"/>
      <c r="EJ266" s="842"/>
      <c r="EK266" s="842"/>
      <c r="EL266" s="842"/>
      <c r="EM266" s="842"/>
      <c r="EN266" s="842"/>
      <c r="EO266" s="842"/>
      <c r="EP266" s="842"/>
      <c r="EQ266" s="842"/>
      <c r="ER266" s="842"/>
      <c r="ES266" s="842"/>
      <c r="ET266" s="842"/>
      <c r="EU266" s="842"/>
      <c r="EV266" s="842"/>
      <c r="EW266" s="842"/>
      <c r="EX266" s="842"/>
      <c r="EY266" s="842"/>
      <c r="EZ266" s="842"/>
      <c r="FA266" s="842"/>
      <c r="FB266" s="842"/>
      <c r="FC266" s="842"/>
      <c r="FD266" s="842"/>
      <c r="FE266" s="842"/>
      <c r="FF266" s="842"/>
      <c r="FG266" s="842"/>
      <c r="FH266" s="842"/>
      <c r="FI266" s="842"/>
      <c r="FJ266" s="842"/>
      <c r="FK266" s="842"/>
      <c r="FL266" s="842"/>
      <c r="FM266" s="842"/>
      <c r="FN266" s="842"/>
      <c r="FO266" s="842"/>
      <c r="FP266" s="842"/>
      <c r="FQ266" s="842"/>
      <c r="FR266" s="842"/>
      <c r="FS266" s="842"/>
      <c r="FT266" s="842"/>
      <c r="FU266" s="842"/>
      <c r="FV266" s="842"/>
      <c r="FW266" s="842"/>
      <c r="FX266" s="842"/>
      <c r="FY266" s="842"/>
      <c r="FZ266" s="842"/>
      <c r="GA266" s="842"/>
      <c r="GB266" s="842"/>
      <c r="GC266" s="842"/>
      <c r="GD266" s="842"/>
      <c r="GE266" s="842"/>
      <c r="GF266" s="842"/>
      <c r="GG266" s="842"/>
      <c r="GH266" s="842"/>
      <c r="GI266" s="842"/>
      <c r="GJ266" s="842"/>
      <c r="GK266" s="842"/>
      <c r="GL266" s="842"/>
      <c r="GM266" s="842"/>
      <c r="GN266" s="842"/>
      <c r="GO266" s="842"/>
      <c r="GP266" s="842"/>
      <c r="GQ266" s="842"/>
      <c r="GR266" s="842"/>
      <c r="GS266" s="842"/>
      <c r="GT266" s="842"/>
      <c r="GU266" s="842"/>
      <c r="GV266" s="842"/>
      <c r="GW266" s="842"/>
      <c r="GX266" s="842"/>
      <c r="GY266" s="842"/>
      <c r="GZ266" s="842"/>
      <c r="HA266" s="842"/>
      <c r="HB266" s="842"/>
      <c r="HC266" s="842"/>
      <c r="HD266" s="842"/>
      <c r="HE266" s="842"/>
      <c r="HF266" s="842"/>
      <c r="HG266" s="842"/>
      <c r="HH266" s="842"/>
      <c r="HI266" s="842"/>
      <c r="HJ266" s="842"/>
      <c r="HK266" s="842"/>
      <c r="HL266" s="842"/>
      <c r="HM266" s="842"/>
      <c r="HN266" s="842"/>
      <c r="HO266" s="842"/>
      <c r="HP266" s="842"/>
      <c r="HQ266" s="842"/>
      <c r="HR266" s="842"/>
      <c r="HS266" s="842"/>
      <c r="HT266" s="842"/>
      <c r="HU266" s="842"/>
      <c r="HV266" s="842"/>
      <c r="HW266" s="842"/>
      <c r="HX266" s="842"/>
      <c r="HY266" s="842"/>
      <c r="HZ266" s="842"/>
      <c r="IA266" s="842"/>
      <c r="IB266" s="842"/>
      <c r="IC266" s="842"/>
      <c r="ID266" s="842"/>
      <c r="IE266" s="842"/>
      <c r="IF266" s="842"/>
      <c r="IG266" s="842"/>
      <c r="IH266" s="842"/>
      <c r="II266" s="842"/>
      <c r="IJ266" s="842"/>
      <c r="IK266" s="842"/>
      <c r="IL266" s="842"/>
      <c r="IM266" s="842"/>
      <c r="IN266" s="842"/>
      <c r="IO266" s="842"/>
      <c r="IP266" s="842"/>
      <c r="IQ266" s="842"/>
      <c r="IR266" s="842"/>
      <c r="IS266" s="842"/>
      <c r="IT266" s="842"/>
      <c r="IU266" s="842"/>
      <c r="IV266" s="842"/>
    </row>
    <row r="267" spans="1:43" ht="30" customHeight="1" thickBot="1">
      <c r="A267" s="3441"/>
      <c r="B267" s="3442"/>
      <c r="C267" s="3442"/>
      <c r="D267" s="3442"/>
      <c r="E267" s="3442"/>
      <c r="F267" s="3442"/>
      <c r="G267" s="3442"/>
      <c r="H267" s="3442"/>
      <c r="I267" s="3442"/>
      <c r="J267" s="3442"/>
      <c r="K267" s="3442"/>
      <c r="L267" s="3442"/>
      <c r="M267" s="3442"/>
      <c r="N267" s="3442"/>
      <c r="O267" s="3442"/>
      <c r="P267" s="3442"/>
      <c r="Q267" s="3443"/>
      <c r="R267" s="1058">
        <f>SUM(R12:R266)</f>
        <v>52884414046.07</v>
      </c>
      <c r="S267" s="1059"/>
      <c r="T267" s="1060"/>
      <c r="U267" s="1061"/>
      <c r="V267" s="1062">
        <f>SUM(V12:V266)</f>
        <v>52884414046.07</v>
      </c>
      <c r="W267" s="1063"/>
      <c r="X267" s="1064"/>
      <c r="Y267" s="1065"/>
      <c r="Z267" s="1065"/>
      <c r="AA267" s="1066"/>
      <c r="AB267" s="1065"/>
      <c r="AC267" s="1065"/>
      <c r="AD267" s="1065"/>
      <c r="AE267" s="1065"/>
      <c r="AF267" s="1067"/>
      <c r="AG267" s="1065"/>
      <c r="AH267" s="1066"/>
      <c r="AI267" s="1065"/>
      <c r="AJ267" s="1065"/>
      <c r="AK267" s="1066"/>
      <c r="AL267" s="1066"/>
      <c r="AM267" s="1066"/>
      <c r="AN267" s="1066"/>
      <c r="AO267" s="1068"/>
      <c r="AP267" s="1068"/>
      <c r="AQ267" s="1069"/>
    </row>
    <row r="268" ht="15">
      <c r="V268" s="1073"/>
    </row>
    <row r="269" ht="43.5" customHeight="1">
      <c r="V269" s="1077"/>
    </row>
    <row r="270" ht="43.5" customHeight="1">
      <c r="V270" s="1078"/>
    </row>
    <row r="271" spans="11:22" ht="43.5" customHeight="1">
      <c r="K271" s="1079" t="s">
        <v>1371</v>
      </c>
      <c r="V271" s="1080"/>
    </row>
    <row r="272" spans="1:256" s="1071" customFormat="1" ht="43.5" customHeight="1">
      <c r="A272" s="842"/>
      <c r="B272" s="842"/>
      <c r="C272" s="842"/>
      <c r="D272" s="842"/>
      <c r="E272" s="842"/>
      <c r="F272" s="842"/>
      <c r="G272" s="842"/>
      <c r="H272" s="842"/>
      <c r="I272" s="842"/>
      <c r="J272" s="842"/>
      <c r="K272" s="1070" t="s">
        <v>1372</v>
      </c>
      <c r="L272" s="876"/>
      <c r="M272" s="876"/>
      <c r="N272" s="954"/>
      <c r="O272" s="876"/>
      <c r="P272" s="1070"/>
      <c r="R272" s="954"/>
      <c r="S272" s="876"/>
      <c r="T272" s="1070"/>
      <c r="U272" s="1072"/>
      <c r="V272" s="1072"/>
      <c r="Y272" s="1074"/>
      <c r="Z272" s="1074"/>
      <c r="AA272" s="1075"/>
      <c r="AB272" s="1074"/>
      <c r="AC272" s="1074"/>
      <c r="AD272" s="1074"/>
      <c r="AE272" s="1074"/>
      <c r="AF272" s="1076"/>
      <c r="AG272" s="1074"/>
      <c r="AH272" s="1075"/>
      <c r="AI272" s="1074"/>
      <c r="AJ272" s="1074"/>
      <c r="AK272" s="1075"/>
      <c r="AL272" s="1075"/>
      <c r="AM272" s="1075"/>
      <c r="AN272" s="1075"/>
      <c r="AO272" s="842"/>
      <c r="AP272" s="842"/>
      <c r="AQ272" s="842"/>
      <c r="AR272" s="842"/>
      <c r="AS272" s="842"/>
      <c r="AT272" s="842"/>
      <c r="AU272" s="842"/>
      <c r="AV272" s="842"/>
      <c r="AW272" s="842"/>
      <c r="AX272" s="842"/>
      <c r="AY272" s="842"/>
      <c r="AZ272" s="842"/>
      <c r="BA272" s="842"/>
      <c r="BB272" s="842"/>
      <c r="BC272" s="842"/>
      <c r="BD272" s="842"/>
      <c r="BE272" s="842"/>
      <c r="BF272" s="842"/>
      <c r="BG272" s="842"/>
      <c r="BH272" s="842"/>
      <c r="BI272" s="842"/>
      <c r="BJ272" s="842"/>
      <c r="BK272" s="842"/>
      <c r="BL272" s="842"/>
      <c r="BM272" s="842"/>
      <c r="BN272" s="842"/>
      <c r="BO272" s="842"/>
      <c r="BP272" s="842"/>
      <c r="BQ272" s="842"/>
      <c r="BR272" s="842"/>
      <c r="BS272" s="842"/>
      <c r="BT272" s="842"/>
      <c r="BU272" s="842"/>
      <c r="BV272" s="842"/>
      <c r="BW272" s="842"/>
      <c r="BX272" s="842"/>
      <c r="BY272" s="842"/>
      <c r="BZ272" s="842"/>
      <c r="CA272" s="842"/>
      <c r="CB272" s="842"/>
      <c r="CC272" s="842"/>
      <c r="CD272" s="842"/>
      <c r="CE272" s="842"/>
      <c r="CF272" s="842"/>
      <c r="CG272" s="842"/>
      <c r="CH272" s="842"/>
      <c r="CI272" s="842"/>
      <c r="CJ272" s="842"/>
      <c r="CK272" s="842"/>
      <c r="CL272" s="842"/>
      <c r="CM272" s="842"/>
      <c r="CN272" s="842"/>
      <c r="CO272" s="842"/>
      <c r="CP272" s="842"/>
      <c r="CQ272" s="842"/>
      <c r="CR272" s="842"/>
      <c r="CS272" s="842"/>
      <c r="CT272" s="842"/>
      <c r="CU272" s="842"/>
      <c r="CV272" s="842"/>
      <c r="CW272" s="842"/>
      <c r="CX272" s="842"/>
      <c r="CY272" s="842"/>
      <c r="CZ272" s="842"/>
      <c r="DA272" s="842"/>
      <c r="DB272" s="842"/>
      <c r="DC272" s="842"/>
      <c r="DD272" s="842"/>
      <c r="DE272" s="842"/>
      <c r="DF272" s="842"/>
      <c r="DG272" s="842"/>
      <c r="DH272" s="842"/>
      <c r="DI272" s="842"/>
      <c r="DJ272" s="842"/>
      <c r="DK272" s="842"/>
      <c r="DL272" s="842"/>
      <c r="DM272" s="842"/>
      <c r="DN272" s="842"/>
      <c r="DO272" s="842"/>
      <c r="DP272" s="842"/>
      <c r="DQ272" s="842"/>
      <c r="DR272" s="842"/>
      <c r="DS272" s="842"/>
      <c r="DT272" s="842"/>
      <c r="DU272" s="842"/>
      <c r="DV272" s="842"/>
      <c r="DW272" s="842"/>
      <c r="DX272" s="842"/>
      <c r="DY272" s="842"/>
      <c r="DZ272" s="842"/>
      <c r="EA272" s="842"/>
      <c r="EB272" s="842"/>
      <c r="EC272" s="842"/>
      <c r="ED272" s="842"/>
      <c r="EE272" s="842"/>
      <c r="EF272" s="842"/>
      <c r="EG272" s="842"/>
      <c r="EH272" s="842"/>
      <c r="EI272" s="842"/>
      <c r="EJ272" s="842"/>
      <c r="EK272" s="842"/>
      <c r="EL272" s="842"/>
      <c r="EM272" s="842"/>
      <c r="EN272" s="842"/>
      <c r="EO272" s="842"/>
      <c r="EP272" s="842"/>
      <c r="EQ272" s="842"/>
      <c r="ER272" s="842"/>
      <c r="ES272" s="842"/>
      <c r="ET272" s="842"/>
      <c r="EU272" s="842"/>
      <c r="EV272" s="842"/>
      <c r="EW272" s="842"/>
      <c r="EX272" s="842"/>
      <c r="EY272" s="842"/>
      <c r="EZ272" s="842"/>
      <c r="FA272" s="842"/>
      <c r="FB272" s="842"/>
      <c r="FC272" s="842"/>
      <c r="FD272" s="842"/>
      <c r="FE272" s="842"/>
      <c r="FF272" s="842"/>
      <c r="FG272" s="842"/>
      <c r="FH272" s="842"/>
      <c r="FI272" s="842"/>
      <c r="FJ272" s="842"/>
      <c r="FK272" s="842"/>
      <c r="FL272" s="842"/>
      <c r="FM272" s="842"/>
      <c r="FN272" s="842"/>
      <c r="FO272" s="842"/>
      <c r="FP272" s="842"/>
      <c r="FQ272" s="842"/>
      <c r="FR272" s="842"/>
      <c r="FS272" s="842"/>
      <c r="FT272" s="842"/>
      <c r="FU272" s="842"/>
      <c r="FV272" s="842"/>
      <c r="FW272" s="842"/>
      <c r="FX272" s="842"/>
      <c r="FY272" s="842"/>
      <c r="FZ272" s="842"/>
      <c r="GA272" s="842"/>
      <c r="GB272" s="842"/>
      <c r="GC272" s="842"/>
      <c r="GD272" s="842"/>
      <c r="GE272" s="842"/>
      <c r="GF272" s="842"/>
      <c r="GG272" s="842"/>
      <c r="GH272" s="842"/>
      <c r="GI272" s="842"/>
      <c r="GJ272" s="842"/>
      <c r="GK272" s="842"/>
      <c r="GL272" s="842"/>
      <c r="GM272" s="842"/>
      <c r="GN272" s="842"/>
      <c r="GO272" s="842"/>
      <c r="GP272" s="842"/>
      <c r="GQ272" s="842"/>
      <c r="GR272" s="842"/>
      <c r="GS272" s="842"/>
      <c r="GT272" s="842"/>
      <c r="GU272" s="842"/>
      <c r="GV272" s="842"/>
      <c r="GW272" s="842"/>
      <c r="GX272" s="842"/>
      <c r="GY272" s="842"/>
      <c r="GZ272" s="842"/>
      <c r="HA272" s="842"/>
      <c r="HB272" s="842"/>
      <c r="HC272" s="842"/>
      <c r="HD272" s="842"/>
      <c r="HE272" s="842"/>
      <c r="HF272" s="842"/>
      <c r="HG272" s="842"/>
      <c r="HH272" s="842"/>
      <c r="HI272" s="842"/>
      <c r="HJ272" s="842"/>
      <c r="HK272" s="842"/>
      <c r="HL272" s="842"/>
      <c r="HM272" s="842"/>
      <c r="HN272" s="842"/>
      <c r="HO272" s="842"/>
      <c r="HP272" s="842"/>
      <c r="HQ272" s="842"/>
      <c r="HR272" s="842"/>
      <c r="HS272" s="842"/>
      <c r="HT272" s="842"/>
      <c r="HU272" s="842"/>
      <c r="HV272" s="842"/>
      <c r="HW272" s="842"/>
      <c r="HX272" s="842"/>
      <c r="HY272" s="842"/>
      <c r="HZ272" s="842"/>
      <c r="IA272" s="842"/>
      <c r="IB272" s="842"/>
      <c r="IC272" s="842"/>
      <c r="ID272" s="842"/>
      <c r="IE272" s="842"/>
      <c r="IF272" s="842"/>
      <c r="IG272" s="842"/>
      <c r="IH272" s="842"/>
      <c r="II272" s="842"/>
      <c r="IJ272" s="842"/>
      <c r="IK272" s="842"/>
      <c r="IL272" s="842"/>
      <c r="IM272" s="842"/>
      <c r="IN272" s="842"/>
      <c r="IO272" s="842"/>
      <c r="IP272" s="842"/>
      <c r="IQ272" s="842"/>
      <c r="IR272" s="842"/>
      <c r="IS272" s="842"/>
      <c r="IT272" s="842"/>
      <c r="IU272" s="842"/>
      <c r="IV272" s="842"/>
    </row>
    <row r="273" spans="1:256" s="1071" customFormat="1" ht="43.5" customHeight="1">
      <c r="A273" s="842"/>
      <c r="B273" s="842"/>
      <c r="C273" s="842"/>
      <c r="D273" s="842"/>
      <c r="E273" s="842"/>
      <c r="F273" s="842"/>
      <c r="G273" s="842"/>
      <c r="H273" s="842"/>
      <c r="I273" s="842"/>
      <c r="J273" s="842"/>
      <c r="K273" s="1070"/>
      <c r="L273" s="876"/>
      <c r="M273" s="876"/>
      <c r="N273" s="954"/>
      <c r="O273" s="876"/>
      <c r="P273" s="1070"/>
      <c r="R273" s="954"/>
      <c r="S273" s="876"/>
      <c r="T273" s="1070"/>
      <c r="U273" s="1072"/>
      <c r="V273" s="1080"/>
      <c r="Y273" s="1074"/>
      <c r="Z273" s="1074"/>
      <c r="AA273" s="1075"/>
      <c r="AB273" s="1074"/>
      <c r="AC273" s="1074"/>
      <c r="AD273" s="1074"/>
      <c r="AE273" s="1074"/>
      <c r="AF273" s="1076"/>
      <c r="AG273" s="1074"/>
      <c r="AH273" s="1075"/>
      <c r="AI273" s="1074"/>
      <c r="AJ273" s="1074"/>
      <c r="AK273" s="1075"/>
      <c r="AL273" s="1075"/>
      <c r="AM273" s="1075"/>
      <c r="AN273" s="1075"/>
      <c r="AO273" s="842"/>
      <c r="AP273" s="842"/>
      <c r="AQ273" s="842"/>
      <c r="AR273" s="842"/>
      <c r="AS273" s="842"/>
      <c r="AT273" s="842"/>
      <c r="AU273" s="842"/>
      <c r="AV273" s="842"/>
      <c r="AW273" s="842"/>
      <c r="AX273" s="842"/>
      <c r="AY273" s="842"/>
      <c r="AZ273" s="842"/>
      <c r="BA273" s="842"/>
      <c r="BB273" s="842"/>
      <c r="BC273" s="842"/>
      <c r="BD273" s="842"/>
      <c r="BE273" s="842"/>
      <c r="BF273" s="842"/>
      <c r="BG273" s="842"/>
      <c r="BH273" s="842"/>
      <c r="BI273" s="842"/>
      <c r="BJ273" s="842"/>
      <c r="BK273" s="842"/>
      <c r="BL273" s="842"/>
      <c r="BM273" s="842"/>
      <c r="BN273" s="842"/>
      <c r="BO273" s="842"/>
      <c r="BP273" s="842"/>
      <c r="BQ273" s="842"/>
      <c r="BR273" s="842"/>
      <c r="BS273" s="842"/>
      <c r="BT273" s="842"/>
      <c r="BU273" s="842"/>
      <c r="BV273" s="842"/>
      <c r="BW273" s="842"/>
      <c r="BX273" s="842"/>
      <c r="BY273" s="842"/>
      <c r="BZ273" s="842"/>
      <c r="CA273" s="842"/>
      <c r="CB273" s="842"/>
      <c r="CC273" s="842"/>
      <c r="CD273" s="842"/>
      <c r="CE273" s="842"/>
      <c r="CF273" s="842"/>
      <c r="CG273" s="842"/>
      <c r="CH273" s="842"/>
      <c r="CI273" s="842"/>
      <c r="CJ273" s="842"/>
      <c r="CK273" s="842"/>
      <c r="CL273" s="842"/>
      <c r="CM273" s="842"/>
      <c r="CN273" s="842"/>
      <c r="CO273" s="842"/>
      <c r="CP273" s="842"/>
      <c r="CQ273" s="842"/>
      <c r="CR273" s="842"/>
      <c r="CS273" s="842"/>
      <c r="CT273" s="842"/>
      <c r="CU273" s="842"/>
      <c r="CV273" s="842"/>
      <c r="CW273" s="842"/>
      <c r="CX273" s="842"/>
      <c r="CY273" s="842"/>
      <c r="CZ273" s="842"/>
      <c r="DA273" s="842"/>
      <c r="DB273" s="842"/>
      <c r="DC273" s="842"/>
      <c r="DD273" s="842"/>
      <c r="DE273" s="842"/>
      <c r="DF273" s="842"/>
      <c r="DG273" s="842"/>
      <c r="DH273" s="842"/>
      <c r="DI273" s="842"/>
      <c r="DJ273" s="842"/>
      <c r="DK273" s="842"/>
      <c r="DL273" s="842"/>
      <c r="DM273" s="842"/>
      <c r="DN273" s="842"/>
      <c r="DO273" s="842"/>
      <c r="DP273" s="842"/>
      <c r="DQ273" s="842"/>
      <c r="DR273" s="842"/>
      <c r="DS273" s="842"/>
      <c r="DT273" s="842"/>
      <c r="DU273" s="842"/>
      <c r="DV273" s="842"/>
      <c r="DW273" s="842"/>
      <c r="DX273" s="842"/>
      <c r="DY273" s="842"/>
      <c r="DZ273" s="842"/>
      <c r="EA273" s="842"/>
      <c r="EB273" s="842"/>
      <c r="EC273" s="842"/>
      <c r="ED273" s="842"/>
      <c r="EE273" s="842"/>
      <c r="EF273" s="842"/>
      <c r="EG273" s="842"/>
      <c r="EH273" s="842"/>
      <c r="EI273" s="842"/>
      <c r="EJ273" s="842"/>
      <c r="EK273" s="842"/>
      <c r="EL273" s="842"/>
      <c r="EM273" s="842"/>
      <c r="EN273" s="842"/>
      <c r="EO273" s="842"/>
      <c r="EP273" s="842"/>
      <c r="EQ273" s="842"/>
      <c r="ER273" s="842"/>
      <c r="ES273" s="842"/>
      <c r="ET273" s="842"/>
      <c r="EU273" s="842"/>
      <c r="EV273" s="842"/>
      <c r="EW273" s="842"/>
      <c r="EX273" s="842"/>
      <c r="EY273" s="842"/>
      <c r="EZ273" s="842"/>
      <c r="FA273" s="842"/>
      <c r="FB273" s="842"/>
      <c r="FC273" s="842"/>
      <c r="FD273" s="842"/>
      <c r="FE273" s="842"/>
      <c r="FF273" s="842"/>
      <c r="FG273" s="842"/>
      <c r="FH273" s="842"/>
      <c r="FI273" s="842"/>
      <c r="FJ273" s="842"/>
      <c r="FK273" s="842"/>
      <c r="FL273" s="842"/>
      <c r="FM273" s="842"/>
      <c r="FN273" s="842"/>
      <c r="FO273" s="842"/>
      <c r="FP273" s="842"/>
      <c r="FQ273" s="842"/>
      <c r="FR273" s="842"/>
      <c r="FS273" s="842"/>
      <c r="FT273" s="842"/>
      <c r="FU273" s="842"/>
      <c r="FV273" s="842"/>
      <c r="FW273" s="842"/>
      <c r="FX273" s="842"/>
      <c r="FY273" s="842"/>
      <c r="FZ273" s="842"/>
      <c r="GA273" s="842"/>
      <c r="GB273" s="842"/>
      <c r="GC273" s="842"/>
      <c r="GD273" s="842"/>
      <c r="GE273" s="842"/>
      <c r="GF273" s="842"/>
      <c r="GG273" s="842"/>
      <c r="GH273" s="842"/>
      <c r="GI273" s="842"/>
      <c r="GJ273" s="842"/>
      <c r="GK273" s="842"/>
      <c r="GL273" s="842"/>
      <c r="GM273" s="842"/>
      <c r="GN273" s="842"/>
      <c r="GO273" s="842"/>
      <c r="GP273" s="842"/>
      <c r="GQ273" s="842"/>
      <c r="GR273" s="842"/>
      <c r="GS273" s="842"/>
      <c r="GT273" s="842"/>
      <c r="GU273" s="842"/>
      <c r="GV273" s="842"/>
      <c r="GW273" s="842"/>
      <c r="GX273" s="842"/>
      <c r="GY273" s="842"/>
      <c r="GZ273" s="842"/>
      <c r="HA273" s="842"/>
      <c r="HB273" s="842"/>
      <c r="HC273" s="842"/>
      <c r="HD273" s="842"/>
      <c r="HE273" s="842"/>
      <c r="HF273" s="842"/>
      <c r="HG273" s="842"/>
      <c r="HH273" s="842"/>
      <c r="HI273" s="842"/>
      <c r="HJ273" s="842"/>
      <c r="HK273" s="842"/>
      <c r="HL273" s="842"/>
      <c r="HM273" s="842"/>
      <c r="HN273" s="842"/>
      <c r="HO273" s="842"/>
      <c r="HP273" s="842"/>
      <c r="HQ273" s="842"/>
      <c r="HR273" s="842"/>
      <c r="HS273" s="842"/>
      <c r="HT273" s="842"/>
      <c r="HU273" s="842"/>
      <c r="HV273" s="842"/>
      <c r="HW273" s="842"/>
      <c r="HX273" s="842"/>
      <c r="HY273" s="842"/>
      <c r="HZ273" s="842"/>
      <c r="IA273" s="842"/>
      <c r="IB273" s="842"/>
      <c r="IC273" s="842"/>
      <c r="ID273" s="842"/>
      <c r="IE273" s="842"/>
      <c r="IF273" s="842"/>
      <c r="IG273" s="842"/>
      <c r="IH273" s="842"/>
      <c r="II273" s="842"/>
      <c r="IJ273" s="842"/>
      <c r="IK273" s="842"/>
      <c r="IL273" s="842"/>
      <c r="IM273" s="842"/>
      <c r="IN273" s="842"/>
      <c r="IO273" s="842"/>
      <c r="IP273" s="842"/>
      <c r="IQ273" s="842"/>
      <c r="IR273" s="842"/>
      <c r="IS273" s="842"/>
      <c r="IT273" s="842"/>
      <c r="IU273" s="842"/>
      <c r="IV273" s="842"/>
    </row>
    <row r="274" spans="1:256" s="1071" customFormat="1" ht="43.5" customHeight="1">
      <c r="A274" s="842"/>
      <c r="B274" s="842"/>
      <c r="C274" s="842"/>
      <c r="D274" s="842"/>
      <c r="E274" s="842"/>
      <c r="F274" s="842"/>
      <c r="G274" s="842"/>
      <c r="H274" s="842"/>
      <c r="I274" s="842"/>
      <c r="J274" s="842"/>
      <c r="K274" s="1070"/>
      <c r="L274" s="876"/>
      <c r="M274" s="876"/>
      <c r="N274" s="954"/>
      <c r="O274" s="876"/>
      <c r="P274" s="1070"/>
      <c r="R274" s="954"/>
      <c r="S274" s="876"/>
      <c r="T274" s="1070"/>
      <c r="U274" s="1072"/>
      <c r="V274" s="1072"/>
      <c r="Y274" s="1074"/>
      <c r="Z274" s="1074"/>
      <c r="AA274" s="1075"/>
      <c r="AB274" s="1074"/>
      <c r="AC274" s="1074"/>
      <c r="AD274" s="1074"/>
      <c r="AE274" s="1074"/>
      <c r="AF274" s="1076"/>
      <c r="AG274" s="1074"/>
      <c r="AH274" s="1075"/>
      <c r="AI274" s="1074"/>
      <c r="AJ274" s="1074"/>
      <c r="AK274" s="1075"/>
      <c r="AL274" s="1075"/>
      <c r="AM274" s="1075"/>
      <c r="AN274" s="1075"/>
      <c r="AO274" s="842"/>
      <c r="AP274" s="842"/>
      <c r="AQ274" s="842"/>
      <c r="AR274" s="842"/>
      <c r="AS274" s="842"/>
      <c r="AT274" s="842"/>
      <c r="AU274" s="842"/>
      <c r="AV274" s="842"/>
      <c r="AW274" s="842"/>
      <c r="AX274" s="842"/>
      <c r="AY274" s="842"/>
      <c r="AZ274" s="842"/>
      <c r="BA274" s="842"/>
      <c r="BB274" s="842"/>
      <c r="BC274" s="842"/>
      <c r="BD274" s="842"/>
      <c r="BE274" s="842"/>
      <c r="BF274" s="842"/>
      <c r="BG274" s="842"/>
      <c r="BH274" s="842"/>
      <c r="BI274" s="842"/>
      <c r="BJ274" s="842"/>
      <c r="BK274" s="842"/>
      <c r="BL274" s="842"/>
      <c r="BM274" s="842"/>
      <c r="BN274" s="842"/>
      <c r="BO274" s="842"/>
      <c r="BP274" s="842"/>
      <c r="BQ274" s="842"/>
      <c r="BR274" s="842"/>
      <c r="BS274" s="842"/>
      <c r="BT274" s="842"/>
      <c r="BU274" s="842"/>
      <c r="BV274" s="842"/>
      <c r="BW274" s="842"/>
      <c r="BX274" s="842"/>
      <c r="BY274" s="842"/>
      <c r="BZ274" s="842"/>
      <c r="CA274" s="842"/>
      <c r="CB274" s="842"/>
      <c r="CC274" s="842"/>
      <c r="CD274" s="842"/>
      <c r="CE274" s="842"/>
      <c r="CF274" s="842"/>
      <c r="CG274" s="842"/>
      <c r="CH274" s="842"/>
      <c r="CI274" s="842"/>
      <c r="CJ274" s="842"/>
      <c r="CK274" s="842"/>
      <c r="CL274" s="842"/>
      <c r="CM274" s="842"/>
      <c r="CN274" s="842"/>
      <c r="CO274" s="842"/>
      <c r="CP274" s="842"/>
      <c r="CQ274" s="842"/>
      <c r="CR274" s="842"/>
      <c r="CS274" s="842"/>
      <c r="CT274" s="842"/>
      <c r="CU274" s="842"/>
      <c r="CV274" s="842"/>
      <c r="CW274" s="842"/>
      <c r="CX274" s="842"/>
      <c r="CY274" s="842"/>
      <c r="CZ274" s="842"/>
      <c r="DA274" s="842"/>
      <c r="DB274" s="842"/>
      <c r="DC274" s="842"/>
      <c r="DD274" s="842"/>
      <c r="DE274" s="842"/>
      <c r="DF274" s="842"/>
      <c r="DG274" s="842"/>
      <c r="DH274" s="842"/>
      <c r="DI274" s="842"/>
      <c r="DJ274" s="842"/>
      <c r="DK274" s="842"/>
      <c r="DL274" s="842"/>
      <c r="DM274" s="842"/>
      <c r="DN274" s="842"/>
      <c r="DO274" s="842"/>
      <c r="DP274" s="842"/>
      <c r="DQ274" s="842"/>
      <c r="DR274" s="842"/>
      <c r="DS274" s="842"/>
      <c r="DT274" s="842"/>
      <c r="DU274" s="842"/>
      <c r="DV274" s="842"/>
      <c r="DW274" s="842"/>
      <c r="DX274" s="842"/>
      <c r="DY274" s="842"/>
      <c r="DZ274" s="842"/>
      <c r="EA274" s="842"/>
      <c r="EB274" s="842"/>
      <c r="EC274" s="842"/>
      <c r="ED274" s="842"/>
      <c r="EE274" s="842"/>
      <c r="EF274" s="842"/>
      <c r="EG274" s="842"/>
      <c r="EH274" s="842"/>
      <c r="EI274" s="842"/>
      <c r="EJ274" s="842"/>
      <c r="EK274" s="842"/>
      <c r="EL274" s="842"/>
      <c r="EM274" s="842"/>
      <c r="EN274" s="842"/>
      <c r="EO274" s="842"/>
      <c r="EP274" s="842"/>
      <c r="EQ274" s="842"/>
      <c r="ER274" s="842"/>
      <c r="ES274" s="842"/>
      <c r="ET274" s="842"/>
      <c r="EU274" s="842"/>
      <c r="EV274" s="842"/>
      <c r="EW274" s="842"/>
      <c r="EX274" s="842"/>
      <c r="EY274" s="842"/>
      <c r="EZ274" s="842"/>
      <c r="FA274" s="842"/>
      <c r="FB274" s="842"/>
      <c r="FC274" s="842"/>
      <c r="FD274" s="842"/>
      <c r="FE274" s="842"/>
      <c r="FF274" s="842"/>
      <c r="FG274" s="842"/>
      <c r="FH274" s="842"/>
      <c r="FI274" s="842"/>
      <c r="FJ274" s="842"/>
      <c r="FK274" s="842"/>
      <c r="FL274" s="842"/>
      <c r="FM274" s="842"/>
      <c r="FN274" s="842"/>
      <c r="FO274" s="842"/>
      <c r="FP274" s="842"/>
      <c r="FQ274" s="842"/>
      <c r="FR274" s="842"/>
      <c r="FS274" s="842"/>
      <c r="FT274" s="842"/>
      <c r="FU274" s="842"/>
      <c r="FV274" s="842"/>
      <c r="FW274" s="842"/>
      <c r="FX274" s="842"/>
      <c r="FY274" s="842"/>
      <c r="FZ274" s="842"/>
      <c r="GA274" s="842"/>
      <c r="GB274" s="842"/>
      <c r="GC274" s="842"/>
      <c r="GD274" s="842"/>
      <c r="GE274" s="842"/>
      <c r="GF274" s="842"/>
      <c r="GG274" s="842"/>
      <c r="GH274" s="842"/>
      <c r="GI274" s="842"/>
      <c r="GJ274" s="842"/>
      <c r="GK274" s="842"/>
      <c r="GL274" s="842"/>
      <c r="GM274" s="842"/>
      <c r="GN274" s="842"/>
      <c r="GO274" s="842"/>
      <c r="GP274" s="842"/>
      <c r="GQ274" s="842"/>
      <c r="GR274" s="842"/>
      <c r="GS274" s="842"/>
      <c r="GT274" s="842"/>
      <c r="GU274" s="842"/>
      <c r="GV274" s="842"/>
      <c r="GW274" s="842"/>
      <c r="GX274" s="842"/>
      <c r="GY274" s="842"/>
      <c r="GZ274" s="842"/>
      <c r="HA274" s="842"/>
      <c r="HB274" s="842"/>
      <c r="HC274" s="842"/>
      <c r="HD274" s="842"/>
      <c r="HE274" s="842"/>
      <c r="HF274" s="842"/>
      <c r="HG274" s="842"/>
      <c r="HH274" s="842"/>
      <c r="HI274" s="842"/>
      <c r="HJ274" s="842"/>
      <c r="HK274" s="842"/>
      <c r="HL274" s="842"/>
      <c r="HM274" s="842"/>
      <c r="HN274" s="842"/>
      <c r="HO274" s="842"/>
      <c r="HP274" s="842"/>
      <c r="HQ274" s="842"/>
      <c r="HR274" s="842"/>
      <c r="HS274" s="842"/>
      <c r="HT274" s="842"/>
      <c r="HU274" s="842"/>
      <c r="HV274" s="842"/>
      <c r="HW274" s="842"/>
      <c r="HX274" s="842"/>
      <c r="HY274" s="842"/>
      <c r="HZ274" s="842"/>
      <c r="IA274" s="842"/>
      <c r="IB274" s="842"/>
      <c r="IC274" s="842"/>
      <c r="ID274" s="842"/>
      <c r="IE274" s="842"/>
      <c r="IF274" s="842"/>
      <c r="IG274" s="842"/>
      <c r="IH274" s="842"/>
      <c r="II274" s="842"/>
      <c r="IJ274" s="842"/>
      <c r="IK274" s="842"/>
      <c r="IL274" s="842"/>
      <c r="IM274" s="842"/>
      <c r="IN274" s="842"/>
      <c r="IO274" s="842"/>
      <c r="IP274" s="842"/>
      <c r="IQ274" s="842"/>
      <c r="IR274" s="842"/>
      <c r="IS274" s="842"/>
      <c r="IT274" s="842"/>
      <c r="IU274" s="842"/>
      <c r="IV274" s="842"/>
    </row>
    <row r="280" spans="1:256" s="1071" customFormat="1" ht="15">
      <c r="A280" s="842"/>
      <c r="B280" s="842"/>
      <c r="C280" s="842"/>
      <c r="D280" s="842"/>
      <c r="E280" s="842"/>
      <c r="F280" s="842"/>
      <c r="G280" s="842"/>
      <c r="H280" s="842"/>
      <c r="I280" s="842"/>
      <c r="J280" s="842"/>
      <c r="K280" s="1070"/>
      <c r="L280" s="876"/>
      <c r="M280" s="876"/>
      <c r="N280" s="954"/>
      <c r="O280" s="876"/>
      <c r="P280" s="1070"/>
      <c r="R280" s="954"/>
      <c r="S280" s="876"/>
      <c r="T280" s="1070"/>
      <c r="U280" s="1072"/>
      <c r="V280" s="1072"/>
      <c r="Y280" s="1074"/>
      <c r="Z280" s="1074"/>
      <c r="AA280" s="1075"/>
      <c r="AB280" s="1074"/>
      <c r="AC280" s="1074"/>
      <c r="AD280" s="1074"/>
      <c r="AE280" s="1074"/>
      <c r="AF280" s="1076"/>
      <c r="AG280" s="1074"/>
      <c r="AH280" s="1075"/>
      <c r="AI280" s="1074"/>
      <c r="AJ280" s="1074"/>
      <c r="AK280" s="1075"/>
      <c r="AL280" s="1075"/>
      <c r="AM280" s="1075"/>
      <c r="AN280" s="1075"/>
      <c r="AO280" s="842"/>
      <c r="AP280" s="842"/>
      <c r="AQ280" s="842"/>
      <c r="AR280" s="842"/>
      <c r="AS280" s="842"/>
      <c r="AT280" s="842"/>
      <c r="AU280" s="842"/>
      <c r="AV280" s="842"/>
      <c r="AW280" s="842"/>
      <c r="AX280" s="842"/>
      <c r="AY280" s="842"/>
      <c r="AZ280" s="842"/>
      <c r="BA280" s="842"/>
      <c r="BB280" s="842"/>
      <c r="BC280" s="842"/>
      <c r="BD280" s="842"/>
      <c r="BE280" s="842"/>
      <c r="BF280" s="842"/>
      <c r="BG280" s="842"/>
      <c r="BH280" s="842"/>
      <c r="BI280" s="842"/>
      <c r="BJ280" s="842"/>
      <c r="BK280" s="842"/>
      <c r="BL280" s="842"/>
      <c r="BM280" s="842"/>
      <c r="BN280" s="842"/>
      <c r="BO280" s="842"/>
      <c r="BP280" s="842"/>
      <c r="BQ280" s="842"/>
      <c r="BR280" s="842"/>
      <c r="BS280" s="842"/>
      <c r="BT280" s="842"/>
      <c r="BU280" s="842"/>
      <c r="BV280" s="842"/>
      <c r="BW280" s="842"/>
      <c r="BX280" s="842"/>
      <c r="BY280" s="842"/>
      <c r="BZ280" s="842"/>
      <c r="CA280" s="842"/>
      <c r="CB280" s="842"/>
      <c r="CC280" s="842"/>
      <c r="CD280" s="842"/>
      <c r="CE280" s="842"/>
      <c r="CF280" s="842"/>
      <c r="CG280" s="842"/>
      <c r="CH280" s="842"/>
      <c r="CI280" s="842"/>
      <c r="CJ280" s="842"/>
      <c r="CK280" s="842"/>
      <c r="CL280" s="842"/>
      <c r="CM280" s="842"/>
      <c r="CN280" s="842"/>
      <c r="CO280" s="842"/>
      <c r="CP280" s="842"/>
      <c r="CQ280" s="842"/>
      <c r="CR280" s="842"/>
      <c r="CS280" s="842"/>
      <c r="CT280" s="842"/>
      <c r="CU280" s="842"/>
      <c r="CV280" s="842"/>
      <c r="CW280" s="842"/>
      <c r="CX280" s="842"/>
      <c r="CY280" s="842"/>
      <c r="CZ280" s="842"/>
      <c r="DA280" s="842"/>
      <c r="DB280" s="842"/>
      <c r="DC280" s="842"/>
      <c r="DD280" s="842"/>
      <c r="DE280" s="842"/>
      <c r="DF280" s="842"/>
      <c r="DG280" s="842"/>
      <c r="DH280" s="842"/>
      <c r="DI280" s="842"/>
      <c r="DJ280" s="842"/>
      <c r="DK280" s="842"/>
      <c r="DL280" s="842"/>
      <c r="DM280" s="842"/>
      <c r="DN280" s="842"/>
      <c r="DO280" s="842"/>
      <c r="DP280" s="842"/>
      <c r="DQ280" s="842"/>
      <c r="DR280" s="842"/>
      <c r="DS280" s="842"/>
      <c r="DT280" s="842"/>
      <c r="DU280" s="842"/>
      <c r="DV280" s="842"/>
      <c r="DW280" s="842"/>
      <c r="DX280" s="842"/>
      <c r="DY280" s="842"/>
      <c r="DZ280" s="842"/>
      <c r="EA280" s="842"/>
      <c r="EB280" s="842"/>
      <c r="EC280" s="842"/>
      <c r="ED280" s="842"/>
      <c r="EE280" s="842"/>
      <c r="EF280" s="842"/>
      <c r="EG280" s="842"/>
      <c r="EH280" s="842"/>
      <c r="EI280" s="842"/>
      <c r="EJ280" s="842"/>
      <c r="EK280" s="842"/>
      <c r="EL280" s="842"/>
      <c r="EM280" s="842"/>
      <c r="EN280" s="842"/>
      <c r="EO280" s="842"/>
      <c r="EP280" s="842"/>
      <c r="EQ280" s="842"/>
      <c r="ER280" s="842"/>
      <c r="ES280" s="842"/>
      <c r="ET280" s="842"/>
      <c r="EU280" s="842"/>
      <c r="EV280" s="842"/>
      <c r="EW280" s="842"/>
      <c r="EX280" s="842"/>
      <c r="EY280" s="842"/>
      <c r="EZ280" s="842"/>
      <c r="FA280" s="842"/>
      <c r="FB280" s="842"/>
      <c r="FC280" s="842"/>
      <c r="FD280" s="842"/>
      <c r="FE280" s="842"/>
      <c r="FF280" s="842"/>
      <c r="FG280" s="842"/>
      <c r="FH280" s="842"/>
      <c r="FI280" s="842"/>
      <c r="FJ280" s="842"/>
      <c r="FK280" s="842"/>
      <c r="FL280" s="842"/>
      <c r="FM280" s="842"/>
      <c r="FN280" s="842"/>
      <c r="FO280" s="842"/>
      <c r="FP280" s="842"/>
      <c r="FQ280" s="842"/>
      <c r="FR280" s="842"/>
      <c r="FS280" s="842"/>
      <c r="FT280" s="842"/>
      <c r="FU280" s="842"/>
      <c r="FV280" s="842"/>
      <c r="FW280" s="842"/>
      <c r="FX280" s="842"/>
      <c r="FY280" s="842"/>
      <c r="FZ280" s="842"/>
      <c r="GA280" s="842"/>
      <c r="GB280" s="842"/>
      <c r="GC280" s="842"/>
      <c r="GD280" s="842"/>
      <c r="GE280" s="842"/>
      <c r="GF280" s="842"/>
      <c r="GG280" s="842"/>
      <c r="GH280" s="842"/>
      <c r="GI280" s="842"/>
      <c r="GJ280" s="842"/>
      <c r="GK280" s="842"/>
      <c r="GL280" s="842"/>
      <c r="GM280" s="842"/>
      <c r="GN280" s="842"/>
      <c r="GO280" s="842"/>
      <c r="GP280" s="842"/>
      <c r="GQ280" s="842"/>
      <c r="GR280" s="842"/>
      <c r="GS280" s="842"/>
      <c r="GT280" s="842"/>
      <c r="GU280" s="842"/>
      <c r="GV280" s="842"/>
      <c r="GW280" s="842"/>
      <c r="GX280" s="842"/>
      <c r="GY280" s="842"/>
      <c r="GZ280" s="842"/>
      <c r="HA280" s="842"/>
      <c r="HB280" s="842"/>
      <c r="HC280" s="842"/>
      <c r="HD280" s="842"/>
      <c r="HE280" s="842"/>
      <c r="HF280" s="842"/>
      <c r="HG280" s="842"/>
      <c r="HH280" s="842"/>
      <c r="HI280" s="842"/>
      <c r="HJ280" s="842"/>
      <c r="HK280" s="842"/>
      <c r="HL280" s="842"/>
      <c r="HM280" s="842"/>
      <c r="HN280" s="842"/>
      <c r="HO280" s="842"/>
      <c r="HP280" s="842"/>
      <c r="HQ280" s="842"/>
      <c r="HR280" s="842"/>
      <c r="HS280" s="842"/>
      <c r="HT280" s="842"/>
      <c r="HU280" s="842"/>
      <c r="HV280" s="842"/>
      <c r="HW280" s="842"/>
      <c r="HX280" s="842"/>
      <c r="HY280" s="842"/>
      <c r="HZ280" s="842"/>
      <c r="IA280" s="842"/>
      <c r="IB280" s="842"/>
      <c r="IC280" s="842"/>
      <c r="ID280" s="842"/>
      <c r="IE280" s="842"/>
      <c r="IF280" s="842"/>
      <c r="IG280" s="842"/>
      <c r="IH280" s="842"/>
      <c r="II280" s="842"/>
      <c r="IJ280" s="842"/>
      <c r="IK280" s="842"/>
      <c r="IL280" s="842"/>
      <c r="IM280" s="842"/>
      <c r="IN280" s="842"/>
      <c r="IO280" s="842"/>
      <c r="IP280" s="842"/>
      <c r="IQ280" s="842"/>
      <c r="IR280" s="842"/>
      <c r="IS280" s="842"/>
      <c r="IT280" s="842"/>
      <c r="IU280" s="842"/>
      <c r="IV280" s="842"/>
    </row>
  </sheetData>
  <sheetProtection password="CBEB" sheet="1" objects="1" scenarios="1"/>
  <mergeCells count="895">
    <mergeCell ref="AO260:AO266"/>
    <mergeCell ref="AP260:AP266"/>
    <mergeCell ref="AQ260:AQ266"/>
    <mergeCell ref="J261:J265"/>
    <mergeCell ref="K261:K265"/>
    <mergeCell ref="L261:L265"/>
    <mergeCell ref="M261:M265"/>
    <mergeCell ref="Q261:Q265"/>
    <mergeCell ref="AG260:AG266"/>
    <mergeCell ref="AH260:AH266"/>
    <mergeCell ref="AI260:AI266"/>
    <mergeCell ref="AJ260:AJ266"/>
    <mergeCell ref="AK260:AK266"/>
    <mergeCell ref="AL260:AL266"/>
    <mergeCell ref="AA260:AA266"/>
    <mergeCell ref="AB260:AB266"/>
    <mergeCell ref="AC260:AC266"/>
    <mergeCell ref="AD260:AD266"/>
    <mergeCell ref="AE260:AE266"/>
    <mergeCell ref="AH255:AH257"/>
    <mergeCell ref="AI255:AI257"/>
    <mergeCell ref="AJ255:AJ257"/>
    <mergeCell ref="Y255:Y257"/>
    <mergeCell ref="T261:T263"/>
    <mergeCell ref="T264:T265"/>
    <mergeCell ref="A267:Q267"/>
    <mergeCell ref="AM260:AM266"/>
    <mergeCell ref="AN260:AN266"/>
    <mergeCell ref="S255:S257"/>
    <mergeCell ref="T255:T256"/>
    <mergeCell ref="W255:W257"/>
    <mergeCell ref="X255:X257"/>
    <mergeCell ref="AF260:AF266"/>
    <mergeCell ref="J255:J256"/>
    <mergeCell ref="K255:K256"/>
    <mergeCell ref="L255:L256"/>
    <mergeCell ref="M255:M256"/>
    <mergeCell ref="AB255:AB257"/>
    <mergeCell ref="AC255:AC257"/>
    <mergeCell ref="AD255:AD257"/>
    <mergeCell ref="Q255:Q257"/>
    <mergeCell ref="R255:R257"/>
    <mergeCell ref="AQ255:AQ257"/>
    <mergeCell ref="N260:N266"/>
    <mergeCell ref="O260:O266"/>
    <mergeCell ref="P260:P266"/>
    <mergeCell ref="R260:R266"/>
    <mergeCell ref="S260:S266"/>
    <mergeCell ref="W260:W266"/>
    <mergeCell ref="X260:X266"/>
    <mergeCell ref="Y260:Y266"/>
    <mergeCell ref="Z260:Z266"/>
    <mergeCell ref="AK255:AK257"/>
    <mergeCell ref="AL255:AL257"/>
    <mergeCell ref="AM255:AM257"/>
    <mergeCell ref="AN255:AN257"/>
    <mergeCell ref="AO255:AO257"/>
    <mergeCell ref="AP255:AP257"/>
    <mergeCell ref="AE255:AE257"/>
    <mergeCell ref="AF255:AF257"/>
    <mergeCell ref="AG255:AG257"/>
    <mergeCell ref="N255:N257"/>
    <mergeCell ref="O255:O257"/>
    <mergeCell ref="P255:P257"/>
    <mergeCell ref="Z255:Z257"/>
    <mergeCell ref="AA255:AA257"/>
    <mergeCell ref="P245:P253"/>
    <mergeCell ref="Q245:Q252"/>
    <mergeCell ref="R245:R253"/>
    <mergeCell ref="S245:S253"/>
    <mergeCell ref="T245:T249"/>
    <mergeCell ref="W245:W253"/>
    <mergeCell ref="AP245:AP253"/>
    <mergeCell ref="AQ245:AQ253"/>
    <mergeCell ref="T250:T251"/>
    <mergeCell ref="AL245:AL253"/>
    <mergeCell ref="AM245:AM253"/>
    <mergeCell ref="AN245:AN253"/>
    <mergeCell ref="AO245:AO253"/>
    <mergeCell ref="AJ245:AJ253"/>
    <mergeCell ref="AK245:AK253"/>
    <mergeCell ref="AD245:AD253"/>
    <mergeCell ref="AE245:AE253"/>
    <mergeCell ref="AF245:AF253"/>
    <mergeCell ref="AG245:AG253"/>
    <mergeCell ref="AH245:AH253"/>
    <mergeCell ref="AI245:AI253"/>
    <mergeCell ref="X245:X253"/>
    <mergeCell ref="Y245:Y253"/>
    <mergeCell ref="AC245:AC253"/>
    <mergeCell ref="J245:J252"/>
    <mergeCell ref="K245:K252"/>
    <mergeCell ref="L245:L252"/>
    <mergeCell ref="M245:M252"/>
    <mergeCell ref="N245:N253"/>
    <mergeCell ref="O245:O253"/>
    <mergeCell ref="AL236:AL243"/>
    <mergeCell ref="AM236:AM243"/>
    <mergeCell ref="AN236:AN243"/>
    <mergeCell ref="Z236:Z243"/>
    <mergeCell ref="AA236:AA243"/>
    <mergeCell ref="AB236:AB243"/>
    <mergeCell ref="AC236:AC243"/>
    <mergeCell ref="AD236:AD243"/>
    <mergeCell ref="AE236:AE243"/>
    <mergeCell ref="P236:P243"/>
    <mergeCell ref="Q236:Q243"/>
    <mergeCell ref="R236:R243"/>
    <mergeCell ref="S236:S243"/>
    <mergeCell ref="T236:T242"/>
    <mergeCell ref="Y236:Y243"/>
    <mergeCell ref="Z245:Z253"/>
    <mergeCell ref="AA245:AA253"/>
    <mergeCell ref="AB245:AB253"/>
    <mergeCell ref="AO236:AO243"/>
    <mergeCell ref="AP236:AP243"/>
    <mergeCell ref="AQ236:AQ243"/>
    <mergeCell ref="AF236:AF243"/>
    <mergeCell ref="AG236:AG243"/>
    <mergeCell ref="AH236:AH243"/>
    <mergeCell ref="AI236:AI243"/>
    <mergeCell ref="AJ236:AJ243"/>
    <mergeCell ref="AK236:AK243"/>
    <mergeCell ref="AO230:AO235"/>
    <mergeCell ref="AP230:AP235"/>
    <mergeCell ref="AQ230:AQ235"/>
    <mergeCell ref="Q234:Q235"/>
    <mergeCell ref="T234:T235"/>
    <mergeCell ref="J236:J243"/>
    <mergeCell ref="K236:K243"/>
    <mergeCell ref="L236:L243"/>
    <mergeCell ref="M236:M243"/>
    <mergeCell ref="O236:O243"/>
    <mergeCell ref="AI230:AI235"/>
    <mergeCell ref="AJ230:AJ235"/>
    <mergeCell ref="AK230:AK235"/>
    <mergeCell ref="AL230:AL235"/>
    <mergeCell ref="AM230:AM235"/>
    <mergeCell ref="AN230:AN235"/>
    <mergeCell ref="AC230:AC235"/>
    <mergeCell ref="AD230:AD235"/>
    <mergeCell ref="AE230:AE235"/>
    <mergeCell ref="AF230:AF235"/>
    <mergeCell ref="AG230:AG235"/>
    <mergeCell ref="AH230:AH235"/>
    <mergeCell ref="W230:W235"/>
    <mergeCell ref="X230:X235"/>
    <mergeCell ref="Y230:Y235"/>
    <mergeCell ref="Z230:Z235"/>
    <mergeCell ref="AA230:AA235"/>
    <mergeCell ref="AB230:AB235"/>
    <mergeCell ref="O230:O235"/>
    <mergeCell ref="P230:P235"/>
    <mergeCell ref="Q230:Q233"/>
    <mergeCell ref="R230:R235"/>
    <mergeCell ref="S230:S235"/>
    <mergeCell ref="T230:T232"/>
    <mergeCell ref="AN226:AN228"/>
    <mergeCell ref="AO226:AO228"/>
    <mergeCell ref="AP226:AP228"/>
    <mergeCell ref="AQ226:AQ228"/>
    <mergeCell ref="AA229:AM229"/>
    <mergeCell ref="J230:J234"/>
    <mergeCell ref="K230:K234"/>
    <mergeCell ref="L230:L234"/>
    <mergeCell ref="M230:M234"/>
    <mergeCell ref="N230:N235"/>
    <mergeCell ref="AH226:AH228"/>
    <mergeCell ref="AI226:AI228"/>
    <mergeCell ref="AJ226:AJ228"/>
    <mergeCell ref="AK226:AK228"/>
    <mergeCell ref="AL226:AL228"/>
    <mergeCell ref="AM226:AM228"/>
    <mergeCell ref="AB226:AB228"/>
    <mergeCell ref="AC226:AC228"/>
    <mergeCell ref="AD226:AD228"/>
    <mergeCell ref="AE226:AE228"/>
    <mergeCell ref="AF226:AF228"/>
    <mergeCell ref="AG226:AG228"/>
    <mergeCell ref="S226:S228"/>
    <mergeCell ref="W226:W228"/>
    <mergeCell ref="X226:X228"/>
    <mergeCell ref="Y226:Y228"/>
    <mergeCell ref="Z226:Z228"/>
    <mergeCell ref="AA226:AA228"/>
    <mergeCell ref="AA225:AM225"/>
    <mergeCell ref="J226:J228"/>
    <mergeCell ref="K226:K228"/>
    <mergeCell ref="L226:L228"/>
    <mergeCell ref="M226:M228"/>
    <mergeCell ref="N226:N228"/>
    <mergeCell ref="O226:O228"/>
    <mergeCell ref="P226:P228"/>
    <mergeCell ref="Q226:Q228"/>
    <mergeCell ref="R226:R228"/>
    <mergeCell ref="AP221:AP224"/>
    <mergeCell ref="AQ221:AQ224"/>
    <mergeCell ref="J223:J224"/>
    <mergeCell ref="K223:K224"/>
    <mergeCell ref="L223:L224"/>
    <mergeCell ref="M223:M224"/>
    <mergeCell ref="Q223:Q224"/>
    <mergeCell ref="T223:T224"/>
    <mergeCell ref="AJ221:AJ224"/>
    <mergeCell ref="AK221:AK224"/>
    <mergeCell ref="AL221:AL224"/>
    <mergeCell ref="AM221:AM224"/>
    <mergeCell ref="AN221:AN224"/>
    <mergeCell ref="AO221:AO224"/>
    <mergeCell ref="AD221:AD224"/>
    <mergeCell ref="AE221:AE224"/>
    <mergeCell ref="AF221:AF224"/>
    <mergeCell ref="AG221:AG224"/>
    <mergeCell ref="AH221:AH224"/>
    <mergeCell ref="AI221:AI224"/>
    <mergeCell ref="X221:X224"/>
    <mergeCell ref="Y221:Y224"/>
    <mergeCell ref="Z221:Z224"/>
    <mergeCell ref="AA221:AA224"/>
    <mergeCell ref="AB221:AB224"/>
    <mergeCell ref="AC221:AC224"/>
    <mergeCell ref="N221:N224"/>
    <mergeCell ref="O221:O224"/>
    <mergeCell ref="P221:P224"/>
    <mergeCell ref="R221:R224"/>
    <mergeCell ref="S221:S224"/>
    <mergeCell ref="W221:W224"/>
    <mergeCell ref="AN212:AN218"/>
    <mergeCell ref="Y212:Y218"/>
    <mergeCell ref="Z212:Z218"/>
    <mergeCell ref="AA212:AA218"/>
    <mergeCell ref="T217:T218"/>
    <mergeCell ref="W217:W218"/>
    <mergeCell ref="X217:X218"/>
    <mergeCell ref="N212:N213"/>
    <mergeCell ref="O212:O218"/>
    <mergeCell ref="P212:P218"/>
    <mergeCell ref="Q212:Q213"/>
    <mergeCell ref="R212:R218"/>
    <mergeCell ref="S212:S217"/>
    <mergeCell ref="Q217:Q218"/>
    <mergeCell ref="AO212:AO218"/>
    <mergeCell ref="AP212:AP218"/>
    <mergeCell ref="AQ212:AQ218"/>
    <mergeCell ref="G217:I218"/>
    <mergeCell ref="J217:J218"/>
    <mergeCell ref="K217:K218"/>
    <mergeCell ref="L217:L218"/>
    <mergeCell ref="M217:M218"/>
    <mergeCell ref="N217:N218"/>
    <mergeCell ref="AH212:AH218"/>
    <mergeCell ref="AI212:AI218"/>
    <mergeCell ref="AJ212:AJ218"/>
    <mergeCell ref="AK212:AK218"/>
    <mergeCell ref="AL212:AL218"/>
    <mergeCell ref="AM212:AM218"/>
    <mergeCell ref="AB212:AB218"/>
    <mergeCell ref="AC212:AC218"/>
    <mergeCell ref="AD212:AD218"/>
    <mergeCell ref="AE212:AE218"/>
    <mergeCell ref="AF212:AF218"/>
    <mergeCell ref="AG212:AG218"/>
    <mergeCell ref="T212:T213"/>
    <mergeCell ref="W212:W213"/>
    <mergeCell ref="X212:X213"/>
    <mergeCell ref="D211:F218"/>
    <mergeCell ref="G212:I213"/>
    <mergeCell ref="J212:J213"/>
    <mergeCell ref="K212:K213"/>
    <mergeCell ref="L212:L213"/>
    <mergeCell ref="M212:M213"/>
    <mergeCell ref="AP201:AP209"/>
    <mergeCell ref="AQ201:AQ209"/>
    <mergeCell ref="J205:J209"/>
    <mergeCell ref="K205:K209"/>
    <mergeCell ref="L205:L209"/>
    <mergeCell ref="M205:M209"/>
    <mergeCell ref="Q205:Q209"/>
    <mergeCell ref="T205:T209"/>
    <mergeCell ref="AJ201:AJ209"/>
    <mergeCell ref="AK201:AK209"/>
    <mergeCell ref="AL201:AL209"/>
    <mergeCell ref="AM201:AM209"/>
    <mergeCell ref="AN201:AN209"/>
    <mergeCell ref="AO201:AO209"/>
    <mergeCell ref="AD201:AD209"/>
    <mergeCell ref="AE201:AE209"/>
    <mergeCell ref="AF201:AF209"/>
    <mergeCell ref="AG201:AG209"/>
    <mergeCell ref="X201:X209"/>
    <mergeCell ref="Y201:Y209"/>
    <mergeCell ref="Z201:Z209"/>
    <mergeCell ref="AA201:AA209"/>
    <mergeCell ref="AB201:AB209"/>
    <mergeCell ref="AC201:AC209"/>
    <mergeCell ref="P201:P209"/>
    <mergeCell ref="Q201:Q204"/>
    <mergeCell ref="R201:R209"/>
    <mergeCell ref="S201:S209"/>
    <mergeCell ref="T201:T204"/>
    <mergeCell ref="W201:W209"/>
    <mergeCell ref="J201:J204"/>
    <mergeCell ref="K201:K204"/>
    <mergeCell ref="L201:L204"/>
    <mergeCell ref="M201:M204"/>
    <mergeCell ref="N201:N209"/>
    <mergeCell ref="O201:O209"/>
    <mergeCell ref="AL194:AL200"/>
    <mergeCell ref="AM194:AM200"/>
    <mergeCell ref="AN194:AN200"/>
    <mergeCell ref="Z194:Z200"/>
    <mergeCell ref="AA194:AA200"/>
    <mergeCell ref="AB194:AB200"/>
    <mergeCell ref="AC194:AC200"/>
    <mergeCell ref="AD194:AD200"/>
    <mergeCell ref="AE194:AE200"/>
    <mergeCell ref="R194:R200"/>
    <mergeCell ref="S194:S200"/>
    <mergeCell ref="T194:T197"/>
    <mergeCell ref="W194:W200"/>
    <mergeCell ref="X194:X200"/>
    <mergeCell ref="Y194:Y200"/>
    <mergeCell ref="T198:T199"/>
    <mergeCell ref="AH201:AH209"/>
    <mergeCell ref="AI201:AI209"/>
    <mergeCell ref="AO194:AO200"/>
    <mergeCell ref="AP194:AP200"/>
    <mergeCell ref="AQ194:AQ200"/>
    <mergeCell ref="AF194:AF200"/>
    <mergeCell ref="AG194:AG200"/>
    <mergeCell ref="AH194:AH200"/>
    <mergeCell ref="AI194:AI200"/>
    <mergeCell ref="AJ194:AJ200"/>
    <mergeCell ref="AK194:AK200"/>
    <mergeCell ref="AP188:AP192"/>
    <mergeCell ref="AQ188:AQ192"/>
    <mergeCell ref="J194:J200"/>
    <mergeCell ref="K194:K200"/>
    <mergeCell ref="L194:L200"/>
    <mergeCell ref="M194:M200"/>
    <mergeCell ref="N194:N200"/>
    <mergeCell ref="O194:O200"/>
    <mergeCell ref="P194:P200"/>
    <mergeCell ref="Q194:Q200"/>
    <mergeCell ref="AJ188:AJ192"/>
    <mergeCell ref="AK188:AK192"/>
    <mergeCell ref="AL188:AL192"/>
    <mergeCell ref="AM188:AM192"/>
    <mergeCell ref="AN188:AN192"/>
    <mergeCell ref="AO188:AO192"/>
    <mergeCell ref="AD188:AD192"/>
    <mergeCell ref="AE188:AE192"/>
    <mergeCell ref="AF188:AF192"/>
    <mergeCell ref="AG188:AG192"/>
    <mergeCell ref="AH188:AH192"/>
    <mergeCell ref="AI188:AI192"/>
    <mergeCell ref="X188:X192"/>
    <mergeCell ref="Y188:Y192"/>
    <mergeCell ref="Z188:Z192"/>
    <mergeCell ref="AA188:AA192"/>
    <mergeCell ref="AB188:AB192"/>
    <mergeCell ref="AC188:AC192"/>
    <mergeCell ref="P188:P192"/>
    <mergeCell ref="Q188:Q192"/>
    <mergeCell ref="R188:R192"/>
    <mergeCell ref="S188:S192"/>
    <mergeCell ref="T188:T191"/>
    <mergeCell ref="W188:W192"/>
    <mergeCell ref="J188:J191"/>
    <mergeCell ref="K188:K191"/>
    <mergeCell ref="L188:L190"/>
    <mergeCell ref="M188:M191"/>
    <mergeCell ref="N188:N192"/>
    <mergeCell ref="O188:O192"/>
    <mergeCell ref="J183:J186"/>
    <mergeCell ref="K183:K186"/>
    <mergeCell ref="L183:L186"/>
    <mergeCell ref="M183:M186"/>
    <mergeCell ref="AM163:AM186"/>
    <mergeCell ref="AN163:AN186"/>
    <mergeCell ref="AO163:AO186"/>
    <mergeCell ref="AP163:AP186"/>
    <mergeCell ref="AQ163:AQ186"/>
    <mergeCell ref="J170:J176"/>
    <mergeCell ref="K170:K176"/>
    <mergeCell ref="L170:L176"/>
    <mergeCell ref="M170:M176"/>
    <mergeCell ref="Q170:Q176"/>
    <mergeCell ref="AG163:AG186"/>
    <mergeCell ref="AH163:AH186"/>
    <mergeCell ref="AI163:AI186"/>
    <mergeCell ref="AJ163:AJ186"/>
    <mergeCell ref="AK163:AK186"/>
    <mergeCell ref="AL163:AL186"/>
    <mergeCell ref="AA163:AA186"/>
    <mergeCell ref="AB163:AB186"/>
    <mergeCell ref="AC163:AC186"/>
    <mergeCell ref="AD163:AD186"/>
    <mergeCell ref="AE163:AE186"/>
    <mergeCell ref="AF163:AF186"/>
    <mergeCell ref="Q163:Q169"/>
    <mergeCell ref="R163:R186"/>
    <mergeCell ref="S163:S186"/>
    <mergeCell ref="T163:T169"/>
    <mergeCell ref="Y163:Y186"/>
    <mergeCell ref="Z163:Z186"/>
    <mergeCell ref="T170:T176"/>
    <mergeCell ref="Q177:Q182"/>
    <mergeCell ref="T177:T182"/>
    <mergeCell ref="Q183:Q186"/>
    <mergeCell ref="T183:T186"/>
    <mergeCell ref="J163:J169"/>
    <mergeCell ref="K163:K169"/>
    <mergeCell ref="L163:L169"/>
    <mergeCell ref="M163:M169"/>
    <mergeCell ref="O163:O186"/>
    <mergeCell ref="P163:P186"/>
    <mergeCell ref="J177:J182"/>
    <mergeCell ref="K177:K182"/>
    <mergeCell ref="L177:L182"/>
    <mergeCell ref="M177:M182"/>
    <mergeCell ref="AM148:AM161"/>
    <mergeCell ref="AN148:AN161"/>
    <mergeCell ref="AO148:AO161"/>
    <mergeCell ref="AP148:AP161"/>
    <mergeCell ref="AQ148:AQ161"/>
    <mergeCell ref="J152:J154"/>
    <mergeCell ref="K152:K154"/>
    <mergeCell ref="L152:L154"/>
    <mergeCell ref="M152:M154"/>
    <mergeCell ref="Q152:Q154"/>
    <mergeCell ref="AG148:AG161"/>
    <mergeCell ref="AH148:AH161"/>
    <mergeCell ref="AI148:AI161"/>
    <mergeCell ref="AJ148:AJ161"/>
    <mergeCell ref="AK148:AK161"/>
    <mergeCell ref="AL148:AL161"/>
    <mergeCell ref="AA148:AA161"/>
    <mergeCell ref="AB148:AB161"/>
    <mergeCell ref="AC148:AC161"/>
    <mergeCell ref="AD148:AD161"/>
    <mergeCell ref="AE148:AE161"/>
    <mergeCell ref="AF148:AF161"/>
    <mergeCell ref="Q148:Q151"/>
    <mergeCell ref="R148:R161"/>
    <mergeCell ref="S148:S161"/>
    <mergeCell ref="T148:T151"/>
    <mergeCell ref="Y148:Y161"/>
    <mergeCell ref="Z148:Z161"/>
    <mergeCell ref="T152:T161"/>
    <mergeCell ref="Q155:Q161"/>
    <mergeCell ref="J148:J151"/>
    <mergeCell ref="K148:K151"/>
    <mergeCell ref="L148:L151"/>
    <mergeCell ref="M148:M151"/>
    <mergeCell ref="O148:O161"/>
    <mergeCell ref="P148:P161"/>
    <mergeCell ref="J155:J161"/>
    <mergeCell ref="K155:K161"/>
    <mergeCell ref="L155:L161"/>
    <mergeCell ref="M155:M161"/>
    <mergeCell ref="AP136:AP146"/>
    <mergeCell ref="AQ136:AQ146"/>
    <mergeCell ref="J142:J146"/>
    <mergeCell ref="K142:K146"/>
    <mergeCell ref="L142:L146"/>
    <mergeCell ref="M142:M146"/>
    <mergeCell ref="Q142:Q146"/>
    <mergeCell ref="T142:T146"/>
    <mergeCell ref="AJ136:AJ146"/>
    <mergeCell ref="AK136:AK146"/>
    <mergeCell ref="AL136:AL146"/>
    <mergeCell ref="AM136:AM146"/>
    <mergeCell ref="AN136:AN146"/>
    <mergeCell ref="AO136:AO146"/>
    <mergeCell ref="AD136:AD146"/>
    <mergeCell ref="AE136:AE146"/>
    <mergeCell ref="AF136:AF146"/>
    <mergeCell ref="AG136:AG146"/>
    <mergeCell ref="AH136:AH146"/>
    <mergeCell ref="AI136:AI146"/>
    <mergeCell ref="X136:X146"/>
    <mergeCell ref="Y136:Y146"/>
    <mergeCell ref="Z136:Z146"/>
    <mergeCell ref="AA136:AA146"/>
    <mergeCell ref="AB136:AB146"/>
    <mergeCell ref="AC136:AC146"/>
    <mergeCell ref="P136:P146"/>
    <mergeCell ref="Q136:Q141"/>
    <mergeCell ref="R136:R146"/>
    <mergeCell ref="S136:S146"/>
    <mergeCell ref="T136:T141"/>
    <mergeCell ref="W136:W146"/>
    <mergeCell ref="J136:J141"/>
    <mergeCell ref="K136:K141"/>
    <mergeCell ref="L136:L141"/>
    <mergeCell ref="M136:M141"/>
    <mergeCell ref="N136:N146"/>
    <mergeCell ref="O136:O146"/>
    <mergeCell ref="AP128:AP134"/>
    <mergeCell ref="AQ128:AQ134"/>
    <mergeCell ref="J131:J134"/>
    <mergeCell ref="K131:K134"/>
    <mergeCell ref="L131:L134"/>
    <mergeCell ref="M131:M134"/>
    <mergeCell ref="Q131:Q134"/>
    <mergeCell ref="T131:T134"/>
    <mergeCell ref="AJ128:AJ134"/>
    <mergeCell ref="AK128:AK134"/>
    <mergeCell ref="AL128:AL134"/>
    <mergeCell ref="AM128:AM134"/>
    <mergeCell ref="AN128:AN134"/>
    <mergeCell ref="AO128:AO134"/>
    <mergeCell ref="AD128:AD134"/>
    <mergeCell ref="AE128:AE134"/>
    <mergeCell ref="AF128:AF134"/>
    <mergeCell ref="AG128:AG134"/>
    <mergeCell ref="AH128:AH134"/>
    <mergeCell ref="AI128:AI134"/>
    <mergeCell ref="X128:X134"/>
    <mergeCell ref="Y128:Y134"/>
    <mergeCell ref="Z128:Z134"/>
    <mergeCell ref="AA128:AA134"/>
    <mergeCell ref="AB128:AB134"/>
    <mergeCell ref="AC128:AC134"/>
    <mergeCell ref="P128:P134"/>
    <mergeCell ref="Q128:Q130"/>
    <mergeCell ref="R128:R134"/>
    <mergeCell ref="S128:S134"/>
    <mergeCell ref="T128:T130"/>
    <mergeCell ref="W128:W134"/>
    <mergeCell ref="J128:J130"/>
    <mergeCell ref="K128:K130"/>
    <mergeCell ref="L128:L130"/>
    <mergeCell ref="M128:M130"/>
    <mergeCell ref="N128:N134"/>
    <mergeCell ref="O128:O134"/>
    <mergeCell ref="AM118:AM126"/>
    <mergeCell ref="AN118:AN126"/>
    <mergeCell ref="AO118:AO126"/>
    <mergeCell ref="AP118:AP126"/>
    <mergeCell ref="AQ118:AQ126"/>
    <mergeCell ref="T122:T124"/>
    <mergeCell ref="T125:T126"/>
    <mergeCell ref="AG118:AG126"/>
    <mergeCell ref="AH118:AH126"/>
    <mergeCell ref="AI118:AI126"/>
    <mergeCell ref="AJ118:AJ126"/>
    <mergeCell ref="AK118:AK126"/>
    <mergeCell ref="AL118:AL126"/>
    <mergeCell ref="AA118:AA126"/>
    <mergeCell ref="AB118:AB126"/>
    <mergeCell ref="AC118:AC126"/>
    <mergeCell ref="AD118:AD126"/>
    <mergeCell ref="AE118:AE126"/>
    <mergeCell ref="AF118:AF126"/>
    <mergeCell ref="Q118:Q126"/>
    <mergeCell ref="R118:R126"/>
    <mergeCell ref="S118:S126"/>
    <mergeCell ref="T118:T121"/>
    <mergeCell ref="Y118:Y126"/>
    <mergeCell ref="Z118:Z126"/>
    <mergeCell ref="J118:J126"/>
    <mergeCell ref="K118:K126"/>
    <mergeCell ref="L118:L126"/>
    <mergeCell ref="M118:M126"/>
    <mergeCell ref="O118:O126"/>
    <mergeCell ref="P118:P126"/>
    <mergeCell ref="AQ108:AQ117"/>
    <mergeCell ref="N113:N114"/>
    <mergeCell ref="J114:J117"/>
    <mergeCell ref="K114:K117"/>
    <mergeCell ref="L114:L117"/>
    <mergeCell ref="M114:M117"/>
    <mergeCell ref="Q114:Q117"/>
    <mergeCell ref="T114:T117"/>
    <mergeCell ref="AK108:AK117"/>
    <mergeCell ref="AL108:AL117"/>
    <mergeCell ref="AM108:AM117"/>
    <mergeCell ref="AN108:AN117"/>
    <mergeCell ref="AO108:AO117"/>
    <mergeCell ref="AP108:AP117"/>
    <mergeCell ref="AE108:AE117"/>
    <mergeCell ref="AF108:AF117"/>
    <mergeCell ref="AG108:AG117"/>
    <mergeCell ref="AH108:AH117"/>
    <mergeCell ref="AI108:AI117"/>
    <mergeCell ref="AJ108:AJ117"/>
    <mergeCell ref="Y108:Y117"/>
    <mergeCell ref="Z108:Z117"/>
    <mergeCell ref="AA108:AA117"/>
    <mergeCell ref="AB108:AB117"/>
    <mergeCell ref="AC108:AC117"/>
    <mergeCell ref="AD108:AD117"/>
    <mergeCell ref="Q108:Q113"/>
    <mergeCell ref="R108:R117"/>
    <mergeCell ref="S108:S117"/>
    <mergeCell ref="T108:T113"/>
    <mergeCell ref="W108:W117"/>
    <mergeCell ref="X108:X117"/>
    <mergeCell ref="J108:J113"/>
    <mergeCell ref="K108:K113"/>
    <mergeCell ref="L108:L113"/>
    <mergeCell ref="M108:M113"/>
    <mergeCell ref="O108:O117"/>
    <mergeCell ref="P108:P117"/>
    <mergeCell ref="AP100:AP107"/>
    <mergeCell ref="AQ100:AQ107"/>
    <mergeCell ref="J104:J107"/>
    <mergeCell ref="K104:K107"/>
    <mergeCell ref="L104:L107"/>
    <mergeCell ref="M104:M107"/>
    <mergeCell ref="Q104:Q107"/>
    <mergeCell ref="T104:T107"/>
    <mergeCell ref="AJ100:AJ107"/>
    <mergeCell ref="AK100:AK107"/>
    <mergeCell ref="AL100:AL107"/>
    <mergeCell ref="AM100:AM107"/>
    <mergeCell ref="AN100:AN107"/>
    <mergeCell ref="AO100:AO107"/>
    <mergeCell ref="AD100:AD107"/>
    <mergeCell ref="AE100:AE107"/>
    <mergeCell ref="AF100:AF107"/>
    <mergeCell ref="AG100:AG107"/>
    <mergeCell ref="AH100:AH107"/>
    <mergeCell ref="AI100:AI107"/>
    <mergeCell ref="X100:X107"/>
    <mergeCell ref="Y100:Y107"/>
    <mergeCell ref="Z100:Z107"/>
    <mergeCell ref="AA100:AA107"/>
    <mergeCell ref="AB100:AB107"/>
    <mergeCell ref="AC100:AC107"/>
    <mergeCell ref="P100:P107"/>
    <mergeCell ref="Q100:Q103"/>
    <mergeCell ref="R100:R107"/>
    <mergeCell ref="S100:S107"/>
    <mergeCell ref="T100:T103"/>
    <mergeCell ref="W100:W107"/>
    <mergeCell ref="J100:J103"/>
    <mergeCell ref="K100:K103"/>
    <mergeCell ref="L100:L103"/>
    <mergeCell ref="M100:M103"/>
    <mergeCell ref="N100:N107"/>
    <mergeCell ref="O100:O107"/>
    <mergeCell ref="T80:T84"/>
    <mergeCell ref="AC66:AC84"/>
    <mergeCell ref="AP86:AP98"/>
    <mergeCell ref="AQ86:AQ98"/>
    <mergeCell ref="J91:J95"/>
    <mergeCell ref="K91:K95"/>
    <mergeCell ref="L91:L95"/>
    <mergeCell ref="M91:M95"/>
    <mergeCell ref="Q91:Q95"/>
    <mergeCell ref="T91:T95"/>
    <mergeCell ref="J96:J98"/>
    <mergeCell ref="K96:K98"/>
    <mergeCell ref="AJ86:AJ98"/>
    <mergeCell ref="AK86:AK98"/>
    <mergeCell ref="AL86:AL98"/>
    <mergeCell ref="AM86:AM98"/>
    <mergeCell ref="AN86:AN98"/>
    <mergeCell ref="AO86:AO98"/>
    <mergeCell ref="AD86:AD98"/>
    <mergeCell ref="AE86:AE98"/>
    <mergeCell ref="AF86:AF98"/>
    <mergeCell ref="AG86:AG98"/>
    <mergeCell ref="AH86:AH98"/>
    <mergeCell ref="AI86:AI98"/>
    <mergeCell ref="Z86:Z98"/>
    <mergeCell ref="AA86:AA98"/>
    <mergeCell ref="AB86:AB98"/>
    <mergeCell ref="AC86:AC98"/>
    <mergeCell ref="P86:P98"/>
    <mergeCell ref="Q86:Q90"/>
    <mergeCell ref="R86:R98"/>
    <mergeCell ref="S86:S98"/>
    <mergeCell ref="T86:T90"/>
    <mergeCell ref="W86:W98"/>
    <mergeCell ref="Q96:Q98"/>
    <mergeCell ref="T96:T98"/>
    <mergeCell ref="X86:X98"/>
    <mergeCell ref="Y86:Y98"/>
    <mergeCell ref="J86:J90"/>
    <mergeCell ref="K86:K90"/>
    <mergeCell ref="L86:L90"/>
    <mergeCell ref="M86:M90"/>
    <mergeCell ref="N86:N98"/>
    <mergeCell ref="O86:O98"/>
    <mergeCell ref="L96:L98"/>
    <mergeCell ref="M96:M98"/>
    <mergeCell ref="J80:J84"/>
    <mergeCell ref="K80:K84"/>
    <mergeCell ref="L80:L84"/>
    <mergeCell ref="M80:M84"/>
    <mergeCell ref="N66:N84"/>
    <mergeCell ref="O66:O84"/>
    <mergeCell ref="AN66:AN84"/>
    <mergeCell ref="AO66:AO84"/>
    <mergeCell ref="AP66:AP84"/>
    <mergeCell ref="AQ66:AQ84"/>
    <mergeCell ref="AF66:AF84"/>
    <mergeCell ref="AG66:AG84"/>
    <mergeCell ref="AH66:AH84"/>
    <mergeCell ref="AI66:AI84"/>
    <mergeCell ref="AJ66:AJ84"/>
    <mergeCell ref="AK66:AK84"/>
    <mergeCell ref="AL66:AL84"/>
    <mergeCell ref="AM66:AM84"/>
    <mergeCell ref="AD66:AD84"/>
    <mergeCell ref="AE66:AE84"/>
    <mergeCell ref="R66:R84"/>
    <mergeCell ref="S66:S84"/>
    <mergeCell ref="T66:T74"/>
    <mergeCell ref="W66:W84"/>
    <mergeCell ref="X66:X84"/>
    <mergeCell ref="Y66:Y84"/>
    <mergeCell ref="J66:J74"/>
    <mergeCell ref="K66:K74"/>
    <mergeCell ref="J75:J79"/>
    <mergeCell ref="K75:K79"/>
    <mergeCell ref="L75:L79"/>
    <mergeCell ref="M75:M79"/>
    <mergeCell ref="Q75:Q79"/>
    <mergeCell ref="T75:T79"/>
    <mergeCell ref="Z66:Z84"/>
    <mergeCell ref="AA66:AA84"/>
    <mergeCell ref="AB66:AB84"/>
    <mergeCell ref="L66:L74"/>
    <mergeCell ref="M66:M74"/>
    <mergeCell ref="P66:P84"/>
    <mergeCell ref="Q66:Q74"/>
    <mergeCell ref="Q80:Q84"/>
    <mergeCell ref="AP37:AP64"/>
    <mergeCell ref="AQ37:AQ64"/>
    <mergeCell ref="J40:J46"/>
    <mergeCell ref="K40:K46"/>
    <mergeCell ref="L40:L46"/>
    <mergeCell ref="M40:M46"/>
    <mergeCell ref="Q40:Q46"/>
    <mergeCell ref="J47:J58"/>
    <mergeCell ref="K47:K58"/>
    <mergeCell ref="L47:L58"/>
    <mergeCell ref="AJ37:AJ64"/>
    <mergeCell ref="AK37:AK64"/>
    <mergeCell ref="AL37:AL64"/>
    <mergeCell ref="AM37:AM64"/>
    <mergeCell ref="AN37:AN64"/>
    <mergeCell ref="AO37:AO64"/>
    <mergeCell ref="AD37:AD64"/>
    <mergeCell ref="AE37:AE64"/>
    <mergeCell ref="AF37:AF64"/>
    <mergeCell ref="AG37:AG64"/>
    <mergeCell ref="AH37:AH64"/>
    <mergeCell ref="AI37:AI64"/>
    <mergeCell ref="X37:X64"/>
    <mergeCell ref="Y37:Y64"/>
    <mergeCell ref="Z37:Z64"/>
    <mergeCell ref="AA37:AA64"/>
    <mergeCell ref="AB37:AB64"/>
    <mergeCell ref="AC37:AC64"/>
    <mergeCell ref="P37:P64"/>
    <mergeCell ref="Q37:Q39"/>
    <mergeCell ref="R37:R64"/>
    <mergeCell ref="S37:S64"/>
    <mergeCell ref="T37:T46"/>
    <mergeCell ref="W37:W64"/>
    <mergeCell ref="Q47:Q58"/>
    <mergeCell ref="T47:T64"/>
    <mergeCell ref="Q59:Q64"/>
    <mergeCell ref="J37:J39"/>
    <mergeCell ref="K37:K39"/>
    <mergeCell ref="L37:L39"/>
    <mergeCell ref="M37:M39"/>
    <mergeCell ref="N37:N64"/>
    <mergeCell ref="O37:O64"/>
    <mergeCell ref="M47:M58"/>
    <mergeCell ref="J59:J64"/>
    <mergeCell ref="K59:K64"/>
    <mergeCell ref="L59:L64"/>
    <mergeCell ref="M59:M64"/>
    <mergeCell ref="AO31:AO35"/>
    <mergeCell ref="AP31:AP35"/>
    <mergeCell ref="AQ31:AQ35"/>
    <mergeCell ref="J34:J35"/>
    <mergeCell ref="K34:K35"/>
    <mergeCell ref="L34:L35"/>
    <mergeCell ref="M34:M35"/>
    <mergeCell ref="Q34:Q35"/>
    <mergeCell ref="T34:T35"/>
    <mergeCell ref="AI31:AI35"/>
    <mergeCell ref="AJ31:AJ35"/>
    <mergeCell ref="AK31:AK35"/>
    <mergeCell ref="AL31:AL35"/>
    <mergeCell ref="AM31:AM35"/>
    <mergeCell ref="AN31:AN35"/>
    <mergeCell ref="AC31:AC35"/>
    <mergeCell ref="AD31:AD35"/>
    <mergeCell ref="AE31:AE35"/>
    <mergeCell ref="AF31:AF35"/>
    <mergeCell ref="AG31:AG35"/>
    <mergeCell ref="AH31:AH35"/>
    <mergeCell ref="W31:W35"/>
    <mergeCell ref="X31:X35"/>
    <mergeCell ref="Y31:Y35"/>
    <mergeCell ref="J31:J33"/>
    <mergeCell ref="K31:K33"/>
    <mergeCell ref="L31:L33"/>
    <mergeCell ref="M31:M33"/>
    <mergeCell ref="N31:N35"/>
    <mergeCell ref="Z31:Z35"/>
    <mergeCell ref="AA31:AA35"/>
    <mergeCell ref="AB31:AB35"/>
    <mergeCell ref="O31:O35"/>
    <mergeCell ref="P31:P35"/>
    <mergeCell ref="Q31:Q33"/>
    <mergeCell ref="R31:R35"/>
    <mergeCell ref="S31:S35"/>
    <mergeCell ref="T31:T33"/>
    <mergeCell ref="AP12:AP28"/>
    <mergeCell ref="AQ12:AQ28"/>
    <mergeCell ref="J18:J22"/>
    <mergeCell ref="K18:K22"/>
    <mergeCell ref="L18:L22"/>
    <mergeCell ref="M18:M22"/>
    <mergeCell ref="Q18:Q22"/>
    <mergeCell ref="T18:T22"/>
    <mergeCell ref="J23:J28"/>
    <mergeCell ref="AI12:AI28"/>
    <mergeCell ref="AJ12:AJ28"/>
    <mergeCell ref="AK12:AK28"/>
    <mergeCell ref="AL12:AL28"/>
    <mergeCell ref="AM12:AM28"/>
    <mergeCell ref="AN12:AN28"/>
    <mergeCell ref="AC12:AC28"/>
    <mergeCell ref="AD12:AD28"/>
    <mergeCell ref="AE12:AE28"/>
    <mergeCell ref="AF12:AF28"/>
    <mergeCell ref="AG12:AG28"/>
    <mergeCell ref="AH12:AH28"/>
    <mergeCell ref="W12:W28"/>
    <mergeCell ref="X12:X28"/>
    <mergeCell ref="K23:K28"/>
    <mergeCell ref="AA12:AA28"/>
    <mergeCell ref="AB12:AB28"/>
    <mergeCell ref="O12:O28"/>
    <mergeCell ref="P12:P28"/>
    <mergeCell ref="Q12:Q17"/>
    <mergeCell ref="R12:R28"/>
    <mergeCell ref="S12:S28"/>
    <mergeCell ref="T12:T17"/>
    <mergeCell ref="AO12:AO28"/>
    <mergeCell ref="Q23:Q28"/>
    <mergeCell ref="T23:T28"/>
    <mergeCell ref="A10:C10"/>
    <mergeCell ref="J12:J17"/>
    <mergeCell ref="K12:K17"/>
    <mergeCell ref="L12:L17"/>
    <mergeCell ref="M12:M17"/>
    <mergeCell ref="N12:N28"/>
    <mergeCell ref="W7:W8"/>
    <mergeCell ref="X7:X8"/>
    <mergeCell ref="Y7:Z7"/>
    <mergeCell ref="Q7:Q8"/>
    <mergeCell ref="R7:R8"/>
    <mergeCell ref="S7:S8"/>
    <mergeCell ref="T7:T8"/>
    <mergeCell ref="U7:U8"/>
    <mergeCell ref="V7:V8"/>
    <mergeCell ref="K7:K8"/>
    <mergeCell ref="L7:L8"/>
    <mergeCell ref="Y12:Y28"/>
    <mergeCell ref="Z12:Z28"/>
    <mergeCell ref="L23:L28"/>
    <mergeCell ref="M23:M28"/>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s>
  <printOptions/>
  <pageMargins left="0.7" right="0.7" top="0.75" bottom="0.75" header="0.3" footer="0.3"/>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BJ59"/>
  <sheetViews>
    <sheetView showGridLines="0" zoomScale="60" zoomScaleNormal="60" zoomScalePageLayoutView="0" workbookViewId="0" topLeftCell="A1">
      <selection activeCell="R7" sqref="R7:R8"/>
    </sheetView>
  </sheetViews>
  <sheetFormatPr defaultColWidth="11.421875" defaultRowHeight="15"/>
  <cols>
    <col min="1" max="1" width="12.8515625" style="1838" customWidth="1"/>
    <col min="2" max="2" width="4.00390625" style="1762" customWidth="1"/>
    <col min="3" max="3" width="22.00390625" style="1762" customWidth="1"/>
    <col min="4" max="4" width="17.28125" style="1762" customWidth="1"/>
    <col min="5" max="5" width="6.421875" style="1762" customWidth="1"/>
    <col min="6" max="6" width="13.7109375" style="1762" customWidth="1"/>
    <col min="7" max="7" width="12.7109375" style="1762" customWidth="1"/>
    <col min="8" max="8" width="4.57421875" style="1762" customWidth="1"/>
    <col min="9" max="9" width="15.140625" style="1762" customWidth="1"/>
    <col min="10" max="10" width="15.8515625" style="1762" customWidth="1"/>
    <col min="11" max="11" width="25.7109375" style="1839" customWidth="1"/>
    <col min="12" max="12" width="16.8515625" style="1773" customWidth="1"/>
    <col min="13" max="13" width="18.57421875" style="1773" customWidth="1"/>
    <col min="14" max="14" width="27.7109375" style="1773" customWidth="1"/>
    <col min="15" max="15" width="14.00390625" style="1840" customWidth="1"/>
    <col min="16" max="16" width="17.00390625" style="1839" customWidth="1"/>
    <col min="17" max="17" width="12.7109375" style="1841" customWidth="1"/>
    <col min="18" max="18" width="24.57421875" style="1848" customWidth="1"/>
    <col min="19" max="19" width="29.00390625" style="1839" customWidth="1"/>
    <col min="20" max="20" width="21.28125" style="1839" customWidth="1"/>
    <col min="21" max="21" width="36.421875" style="1839" customWidth="1"/>
    <col min="22" max="22" width="27.421875" style="1849" customWidth="1"/>
    <col min="23" max="23" width="17.421875" style="1844" customWidth="1"/>
    <col min="24" max="24" width="26.28125" style="1845" customWidth="1"/>
    <col min="25" max="39" width="14.140625" style="1762" customWidth="1"/>
    <col min="40" max="40" width="10.28125" style="1762" customWidth="1"/>
    <col min="41" max="41" width="19.8515625" style="1846" customWidth="1"/>
    <col min="42" max="42" width="20.140625" style="1847" customWidth="1"/>
    <col min="43" max="43" width="23.7109375" style="1762" bestFit="1" customWidth="1"/>
    <col min="44" max="255" width="11.421875" style="1762" customWidth="1"/>
    <col min="256" max="16384" width="13.140625" style="1762" customWidth="1"/>
  </cols>
  <sheetData>
    <row r="1" spans="1:43" ht="15" customHeight="1">
      <c r="A1" s="2277" t="s">
        <v>2532</v>
      </c>
      <c r="B1" s="2278"/>
      <c r="C1" s="2278"/>
      <c r="D1" s="2278"/>
      <c r="E1" s="2278"/>
      <c r="F1" s="2278"/>
      <c r="G1" s="2278"/>
      <c r="H1" s="2278"/>
      <c r="I1" s="2278"/>
      <c r="J1" s="2278"/>
      <c r="K1" s="2278"/>
      <c r="L1" s="2278"/>
      <c r="M1" s="2278"/>
      <c r="N1" s="2278"/>
      <c r="O1" s="2278"/>
      <c r="P1" s="2278"/>
      <c r="Q1" s="2278"/>
      <c r="R1" s="2278"/>
      <c r="S1" s="2278"/>
      <c r="T1" s="2278"/>
      <c r="U1" s="2278"/>
      <c r="V1" s="2278"/>
      <c r="W1" s="2278"/>
      <c r="X1" s="2278"/>
      <c r="Y1" s="2278"/>
      <c r="Z1" s="2278"/>
      <c r="AA1" s="2278"/>
      <c r="AB1" s="2278"/>
      <c r="AC1" s="2278"/>
      <c r="AD1" s="2278"/>
      <c r="AE1" s="2278"/>
      <c r="AF1" s="2278"/>
      <c r="AG1" s="2278"/>
      <c r="AH1" s="2278"/>
      <c r="AI1" s="2278"/>
      <c r="AJ1" s="2278"/>
      <c r="AK1" s="2278"/>
      <c r="AL1" s="2278"/>
      <c r="AM1" s="2278"/>
      <c r="AN1" s="2278"/>
      <c r="AO1" s="2489"/>
      <c r="AP1" s="665" t="s">
        <v>1</v>
      </c>
      <c r="AQ1" s="665" t="s">
        <v>134</v>
      </c>
    </row>
    <row r="2" spans="1:43" ht="1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489"/>
      <c r="AP2" s="667" t="s">
        <v>3</v>
      </c>
      <c r="AQ2" s="665" t="s">
        <v>135</v>
      </c>
    </row>
    <row r="3" spans="1:43" ht="1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489"/>
      <c r="AP3" s="665" t="s">
        <v>5</v>
      </c>
      <c r="AQ3" s="668" t="s">
        <v>6</v>
      </c>
    </row>
    <row r="4" spans="1:43" s="1763" customFormat="1" ht="1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490"/>
      <c r="AP4" s="665" t="s">
        <v>7</v>
      </c>
      <c r="AQ4" s="669" t="s">
        <v>8</v>
      </c>
    </row>
    <row r="5" spans="1:43" ht="21" customHeight="1">
      <c r="A5" s="2281" t="s">
        <v>9</v>
      </c>
      <c r="B5" s="2282"/>
      <c r="C5" s="2282"/>
      <c r="D5" s="2282"/>
      <c r="E5" s="2282"/>
      <c r="F5" s="2282"/>
      <c r="G5" s="2282"/>
      <c r="H5" s="2282"/>
      <c r="I5" s="2282"/>
      <c r="J5" s="2282"/>
      <c r="K5" s="2282"/>
      <c r="L5" s="2282"/>
      <c r="M5" s="2282"/>
      <c r="N5" s="2694" t="s">
        <v>10</v>
      </c>
      <c r="O5" s="2354"/>
      <c r="P5" s="2354"/>
      <c r="Q5" s="2354"/>
      <c r="R5" s="2354"/>
      <c r="S5" s="2354"/>
      <c r="T5" s="2354"/>
      <c r="U5" s="2354"/>
      <c r="V5" s="2354"/>
      <c r="W5" s="2354"/>
      <c r="X5" s="2354"/>
      <c r="Y5" s="2354"/>
      <c r="Z5" s="2354"/>
      <c r="AA5" s="2354"/>
      <c r="AB5" s="2354"/>
      <c r="AC5" s="2354"/>
      <c r="AD5" s="2354"/>
      <c r="AE5" s="2354"/>
      <c r="AF5" s="2354"/>
      <c r="AG5" s="2354"/>
      <c r="AH5" s="2354"/>
      <c r="AI5" s="2354"/>
      <c r="AJ5" s="2354"/>
      <c r="AK5" s="2354"/>
      <c r="AL5" s="2354"/>
      <c r="AM5" s="2354"/>
      <c r="AN5" s="2354"/>
      <c r="AO5" s="2354"/>
      <c r="AP5" s="2354"/>
      <c r="AQ5" s="2355"/>
    </row>
    <row r="6" spans="1:43" ht="21" customHeight="1">
      <c r="A6" s="2283"/>
      <c r="B6" s="2284"/>
      <c r="C6" s="2284"/>
      <c r="D6" s="2284"/>
      <c r="E6" s="2284"/>
      <c r="F6" s="2284"/>
      <c r="G6" s="2284"/>
      <c r="H6" s="2284"/>
      <c r="I6" s="2284"/>
      <c r="J6" s="2284"/>
      <c r="K6" s="2284"/>
      <c r="L6" s="2284"/>
      <c r="M6" s="2284"/>
      <c r="N6" s="2694"/>
      <c r="O6" s="2354"/>
      <c r="P6" s="2354"/>
      <c r="Q6" s="2354"/>
      <c r="R6" s="2354"/>
      <c r="S6" s="2354"/>
      <c r="T6" s="2354"/>
      <c r="U6" s="2354"/>
      <c r="V6" s="2354"/>
      <c r="W6" s="2354"/>
      <c r="X6" s="2356"/>
      <c r="Y6" s="250"/>
      <c r="Z6" s="250"/>
      <c r="AA6" s="250"/>
      <c r="AB6" s="250"/>
      <c r="AC6" s="250"/>
      <c r="AD6" s="250"/>
      <c r="AE6" s="250"/>
      <c r="AF6" s="250"/>
      <c r="AG6" s="250"/>
      <c r="AH6" s="250"/>
      <c r="AI6" s="250"/>
      <c r="AJ6" s="250"/>
      <c r="AK6" s="250"/>
      <c r="AL6" s="250"/>
      <c r="AM6" s="250"/>
      <c r="AN6" s="250"/>
      <c r="AO6" s="2694"/>
      <c r="AP6" s="2354"/>
      <c r="AQ6" s="2355"/>
    </row>
    <row r="7" spans="1:43" ht="37.5" customHeight="1">
      <c r="A7" s="2357" t="s">
        <v>12</v>
      </c>
      <c r="B7" s="2358" t="s">
        <v>13</v>
      </c>
      <c r="C7" s="2358"/>
      <c r="D7" s="2358" t="s">
        <v>12</v>
      </c>
      <c r="E7" s="2358" t="s">
        <v>14</v>
      </c>
      <c r="F7" s="2358"/>
      <c r="G7" s="2358" t="s">
        <v>12</v>
      </c>
      <c r="H7" s="2358" t="s">
        <v>15</v>
      </c>
      <c r="I7" s="2358"/>
      <c r="J7" s="2358" t="s">
        <v>12</v>
      </c>
      <c r="K7" s="2358" t="s">
        <v>16</v>
      </c>
      <c r="L7" s="2358" t="s">
        <v>17</v>
      </c>
      <c r="M7" s="2312" t="s">
        <v>18</v>
      </c>
      <c r="N7" s="2358" t="s">
        <v>19</v>
      </c>
      <c r="O7" s="2271" t="s">
        <v>185</v>
      </c>
      <c r="P7" s="2358" t="s">
        <v>10</v>
      </c>
      <c r="Q7" s="2358" t="s">
        <v>21</v>
      </c>
      <c r="R7" s="2358" t="s">
        <v>22</v>
      </c>
      <c r="S7" s="2358" t="s">
        <v>23</v>
      </c>
      <c r="T7" s="2358" t="s">
        <v>24</v>
      </c>
      <c r="U7" s="2358" t="s">
        <v>25</v>
      </c>
      <c r="V7" s="2312" t="s">
        <v>22</v>
      </c>
      <c r="W7" s="2271" t="s">
        <v>12</v>
      </c>
      <c r="X7" s="2358" t="s">
        <v>26</v>
      </c>
      <c r="Y7" s="2178" t="s">
        <v>27</v>
      </c>
      <c r="Z7" s="2179"/>
      <c r="AA7" s="2180" t="s">
        <v>28</v>
      </c>
      <c r="AB7" s="2181"/>
      <c r="AC7" s="2181"/>
      <c r="AD7" s="2181"/>
      <c r="AE7" s="2182" t="s">
        <v>29</v>
      </c>
      <c r="AF7" s="2183"/>
      <c r="AG7" s="2183"/>
      <c r="AH7" s="2183"/>
      <c r="AI7" s="2183"/>
      <c r="AJ7" s="2183"/>
      <c r="AK7" s="2180" t="s">
        <v>30</v>
      </c>
      <c r="AL7" s="2181"/>
      <c r="AM7" s="2181"/>
      <c r="AN7" s="2291" t="s">
        <v>31</v>
      </c>
      <c r="AO7" s="2698" t="s">
        <v>32</v>
      </c>
      <c r="AP7" s="2698" t="s">
        <v>33</v>
      </c>
      <c r="AQ7" s="2363" t="s">
        <v>34</v>
      </c>
    </row>
    <row r="8" spans="1:43" ht="165" customHeight="1">
      <c r="A8" s="2357"/>
      <c r="B8" s="2358"/>
      <c r="C8" s="2358"/>
      <c r="D8" s="2358"/>
      <c r="E8" s="2358"/>
      <c r="F8" s="2358"/>
      <c r="G8" s="2358"/>
      <c r="H8" s="2358"/>
      <c r="I8" s="2358"/>
      <c r="J8" s="2358"/>
      <c r="K8" s="2358"/>
      <c r="L8" s="2358"/>
      <c r="M8" s="2969"/>
      <c r="N8" s="2358"/>
      <c r="O8" s="2272"/>
      <c r="P8" s="2358"/>
      <c r="Q8" s="2358"/>
      <c r="R8" s="2358"/>
      <c r="S8" s="2358"/>
      <c r="T8" s="2358"/>
      <c r="U8" s="2358"/>
      <c r="V8" s="2313"/>
      <c r="W8" s="2272"/>
      <c r="X8" s="2358"/>
      <c r="Y8" s="251" t="s">
        <v>35</v>
      </c>
      <c r="Z8" s="252" t="s">
        <v>36</v>
      </c>
      <c r="AA8" s="154" t="s">
        <v>37</v>
      </c>
      <c r="AB8" s="251" t="s">
        <v>137</v>
      </c>
      <c r="AC8" s="154" t="s">
        <v>138</v>
      </c>
      <c r="AD8" s="251" t="s">
        <v>139</v>
      </c>
      <c r="AE8" s="251" t="s">
        <v>41</v>
      </c>
      <c r="AF8" s="251" t="s">
        <v>42</v>
      </c>
      <c r="AG8" s="251" t="s">
        <v>43</v>
      </c>
      <c r="AH8" s="251" t="s">
        <v>44</v>
      </c>
      <c r="AI8" s="251" t="s">
        <v>45</v>
      </c>
      <c r="AJ8" s="251" t="s">
        <v>46</v>
      </c>
      <c r="AK8" s="251" t="s">
        <v>47</v>
      </c>
      <c r="AL8" s="251" t="s">
        <v>48</v>
      </c>
      <c r="AM8" s="251" t="s">
        <v>49</v>
      </c>
      <c r="AN8" s="2293"/>
      <c r="AO8" s="2700"/>
      <c r="AP8" s="2700"/>
      <c r="AQ8" s="2363"/>
    </row>
    <row r="9" spans="1:62" ht="20.25" customHeight="1">
      <c r="A9" s="1764">
        <v>3</v>
      </c>
      <c r="B9" s="1765"/>
      <c r="C9" s="1765" t="s">
        <v>625</v>
      </c>
      <c r="D9" s="1765"/>
      <c r="E9" s="1765"/>
      <c r="F9" s="1765"/>
      <c r="G9" s="1765"/>
      <c r="H9" s="1765"/>
      <c r="I9" s="1765"/>
      <c r="J9" s="1765"/>
      <c r="K9" s="1766"/>
      <c r="L9" s="1765"/>
      <c r="M9" s="1765"/>
      <c r="N9" s="1765"/>
      <c r="O9" s="1767"/>
      <c r="P9" s="1766"/>
      <c r="Q9" s="1768"/>
      <c r="R9" s="1769"/>
      <c r="S9" s="1766"/>
      <c r="T9" s="1766"/>
      <c r="U9" s="1766"/>
      <c r="V9" s="1766"/>
      <c r="W9" s="1770"/>
      <c r="X9" s="1767"/>
      <c r="Y9" s="1765"/>
      <c r="Z9" s="1765"/>
      <c r="AA9" s="1765"/>
      <c r="AB9" s="1765"/>
      <c r="AC9" s="1765"/>
      <c r="AD9" s="1765"/>
      <c r="AE9" s="1765"/>
      <c r="AF9" s="1765"/>
      <c r="AG9" s="1765"/>
      <c r="AH9" s="1765"/>
      <c r="AI9" s="1765"/>
      <c r="AJ9" s="1765"/>
      <c r="AK9" s="1765"/>
      <c r="AL9" s="1765"/>
      <c r="AM9" s="1765"/>
      <c r="AN9" s="1765"/>
      <c r="AO9" s="1771"/>
      <c r="AP9" s="1771"/>
      <c r="AQ9" s="1772"/>
      <c r="AR9" s="1773"/>
      <c r="AS9" s="1773"/>
      <c r="AT9" s="1773"/>
      <c r="AU9" s="1773"/>
      <c r="AV9" s="1773"/>
      <c r="AW9" s="1773"/>
      <c r="AX9" s="1773"/>
      <c r="AY9" s="1773"/>
      <c r="AZ9" s="1773"/>
      <c r="BA9" s="1773"/>
      <c r="BB9" s="1773"/>
      <c r="BC9" s="1773"/>
      <c r="BD9" s="1773"/>
      <c r="BE9" s="1773"/>
      <c r="BF9" s="1773"/>
      <c r="BG9" s="1773"/>
      <c r="BH9" s="1773"/>
      <c r="BI9" s="1773"/>
      <c r="BJ9" s="1773"/>
    </row>
    <row r="10" spans="1:43" s="1773" customFormat="1" ht="20.25" customHeight="1">
      <c r="A10" s="1774"/>
      <c r="B10" s="1775"/>
      <c r="C10" s="1776"/>
      <c r="D10" s="1777">
        <v>20</v>
      </c>
      <c r="E10" s="1778" t="s">
        <v>2167</v>
      </c>
      <c r="F10" s="1778"/>
      <c r="G10" s="1778"/>
      <c r="H10" s="1778"/>
      <c r="I10" s="1778"/>
      <c r="J10" s="1778"/>
      <c r="K10" s="1779"/>
      <c r="L10" s="1778"/>
      <c r="M10" s="1778"/>
      <c r="N10" s="1778"/>
      <c r="O10" s="1780"/>
      <c r="P10" s="1779"/>
      <c r="Q10" s="1781"/>
      <c r="R10" s="1782"/>
      <c r="S10" s="1779"/>
      <c r="T10" s="1779"/>
      <c r="U10" s="1779"/>
      <c r="V10" s="1783"/>
      <c r="W10" s="1784"/>
      <c r="X10" s="1780"/>
      <c r="Y10" s="1778"/>
      <c r="Z10" s="1778"/>
      <c r="AA10" s="1778"/>
      <c r="AB10" s="1778"/>
      <c r="AC10" s="1778"/>
      <c r="AD10" s="1778"/>
      <c r="AE10" s="1778"/>
      <c r="AF10" s="1778"/>
      <c r="AG10" s="1778"/>
      <c r="AH10" s="1778"/>
      <c r="AI10" s="1778"/>
      <c r="AJ10" s="1778"/>
      <c r="AK10" s="1778"/>
      <c r="AL10" s="1778"/>
      <c r="AM10" s="1778"/>
      <c r="AN10" s="1778"/>
      <c r="AO10" s="1785"/>
      <c r="AP10" s="1785"/>
      <c r="AQ10" s="1786"/>
    </row>
    <row r="11" spans="1:43" s="1773" customFormat="1" ht="20.25" customHeight="1">
      <c r="A11" s="1787"/>
      <c r="B11" s="1788"/>
      <c r="C11" s="1789"/>
      <c r="D11" s="1790"/>
      <c r="E11" s="1791"/>
      <c r="F11" s="1791"/>
      <c r="G11" s="1792">
        <v>68</v>
      </c>
      <c r="H11" s="1793" t="s">
        <v>2168</v>
      </c>
      <c r="I11" s="1793"/>
      <c r="J11" s="1793"/>
      <c r="K11" s="1794"/>
      <c r="L11" s="1793"/>
      <c r="M11" s="1793"/>
      <c r="N11" s="1793"/>
      <c r="O11" s="1795"/>
      <c r="P11" s="1794"/>
      <c r="Q11" s="1796"/>
      <c r="R11" s="1797"/>
      <c r="S11" s="1794"/>
      <c r="T11" s="1794"/>
      <c r="U11" s="1794"/>
      <c r="V11" s="1798"/>
      <c r="W11" s="1799"/>
      <c r="X11" s="1795"/>
      <c r="Y11" s="1793"/>
      <c r="Z11" s="1793"/>
      <c r="AA11" s="1793"/>
      <c r="AB11" s="1793"/>
      <c r="AC11" s="1793"/>
      <c r="AD11" s="1793"/>
      <c r="AE11" s="1793"/>
      <c r="AF11" s="1793"/>
      <c r="AG11" s="1793"/>
      <c r="AH11" s="1793"/>
      <c r="AI11" s="1793"/>
      <c r="AJ11" s="1793"/>
      <c r="AK11" s="1793"/>
      <c r="AL11" s="1793"/>
      <c r="AM11" s="1793"/>
      <c r="AN11" s="1793"/>
      <c r="AO11" s="1800"/>
      <c r="AP11" s="1800"/>
      <c r="AQ11" s="1801"/>
    </row>
    <row r="12" spans="1:43" s="1773" customFormat="1" ht="46.5" customHeight="1">
      <c r="A12" s="1787"/>
      <c r="B12" s="1788"/>
      <c r="C12" s="1789"/>
      <c r="D12" s="1802"/>
      <c r="E12" s="1803"/>
      <c r="F12" s="1803"/>
      <c r="G12" s="1804"/>
      <c r="H12" s="1803"/>
      <c r="I12" s="1803"/>
      <c r="J12" s="3466">
        <v>202</v>
      </c>
      <c r="K12" s="3467" t="s">
        <v>2169</v>
      </c>
      <c r="L12" s="3467" t="s">
        <v>2170</v>
      </c>
      <c r="M12" s="3466">
        <v>23</v>
      </c>
      <c r="N12" s="1805" t="s">
        <v>2171</v>
      </c>
      <c r="O12" s="3464" t="s">
        <v>2172</v>
      </c>
      <c r="P12" s="3458" t="s">
        <v>2173</v>
      </c>
      <c r="Q12" s="1806">
        <f>+V12/R12</f>
        <v>0.17181072177239415</v>
      </c>
      <c r="R12" s="3460">
        <f>SUM(V12:V16)</f>
        <v>1342174677</v>
      </c>
      <c r="S12" s="3458" t="s">
        <v>2174</v>
      </c>
      <c r="T12" s="3454" t="s">
        <v>2175</v>
      </c>
      <c r="U12" s="3464" t="s">
        <v>2176</v>
      </c>
      <c r="V12" s="1807">
        <v>230600000</v>
      </c>
      <c r="W12" s="1808">
        <v>12</v>
      </c>
      <c r="X12" s="1809" t="s">
        <v>2177</v>
      </c>
      <c r="Y12" s="3448">
        <v>648</v>
      </c>
      <c r="Z12" s="3448">
        <v>625</v>
      </c>
      <c r="AA12" s="3448">
        <v>325</v>
      </c>
      <c r="AB12" s="3448">
        <v>325</v>
      </c>
      <c r="AC12" s="3448">
        <v>548</v>
      </c>
      <c r="AD12" s="3448"/>
      <c r="AE12" s="3448"/>
      <c r="AF12" s="3448"/>
      <c r="AG12" s="3448"/>
      <c r="AH12" s="3448"/>
      <c r="AI12" s="3448"/>
      <c r="AJ12" s="3448"/>
      <c r="AK12" s="3448">
        <v>75</v>
      </c>
      <c r="AL12" s="3448"/>
      <c r="AM12" s="3448"/>
      <c r="AN12" s="3448">
        <f>+AC12+AB12+AA12</f>
        <v>1198</v>
      </c>
      <c r="AO12" s="3451">
        <v>43101</v>
      </c>
      <c r="AP12" s="3451">
        <v>43465</v>
      </c>
      <c r="AQ12" s="3454" t="s">
        <v>2178</v>
      </c>
    </row>
    <row r="13" spans="1:43" s="1773" customFormat="1" ht="37.5" customHeight="1">
      <c r="A13" s="1787"/>
      <c r="B13" s="1788"/>
      <c r="C13" s="1789"/>
      <c r="D13" s="1802"/>
      <c r="E13" s="1803"/>
      <c r="F13" s="1803"/>
      <c r="G13" s="1802"/>
      <c r="H13" s="1803"/>
      <c r="I13" s="1803"/>
      <c r="J13" s="3466"/>
      <c r="K13" s="3467"/>
      <c r="L13" s="3467"/>
      <c r="M13" s="3466"/>
      <c r="N13" s="1805" t="s">
        <v>2179</v>
      </c>
      <c r="O13" s="3469"/>
      <c r="P13" s="3463"/>
      <c r="Q13" s="1806">
        <f>+V13/R12</f>
        <v>0.447035702790271</v>
      </c>
      <c r="R13" s="3461"/>
      <c r="S13" s="3463"/>
      <c r="T13" s="3455"/>
      <c r="U13" s="3465"/>
      <c r="V13" s="1807">
        <v>600000000</v>
      </c>
      <c r="W13" s="1808">
        <v>6</v>
      </c>
      <c r="X13" s="1809" t="s">
        <v>2180</v>
      </c>
      <c r="Y13" s="3449"/>
      <c r="Z13" s="3449"/>
      <c r="AA13" s="3449"/>
      <c r="AB13" s="3449"/>
      <c r="AC13" s="3449"/>
      <c r="AD13" s="3449"/>
      <c r="AE13" s="3449"/>
      <c r="AF13" s="3449"/>
      <c r="AG13" s="3449"/>
      <c r="AH13" s="3449"/>
      <c r="AI13" s="3449"/>
      <c r="AJ13" s="3449"/>
      <c r="AK13" s="3449"/>
      <c r="AL13" s="3449"/>
      <c r="AM13" s="3449"/>
      <c r="AN13" s="3449"/>
      <c r="AO13" s="3452"/>
      <c r="AP13" s="3452"/>
      <c r="AQ13" s="3455"/>
    </row>
    <row r="14" spans="1:43" s="1773" customFormat="1" ht="38.25" customHeight="1">
      <c r="A14" s="1787"/>
      <c r="B14" s="1788"/>
      <c r="C14" s="1789"/>
      <c r="D14" s="1802"/>
      <c r="E14" s="3457"/>
      <c r="F14" s="3457"/>
      <c r="G14" s="1802"/>
      <c r="H14" s="1788"/>
      <c r="I14" s="1788"/>
      <c r="J14" s="3466"/>
      <c r="K14" s="3467"/>
      <c r="L14" s="3467"/>
      <c r="M14" s="3466"/>
      <c r="N14" s="1805" t="s">
        <v>2181</v>
      </c>
      <c r="O14" s="3469"/>
      <c r="P14" s="3463"/>
      <c r="Q14" s="1806">
        <f>+V14/R12</f>
        <v>0.00894071405580542</v>
      </c>
      <c r="R14" s="3461"/>
      <c r="S14" s="3463"/>
      <c r="T14" s="3455"/>
      <c r="U14" s="3458" t="s">
        <v>2182</v>
      </c>
      <c r="V14" s="1807">
        <v>12000000</v>
      </c>
      <c r="W14" s="1808">
        <v>9</v>
      </c>
      <c r="X14" s="1809" t="s">
        <v>2183</v>
      </c>
      <c r="Y14" s="3449"/>
      <c r="Z14" s="3449"/>
      <c r="AA14" s="3449"/>
      <c r="AB14" s="3449"/>
      <c r="AC14" s="3449"/>
      <c r="AD14" s="3449"/>
      <c r="AE14" s="3449"/>
      <c r="AF14" s="3449"/>
      <c r="AG14" s="3449"/>
      <c r="AH14" s="3449"/>
      <c r="AI14" s="3449"/>
      <c r="AJ14" s="3449"/>
      <c r="AK14" s="3449"/>
      <c r="AL14" s="3449"/>
      <c r="AM14" s="3449"/>
      <c r="AN14" s="3449"/>
      <c r="AO14" s="3452"/>
      <c r="AP14" s="3452"/>
      <c r="AQ14" s="3455"/>
    </row>
    <row r="15" spans="1:43" s="1773" customFormat="1" ht="36" customHeight="1">
      <c r="A15" s="1787"/>
      <c r="B15" s="1788"/>
      <c r="C15" s="1789"/>
      <c r="D15" s="1802"/>
      <c r="E15" s="1803"/>
      <c r="F15" s="1803"/>
      <c r="G15" s="1802"/>
      <c r="H15" s="1803"/>
      <c r="I15" s="1803"/>
      <c r="J15" s="3466"/>
      <c r="K15" s="3467"/>
      <c r="L15" s="3467"/>
      <c r="M15" s="3466"/>
      <c r="N15" s="1805" t="s">
        <v>2184</v>
      </c>
      <c r="O15" s="3469"/>
      <c r="P15" s="3463"/>
      <c r="Q15" s="1806">
        <f>+V15/R12</f>
        <v>0.24704286460025351</v>
      </c>
      <c r="R15" s="3461"/>
      <c r="S15" s="3463"/>
      <c r="T15" s="3455"/>
      <c r="U15" s="3459"/>
      <c r="V15" s="1807">
        <v>331574677</v>
      </c>
      <c r="W15" s="1808">
        <v>4</v>
      </c>
      <c r="X15" s="1809" t="s">
        <v>2185</v>
      </c>
      <c r="Y15" s="3449"/>
      <c r="Z15" s="3449"/>
      <c r="AA15" s="3449"/>
      <c r="AB15" s="3449"/>
      <c r="AC15" s="3449"/>
      <c r="AD15" s="3449"/>
      <c r="AE15" s="3449"/>
      <c r="AF15" s="3449"/>
      <c r="AG15" s="3449"/>
      <c r="AH15" s="3449"/>
      <c r="AI15" s="3449"/>
      <c r="AJ15" s="3449"/>
      <c r="AK15" s="3449"/>
      <c r="AL15" s="3449"/>
      <c r="AM15" s="3449"/>
      <c r="AN15" s="3449"/>
      <c r="AO15" s="3452"/>
      <c r="AP15" s="3452"/>
      <c r="AQ15" s="3455"/>
    </row>
    <row r="16" spans="1:43" s="1773" customFormat="1" ht="137.25" customHeight="1">
      <c r="A16" s="1787"/>
      <c r="B16" s="1788"/>
      <c r="C16" s="1789"/>
      <c r="D16" s="1802"/>
      <c r="E16" s="1803"/>
      <c r="F16" s="1803"/>
      <c r="G16" s="1802"/>
      <c r="H16" s="1803"/>
      <c r="I16" s="1803"/>
      <c r="J16" s="1805">
        <v>203</v>
      </c>
      <c r="K16" s="1810" t="s">
        <v>2186</v>
      </c>
      <c r="L16" s="1810" t="s">
        <v>2187</v>
      </c>
      <c r="M16" s="1805">
        <v>20</v>
      </c>
      <c r="N16" s="1805" t="s">
        <v>2188</v>
      </c>
      <c r="O16" s="3465"/>
      <c r="P16" s="3459"/>
      <c r="Q16" s="1806">
        <f>+V16/R12</f>
        <v>0.12516999678127588</v>
      </c>
      <c r="R16" s="3462"/>
      <c r="S16" s="3459"/>
      <c r="T16" s="3456"/>
      <c r="U16" s="1811" t="s">
        <v>2189</v>
      </c>
      <c r="V16" s="1807">
        <v>168000000</v>
      </c>
      <c r="W16" s="1808">
        <v>4</v>
      </c>
      <c r="X16" s="1809" t="s">
        <v>2185</v>
      </c>
      <c r="Y16" s="3450"/>
      <c r="Z16" s="3450"/>
      <c r="AA16" s="3450"/>
      <c r="AB16" s="3450"/>
      <c r="AC16" s="3450"/>
      <c r="AD16" s="3450"/>
      <c r="AE16" s="3450"/>
      <c r="AF16" s="3450"/>
      <c r="AG16" s="3450"/>
      <c r="AH16" s="3450"/>
      <c r="AI16" s="3450"/>
      <c r="AJ16" s="3450"/>
      <c r="AK16" s="3450"/>
      <c r="AL16" s="3450"/>
      <c r="AM16" s="3450"/>
      <c r="AN16" s="3450"/>
      <c r="AO16" s="3453"/>
      <c r="AP16" s="3453"/>
      <c r="AQ16" s="3456"/>
    </row>
    <row r="17" spans="1:43" s="1773" customFormat="1" ht="23.25" customHeight="1">
      <c r="A17" s="1787"/>
      <c r="B17" s="1788"/>
      <c r="C17" s="1789"/>
      <c r="D17" s="1802"/>
      <c r="E17" s="1803"/>
      <c r="F17" s="1803"/>
      <c r="G17" s="1792">
        <v>69</v>
      </c>
      <c r="H17" s="1793" t="s">
        <v>2190</v>
      </c>
      <c r="I17" s="1793"/>
      <c r="J17" s="1793"/>
      <c r="K17" s="1794"/>
      <c r="L17" s="1793"/>
      <c r="M17" s="1793"/>
      <c r="N17" s="1793"/>
      <c r="O17" s="1795"/>
      <c r="P17" s="1794"/>
      <c r="Q17" s="1796"/>
      <c r="R17" s="1797"/>
      <c r="S17" s="1794" t="s">
        <v>670</v>
      </c>
      <c r="T17" s="1794" t="s">
        <v>670</v>
      </c>
      <c r="U17" s="1794"/>
      <c r="V17" s="1798">
        <f>+SUM(V12:V16)</f>
        <v>1342174677</v>
      </c>
      <c r="W17" s="1799"/>
      <c r="X17" s="1795"/>
      <c r="Y17" s="1812"/>
      <c r="Z17" s="1812"/>
      <c r="AA17" s="1812"/>
      <c r="AB17" s="1812"/>
      <c r="AC17" s="1812"/>
      <c r="AD17" s="1812"/>
      <c r="AE17" s="1812"/>
      <c r="AF17" s="1812"/>
      <c r="AG17" s="1812"/>
      <c r="AH17" s="1812"/>
      <c r="AI17" s="1812"/>
      <c r="AJ17" s="1812"/>
      <c r="AK17" s="1812"/>
      <c r="AL17" s="1812"/>
      <c r="AM17" s="1812"/>
      <c r="AN17" s="1812"/>
      <c r="AO17" s="1800"/>
      <c r="AP17" s="1800"/>
      <c r="AQ17" s="1813"/>
    </row>
    <row r="18" spans="1:43" s="1773" customFormat="1" ht="69" customHeight="1">
      <c r="A18" s="1787"/>
      <c r="B18" s="1788"/>
      <c r="C18" s="1789"/>
      <c r="D18" s="1802"/>
      <c r="E18" s="1803"/>
      <c r="F18" s="1803"/>
      <c r="G18" s="1802"/>
      <c r="H18" s="1803"/>
      <c r="I18" s="1803"/>
      <c r="J18" s="3466">
        <v>204</v>
      </c>
      <c r="K18" s="3467" t="s">
        <v>2191</v>
      </c>
      <c r="L18" s="3468" t="s">
        <v>2192</v>
      </c>
      <c r="M18" s="3464">
        <v>13</v>
      </c>
      <c r="N18" s="1805" t="s">
        <v>2193</v>
      </c>
      <c r="O18" s="3464" t="s">
        <v>2172</v>
      </c>
      <c r="P18" s="3458" t="s">
        <v>2173</v>
      </c>
      <c r="Q18" s="1806">
        <f>+V18/R18</f>
        <v>0.6474735605170387</v>
      </c>
      <c r="R18" s="3460">
        <f>SUM(V18:V19)</f>
        <v>170200000</v>
      </c>
      <c r="S18" s="3458" t="s">
        <v>2174</v>
      </c>
      <c r="T18" s="3458" t="s">
        <v>2175</v>
      </c>
      <c r="U18" s="3458" t="s">
        <v>2194</v>
      </c>
      <c r="V18" s="1814">
        <v>110200000</v>
      </c>
      <c r="W18" s="1808">
        <v>4</v>
      </c>
      <c r="X18" s="1809" t="s">
        <v>2185</v>
      </c>
      <c r="Y18" s="3448"/>
      <c r="Z18" s="3448"/>
      <c r="AA18" s="3448"/>
      <c r="AB18" s="3448"/>
      <c r="AC18" s="3448"/>
      <c r="AD18" s="3448"/>
      <c r="AE18" s="3448"/>
      <c r="AF18" s="3448"/>
      <c r="AG18" s="3448"/>
      <c r="AH18" s="3448"/>
      <c r="AI18" s="3448"/>
      <c r="AJ18" s="3448"/>
      <c r="AK18" s="3448">
        <f>+AK12</f>
        <v>75</v>
      </c>
      <c r="AL18" s="3448"/>
      <c r="AM18" s="3448"/>
      <c r="AN18" s="3448"/>
      <c r="AO18" s="3451">
        <v>43101</v>
      </c>
      <c r="AP18" s="3451">
        <f>+AP12</f>
        <v>43465</v>
      </c>
      <c r="AQ18" s="3454" t="s">
        <v>2178</v>
      </c>
    </row>
    <row r="19" spans="1:43" s="1773" customFormat="1" ht="51.75" customHeight="1">
      <c r="A19" s="1787"/>
      <c r="B19" s="1788"/>
      <c r="C19" s="1789"/>
      <c r="D19" s="1802"/>
      <c r="E19" s="1803"/>
      <c r="F19" s="1803"/>
      <c r="G19" s="1802"/>
      <c r="H19" s="1803"/>
      <c r="I19" s="1803"/>
      <c r="J19" s="3466"/>
      <c r="K19" s="3467"/>
      <c r="L19" s="3468"/>
      <c r="M19" s="3465"/>
      <c r="N19" s="1805" t="s">
        <v>2195</v>
      </c>
      <c r="O19" s="3465"/>
      <c r="P19" s="3459"/>
      <c r="Q19" s="1806">
        <f>+V19/R18</f>
        <v>0.3525264394829612</v>
      </c>
      <c r="R19" s="3462"/>
      <c r="S19" s="3459"/>
      <c r="T19" s="3459" t="s">
        <v>670</v>
      </c>
      <c r="U19" s="3459"/>
      <c r="V19" s="1814">
        <v>60000000</v>
      </c>
      <c r="W19" s="1808">
        <v>12</v>
      </c>
      <c r="X19" s="1809" t="s">
        <v>2177</v>
      </c>
      <c r="Y19" s="3450"/>
      <c r="Z19" s="3450"/>
      <c r="AA19" s="3450"/>
      <c r="AB19" s="3450"/>
      <c r="AC19" s="3450"/>
      <c r="AD19" s="3450"/>
      <c r="AE19" s="3450"/>
      <c r="AF19" s="3450"/>
      <c r="AG19" s="3450"/>
      <c r="AH19" s="3450"/>
      <c r="AI19" s="3450"/>
      <c r="AJ19" s="3450"/>
      <c r="AK19" s="3450"/>
      <c r="AL19" s="3450"/>
      <c r="AM19" s="3450"/>
      <c r="AN19" s="3450"/>
      <c r="AO19" s="3452"/>
      <c r="AP19" s="3452"/>
      <c r="AQ19" s="3455"/>
    </row>
    <row r="20" spans="1:43" s="1773" customFormat="1" ht="23.25" customHeight="1">
      <c r="A20" s="1787"/>
      <c r="B20" s="1788"/>
      <c r="C20" s="1789"/>
      <c r="D20" s="1802"/>
      <c r="E20" s="1803"/>
      <c r="F20" s="1803"/>
      <c r="G20" s="1792">
        <v>70</v>
      </c>
      <c r="H20" s="1793" t="s">
        <v>2196</v>
      </c>
      <c r="I20" s="1793"/>
      <c r="J20" s="1793"/>
      <c r="K20" s="1794"/>
      <c r="L20" s="1793"/>
      <c r="M20" s="1793"/>
      <c r="N20" s="1793"/>
      <c r="O20" s="1795"/>
      <c r="P20" s="1794"/>
      <c r="Q20" s="1796"/>
      <c r="R20" s="1797"/>
      <c r="S20" s="1794" t="s">
        <v>670</v>
      </c>
      <c r="T20" s="1794" t="s">
        <v>670</v>
      </c>
      <c r="U20" s="1794"/>
      <c r="V20" s="1798">
        <f>+SUM(V18:V19)</f>
        <v>170200000</v>
      </c>
      <c r="W20" s="1799"/>
      <c r="X20" s="1795"/>
      <c r="Y20" s="1812"/>
      <c r="Z20" s="1812"/>
      <c r="AA20" s="1812"/>
      <c r="AB20" s="1812"/>
      <c r="AC20" s="1812"/>
      <c r="AD20" s="1812"/>
      <c r="AE20" s="1812"/>
      <c r="AF20" s="1812"/>
      <c r="AG20" s="1812"/>
      <c r="AH20" s="1812"/>
      <c r="AI20" s="1812"/>
      <c r="AJ20" s="1812"/>
      <c r="AK20" s="1812"/>
      <c r="AL20" s="1812"/>
      <c r="AM20" s="1812"/>
      <c r="AN20" s="1812"/>
      <c r="AO20" s="1800"/>
      <c r="AP20" s="1800"/>
      <c r="AQ20" s="1813"/>
    </row>
    <row r="21" spans="1:43" s="1773" customFormat="1" ht="42.75" customHeight="1">
      <c r="A21" s="1787"/>
      <c r="B21" s="1788"/>
      <c r="C21" s="1789"/>
      <c r="D21" s="1802"/>
      <c r="E21" s="1803"/>
      <c r="F21" s="1803"/>
      <c r="G21" s="1802"/>
      <c r="H21" s="1803"/>
      <c r="I21" s="1803"/>
      <c r="J21" s="3466">
        <v>205</v>
      </c>
      <c r="K21" s="3467" t="s">
        <v>2197</v>
      </c>
      <c r="L21" s="3470" t="s">
        <v>2198</v>
      </c>
      <c r="M21" s="3466">
        <v>1</v>
      </c>
      <c r="N21" s="1805" t="s">
        <v>2199</v>
      </c>
      <c r="O21" s="3466" t="s">
        <v>2200</v>
      </c>
      <c r="P21" s="3467" t="s">
        <v>2201</v>
      </c>
      <c r="Q21" s="1806">
        <f>+V21/R21</f>
        <v>0.3118250353038444</v>
      </c>
      <c r="R21" s="3472">
        <v>420107384.49</v>
      </c>
      <c r="S21" s="3458" t="s">
        <v>2202</v>
      </c>
      <c r="T21" s="3458" t="s">
        <v>2203</v>
      </c>
      <c r="U21" s="3458" t="s">
        <v>2204</v>
      </c>
      <c r="V21" s="1807">
        <v>131000000</v>
      </c>
      <c r="W21" s="1808">
        <v>12</v>
      </c>
      <c r="X21" s="1809" t="s">
        <v>2177</v>
      </c>
      <c r="Y21" s="3471">
        <v>4002</v>
      </c>
      <c r="Z21" s="3471">
        <v>6013</v>
      </c>
      <c r="AA21" s="3471">
        <v>4164</v>
      </c>
      <c r="AB21" s="3471">
        <v>5851</v>
      </c>
      <c r="AC21" s="3471"/>
      <c r="AD21" s="3471"/>
      <c r="AE21" s="3471"/>
      <c r="AF21" s="3471"/>
      <c r="AG21" s="3471"/>
      <c r="AH21" s="3471"/>
      <c r="AI21" s="3471"/>
      <c r="AJ21" s="3471"/>
      <c r="AK21" s="3471"/>
      <c r="AL21" s="3471"/>
      <c r="AM21" s="3471"/>
      <c r="AN21" s="3471">
        <f>+Y21+Z21</f>
        <v>10015</v>
      </c>
      <c r="AO21" s="3473">
        <v>43101</v>
      </c>
      <c r="AP21" s="3473">
        <v>43465</v>
      </c>
      <c r="AQ21" s="3474" t="s">
        <v>2178</v>
      </c>
    </row>
    <row r="22" spans="1:43" s="1773" customFormat="1" ht="38.25" customHeight="1">
      <c r="A22" s="1787"/>
      <c r="B22" s="1788"/>
      <c r="C22" s="1789"/>
      <c r="D22" s="1802"/>
      <c r="E22" s="1803"/>
      <c r="F22" s="1803"/>
      <c r="G22" s="1802"/>
      <c r="H22" s="1803"/>
      <c r="I22" s="1803"/>
      <c r="J22" s="3466"/>
      <c r="K22" s="3467"/>
      <c r="L22" s="3470"/>
      <c r="M22" s="3466"/>
      <c r="N22" s="1805" t="s">
        <v>2205</v>
      </c>
      <c r="O22" s="3466"/>
      <c r="P22" s="3467"/>
      <c r="Q22" s="1806">
        <f>+V22/R21</f>
        <v>0.1904275024756302</v>
      </c>
      <c r="R22" s="3472"/>
      <c r="S22" s="3463"/>
      <c r="T22" s="3463" t="s">
        <v>670</v>
      </c>
      <c r="U22" s="3463"/>
      <c r="V22" s="1807">
        <v>80000000</v>
      </c>
      <c r="W22" s="1808">
        <v>4</v>
      </c>
      <c r="X22" s="1809" t="s">
        <v>2185</v>
      </c>
      <c r="Y22" s="3471"/>
      <c r="Z22" s="3471"/>
      <c r="AA22" s="3471"/>
      <c r="AB22" s="3471"/>
      <c r="AC22" s="3471"/>
      <c r="AD22" s="3471"/>
      <c r="AE22" s="3471"/>
      <c r="AF22" s="3471"/>
      <c r="AG22" s="3471"/>
      <c r="AH22" s="3471"/>
      <c r="AI22" s="3471"/>
      <c r="AJ22" s="3471"/>
      <c r="AK22" s="3471"/>
      <c r="AL22" s="3471"/>
      <c r="AM22" s="3471"/>
      <c r="AN22" s="3471"/>
      <c r="AO22" s="3473"/>
      <c r="AP22" s="3473"/>
      <c r="AQ22" s="3474"/>
    </row>
    <row r="23" spans="1:43" s="1773" customFormat="1" ht="38.25" customHeight="1">
      <c r="A23" s="1787"/>
      <c r="B23" s="1788"/>
      <c r="C23" s="1789"/>
      <c r="D23" s="1802"/>
      <c r="E23" s="1803"/>
      <c r="F23" s="1803"/>
      <c r="G23" s="1802"/>
      <c r="H23" s="1803"/>
      <c r="I23" s="1803"/>
      <c r="J23" s="3466"/>
      <c r="K23" s="3467"/>
      <c r="L23" s="3470"/>
      <c r="M23" s="3466"/>
      <c r="N23" s="1805" t="s">
        <v>2206</v>
      </c>
      <c r="O23" s="3466"/>
      <c r="P23" s="3467"/>
      <c r="Q23" s="1806">
        <f>+V23/R21</f>
        <v>0.26631224924984176</v>
      </c>
      <c r="R23" s="3472"/>
      <c r="S23" s="3463"/>
      <c r="T23" s="3463"/>
      <c r="U23" s="3463"/>
      <c r="V23" s="1807">
        <v>111879742.49</v>
      </c>
      <c r="W23" s="1808">
        <v>6</v>
      </c>
      <c r="X23" s="1809" t="s">
        <v>2180</v>
      </c>
      <c r="Y23" s="3471"/>
      <c r="Z23" s="3471"/>
      <c r="AA23" s="3471"/>
      <c r="AB23" s="3471"/>
      <c r="AC23" s="3471"/>
      <c r="AD23" s="3471"/>
      <c r="AE23" s="3471"/>
      <c r="AF23" s="3471"/>
      <c r="AG23" s="3471"/>
      <c r="AH23" s="3471"/>
      <c r="AI23" s="3471"/>
      <c r="AJ23" s="3471"/>
      <c r="AK23" s="3471"/>
      <c r="AL23" s="3471"/>
      <c r="AM23" s="3471"/>
      <c r="AN23" s="3471"/>
      <c r="AO23" s="3473"/>
      <c r="AP23" s="3473"/>
      <c r="AQ23" s="3474"/>
    </row>
    <row r="24" spans="1:43" s="1773" customFormat="1" ht="42" customHeight="1">
      <c r="A24" s="1787"/>
      <c r="B24" s="1788"/>
      <c r="C24" s="1789"/>
      <c r="D24" s="1802"/>
      <c r="E24" s="1803"/>
      <c r="F24" s="1803"/>
      <c r="G24" s="1802"/>
      <c r="H24" s="1803"/>
      <c r="I24" s="1803"/>
      <c r="J24" s="3466"/>
      <c r="K24" s="3467"/>
      <c r="L24" s="3470"/>
      <c r="M24" s="3466"/>
      <c r="N24" s="1805" t="s">
        <v>2207</v>
      </c>
      <c r="O24" s="3466"/>
      <c r="P24" s="3467"/>
      <c r="Q24" s="1806">
        <f>+V24/R21</f>
        <v>0.23143521297068356</v>
      </c>
      <c r="R24" s="3472"/>
      <c r="S24" s="3459"/>
      <c r="T24" s="3459" t="s">
        <v>670</v>
      </c>
      <c r="U24" s="3459"/>
      <c r="V24" s="1807">
        <v>97227642</v>
      </c>
      <c r="W24" s="1808">
        <v>7</v>
      </c>
      <c r="X24" s="1809" t="s">
        <v>2208</v>
      </c>
      <c r="Y24" s="3471"/>
      <c r="Z24" s="3471"/>
      <c r="AA24" s="3471"/>
      <c r="AB24" s="3471"/>
      <c r="AC24" s="3471"/>
      <c r="AD24" s="3471"/>
      <c r="AE24" s="3471"/>
      <c r="AF24" s="3471"/>
      <c r="AG24" s="3471"/>
      <c r="AH24" s="3471"/>
      <c r="AI24" s="3471"/>
      <c r="AJ24" s="3471"/>
      <c r="AK24" s="3471"/>
      <c r="AL24" s="3471"/>
      <c r="AM24" s="3471"/>
      <c r="AN24" s="3471"/>
      <c r="AO24" s="3473"/>
      <c r="AP24" s="3473"/>
      <c r="AQ24" s="3474"/>
    </row>
    <row r="25" spans="1:43" s="1773" customFormat="1" ht="23.25" customHeight="1">
      <c r="A25" s="1787"/>
      <c r="B25" s="1788"/>
      <c r="C25" s="1789"/>
      <c r="D25" s="1802"/>
      <c r="E25" s="1803"/>
      <c r="F25" s="1803"/>
      <c r="G25" s="1792">
        <v>71</v>
      </c>
      <c r="H25" s="1793" t="s">
        <v>2209</v>
      </c>
      <c r="I25" s="1793"/>
      <c r="J25" s="1793"/>
      <c r="K25" s="1794"/>
      <c r="L25" s="1793"/>
      <c r="M25" s="1793"/>
      <c r="N25" s="1793"/>
      <c r="O25" s="1795"/>
      <c r="P25" s="1794"/>
      <c r="Q25" s="1796"/>
      <c r="R25" s="1797"/>
      <c r="S25" s="1794" t="s">
        <v>670</v>
      </c>
      <c r="T25" s="1794" t="s">
        <v>670</v>
      </c>
      <c r="U25" s="1794"/>
      <c r="V25" s="1798">
        <f>+SUM(V21:V24)</f>
        <v>420107384.49</v>
      </c>
      <c r="W25" s="1799"/>
      <c r="X25" s="1795"/>
      <c r="Y25" s="1812"/>
      <c r="Z25" s="1812"/>
      <c r="AA25" s="1812"/>
      <c r="AB25" s="1812"/>
      <c r="AC25" s="1812"/>
      <c r="AD25" s="1812"/>
      <c r="AE25" s="1812"/>
      <c r="AF25" s="1812"/>
      <c r="AG25" s="1812"/>
      <c r="AH25" s="1812"/>
      <c r="AI25" s="1812"/>
      <c r="AJ25" s="1812"/>
      <c r="AK25" s="1812"/>
      <c r="AL25" s="1812"/>
      <c r="AM25" s="1812"/>
      <c r="AN25" s="1812"/>
      <c r="AO25" s="1800"/>
      <c r="AP25" s="1800"/>
      <c r="AQ25" s="1813"/>
    </row>
    <row r="26" spans="1:43" s="1773" customFormat="1" ht="48.75" customHeight="1">
      <c r="A26" s="1787"/>
      <c r="B26" s="1788"/>
      <c r="C26" s="1789"/>
      <c r="D26" s="1802"/>
      <c r="E26" s="1803"/>
      <c r="F26" s="1803"/>
      <c r="G26" s="1802"/>
      <c r="H26" s="1803"/>
      <c r="I26" s="1803"/>
      <c r="J26" s="3464">
        <v>206</v>
      </c>
      <c r="K26" s="3475" t="s">
        <v>2210</v>
      </c>
      <c r="L26" s="3477" t="s">
        <v>2211</v>
      </c>
      <c r="M26" s="3464">
        <v>12</v>
      </c>
      <c r="N26" s="1805" t="s">
        <v>2212</v>
      </c>
      <c r="O26" s="3464" t="s">
        <v>2213</v>
      </c>
      <c r="P26" s="3458" t="s">
        <v>2214</v>
      </c>
      <c r="Q26" s="1806">
        <f>+V26/R26</f>
        <v>0.07009390733103205</v>
      </c>
      <c r="R26" s="3472">
        <f>SUM(V26:V34)</f>
        <v>855994512</v>
      </c>
      <c r="S26" s="3458" t="s">
        <v>2215</v>
      </c>
      <c r="T26" s="3458" t="s">
        <v>2216</v>
      </c>
      <c r="U26" s="3458" t="s">
        <v>2217</v>
      </c>
      <c r="V26" s="1815">
        <v>60000000</v>
      </c>
      <c r="W26" s="1816">
        <v>12</v>
      </c>
      <c r="X26" s="1805" t="s">
        <v>2177</v>
      </c>
      <c r="Y26" s="3448">
        <v>3153</v>
      </c>
      <c r="Z26" s="3448">
        <v>4014</v>
      </c>
      <c r="AA26" s="3448">
        <v>594</v>
      </c>
      <c r="AB26" s="3448">
        <v>4607</v>
      </c>
      <c r="AC26" s="3448">
        <v>1900</v>
      </c>
      <c r="AD26" s="3448"/>
      <c r="AE26" s="3448"/>
      <c r="AF26" s="3448"/>
      <c r="AG26" s="3448"/>
      <c r="AH26" s="3448"/>
      <c r="AI26" s="3448"/>
      <c r="AJ26" s="3448"/>
      <c r="AK26" s="3448"/>
      <c r="AL26" s="3448"/>
      <c r="AM26" s="3448"/>
      <c r="AN26" s="3448">
        <f>+Y26+Z26</f>
        <v>7167</v>
      </c>
      <c r="AO26" s="3451">
        <v>43101</v>
      </c>
      <c r="AP26" s="3451">
        <v>43465</v>
      </c>
      <c r="AQ26" s="3479" t="s">
        <v>2178</v>
      </c>
    </row>
    <row r="27" spans="1:43" s="1773" customFormat="1" ht="48.75" customHeight="1">
      <c r="A27" s="1787"/>
      <c r="B27" s="1788"/>
      <c r="C27" s="1789"/>
      <c r="D27" s="1802"/>
      <c r="E27" s="1803"/>
      <c r="F27" s="1803"/>
      <c r="G27" s="1802"/>
      <c r="H27" s="1803"/>
      <c r="I27" s="1803"/>
      <c r="J27" s="3465"/>
      <c r="K27" s="3476"/>
      <c r="L27" s="3478"/>
      <c r="M27" s="3465"/>
      <c r="N27" s="1805" t="s">
        <v>2218</v>
      </c>
      <c r="O27" s="3469"/>
      <c r="P27" s="3463"/>
      <c r="Q27" s="1806">
        <f>+V27/R26</f>
        <v>0.01752347683275801</v>
      </c>
      <c r="R27" s="3472"/>
      <c r="S27" s="3463"/>
      <c r="T27" s="3463"/>
      <c r="U27" s="3459"/>
      <c r="V27" s="1815">
        <v>15000000</v>
      </c>
      <c r="W27" s="1816">
        <v>6</v>
      </c>
      <c r="X27" s="1805" t="s">
        <v>2219</v>
      </c>
      <c r="Y27" s="3449"/>
      <c r="Z27" s="3449"/>
      <c r="AA27" s="3449"/>
      <c r="AB27" s="3449"/>
      <c r="AC27" s="3449"/>
      <c r="AD27" s="3449"/>
      <c r="AE27" s="3449"/>
      <c r="AF27" s="3449"/>
      <c r="AG27" s="3449"/>
      <c r="AH27" s="3449"/>
      <c r="AI27" s="3449"/>
      <c r="AJ27" s="3449"/>
      <c r="AK27" s="3449"/>
      <c r="AL27" s="3449"/>
      <c r="AM27" s="3449"/>
      <c r="AN27" s="3449"/>
      <c r="AO27" s="3452"/>
      <c r="AP27" s="3452"/>
      <c r="AQ27" s="3480"/>
    </row>
    <row r="28" spans="1:43" s="1773" customFormat="1" ht="64.5" customHeight="1">
      <c r="A28" s="1787"/>
      <c r="B28" s="1788"/>
      <c r="C28" s="1789"/>
      <c r="D28" s="1802"/>
      <c r="E28" s="1803"/>
      <c r="F28" s="1803"/>
      <c r="G28" s="1802"/>
      <c r="H28" s="1803"/>
      <c r="I28" s="1803"/>
      <c r="J28" s="3464">
        <v>207</v>
      </c>
      <c r="K28" s="3475" t="s">
        <v>2220</v>
      </c>
      <c r="L28" s="3477" t="s">
        <v>2221</v>
      </c>
      <c r="M28" s="3464">
        <v>1</v>
      </c>
      <c r="N28" s="1805" t="s">
        <v>2222</v>
      </c>
      <c r="O28" s="3469"/>
      <c r="P28" s="3463"/>
      <c r="Q28" s="1806">
        <f>+V28/R26</f>
        <v>0.11682317888505342</v>
      </c>
      <c r="R28" s="3472"/>
      <c r="S28" s="3463"/>
      <c r="T28" s="3463" t="s">
        <v>670</v>
      </c>
      <c r="U28" s="3458" t="s">
        <v>2223</v>
      </c>
      <c r="V28" s="1815">
        <v>100000000</v>
      </c>
      <c r="W28" s="1816">
        <v>12</v>
      </c>
      <c r="X28" s="1805" t="s">
        <v>2177</v>
      </c>
      <c r="Y28" s="3449"/>
      <c r="Z28" s="3449"/>
      <c r="AA28" s="3449"/>
      <c r="AB28" s="3449"/>
      <c r="AC28" s="3449"/>
      <c r="AD28" s="3449"/>
      <c r="AE28" s="3449"/>
      <c r="AF28" s="3449"/>
      <c r="AG28" s="3449"/>
      <c r="AH28" s="3449"/>
      <c r="AI28" s="3449"/>
      <c r="AJ28" s="3449"/>
      <c r="AK28" s="3449"/>
      <c r="AL28" s="3449"/>
      <c r="AM28" s="3449"/>
      <c r="AN28" s="3449"/>
      <c r="AO28" s="3452"/>
      <c r="AP28" s="3452"/>
      <c r="AQ28" s="3480"/>
    </row>
    <row r="29" spans="1:43" s="1773" customFormat="1" ht="49.5" customHeight="1">
      <c r="A29" s="1787"/>
      <c r="B29" s="1788"/>
      <c r="C29" s="1789"/>
      <c r="D29" s="1802"/>
      <c r="E29" s="1803"/>
      <c r="F29" s="1803"/>
      <c r="G29" s="1802"/>
      <c r="H29" s="1803"/>
      <c r="I29" s="1803"/>
      <c r="J29" s="3469"/>
      <c r="K29" s="3482"/>
      <c r="L29" s="3483"/>
      <c r="M29" s="3469"/>
      <c r="N29" s="1805" t="s">
        <v>2224</v>
      </c>
      <c r="O29" s="3469"/>
      <c r="P29" s="3463"/>
      <c r="Q29" s="1806">
        <f>+V29/R26</f>
        <v>0.03764996100816123</v>
      </c>
      <c r="R29" s="3472"/>
      <c r="S29" s="3463"/>
      <c r="T29" s="3463"/>
      <c r="U29" s="3463"/>
      <c r="V29" s="1815">
        <v>32228160</v>
      </c>
      <c r="W29" s="1816">
        <v>11</v>
      </c>
      <c r="X29" s="1805" t="s">
        <v>2225</v>
      </c>
      <c r="Y29" s="3449"/>
      <c r="Z29" s="3449"/>
      <c r="AA29" s="3449"/>
      <c r="AB29" s="3449"/>
      <c r="AC29" s="3449"/>
      <c r="AD29" s="3449"/>
      <c r="AE29" s="3449"/>
      <c r="AF29" s="3449"/>
      <c r="AG29" s="3449"/>
      <c r="AH29" s="3449"/>
      <c r="AI29" s="3449"/>
      <c r="AJ29" s="3449"/>
      <c r="AK29" s="3449"/>
      <c r="AL29" s="3449"/>
      <c r="AM29" s="3449"/>
      <c r="AN29" s="3449"/>
      <c r="AO29" s="3452"/>
      <c r="AP29" s="3452"/>
      <c r="AQ29" s="3480"/>
    </row>
    <row r="30" spans="1:43" s="1773" customFormat="1" ht="49.5" customHeight="1">
      <c r="A30" s="1787"/>
      <c r="B30" s="1788"/>
      <c r="C30" s="1789"/>
      <c r="D30" s="1802"/>
      <c r="E30" s="1803"/>
      <c r="F30" s="1803"/>
      <c r="G30" s="1802"/>
      <c r="H30" s="1803"/>
      <c r="I30" s="1803"/>
      <c r="J30" s="3469"/>
      <c r="K30" s="3482"/>
      <c r="L30" s="3483"/>
      <c r="M30" s="3469"/>
      <c r="N30" s="1817" t="s">
        <v>2226</v>
      </c>
      <c r="O30" s="3469"/>
      <c r="P30" s="3463"/>
      <c r="Q30" s="1806">
        <f>+V30/R26</f>
        <v>0.37239298562231904</v>
      </c>
      <c r="R30" s="3472"/>
      <c r="S30" s="3463"/>
      <c r="T30" s="3463"/>
      <c r="U30" s="3463"/>
      <c r="V30" s="1807">
        <v>318766352</v>
      </c>
      <c r="W30" s="1816">
        <v>13</v>
      </c>
      <c r="X30" s="1805" t="s">
        <v>2227</v>
      </c>
      <c r="Y30" s="3449"/>
      <c r="Z30" s="3449"/>
      <c r="AA30" s="3449"/>
      <c r="AB30" s="3449"/>
      <c r="AC30" s="3449"/>
      <c r="AD30" s="3449"/>
      <c r="AE30" s="3449"/>
      <c r="AF30" s="3449"/>
      <c r="AG30" s="3449"/>
      <c r="AH30" s="3449"/>
      <c r="AI30" s="3449"/>
      <c r="AJ30" s="3449"/>
      <c r="AK30" s="3449"/>
      <c r="AL30" s="3449"/>
      <c r="AM30" s="3449"/>
      <c r="AN30" s="3449"/>
      <c r="AO30" s="3452"/>
      <c r="AP30" s="3452"/>
      <c r="AQ30" s="3480"/>
    </row>
    <row r="31" spans="1:43" s="1773" customFormat="1" ht="48" customHeight="1">
      <c r="A31" s="1787"/>
      <c r="B31" s="1788"/>
      <c r="C31" s="1789"/>
      <c r="D31" s="1802"/>
      <c r="E31" s="1803"/>
      <c r="F31" s="1803"/>
      <c r="G31" s="1802"/>
      <c r="H31" s="1803"/>
      <c r="I31" s="1803"/>
      <c r="J31" s="3465"/>
      <c r="K31" s="3476"/>
      <c r="L31" s="3478"/>
      <c r="M31" s="3465"/>
      <c r="N31" s="1805" t="s">
        <v>2228</v>
      </c>
      <c r="O31" s="3469"/>
      <c r="P31" s="3463"/>
      <c r="Q31" s="1806">
        <f>+V31/R26</f>
        <v>0.25116983460286485</v>
      </c>
      <c r="R31" s="3472"/>
      <c r="S31" s="3463"/>
      <c r="T31" s="3463"/>
      <c r="U31" s="3459"/>
      <c r="V31" s="1807">
        <v>215000000</v>
      </c>
      <c r="W31" s="1816">
        <v>6</v>
      </c>
      <c r="X31" s="1805" t="s">
        <v>2229</v>
      </c>
      <c r="Y31" s="3449"/>
      <c r="Z31" s="3449"/>
      <c r="AA31" s="3449"/>
      <c r="AB31" s="3449"/>
      <c r="AC31" s="3449"/>
      <c r="AD31" s="3449"/>
      <c r="AE31" s="3449"/>
      <c r="AF31" s="3449"/>
      <c r="AG31" s="3449"/>
      <c r="AH31" s="3449"/>
      <c r="AI31" s="3449"/>
      <c r="AJ31" s="3449"/>
      <c r="AK31" s="3449"/>
      <c r="AL31" s="3449"/>
      <c r="AM31" s="3449"/>
      <c r="AN31" s="3449"/>
      <c r="AO31" s="3452"/>
      <c r="AP31" s="3452"/>
      <c r="AQ31" s="3480"/>
    </row>
    <row r="32" spans="1:43" s="1773" customFormat="1" ht="51.75" customHeight="1">
      <c r="A32" s="1787"/>
      <c r="B32" s="1788"/>
      <c r="C32" s="1789"/>
      <c r="D32" s="1802"/>
      <c r="E32" s="1803"/>
      <c r="F32" s="1803"/>
      <c r="G32" s="1802"/>
      <c r="H32" s="1803"/>
      <c r="I32" s="1803"/>
      <c r="J32" s="3466">
        <v>208</v>
      </c>
      <c r="K32" s="3468" t="s">
        <v>2230</v>
      </c>
      <c r="L32" s="3468" t="s">
        <v>2231</v>
      </c>
      <c r="M32" s="3466">
        <v>1</v>
      </c>
      <c r="N32" s="1805" t="s">
        <v>2232</v>
      </c>
      <c r="O32" s="3469"/>
      <c r="P32" s="3463"/>
      <c r="Q32" s="1806">
        <f>+V32/R26</f>
        <v>0.023364635777010683</v>
      </c>
      <c r="R32" s="3472"/>
      <c r="S32" s="3463"/>
      <c r="T32" s="3463" t="s">
        <v>670</v>
      </c>
      <c r="U32" s="3467" t="s">
        <v>2233</v>
      </c>
      <c r="V32" s="1807">
        <v>20000000</v>
      </c>
      <c r="W32" s="1816">
        <v>4</v>
      </c>
      <c r="X32" s="1805" t="s">
        <v>2185</v>
      </c>
      <c r="Y32" s="3449"/>
      <c r="Z32" s="3449"/>
      <c r="AA32" s="3449"/>
      <c r="AB32" s="3449"/>
      <c r="AC32" s="3449"/>
      <c r="AD32" s="3449"/>
      <c r="AE32" s="3449"/>
      <c r="AF32" s="3449"/>
      <c r="AG32" s="3449"/>
      <c r="AH32" s="3449"/>
      <c r="AI32" s="3449"/>
      <c r="AJ32" s="3449"/>
      <c r="AK32" s="3449"/>
      <c r="AL32" s="3449"/>
      <c r="AM32" s="3449"/>
      <c r="AN32" s="3449"/>
      <c r="AO32" s="3452"/>
      <c r="AP32" s="3452"/>
      <c r="AQ32" s="3480"/>
    </row>
    <row r="33" spans="1:43" s="1773" customFormat="1" ht="51.75" customHeight="1">
      <c r="A33" s="1787"/>
      <c r="B33" s="1788"/>
      <c r="C33" s="1789"/>
      <c r="D33" s="1802"/>
      <c r="E33" s="1803"/>
      <c r="F33" s="1803"/>
      <c r="G33" s="1802"/>
      <c r="H33" s="1803"/>
      <c r="I33" s="1803"/>
      <c r="J33" s="3466"/>
      <c r="K33" s="3468"/>
      <c r="L33" s="3468"/>
      <c r="M33" s="3466"/>
      <c r="N33" s="1805" t="s">
        <v>2234</v>
      </c>
      <c r="O33" s="3469"/>
      <c r="P33" s="3463"/>
      <c r="Q33" s="1806">
        <f>+V33/R26</f>
        <v>0.08177622521953738</v>
      </c>
      <c r="R33" s="3472"/>
      <c r="S33" s="3463"/>
      <c r="T33" s="3463"/>
      <c r="U33" s="3467"/>
      <c r="V33" s="1807">
        <v>70000000</v>
      </c>
      <c r="W33" s="1816">
        <v>6</v>
      </c>
      <c r="X33" s="1805" t="s">
        <v>2229</v>
      </c>
      <c r="Y33" s="3449"/>
      <c r="Z33" s="3449"/>
      <c r="AA33" s="3449"/>
      <c r="AB33" s="3449"/>
      <c r="AC33" s="3449"/>
      <c r="AD33" s="3449"/>
      <c r="AE33" s="3449"/>
      <c r="AF33" s="3449"/>
      <c r="AG33" s="3449"/>
      <c r="AH33" s="3449"/>
      <c r="AI33" s="3449"/>
      <c r="AJ33" s="3449"/>
      <c r="AK33" s="3449"/>
      <c r="AL33" s="3449"/>
      <c r="AM33" s="3449"/>
      <c r="AN33" s="3449"/>
      <c r="AO33" s="3452"/>
      <c r="AP33" s="3452"/>
      <c r="AQ33" s="3480"/>
    </row>
    <row r="34" spans="1:43" s="1773" customFormat="1" ht="48.75" customHeight="1">
      <c r="A34" s="1787"/>
      <c r="B34" s="1788"/>
      <c r="C34" s="1789"/>
      <c r="D34" s="1802"/>
      <c r="E34" s="1803"/>
      <c r="F34" s="1803"/>
      <c r="G34" s="1802"/>
      <c r="H34" s="1803"/>
      <c r="I34" s="1803"/>
      <c r="J34" s="3466"/>
      <c r="K34" s="3468"/>
      <c r="L34" s="3468"/>
      <c r="M34" s="3466"/>
      <c r="N34" s="1805" t="s">
        <v>2235</v>
      </c>
      <c r="O34" s="3465"/>
      <c r="P34" s="3459"/>
      <c r="Q34" s="1806">
        <f>+V34/R26</f>
        <v>0.029205794721263355</v>
      </c>
      <c r="R34" s="3472"/>
      <c r="S34" s="3459"/>
      <c r="T34" s="3459" t="s">
        <v>670</v>
      </c>
      <c r="U34" s="3467"/>
      <c r="V34" s="1807">
        <v>25000000</v>
      </c>
      <c r="W34" s="1816">
        <v>12</v>
      </c>
      <c r="X34" s="1805" t="s">
        <v>2177</v>
      </c>
      <c r="Y34" s="3450"/>
      <c r="Z34" s="3450"/>
      <c r="AA34" s="3450"/>
      <c r="AB34" s="3450"/>
      <c r="AC34" s="3450"/>
      <c r="AD34" s="3450"/>
      <c r="AE34" s="3450"/>
      <c r="AF34" s="3450"/>
      <c r="AG34" s="3450"/>
      <c r="AH34" s="3450"/>
      <c r="AI34" s="3450"/>
      <c r="AJ34" s="3450"/>
      <c r="AK34" s="3450"/>
      <c r="AL34" s="3450"/>
      <c r="AM34" s="3450"/>
      <c r="AN34" s="3450"/>
      <c r="AO34" s="3453"/>
      <c r="AP34" s="3453"/>
      <c r="AQ34" s="3481"/>
    </row>
    <row r="35" spans="1:43" s="1773" customFormat="1" ht="20.25" customHeight="1">
      <c r="A35" s="1774"/>
      <c r="B35" s="1775"/>
      <c r="C35" s="1776"/>
      <c r="D35" s="1777">
        <v>21</v>
      </c>
      <c r="E35" s="1778" t="s">
        <v>2236</v>
      </c>
      <c r="F35" s="1778"/>
      <c r="G35" s="1778"/>
      <c r="H35" s="1778"/>
      <c r="I35" s="1778"/>
      <c r="J35" s="1778"/>
      <c r="K35" s="1779"/>
      <c r="L35" s="1778"/>
      <c r="M35" s="1778"/>
      <c r="N35" s="1778"/>
      <c r="O35" s="1780"/>
      <c r="P35" s="1779"/>
      <c r="Q35" s="1781"/>
      <c r="R35" s="1782"/>
      <c r="S35" s="1779" t="s">
        <v>670</v>
      </c>
      <c r="T35" s="1779" t="s">
        <v>670</v>
      </c>
      <c r="U35" s="1779"/>
      <c r="V35" s="1783">
        <f>+SUM(V26:V34)</f>
        <v>855994512</v>
      </c>
      <c r="W35" s="1784"/>
      <c r="X35" s="1780"/>
      <c r="Y35" s="1778"/>
      <c r="Z35" s="1778"/>
      <c r="AA35" s="1778"/>
      <c r="AB35" s="1778"/>
      <c r="AC35" s="1778"/>
      <c r="AD35" s="1778"/>
      <c r="AE35" s="1778"/>
      <c r="AF35" s="1778"/>
      <c r="AG35" s="1778"/>
      <c r="AH35" s="1778"/>
      <c r="AI35" s="1778"/>
      <c r="AJ35" s="1778"/>
      <c r="AK35" s="1778"/>
      <c r="AL35" s="1778"/>
      <c r="AM35" s="1778"/>
      <c r="AN35" s="1778"/>
      <c r="AO35" s="1785"/>
      <c r="AP35" s="1785"/>
      <c r="AQ35" s="1786"/>
    </row>
    <row r="36" spans="1:43" s="1773" customFormat="1" ht="23.25" customHeight="1">
      <c r="A36" s="1787"/>
      <c r="B36" s="1788"/>
      <c r="C36" s="1789"/>
      <c r="D36" s="1802"/>
      <c r="E36" s="1803"/>
      <c r="F36" s="1803"/>
      <c r="G36" s="1792">
        <v>72</v>
      </c>
      <c r="H36" s="1793" t="s">
        <v>2237</v>
      </c>
      <c r="I36" s="1793"/>
      <c r="J36" s="1793"/>
      <c r="K36" s="1794"/>
      <c r="L36" s="1793"/>
      <c r="M36" s="1793"/>
      <c r="N36" s="1793"/>
      <c r="O36" s="1795"/>
      <c r="P36" s="1794"/>
      <c r="Q36" s="1796"/>
      <c r="R36" s="1797"/>
      <c r="S36" s="1794" t="s">
        <v>670</v>
      </c>
      <c r="T36" s="1794" t="s">
        <v>670</v>
      </c>
      <c r="U36" s="1794"/>
      <c r="V36" s="1798"/>
      <c r="W36" s="1799"/>
      <c r="X36" s="1795"/>
      <c r="Y36" s="1812"/>
      <c r="Z36" s="1812"/>
      <c r="AA36" s="1812"/>
      <c r="AB36" s="1812"/>
      <c r="AC36" s="1812"/>
      <c r="AD36" s="1812"/>
      <c r="AE36" s="1812"/>
      <c r="AF36" s="1812"/>
      <c r="AG36" s="1812"/>
      <c r="AH36" s="1812"/>
      <c r="AI36" s="1812"/>
      <c r="AJ36" s="1812"/>
      <c r="AK36" s="1812"/>
      <c r="AL36" s="1812"/>
      <c r="AM36" s="1812"/>
      <c r="AN36" s="1812"/>
      <c r="AO36" s="1800"/>
      <c r="AP36" s="1800"/>
      <c r="AQ36" s="1813"/>
    </row>
    <row r="37" spans="1:43" s="1773" customFormat="1" ht="45" customHeight="1">
      <c r="A37" s="1787"/>
      <c r="B37" s="1788"/>
      <c r="C37" s="1789"/>
      <c r="D37" s="1802"/>
      <c r="E37" s="1803"/>
      <c r="F37" s="1803"/>
      <c r="G37" s="1802"/>
      <c r="H37" s="1803"/>
      <c r="I37" s="1803"/>
      <c r="J37" s="3466">
        <v>209</v>
      </c>
      <c r="K37" s="3475" t="s">
        <v>2238</v>
      </c>
      <c r="L37" s="3475" t="s">
        <v>2239</v>
      </c>
      <c r="M37" s="3464">
        <v>1</v>
      </c>
      <c r="N37" s="1805" t="s">
        <v>2240</v>
      </c>
      <c r="O37" s="3464" t="s">
        <v>2241</v>
      </c>
      <c r="P37" s="3458" t="s">
        <v>2242</v>
      </c>
      <c r="Q37" s="1806">
        <f>+V37/R37</f>
        <v>0.16517205351290734</v>
      </c>
      <c r="R37" s="3460">
        <v>176179925</v>
      </c>
      <c r="S37" s="3458" t="s">
        <v>2243</v>
      </c>
      <c r="T37" s="3458" t="s">
        <v>2244</v>
      </c>
      <c r="U37" s="3458" t="s">
        <v>2245</v>
      </c>
      <c r="V37" s="1818">
        <v>29100000</v>
      </c>
      <c r="W37" s="1808">
        <v>3</v>
      </c>
      <c r="X37" s="1809" t="s">
        <v>2246</v>
      </c>
      <c r="Y37" s="3448">
        <v>3153</v>
      </c>
      <c r="Z37" s="3448">
        <v>4014</v>
      </c>
      <c r="AA37" s="3448">
        <v>594</v>
      </c>
      <c r="AB37" s="3448">
        <v>4607</v>
      </c>
      <c r="AC37" s="3448">
        <v>1966</v>
      </c>
      <c r="AD37" s="3448"/>
      <c r="AE37" s="3448"/>
      <c r="AF37" s="3448"/>
      <c r="AG37" s="3448"/>
      <c r="AH37" s="3448"/>
      <c r="AI37" s="3448"/>
      <c r="AJ37" s="3448"/>
      <c r="AK37" s="3448"/>
      <c r="AL37" s="3448"/>
      <c r="AM37" s="3448"/>
      <c r="AN37" s="3448">
        <f>+AA37+AB37+AC37</f>
        <v>7167</v>
      </c>
      <c r="AO37" s="3451">
        <v>43101</v>
      </c>
      <c r="AP37" s="3451">
        <v>43465</v>
      </c>
      <c r="AQ37" s="3479" t="s">
        <v>2178</v>
      </c>
    </row>
    <row r="38" spans="1:43" s="1773" customFormat="1" ht="45" customHeight="1">
      <c r="A38" s="1787"/>
      <c r="B38" s="1788"/>
      <c r="C38" s="1789"/>
      <c r="D38" s="1802"/>
      <c r="E38" s="1803"/>
      <c r="F38" s="1803"/>
      <c r="G38" s="1802"/>
      <c r="H38" s="1803"/>
      <c r="I38" s="1803"/>
      <c r="J38" s="3466"/>
      <c r="K38" s="3482"/>
      <c r="L38" s="3482"/>
      <c r="M38" s="3469"/>
      <c r="N38" s="1805" t="s">
        <v>2247</v>
      </c>
      <c r="O38" s="3469"/>
      <c r="P38" s="3463"/>
      <c r="Q38" s="1806">
        <f>+V38/R37</f>
        <v>0.17028046753907972</v>
      </c>
      <c r="R38" s="3461"/>
      <c r="S38" s="3463"/>
      <c r="T38" s="3463"/>
      <c r="U38" s="3463"/>
      <c r="V38" s="1818">
        <v>30000000</v>
      </c>
      <c r="W38" s="1808">
        <v>4</v>
      </c>
      <c r="X38" s="1809" t="s">
        <v>80</v>
      </c>
      <c r="Y38" s="3449"/>
      <c r="Z38" s="3449"/>
      <c r="AA38" s="3449"/>
      <c r="AB38" s="3449"/>
      <c r="AC38" s="3449"/>
      <c r="AD38" s="3449"/>
      <c r="AE38" s="3449"/>
      <c r="AF38" s="3449"/>
      <c r="AG38" s="3449"/>
      <c r="AH38" s="3449"/>
      <c r="AI38" s="3449"/>
      <c r="AJ38" s="3449"/>
      <c r="AK38" s="3449"/>
      <c r="AL38" s="3449"/>
      <c r="AM38" s="3449"/>
      <c r="AN38" s="3449"/>
      <c r="AO38" s="3452"/>
      <c r="AP38" s="3452"/>
      <c r="AQ38" s="3480"/>
    </row>
    <row r="39" spans="1:43" s="1773" customFormat="1" ht="39" customHeight="1">
      <c r="A39" s="1787"/>
      <c r="B39" s="1788"/>
      <c r="C39" s="1789"/>
      <c r="D39" s="1802"/>
      <c r="E39" s="1803"/>
      <c r="F39" s="1803"/>
      <c r="G39" s="1802"/>
      <c r="H39" s="1803"/>
      <c r="I39" s="1803"/>
      <c r="J39" s="3464">
        <v>210</v>
      </c>
      <c r="K39" s="3475" t="s">
        <v>2248</v>
      </c>
      <c r="L39" s="3475" t="s">
        <v>2249</v>
      </c>
      <c r="M39" s="3464">
        <v>1</v>
      </c>
      <c r="N39" s="1805" t="s">
        <v>2250</v>
      </c>
      <c r="O39" s="3469"/>
      <c r="P39" s="3463"/>
      <c r="Q39" s="1806">
        <f>+V39/R37</f>
        <v>0.051084140261723913</v>
      </c>
      <c r="R39" s="3461"/>
      <c r="S39" s="3463"/>
      <c r="T39" s="3463"/>
      <c r="U39" s="3458" t="s">
        <v>2251</v>
      </c>
      <c r="V39" s="1818">
        <v>9000000</v>
      </c>
      <c r="W39" s="1808">
        <v>4</v>
      </c>
      <c r="X39" s="1809" t="s">
        <v>80</v>
      </c>
      <c r="Y39" s="3449"/>
      <c r="Z39" s="3449"/>
      <c r="AA39" s="3449"/>
      <c r="AB39" s="3449"/>
      <c r="AC39" s="3449"/>
      <c r="AD39" s="3449"/>
      <c r="AE39" s="3449"/>
      <c r="AF39" s="3449"/>
      <c r="AG39" s="3449"/>
      <c r="AH39" s="3449"/>
      <c r="AI39" s="3449"/>
      <c r="AJ39" s="3449"/>
      <c r="AK39" s="3449"/>
      <c r="AL39" s="3449"/>
      <c r="AM39" s="3449"/>
      <c r="AN39" s="3449"/>
      <c r="AO39" s="3452"/>
      <c r="AP39" s="3452"/>
      <c r="AQ39" s="3480"/>
    </row>
    <row r="40" spans="1:43" s="1773" customFormat="1" ht="31.5" customHeight="1">
      <c r="A40" s="1787"/>
      <c r="B40" s="1788"/>
      <c r="C40" s="1789"/>
      <c r="D40" s="1802"/>
      <c r="E40" s="1803"/>
      <c r="F40" s="1803"/>
      <c r="G40" s="1802"/>
      <c r="H40" s="1803"/>
      <c r="I40" s="1803"/>
      <c r="J40" s="3469"/>
      <c r="K40" s="3482"/>
      <c r="L40" s="3482"/>
      <c r="M40" s="3469"/>
      <c r="N40" s="1805" t="s">
        <v>2252</v>
      </c>
      <c r="O40" s="3469"/>
      <c r="P40" s="3463"/>
      <c r="Q40" s="1806">
        <f>+V40/R37</f>
        <v>0.17946802962936895</v>
      </c>
      <c r="R40" s="3461"/>
      <c r="S40" s="3463"/>
      <c r="T40" s="3463"/>
      <c r="U40" s="3463"/>
      <c r="V40" s="1818">
        <v>31618664</v>
      </c>
      <c r="W40" s="1808">
        <v>4</v>
      </c>
      <c r="X40" s="1809" t="s">
        <v>2253</v>
      </c>
      <c r="Y40" s="3449"/>
      <c r="Z40" s="3449"/>
      <c r="AA40" s="3449"/>
      <c r="AB40" s="3449"/>
      <c r="AC40" s="3449"/>
      <c r="AD40" s="3449"/>
      <c r="AE40" s="3449"/>
      <c r="AF40" s="3449"/>
      <c r="AG40" s="3449"/>
      <c r="AH40" s="3449"/>
      <c r="AI40" s="3449"/>
      <c r="AJ40" s="3449"/>
      <c r="AK40" s="3449"/>
      <c r="AL40" s="3449"/>
      <c r="AM40" s="3449"/>
      <c r="AN40" s="3449"/>
      <c r="AO40" s="3452"/>
      <c r="AP40" s="3452"/>
      <c r="AQ40" s="3480"/>
    </row>
    <row r="41" spans="1:43" s="1773" customFormat="1" ht="31.5" customHeight="1">
      <c r="A41" s="1787"/>
      <c r="B41" s="1788"/>
      <c r="C41" s="1789"/>
      <c r="D41" s="1802"/>
      <c r="E41" s="1803"/>
      <c r="F41" s="1803"/>
      <c r="G41" s="1802"/>
      <c r="H41" s="1803"/>
      <c r="I41" s="1803"/>
      <c r="J41" s="3469"/>
      <c r="K41" s="3482"/>
      <c r="L41" s="3482"/>
      <c r="M41" s="3469"/>
      <c r="N41" s="1805" t="s">
        <v>2254</v>
      </c>
      <c r="O41" s="3469"/>
      <c r="P41" s="3463"/>
      <c r="Q41" s="1806">
        <f>+V41/R37</f>
        <v>0.14190038961589976</v>
      </c>
      <c r="R41" s="3461"/>
      <c r="S41" s="3463"/>
      <c r="T41" s="3463"/>
      <c r="U41" s="3463"/>
      <c r="V41" s="1818">
        <v>25000000</v>
      </c>
      <c r="W41" s="1808">
        <v>3</v>
      </c>
      <c r="X41" s="1809" t="s">
        <v>2246</v>
      </c>
      <c r="Y41" s="3449"/>
      <c r="Z41" s="3449"/>
      <c r="AA41" s="3449"/>
      <c r="AB41" s="3449"/>
      <c r="AC41" s="3449"/>
      <c r="AD41" s="3449"/>
      <c r="AE41" s="3449"/>
      <c r="AF41" s="3449"/>
      <c r="AG41" s="3449"/>
      <c r="AH41" s="3449"/>
      <c r="AI41" s="3449"/>
      <c r="AJ41" s="3449"/>
      <c r="AK41" s="3449"/>
      <c r="AL41" s="3449"/>
      <c r="AM41" s="3449"/>
      <c r="AN41" s="3449"/>
      <c r="AO41" s="3452"/>
      <c r="AP41" s="3452"/>
      <c r="AQ41" s="3480"/>
    </row>
    <row r="42" spans="1:43" s="1773" customFormat="1" ht="27" customHeight="1">
      <c r="A42" s="1787"/>
      <c r="B42" s="1788"/>
      <c r="C42" s="1789"/>
      <c r="D42" s="1802"/>
      <c r="E42" s="1803"/>
      <c r="F42" s="1803"/>
      <c r="G42" s="1802"/>
      <c r="H42" s="1803"/>
      <c r="I42" s="1803"/>
      <c r="J42" s="3464">
        <v>211</v>
      </c>
      <c r="K42" s="3484" t="s">
        <v>2255</v>
      </c>
      <c r="L42" s="3486" t="s">
        <v>2256</v>
      </c>
      <c r="M42" s="3464">
        <v>1</v>
      </c>
      <c r="N42" s="1805" t="s">
        <v>2257</v>
      </c>
      <c r="O42" s="3469"/>
      <c r="P42" s="3463"/>
      <c r="Q42" s="1806">
        <f>+V42/R37</f>
        <v>0.1248723428619918</v>
      </c>
      <c r="R42" s="3461"/>
      <c r="S42" s="3463"/>
      <c r="T42" s="3463"/>
      <c r="U42" s="3458" t="s">
        <v>2258</v>
      </c>
      <c r="V42" s="1818">
        <v>22000000</v>
      </c>
      <c r="W42" s="1808">
        <v>3</v>
      </c>
      <c r="X42" s="1809" t="s">
        <v>2246</v>
      </c>
      <c r="Y42" s="3449"/>
      <c r="Z42" s="3449"/>
      <c r="AA42" s="3449"/>
      <c r="AB42" s="3449"/>
      <c r="AC42" s="3449"/>
      <c r="AD42" s="3449"/>
      <c r="AE42" s="3449"/>
      <c r="AF42" s="3449"/>
      <c r="AG42" s="3449"/>
      <c r="AH42" s="3449"/>
      <c r="AI42" s="3449"/>
      <c r="AJ42" s="3449"/>
      <c r="AK42" s="3449"/>
      <c r="AL42" s="3449"/>
      <c r="AM42" s="3449"/>
      <c r="AN42" s="3449"/>
      <c r="AO42" s="3452"/>
      <c r="AP42" s="3452"/>
      <c r="AQ42" s="3480"/>
    </row>
    <row r="43" spans="1:43" s="1773" customFormat="1" ht="27" customHeight="1">
      <c r="A43" s="1787"/>
      <c r="B43" s="1788"/>
      <c r="C43" s="1789"/>
      <c r="D43" s="1802"/>
      <c r="E43" s="1803"/>
      <c r="F43" s="1803"/>
      <c r="G43" s="1802"/>
      <c r="H43" s="1803"/>
      <c r="I43" s="1803"/>
      <c r="J43" s="3469"/>
      <c r="K43" s="3485"/>
      <c r="L43" s="3487"/>
      <c r="M43" s="3469"/>
      <c r="N43" s="1805" t="s">
        <v>2259</v>
      </c>
      <c r="O43" s="3469"/>
      <c r="P43" s="3463"/>
      <c r="Q43" s="1806">
        <f>+V43/R37</f>
        <v>0.1672225765790285</v>
      </c>
      <c r="R43" s="3461"/>
      <c r="S43" s="3463"/>
      <c r="T43" s="3463"/>
      <c r="U43" s="3463"/>
      <c r="V43" s="1818">
        <v>29461261</v>
      </c>
      <c r="W43" s="1808">
        <v>3</v>
      </c>
      <c r="X43" s="1809" t="s">
        <v>2260</v>
      </c>
      <c r="Y43" s="3449"/>
      <c r="Z43" s="3449"/>
      <c r="AA43" s="3449"/>
      <c r="AB43" s="3449"/>
      <c r="AC43" s="3449"/>
      <c r="AD43" s="3449"/>
      <c r="AE43" s="3449"/>
      <c r="AF43" s="3449"/>
      <c r="AG43" s="3449"/>
      <c r="AH43" s="3449"/>
      <c r="AI43" s="3449"/>
      <c r="AJ43" s="3449"/>
      <c r="AK43" s="3449"/>
      <c r="AL43" s="3449"/>
      <c r="AM43" s="3449"/>
      <c r="AN43" s="3449"/>
      <c r="AO43" s="3452"/>
      <c r="AP43" s="3452"/>
      <c r="AQ43" s="3480"/>
    </row>
    <row r="44" spans="1:43" s="1773" customFormat="1" ht="23.25" customHeight="1">
      <c r="A44" s="1787"/>
      <c r="B44" s="1788"/>
      <c r="C44" s="1789"/>
      <c r="D44" s="1802"/>
      <c r="E44" s="1803"/>
      <c r="F44" s="1803"/>
      <c r="G44" s="1792">
        <v>73</v>
      </c>
      <c r="H44" s="1793" t="s">
        <v>2261</v>
      </c>
      <c r="I44" s="1793"/>
      <c r="J44" s="1793"/>
      <c r="K44" s="1794"/>
      <c r="L44" s="1793"/>
      <c r="M44" s="1793"/>
      <c r="N44" s="1793"/>
      <c r="O44" s="1795"/>
      <c r="P44" s="1794"/>
      <c r="Q44" s="1796"/>
      <c r="R44" s="1797"/>
      <c r="S44" s="1794" t="s">
        <v>670</v>
      </c>
      <c r="T44" s="1794" t="s">
        <v>670</v>
      </c>
      <c r="U44" s="1794"/>
      <c r="V44" s="1798">
        <f>+SUM(V37:V43)</f>
        <v>176179925</v>
      </c>
      <c r="W44" s="1799"/>
      <c r="X44" s="1795"/>
      <c r="Y44" s="1812"/>
      <c r="Z44" s="1812"/>
      <c r="AA44" s="1812"/>
      <c r="AB44" s="1812"/>
      <c r="AC44" s="1812"/>
      <c r="AD44" s="1812"/>
      <c r="AE44" s="1812"/>
      <c r="AF44" s="1812"/>
      <c r="AG44" s="1812"/>
      <c r="AH44" s="1812"/>
      <c r="AI44" s="1812"/>
      <c r="AJ44" s="1812"/>
      <c r="AK44" s="1812"/>
      <c r="AL44" s="1812"/>
      <c r="AM44" s="1812"/>
      <c r="AN44" s="1812"/>
      <c r="AO44" s="1800"/>
      <c r="AP44" s="1800"/>
      <c r="AQ44" s="1813"/>
    </row>
    <row r="45" spans="1:43" s="1773" customFormat="1" ht="68.25" customHeight="1">
      <c r="A45" s="1787"/>
      <c r="B45" s="1788"/>
      <c r="C45" s="1789"/>
      <c r="D45" s="1802"/>
      <c r="E45" s="1803"/>
      <c r="F45" s="1803"/>
      <c r="G45" s="1802"/>
      <c r="H45" s="1803"/>
      <c r="I45" s="1803"/>
      <c r="J45" s="3466">
        <v>212</v>
      </c>
      <c r="K45" s="3467" t="s">
        <v>2262</v>
      </c>
      <c r="L45" s="3468" t="s">
        <v>2263</v>
      </c>
      <c r="M45" s="3466">
        <v>1</v>
      </c>
      <c r="N45" s="1805" t="s">
        <v>2264</v>
      </c>
      <c r="O45" s="3466" t="s">
        <v>2265</v>
      </c>
      <c r="P45" s="3467" t="s">
        <v>2266</v>
      </c>
      <c r="Q45" s="1806">
        <f>+V45/R45</f>
        <v>0.47904191616766467</v>
      </c>
      <c r="R45" s="3472">
        <f>SUM(V45:V47)</f>
        <v>83500000</v>
      </c>
      <c r="S45" s="3458" t="s">
        <v>2267</v>
      </c>
      <c r="T45" s="3458" t="s">
        <v>2268</v>
      </c>
      <c r="U45" s="3467" t="s">
        <v>2269</v>
      </c>
      <c r="V45" s="1819">
        <v>40000000</v>
      </c>
      <c r="W45" s="1816">
        <v>3</v>
      </c>
      <c r="X45" s="1805" t="s">
        <v>2246</v>
      </c>
      <c r="Y45" s="3448">
        <v>3292</v>
      </c>
      <c r="Z45" s="3448">
        <v>2586</v>
      </c>
      <c r="AA45" s="3448"/>
      <c r="AB45" s="3448">
        <v>833</v>
      </c>
      <c r="AC45" s="3448">
        <v>5045</v>
      </c>
      <c r="AD45" s="3448"/>
      <c r="AE45" s="3448"/>
      <c r="AF45" s="3448"/>
      <c r="AG45" s="3448"/>
      <c r="AH45" s="3448"/>
      <c r="AI45" s="3448"/>
      <c r="AJ45" s="3448"/>
      <c r="AK45" s="3448"/>
      <c r="AL45" s="3448"/>
      <c r="AM45" s="3448"/>
      <c r="AN45" s="3448">
        <f>+Y45+Z45</f>
        <v>5878</v>
      </c>
      <c r="AO45" s="3451">
        <v>43101</v>
      </c>
      <c r="AP45" s="3451">
        <v>43465</v>
      </c>
      <c r="AQ45" s="3454" t="s">
        <v>2178</v>
      </c>
    </row>
    <row r="46" spans="1:43" s="1773" customFormat="1" ht="68.25" customHeight="1">
      <c r="A46" s="1787"/>
      <c r="B46" s="1788"/>
      <c r="C46" s="1789"/>
      <c r="D46" s="1802"/>
      <c r="E46" s="1803"/>
      <c r="F46" s="1803"/>
      <c r="G46" s="1802"/>
      <c r="H46" s="1803"/>
      <c r="I46" s="1803"/>
      <c r="J46" s="3466"/>
      <c r="K46" s="3467"/>
      <c r="L46" s="3468"/>
      <c r="M46" s="3466"/>
      <c r="N46" s="1805" t="s">
        <v>2270</v>
      </c>
      <c r="O46" s="3466"/>
      <c r="P46" s="3467"/>
      <c r="Q46" s="1806">
        <f>+V46/R45</f>
        <v>0.3592814371257485</v>
      </c>
      <c r="R46" s="3472"/>
      <c r="S46" s="3463"/>
      <c r="T46" s="3463"/>
      <c r="U46" s="3467"/>
      <c r="V46" s="1819">
        <v>30000000</v>
      </c>
      <c r="W46" s="1816">
        <v>4</v>
      </c>
      <c r="X46" s="1805" t="s">
        <v>2253</v>
      </c>
      <c r="Y46" s="3449"/>
      <c r="Z46" s="3449"/>
      <c r="AA46" s="3449"/>
      <c r="AB46" s="3449"/>
      <c r="AC46" s="3449"/>
      <c r="AD46" s="3449"/>
      <c r="AE46" s="3449"/>
      <c r="AF46" s="3449"/>
      <c r="AG46" s="3449"/>
      <c r="AH46" s="3449"/>
      <c r="AI46" s="3449"/>
      <c r="AJ46" s="3449"/>
      <c r="AK46" s="3449"/>
      <c r="AL46" s="3449"/>
      <c r="AM46" s="3449"/>
      <c r="AN46" s="3449"/>
      <c r="AO46" s="3452"/>
      <c r="AP46" s="3452"/>
      <c r="AQ46" s="3455"/>
    </row>
    <row r="47" spans="1:43" s="1773" customFormat="1" ht="68.25" customHeight="1">
      <c r="A47" s="1787"/>
      <c r="B47" s="1788"/>
      <c r="C47" s="1789"/>
      <c r="D47" s="1802"/>
      <c r="E47" s="1803"/>
      <c r="F47" s="1803"/>
      <c r="G47" s="1802"/>
      <c r="H47" s="1803"/>
      <c r="I47" s="1803"/>
      <c r="J47" s="3466"/>
      <c r="K47" s="3467"/>
      <c r="L47" s="3468"/>
      <c r="M47" s="3466"/>
      <c r="N47" s="1805" t="s">
        <v>2264</v>
      </c>
      <c r="O47" s="3466"/>
      <c r="P47" s="3467"/>
      <c r="Q47" s="1806">
        <f>+V47/R45</f>
        <v>0.16167664670658682</v>
      </c>
      <c r="R47" s="3472"/>
      <c r="S47" s="3463"/>
      <c r="T47" s="3463"/>
      <c r="U47" s="3467"/>
      <c r="V47" s="1819">
        <v>13500000</v>
      </c>
      <c r="W47" s="1816">
        <v>3</v>
      </c>
      <c r="X47" s="1809" t="s">
        <v>2260</v>
      </c>
      <c r="Y47" s="3449"/>
      <c r="Z47" s="3449"/>
      <c r="AA47" s="3449"/>
      <c r="AB47" s="3449"/>
      <c r="AC47" s="3449"/>
      <c r="AD47" s="3449"/>
      <c r="AE47" s="3449"/>
      <c r="AF47" s="3449"/>
      <c r="AG47" s="3449"/>
      <c r="AH47" s="3449"/>
      <c r="AI47" s="3449"/>
      <c r="AJ47" s="3449"/>
      <c r="AK47" s="3449"/>
      <c r="AL47" s="3449"/>
      <c r="AM47" s="3449"/>
      <c r="AN47" s="3449"/>
      <c r="AO47" s="3452"/>
      <c r="AP47" s="3452"/>
      <c r="AQ47" s="3455"/>
    </row>
    <row r="48" spans="1:43" s="1773" customFormat="1" ht="20.25" customHeight="1">
      <c r="A48" s="1774"/>
      <c r="B48" s="1775"/>
      <c r="C48" s="1776"/>
      <c r="D48" s="1777">
        <v>22</v>
      </c>
      <c r="E48" s="1778" t="s">
        <v>2271</v>
      </c>
      <c r="F48" s="1778"/>
      <c r="G48" s="1778"/>
      <c r="H48" s="1778"/>
      <c r="I48" s="1778"/>
      <c r="J48" s="1778"/>
      <c r="K48" s="1779"/>
      <c r="L48" s="1778"/>
      <c r="M48" s="1778"/>
      <c r="N48" s="1778"/>
      <c r="O48" s="1780"/>
      <c r="P48" s="1779"/>
      <c r="Q48" s="1781"/>
      <c r="R48" s="1782"/>
      <c r="S48" s="1779" t="s">
        <v>670</v>
      </c>
      <c r="T48" s="1779" t="s">
        <v>670</v>
      </c>
      <c r="U48" s="1779"/>
      <c r="V48" s="1783">
        <f>+SUM(V45:V47)</f>
        <v>83500000</v>
      </c>
      <c r="W48" s="1784"/>
      <c r="X48" s="1780"/>
      <c r="Y48" s="1778"/>
      <c r="Z48" s="1778"/>
      <c r="AA48" s="1778"/>
      <c r="AB48" s="1778"/>
      <c r="AC48" s="1778"/>
      <c r="AD48" s="1778"/>
      <c r="AE48" s="1778"/>
      <c r="AF48" s="1778"/>
      <c r="AG48" s="1778"/>
      <c r="AH48" s="1778"/>
      <c r="AI48" s="1778"/>
      <c r="AJ48" s="1778"/>
      <c r="AK48" s="1778"/>
      <c r="AL48" s="1778"/>
      <c r="AM48" s="1778"/>
      <c r="AN48" s="1778"/>
      <c r="AO48" s="1785"/>
      <c r="AP48" s="1785"/>
      <c r="AQ48" s="1786"/>
    </row>
    <row r="49" spans="1:43" s="1773" customFormat="1" ht="23.25" customHeight="1">
      <c r="A49" s="1787"/>
      <c r="B49" s="1788"/>
      <c r="C49" s="1789"/>
      <c r="D49" s="1802"/>
      <c r="E49" s="1803"/>
      <c r="F49" s="1803"/>
      <c r="G49" s="1792">
        <v>74</v>
      </c>
      <c r="H49" s="1793" t="s">
        <v>2261</v>
      </c>
      <c r="I49" s="1793"/>
      <c r="J49" s="1793"/>
      <c r="K49" s="1794"/>
      <c r="L49" s="1793"/>
      <c r="M49" s="1793"/>
      <c r="N49" s="1793"/>
      <c r="O49" s="1795"/>
      <c r="P49" s="1794"/>
      <c r="Q49" s="1796"/>
      <c r="R49" s="1797"/>
      <c r="S49" s="1794" t="s">
        <v>670</v>
      </c>
      <c r="T49" s="1794" t="s">
        <v>670</v>
      </c>
      <c r="U49" s="1794"/>
      <c r="V49" s="1798"/>
      <c r="W49" s="1799"/>
      <c r="X49" s="1795"/>
      <c r="Y49" s="1812"/>
      <c r="Z49" s="1812"/>
      <c r="AA49" s="1812"/>
      <c r="AB49" s="1812"/>
      <c r="AC49" s="1812"/>
      <c r="AD49" s="1812"/>
      <c r="AE49" s="1812"/>
      <c r="AF49" s="1812"/>
      <c r="AG49" s="1812"/>
      <c r="AH49" s="1812"/>
      <c r="AI49" s="1812"/>
      <c r="AJ49" s="1812"/>
      <c r="AK49" s="1812"/>
      <c r="AL49" s="1812"/>
      <c r="AM49" s="1812"/>
      <c r="AN49" s="1812"/>
      <c r="AO49" s="1800"/>
      <c r="AP49" s="1800"/>
      <c r="AQ49" s="1813"/>
    </row>
    <row r="50" spans="1:43" s="1773" customFormat="1" ht="58.5" customHeight="1">
      <c r="A50" s="1787"/>
      <c r="B50" s="1788"/>
      <c r="C50" s="1789"/>
      <c r="D50" s="1802"/>
      <c r="E50" s="1803"/>
      <c r="F50" s="1803"/>
      <c r="G50" s="1802"/>
      <c r="H50" s="1803"/>
      <c r="I50" s="1803"/>
      <c r="J50" s="3464">
        <v>213</v>
      </c>
      <c r="K50" s="3458" t="s">
        <v>2272</v>
      </c>
      <c r="L50" s="3475" t="s">
        <v>2273</v>
      </c>
      <c r="M50" s="3464">
        <v>12</v>
      </c>
      <c r="N50" s="3464" t="s">
        <v>2274</v>
      </c>
      <c r="O50" s="3464" t="s">
        <v>2275</v>
      </c>
      <c r="P50" s="3492" t="s">
        <v>2276</v>
      </c>
      <c r="Q50" s="3488">
        <f>+V50/R50</f>
        <v>0</v>
      </c>
      <c r="R50" s="3460">
        <v>244500000</v>
      </c>
      <c r="S50" s="3458" t="s">
        <v>2277</v>
      </c>
      <c r="T50" s="3458" t="s">
        <v>2278</v>
      </c>
      <c r="U50" s="3458" t="s">
        <v>2279</v>
      </c>
      <c r="V50" s="3460">
        <v>0</v>
      </c>
      <c r="W50" s="3448"/>
      <c r="X50" s="3464"/>
      <c r="Y50" s="3448">
        <v>279394</v>
      </c>
      <c r="Z50" s="3448">
        <v>289394</v>
      </c>
      <c r="AA50" s="3448">
        <v>56459</v>
      </c>
      <c r="AB50" s="3448">
        <v>64535</v>
      </c>
      <c r="AC50" s="3448">
        <f>336006+15489</f>
        <v>351495</v>
      </c>
      <c r="AD50" s="3448">
        <v>81384</v>
      </c>
      <c r="AE50" s="3448">
        <v>1187</v>
      </c>
      <c r="AF50" s="3448">
        <v>13208</v>
      </c>
      <c r="AG50" s="3448"/>
      <c r="AH50" s="3448"/>
      <c r="AI50" s="3448"/>
      <c r="AJ50" s="3448"/>
      <c r="AK50" s="3448">
        <v>520</v>
      </c>
      <c r="AL50" s="3448"/>
      <c r="AM50" s="3448"/>
      <c r="AN50" s="3448">
        <f>+Y50+Z50</f>
        <v>568788</v>
      </c>
      <c r="AO50" s="3451">
        <v>43101</v>
      </c>
      <c r="AP50" s="3451">
        <v>43465</v>
      </c>
      <c r="AQ50" s="3454" t="s">
        <v>2280</v>
      </c>
    </row>
    <row r="51" spans="1:43" ht="52.5" customHeight="1">
      <c r="A51" s="1820"/>
      <c r="B51" s="1821"/>
      <c r="C51" s="1822"/>
      <c r="D51" s="1823"/>
      <c r="E51" s="3490"/>
      <c r="F51" s="3491"/>
      <c r="G51" s="1823"/>
      <c r="H51" s="3490"/>
      <c r="I51" s="3491"/>
      <c r="J51" s="3465"/>
      <c r="K51" s="3459"/>
      <c r="L51" s="3476"/>
      <c r="M51" s="3465"/>
      <c r="N51" s="3465"/>
      <c r="O51" s="3465"/>
      <c r="P51" s="3493"/>
      <c r="Q51" s="3489"/>
      <c r="R51" s="3462"/>
      <c r="S51" s="3459"/>
      <c r="T51" s="3459" t="s">
        <v>670</v>
      </c>
      <c r="U51" s="3459"/>
      <c r="V51" s="3462"/>
      <c r="W51" s="3450"/>
      <c r="X51" s="3465"/>
      <c r="Y51" s="3450"/>
      <c r="Z51" s="3450"/>
      <c r="AA51" s="3450"/>
      <c r="AB51" s="3450"/>
      <c r="AC51" s="3450"/>
      <c r="AD51" s="3450"/>
      <c r="AE51" s="3450"/>
      <c r="AF51" s="3450"/>
      <c r="AG51" s="3450"/>
      <c r="AH51" s="3450"/>
      <c r="AI51" s="3450"/>
      <c r="AJ51" s="3450"/>
      <c r="AK51" s="3450"/>
      <c r="AL51" s="3450"/>
      <c r="AM51" s="3450"/>
      <c r="AN51" s="3450"/>
      <c r="AO51" s="3453"/>
      <c r="AP51" s="3453"/>
      <c r="AQ51" s="3456"/>
    </row>
    <row r="52" spans="1:43" ht="15">
      <c r="A52" s="1824"/>
      <c r="B52" s="1825"/>
      <c r="C52" s="1825"/>
      <c r="D52" s="1825"/>
      <c r="E52" s="1825"/>
      <c r="F52" s="1825"/>
      <c r="G52" s="1825"/>
      <c r="H52" s="1825"/>
      <c r="I52" s="1825"/>
      <c r="J52" s="1825"/>
      <c r="K52" s="1826"/>
      <c r="L52" s="1827"/>
      <c r="M52" s="1827"/>
      <c r="N52" s="1827"/>
      <c r="O52" s="1828"/>
      <c r="P52" s="1826"/>
      <c r="Q52" s="1829"/>
      <c r="R52" s="1830"/>
      <c r="S52" s="1826"/>
      <c r="T52" s="1826"/>
      <c r="U52" s="1831"/>
      <c r="V52" s="1832">
        <f>+V48+V44+V35+V25+V20+V17</f>
        <v>3048156498.49</v>
      </c>
      <c r="W52" s="1833"/>
      <c r="X52" s="1834"/>
      <c r="Y52" s="1825"/>
      <c r="Z52" s="1825"/>
      <c r="AA52" s="1825"/>
      <c r="AB52" s="1825"/>
      <c r="AC52" s="1825"/>
      <c r="AD52" s="1825"/>
      <c r="AE52" s="1825"/>
      <c r="AF52" s="1825"/>
      <c r="AG52" s="1825"/>
      <c r="AH52" s="1825"/>
      <c r="AI52" s="1825"/>
      <c r="AJ52" s="1825"/>
      <c r="AK52" s="1825"/>
      <c r="AL52" s="1825"/>
      <c r="AM52" s="1825"/>
      <c r="AN52" s="1825"/>
      <c r="AO52" s="1835"/>
      <c r="AP52" s="1836"/>
      <c r="AQ52" s="1837"/>
    </row>
    <row r="59" spans="18:22" ht="20.25">
      <c r="R59" s="1842"/>
      <c r="S59" s="1842"/>
      <c r="T59" s="1842"/>
      <c r="U59" s="1842"/>
      <c r="V59" s="1843"/>
    </row>
  </sheetData>
  <sheetProtection password="CBEB" sheet="1" objects="1" scenarios="1"/>
  <mergeCells count="266">
    <mergeCell ref="AO50:AO51"/>
    <mergeCell ref="AP50:AP51"/>
    <mergeCell ref="AQ50:AQ51"/>
    <mergeCell ref="E51:F51"/>
    <mergeCell ref="H51:I51"/>
    <mergeCell ref="AG50:AG51"/>
    <mergeCell ref="AH50:AH51"/>
    <mergeCell ref="AI50:AI51"/>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O50:O51"/>
    <mergeCell ref="P50:P51"/>
    <mergeCell ref="Q50:Q51"/>
    <mergeCell ref="R50:R51"/>
    <mergeCell ref="S50:S51"/>
    <mergeCell ref="T50:T51"/>
    <mergeCell ref="AM45:AM47"/>
    <mergeCell ref="AN45:AN47"/>
    <mergeCell ref="Y45:Y47"/>
    <mergeCell ref="Z45:Z47"/>
    <mergeCell ref="AM50:AM51"/>
    <mergeCell ref="AN50:AN51"/>
    <mergeCell ref="AP45:AP47"/>
    <mergeCell ref="AQ45:AQ47"/>
    <mergeCell ref="J50:J51"/>
    <mergeCell ref="K50:K51"/>
    <mergeCell ref="L50:L51"/>
    <mergeCell ref="M50:M51"/>
    <mergeCell ref="N50:N51"/>
    <mergeCell ref="AG45:AG47"/>
    <mergeCell ref="AH45:AH47"/>
    <mergeCell ref="AI45:AI47"/>
    <mergeCell ref="AJ45:AJ47"/>
    <mergeCell ref="AK45:AK47"/>
    <mergeCell ref="AL45:AL47"/>
    <mergeCell ref="AA45:AA47"/>
    <mergeCell ref="AB45:AB47"/>
    <mergeCell ref="AC45:AC47"/>
    <mergeCell ref="AD45:AD47"/>
    <mergeCell ref="AE45:AE47"/>
    <mergeCell ref="AF45:AF47"/>
    <mergeCell ref="R45:R47"/>
    <mergeCell ref="S45:S47"/>
    <mergeCell ref="T45:T47"/>
    <mergeCell ref="U45:U47"/>
    <mergeCell ref="Z50:Z51"/>
    <mergeCell ref="J45:J47"/>
    <mergeCell ref="K45:K47"/>
    <mergeCell ref="L45:L47"/>
    <mergeCell ref="M45:M47"/>
    <mergeCell ref="O45:O47"/>
    <mergeCell ref="P45:P47"/>
    <mergeCell ref="AM37:AM43"/>
    <mergeCell ref="AN37:AN43"/>
    <mergeCell ref="AO37:AO43"/>
    <mergeCell ref="Z37:Z43"/>
    <mergeCell ref="U42:U43"/>
    <mergeCell ref="J37:J38"/>
    <mergeCell ref="K37:K38"/>
    <mergeCell ref="L37:L38"/>
    <mergeCell ref="M37:M38"/>
    <mergeCell ref="O37:O43"/>
    <mergeCell ref="P37:P43"/>
    <mergeCell ref="J42:J43"/>
    <mergeCell ref="K42:K43"/>
    <mergeCell ref="L42:L43"/>
    <mergeCell ref="M42:M43"/>
    <mergeCell ref="AO45:AO47"/>
    <mergeCell ref="AP37:AP43"/>
    <mergeCell ref="AQ37:AQ43"/>
    <mergeCell ref="J39:J41"/>
    <mergeCell ref="K39:K41"/>
    <mergeCell ref="L39:L41"/>
    <mergeCell ref="M39:M41"/>
    <mergeCell ref="U39:U41"/>
    <mergeCell ref="AG37:AG43"/>
    <mergeCell ref="AH37:AH43"/>
    <mergeCell ref="AI37:AI43"/>
    <mergeCell ref="AJ37:AJ43"/>
    <mergeCell ref="AK37:AK43"/>
    <mergeCell ref="AL37:AL43"/>
    <mergeCell ref="AA37:AA43"/>
    <mergeCell ref="AB37:AB43"/>
    <mergeCell ref="AC37:AC43"/>
    <mergeCell ref="AD37:AD43"/>
    <mergeCell ref="AE37:AE43"/>
    <mergeCell ref="AF37:AF43"/>
    <mergeCell ref="R37:R43"/>
    <mergeCell ref="S37:S43"/>
    <mergeCell ref="T37:T43"/>
    <mergeCell ref="U37:U38"/>
    <mergeCell ref="Y37:Y43"/>
    <mergeCell ref="AM26:AM34"/>
    <mergeCell ref="AN26:AN34"/>
    <mergeCell ref="AO26:AO34"/>
    <mergeCell ref="AP26:AP34"/>
    <mergeCell ref="AQ26:AQ34"/>
    <mergeCell ref="J28:J31"/>
    <mergeCell ref="K28:K31"/>
    <mergeCell ref="L28:L31"/>
    <mergeCell ref="M28:M31"/>
    <mergeCell ref="U28:U31"/>
    <mergeCell ref="AG26:AG34"/>
    <mergeCell ref="AH26:AH34"/>
    <mergeCell ref="AI26:AI34"/>
    <mergeCell ref="AJ26:AJ34"/>
    <mergeCell ref="AK26:AK34"/>
    <mergeCell ref="AL26:AL34"/>
    <mergeCell ref="AA26:AA34"/>
    <mergeCell ref="AB26:AB34"/>
    <mergeCell ref="AC26:AC34"/>
    <mergeCell ref="AD26:AD34"/>
    <mergeCell ref="AE26:AE34"/>
    <mergeCell ref="AF26:AF34"/>
    <mergeCell ref="R26:R34"/>
    <mergeCell ref="S26:S34"/>
    <mergeCell ref="T26:T34"/>
    <mergeCell ref="U26:U27"/>
    <mergeCell ref="Y26:Y34"/>
    <mergeCell ref="Z26:Z34"/>
    <mergeCell ref="U32:U34"/>
    <mergeCell ref="J26:J27"/>
    <mergeCell ref="K26:K27"/>
    <mergeCell ref="L26:L27"/>
    <mergeCell ref="M26:M27"/>
    <mergeCell ref="O26:O34"/>
    <mergeCell ref="P26:P34"/>
    <mergeCell ref="J32:J34"/>
    <mergeCell ref="K32:K34"/>
    <mergeCell ref="L32:L34"/>
    <mergeCell ref="M32:M34"/>
    <mergeCell ref="AL21:AL24"/>
    <mergeCell ref="AM21:AM24"/>
    <mergeCell ref="AN21:AN24"/>
    <mergeCell ref="AO21:AO24"/>
    <mergeCell ref="AP21:AP24"/>
    <mergeCell ref="AQ21:AQ24"/>
    <mergeCell ref="AF21:AF24"/>
    <mergeCell ref="AG21:AG24"/>
    <mergeCell ref="AH21:AH24"/>
    <mergeCell ref="AI21:AI24"/>
    <mergeCell ref="AJ21:AJ24"/>
    <mergeCell ref="AK21:AK24"/>
    <mergeCell ref="Z21:Z24"/>
    <mergeCell ref="AA21:AA24"/>
    <mergeCell ref="AB21:AB24"/>
    <mergeCell ref="AC21:AC24"/>
    <mergeCell ref="AD21:AD24"/>
    <mergeCell ref="AE21:AE24"/>
    <mergeCell ref="P21:P24"/>
    <mergeCell ref="R21:R24"/>
    <mergeCell ref="S21:S24"/>
    <mergeCell ref="T21:T24"/>
    <mergeCell ref="U21:U24"/>
    <mergeCell ref="Y21:Y24"/>
    <mergeCell ref="AM18:AM19"/>
    <mergeCell ref="AN18:AN19"/>
    <mergeCell ref="AO18:AO19"/>
    <mergeCell ref="AP18:AP19"/>
    <mergeCell ref="AQ18:AQ19"/>
    <mergeCell ref="J21:J24"/>
    <mergeCell ref="K21:K24"/>
    <mergeCell ref="L21:L24"/>
    <mergeCell ref="M21:M24"/>
    <mergeCell ref="O21:O24"/>
    <mergeCell ref="AG18:AG19"/>
    <mergeCell ref="AH18:AH19"/>
    <mergeCell ref="AI18:AI19"/>
    <mergeCell ref="AJ18:AJ19"/>
    <mergeCell ref="AK18:AK19"/>
    <mergeCell ref="AL18:AL19"/>
    <mergeCell ref="AA18:AA19"/>
    <mergeCell ref="AB18:AB19"/>
    <mergeCell ref="AC18:AC19"/>
    <mergeCell ref="AD18:AD19"/>
    <mergeCell ref="AE18:AE19"/>
    <mergeCell ref="AF18:AF19"/>
    <mergeCell ref="R18:R19"/>
    <mergeCell ref="S18:S19"/>
    <mergeCell ref="T12:T16"/>
    <mergeCell ref="U12:U13"/>
    <mergeCell ref="Y12:Y16"/>
    <mergeCell ref="J12:J15"/>
    <mergeCell ref="T18:T19"/>
    <mergeCell ref="U18:U19"/>
    <mergeCell ref="Y18:Y19"/>
    <mergeCell ref="Z18:Z19"/>
    <mergeCell ref="J18:J19"/>
    <mergeCell ref="K18:K19"/>
    <mergeCell ref="L18:L19"/>
    <mergeCell ref="M18:M19"/>
    <mergeCell ref="O18:O19"/>
    <mergeCell ref="P18:P19"/>
    <mergeCell ref="K12:K15"/>
    <mergeCell ref="L12:L15"/>
    <mergeCell ref="M12:M15"/>
    <mergeCell ref="O12:O16"/>
    <mergeCell ref="P12:P16"/>
    <mergeCell ref="AM12:AM16"/>
    <mergeCell ref="Y7:Z7"/>
    <mergeCell ref="AA7:AD7"/>
    <mergeCell ref="Z12:Z16"/>
    <mergeCell ref="AN12:AN16"/>
    <mergeCell ref="AO12:AO16"/>
    <mergeCell ref="AP12:AP16"/>
    <mergeCell ref="AQ12:AQ16"/>
    <mergeCell ref="E14:F14"/>
    <mergeCell ref="U14:U15"/>
    <mergeCell ref="AG12:AG16"/>
    <mergeCell ref="AH12:AH16"/>
    <mergeCell ref="AI12:AI16"/>
    <mergeCell ref="AJ12:AJ16"/>
    <mergeCell ref="AK12:AK16"/>
    <mergeCell ref="AL12:AL16"/>
    <mergeCell ref="AA12:AA16"/>
    <mergeCell ref="AB12:AB16"/>
    <mergeCell ref="AC12:AC16"/>
    <mergeCell ref="AD12:AD16"/>
    <mergeCell ref="AE12:AE16"/>
    <mergeCell ref="AF12:AF16"/>
    <mergeCell ref="R12:R16"/>
    <mergeCell ref="S12:S16"/>
    <mergeCell ref="A1:AO4"/>
    <mergeCell ref="A5:M6"/>
    <mergeCell ref="N5:AQ5"/>
    <mergeCell ref="N6:X6"/>
    <mergeCell ref="AO6:AQ6"/>
    <mergeCell ref="A7:A8"/>
    <mergeCell ref="B7:C8"/>
    <mergeCell ref="D7:D8"/>
    <mergeCell ref="E7:F8"/>
    <mergeCell ref="G7:G8"/>
    <mergeCell ref="AN7:AN8"/>
    <mergeCell ref="AO7:AO8"/>
    <mergeCell ref="AP7:AP8"/>
    <mergeCell ref="AQ7:AQ8"/>
    <mergeCell ref="U7:U8"/>
    <mergeCell ref="V7:V8"/>
    <mergeCell ref="W7:W8"/>
    <mergeCell ref="X7:X8"/>
    <mergeCell ref="AE7:AJ7"/>
    <mergeCell ref="AK7:AM7"/>
    <mergeCell ref="Q7:Q8"/>
    <mergeCell ref="R7:R8"/>
    <mergeCell ref="S7:S8"/>
    <mergeCell ref="T7:T8"/>
    <mergeCell ref="H7:I8"/>
    <mergeCell ref="J7:J8"/>
    <mergeCell ref="K7:K8"/>
    <mergeCell ref="L7:L8"/>
    <mergeCell ref="M7:M8"/>
    <mergeCell ref="N7:N8"/>
    <mergeCell ref="O7:O8"/>
    <mergeCell ref="P7:P8"/>
  </mergeCells>
  <printOptions/>
  <pageMargins left="0.7086614173228347" right="0.7086614173228347" top="0.7480314960629921" bottom="0.7480314960629921" header="0.31496062992125984" footer="0.31496062992125984"/>
  <pageSetup horizontalDpi="600" verticalDpi="600" orientation="portrait" paperSize="5" scale="60" r:id="rId2"/>
  <drawing r:id="rId1"/>
</worksheet>
</file>

<file path=xl/worksheets/sheet15.xml><?xml version="1.0" encoding="utf-8"?>
<worksheet xmlns="http://schemas.openxmlformats.org/spreadsheetml/2006/main" xmlns:r="http://schemas.openxmlformats.org/officeDocument/2006/relationships">
  <dimension ref="A1:AQ33"/>
  <sheetViews>
    <sheetView zoomScale="60" zoomScaleNormal="60" zoomScalePageLayoutView="0" workbookViewId="0" topLeftCell="A1">
      <selection activeCell="R7" sqref="R7:R8"/>
    </sheetView>
  </sheetViews>
  <sheetFormatPr defaultColWidth="11.421875" defaultRowHeight="15"/>
  <cols>
    <col min="1" max="1" width="16.8515625" style="666" customWidth="1"/>
    <col min="2" max="2" width="4.7109375" style="666" customWidth="1"/>
    <col min="3" max="3" width="15.8515625" style="666" customWidth="1"/>
    <col min="4" max="4" width="16.28125" style="666" customWidth="1"/>
    <col min="5" max="5" width="6.421875" style="666" customWidth="1"/>
    <col min="6" max="6" width="13.57421875" style="666" customWidth="1"/>
    <col min="7" max="7" width="17.140625" style="666" customWidth="1"/>
    <col min="8" max="8" width="4.8515625" style="666" customWidth="1"/>
    <col min="9" max="9" width="22.140625" style="666" customWidth="1"/>
    <col min="10" max="10" width="16.8515625" style="666" customWidth="1"/>
    <col min="11" max="11" width="37.421875" style="666" customWidth="1"/>
    <col min="12" max="12" width="24.57421875" style="666" customWidth="1"/>
    <col min="13" max="13" width="10.421875" style="666" customWidth="1"/>
    <col min="14" max="14" width="23.57421875" style="666" customWidth="1"/>
    <col min="15" max="15" width="25.140625" style="666" customWidth="1"/>
    <col min="16" max="16" width="23.7109375" style="666" customWidth="1"/>
    <col min="17" max="17" width="22.8515625" style="666" customWidth="1"/>
    <col min="18" max="18" width="28.28125" style="666" customWidth="1"/>
    <col min="19" max="19" width="32.57421875" style="666" customWidth="1"/>
    <col min="20" max="20" width="28.421875" style="666" customWidth="1"/>
    <col min="21" max="21" width="34.7109375" style="666" customWidth="1"/>
    <col min="22" max="22" width="23.57421875" style="666" customWidth="1"/>
    <col min="23" max="23" width="17.140625" style="666" customWidth="1"/>
    <col min="24" max="24" width="18.8515625" style="666" customWidth="1"/>
    <col min="25" max="25" width="14.140625" style="666" customWidth="1"/>
    <col min="26" max="26" width="11.57421875" style="666" customWidth="1"/>
    <col min="27" max="28" width="7.140625" style="666" customWidth="1"/>
    <col min="29" max="29" width="10.00390625" style="666" customWidth="1"/>
    <col min="30" max="39" width="7.140625" style="666" customWidth="1"/>
    <col min="40" max="40" width="12.00390625" style="666" customWidth="1"/>
    <col min="41" max="42" width="15.00390625" style="666" customWidth="1"/>
    <col min="43" max="43" width="29.8515625" style="666" customWidth="1"/>
    <col min="44" max="16384" width="11.421875" style="666" customWidth="1"/>
  </cols>
  <sheetData>
    <row r="1" spans="1:43" ht="27" customHeight="1">
      <c r="A1" s="3494" t="s">
        <v>2533</v>
      </c>
      <c r="B1" s="3494"/>
      <c r="C1" s="3494"/>
      <c r="D1" s="3494"/>
      <c r="E1" s="3494"/>
      <c r="F1" s="3494"/>
      <c r="G1" s="3494"/>
      <c r="H1" s="3494"/>
      <c r="I1" s="3494"/>
      <c r="J1" s="3494"/>
      <c r="K1" s="3494"/>
      <c r="L1" s="3494"/>
      <c r="M1" s="3494"/>
      <c r="N1" s="3494"/>
      <c r="O1" s="3494"/>
      <c r="P1" s="3494"/>
      <c r="Q1" s="3494"/>
      <c r="R1" s="3494"/>
      <c r="S1" s="3494"/>
      <c r="T1" s="3494"/>
      <c r="U1" s="3494"/>
      <c r="V1" s="3494"/>
      <c r="W1" s="3494"/>
      <c r="X1" s="3494"/>
      <c r="Y1" s="3494"/>
      <c r="Z1" s="3494"/>
      <c r="AA1" s="3494"/>
      <c r="AB1" s="3494"/>
      <c r="AC1" s="3494"/>
      <c r="AD1" s="3494"/>
      <c r="AE1" s="3494"/>
      <c r="AF1" s="3494"/>
      <c r="AG1" s="3494"/>
      <c r="AH1" s="3494"/>
      <c r="AI1" s="3494"/>
      <c r="AJ1" s="3494"/>
      <c r="AK1" s="3494"/>
      <c r="AL1" s="3494"/>
      <c r="AM1" s="3494"/>
      <c r="AN1" s="3494"/>
      <c r="AO1" s="3495"/>
      <c r="AP1" s="1648" t="s">
        <v>1</v>
      </c>
      <c r="AQ1" s="1648" t="s">
        <v>134</v>
      </c>
    </row>
    <row r="2" spans="1:43" ht="27" customHeight="1">
      <c r="A2" s="3494"/>
      <c r="B2" s="3494"/>
      <c r="C2" s="3494"/>
      <c r="D2" s="3494"/>
      <c r="E2" s="3494"/>
      <c r="F2" s="3494"/>
      <c r="G2" s="3494"/>
      <c r="H2" s="3494"/>
      <c r="I2" s="3494"/>
      <c r="J2" s="3494"/>
      <c r="K2" s="3494"/>
      <c r="L2" s="3494"/>
      <c r="M2" s="3494"/>
      <c r="N2" s="3494"/>
      <c r="O2" s="3494"/>
      <c r="P2" s="3494"/>
      <c r="Q2" s="3494"/>
      <c r="R2" s="3494"/>
      <c r="S2" s="3494"/>
      <c r="T2" s="3494"/>
      <c r="U2" s="3494"/>
      <c r="V2" s="3494"/>
      <c r="W2" s="3494"/>
      <c r="X2" s="3494"/>
      <c r="Y2" s="3494"/>
      <c r="Z2" s="3494"/>
      <c r="AA2" s="3494"/>
      <c r="AB2" s="3494"/>
      <c r="AC2" s="3494"/>
      <c r="AD2" s="3494"/>
      <c r="AE2" s="3494"/>
      <c r="AF2" s="3494"/>
      <c r="AG2" s="3494"/>
      <c r="AH2" s="3494"/>
      <c r="AI2" s="3494"/>
      <c r="AJ2" s="3494"/>
      <c r="AK2" s="3494"/>
      <c r="AL2" s="3494"/>
      <c r="AM2" s="3494"/>
      <c r="AN2" s="3494"/>
      <c r="AO2" s="3495"/>
      <c r="AP2" s="1649" t="s">
        <v>3</v>
      </c>
      <c r="AQ2" s="1648" t="s">
        <v>135</v>
      </c>
    </row>
    <row r="3" spans="1:43" ht="14.25" customHeight="1">
      <c r="A3" s="3494"/>
      <c r="B3" s="3494"/>
      <c r="C3" s="3494"/>
      <c r="D3" s="3494"/>
      <c r="E3" s="3494"/>
      <c r="F3" s="3494"/>
      <c r="G3" s="3494"/>
      <c r="H3" s="3494"/>
      <c r="I3" s="3494"/>
      <c r="J3" s="3494"/>
      <c r="K3" s="3494"/>
      <c r="L3" s="3494"/>
      <c r="M3" s="3494"/>
      <c r="N3" s="3494"/>
      <c r="O3" s="3494"/>
      <c r="P3" s="3494"/>
      <c r="Q3" s="3494"/>
      <c r="R3" s="3494"/>
      <c r="S3" s="3494"/>
      <c r="T3" s="3494"/>
      <c r="U3" s="3494"/>
      <c r="V3" s="3494"/>
      <c r="W3" s="3494"/>
      <c r="X3" s="3494"/>
      <c r="Y3" s="3494"/>
      <c r="Z3" s="3494"/>
      <c r="AA3" s="3494"/>
      <c r="AB3" s="3494"/>
      <c r="AC3" s="3494"/>
      <c r="AD3" s="3494"/>
      <c r="AE3" s="3494"/>
      <c r="AF3" s="3494"/>
      <c r="AG3" s="3494"/>
      <c r="AH3" s="3494"/>
      <c r="AI3" s="3494"/>
      <c r="AJ3" s="3494"/>
      <c r="AK3" s="3494"/>
      <c r="AL3" s="3494"/>
      <c r="AM3" s="3494"/>
      <c r="AN3" s="3494"/>
      <c r="AO3" s="3495"/>
      <c r="AP3" s="1648" t="s">
        <v>5</v>
      </c>
      <c r="AQ3" s="1650" t="s">
        <v>6</v>
      </c>
    </row>
    <row r="4" spans="1:43" ht="14.25" customHeight="1">
      <c r="A4" s="3494"/>
      <c r="B4" s="3494"/>
      <c r="C4" s="3494"/>
      <c r="D4" s="3494"/>
      <c r="E4" s="3494"/>
      <c r="F4" s="3494"/>
      <c r="G4" s="3494"/>
      <c r="H4" s="3494"/>
      <c r="I4" s="3494"/>
      <c r="J4" s="3494"/>
      <c r="K4" s="3494"/>
      <c r="L4" s="3494"/>
      <c r="M4" s="3494"/>
      <c r="N4" s="3494"/>
      <c r="O4" s="3494"/>
      <c r="P4" s="3494"/>
      <c r="Q4" s="3494"/>
      <c r="R4" s="3494"/>
      <c r="S4" s="3494"/>
      <c r="T4" s="3494"/>
      <c r="U4" s="3494"/>
      <c r="V4" s="3494"/>
      <c r="W4" s="3494"/>
      <c r="X4" s="3494"/>
      <c r="Y4" s="3494"/>
      <c r="Z4" s="3494"/>
      <c r="AA4" s="3494"/>
      <c r="AB4" s="3494"/>
      <c r="AC4" s="3494"/>
      <c r="AD4" s="3494"/>
      <c r="AE4" s="3494"/>
      <c r="AF4" s="3494"/>
      <c r="AG4" s="3494"/>
      <c r="AH4" s="3494"/>
      <c r="AI4" s="3494"/>
      <c r="AJ4" s="3494"/>
      <c r="AK4" s="3494"/>
      <c r="AL4" s="3494"/>
      <c r="AM4" s="3494"/>
      <c r="AN4" s="3494"/>
      <c r="AO4" s="3494"/>
      <c r="AP4" s="1651" t="s">
        <v>7</v>
      </c>
      <c r="AQ4" s="1652" t="s">
        <v>8</v>
      </c>
    </row>
    <row r="5" spans="1:43" ht="14.25" customHeight="1">
      <c r="A5" s="2968" t="s">
        <v>9</v>
      </c>
      <c r="B5" s="2282"/>
      <c r="C5" s="2282"/>
      <c r="D5" s="2282"/>
      <c r="E5" s="2282"/>
      <c r="F5" s="2282"/>
      <c r="G5" s="2282"/>
      <c r="H5" s="2282"/>
      <c r="I5" s="2282"/>
      <c r="J5" s="2282"/>
      <c r="K5" s="2282"/>
      <c r="L5" s="2282"/>
      <c r="M5" s="2282"/>
      <c r="N5" s="2282"/>
      <c r="O5" s="3110"/>
      <c r="P5" s="2968" t="s">
        <v>10</v>
      </c>
      <c r="Q5" s="2282"/>
      <c r="R5" s="2282"/>
      <c r="S5" s="2282"/>
      <c r="T5" s="2282"/>
      <c r="U5" s="2282"/>
      <c r="V5" s="2282"/>
      <c r="W5" s="2282"/>
      <c r="X5" s="2282"/>
      <c r="Y5" s="2282"/>
      <c r="Z5" s="2282"/>
      <c r="AA5" s="2282"/>
      <c r="AB5" s="2282"/>
      <c r="AC5" s="2282"/>
      <c r="AD5" s="2282"/>
      <c r="AE5" s="2282"/>
      <c r="AF5" s="2282"/>
      <c r="AG5" s="2282"/>
      <c r="AH5" s="2282"/>
      <c r="AI5" s="2282"/>
      <c r="AJ5" s="2282"/>
      <c r="AK5" s="2282"/>
      <c r="AL5" s="2282"/>
      <c r="AM5" s="2282"/>
      <c r="AN5" s="2282"/>
      <c r="AO5" s="2282"/>
      <c r="AP5" s="2282"/>
      <c r="AQ5" s="3110"/>
    </row>
    <row r="6" spans="1:43" s="131" customFormat="1" ht="15">
      <c r="A6" s="2287"/>
      <c r="B6" s="2284"/>
      <c r="C6" s="2284"/>
      <c r="D6" s="2284"/>
      <c r="E6" s="2284"/>
      <c r="F6" s="2284"/>
      <c r="G6" s="2284"/>
      <c r="H6" s="2284"/>
      <c r="I6" s="2284"/>
      <c r="J6" s="2284"/>
      <c r="K6" s="2284"/>
      <c r="L6" s="2284"/>
      <c r="M6" s="2284"/>
      <c r="N6" s="2284"/>
      <c r="O6" s="2288"/>
      <c r="P6" s="3306"/>
      <c r="Q6" s="2344"/>
      <c r="R6" s="2344"/>
      <c r="S6" s="2344"/>
      <c r="T6" s="2344"/>
      <c r="U6" s="2344"/>
      <c r="V6" s="2344"/>
      <c r="W6" s="2344"/>
      <c r="X6" s="2344"/>
      <c r="Y6" s="2344"/>
      <c r="Z6" s="2344"/>
      <c r="AA6" s="2344"/>
      <c r="AB6" s="2344"/>
      <c r="AC6" s="2344"/>
      <c r="AD6" s="2344"/>
      <c r="AE6" s="2344"/>
      <c r="AF6" s="2344"/>
      <c r="AG6" s="2344"/>
      <c r="AH6" s="2344"/>
      <c r="AI6" s="2344"/>
      <c r="AJ6" s="2344"/>
      <c r="AK6" s="2344"/>
      <c r="AL6" s="2344"/>
      <c r="AM6" s="2344"/>
      <c r="AN6" s="2344"/>
      <c r="AO6" s="2344"/>
      <c r="AP6" s="2344"/>
      <c r="AQ6" s="3496"/>
    </row>
    <row r="7" spans="1:43" ht="15.75">
      <c r="A7" s="2358" t="s">
        <v>12</v>
      </c>
      <c r="B7" s="2358" t="s">
        <v>13</v>
      </c>
      <c r="C7" s="2358"/>
      <c r="D7" s="2358" t="s">
        <v>12</v>
      </c>
      <c r="E7" s="2358" t="s">
        <v>14</v>
      </c>
      <c r="F7" s="2358"/>
      <c r="G7" s="2358" t="s">
        <v>12</v>
      </c>
      <c r="H7" s="2358" t="s">
        <v>15</v>
      </c>
      <c r="I7" s="2358"/>
      <c r="J7" s="2358" t="s">
        <v>12</v>
      </c>
      <c r="K7" s="2358" t="s">
        <v>16</v>
      </c>
      <c r="L7" s="2358" t="s">
        <v>17</v>
      </c>
      <c r="M7" s="2364" t="s">
        <v>18</v>
      </c>
      <c r="N7" s="2358" t="s">
        <v>19</v>
      </c>
      <c r="O7" s="2271" t="s">
        <v>185</v>
      </c>
      <c r="P7" s="2358" t="s">
        <v>10</v>
      </c>
      <c r="Q7" s="2358" t="s">
        <v>21</v>
      </c>
      <c r="R7" s="2358" t="s">
        <v>22</v>
      </c>
      <c r="S7" s="2358" t="s">
        <v>23</v>
      </c>
      <c r="T7" s="2358" t="s">
        <v>24</v>
      </c>
      <c r="U7" s="2358" t="s">
        <v>25</v>
      </c>
      <c r="V7" s="2364" t="s">
        <v>22</v>
      </c>
      <c r="W7" s="2271" t="s">
        <v>12</v>
      </c>
      <c r="X7" s="2358" t="s">
        <v>26</v>
      </c>
      <c r="Y7" s="2366" t="s">
        <v>27</v>
      </c>
      <c r="Z7" s="2367"/>
      <c r="AA7" s="2359" t="s">
        <v>28</v>
      </c>
      <c r="AB7" s="2360"/>
      <c r="AC7" s="2360"/>
      <c r="AD7" s="2360"/>
      <c r="AE7" s="2368" t="s">
        <v>29</v>
      </c>
      <c r="AF7" s="2369"/>
      <c r="AG7" s="2369"/>
      <c r="AH7" s="2369"/>
      <c r="AI7" s="2369"/>
      <c r="AJ7" s="2369"/>
      <c r="AK7" s="2359" t="s">
        <v>30</v>
      </c>
      <c r="AL7" s="2360"/>
      <c r="AM7" s="2360"/>
      <c r="AN7" s="3017" t="s">
        <v>31</v>
      </c>
      <c r="AO7" s="3013" t="s">
        <v>32</v>
      </c>
      <c r="AP7" s="3013" t="s">
        <v>33</v>
      </c>
      <c r="AQ7" s="3497" t="s">
        <v>34</v>
      </c>
    </row>
    <row r="8" spans="1:43" ht="123.75">
      <c r="A8" s="2358"/>
      <c r="B8" s="2358"/>
      <c r="C8" s="2358"/>
      <c r="D8" s="2358"/>
      <c r="E8" s="2358"/>
      <c r="F8" s="2358"/>
      <c r="G8" s="2358"/>
      <c r="H8" s="2358"/>
      <c r="I8" s="2358"/>
      <c r="J8" s="2358"/>
      <c r="K8" s="2358"/>
      <c r="L8" s="2358"/>
      <c r="M8" s="3317"/>
      <c r="N8" s="2358"/>
      <c r="O8" s="2272"/>
      <c r="P8" s="2358"/>
      <c r="Q8" s="2358"/>
      <c r="R8" s="2358"/>
      <c r="S8" s="2358"/>
      <c r="T8" s="2358"/>
      <c r="U8" s="2358"/>
      <c r="V8" s="2365"/>
      <c r="W8" s="2272"/>
      <c r="X8" s="2358"/>
      <c r="Y8" s="1653" t="s">
        <v>35</v>
      </c>
      <c r="Z8" s="1654" t="s">
        <v>36</v>
      </c>
      <c r="AA8" s="1653" t="s">
        <v>37</v>
      </c>
      <c r="AB8" s="1653" t="s">
        <v>137</v>
      </c>
      <c r="AC8" s="1653" t="s">
        <v>138</v>
      </c>
      <c r="AD8" s="1653" t="s">
        <v>139</v>
      </c>
      <c r="AE8" s="1653" t="s">
        <v>41</v>
      </c>
      <c r="AF8" s="1653" t="s">
        <v>42</v>
      </c>
      <c r="AG8" s="1653" t="s">
        <v>43</v>
      </c>
      <c r="AH8" s="1653" t="s">
        <v>44</v>
      </c>
      <c r="AI8" s="1653" t="s">
        <v>45</v>
      </c>
      <c r="AJ8" s="1653" t="s">
        <v>46</v>
      </c>
      <c r="AK8" s="1653" t="s">
        <v>47</v>
      </c>
      <c r="AL8" s="1653" t="s">
        <v>48</v>
      </c>
      <c r="AM8" s="1653" t="s">
        <v>49</v>
      </c>
      <c r="AN8" s="3018"/>
      <c r="AO8" s="3014"/>
      <c r="AP8" s="3014"/>
      <c r="AQ8" s="3497"/>
    </row>
    <row r="9" spans="1:43" ht="15.75">
      <c r="A9" s="1655">
        <v>2</v>
      </c>
      <c r="B9" s="3500" t="s">
        <v>230</v>
      </c>
      <c r="C9" s="3501"/>
      <c r="D9" s="3502"/>
      <c r="E9" s="3502"/>
      <c r="F9" s="3502"/>
      <c r="G9" s="1656"/>
      <c r="H9" s="1656"/>
      <c r="I9" s="1656"/>
      <c r="J9" s="1656"/>
      <c r="K9" s="1656"/>
      <c r="L9" s="1656"/>
      <c r="M9" s="1656"/>
      <c r="N9" s="1656"/>
      <c r="O9" s="1657"/>
      <c r="P9" s="1656"/>
      <c r="Q9" s="1656"/>
      <c r="R9" s="1656"/>
      <c r="S9" s="1656"/>
      <c r="T9" s="1656"/>
      <c r="U9" s="1656"/>
      <c r="V9" s="1656"/>
      <c r="W9" s="1656"/>
      <c r="X9" s="1656"/>
      <c r="Y9" s="1656"/>
      <c r="Z9" s="1656"/>
      <c r="AA9" s="1656"/>
      <c r="AB9" s="1656"/>
      <c r="AC9" s="1656"/>
      <c r="AD9" s="1656"/>
      <c r="AE9" s="1656"/>
      <c r="AF9" s="1656"/>
      <c r="AG9" s="1656"/>
      <c r="AH9" s="1656"/>
      <c r="AI9" s="1656"/>
      <c r="AJ9" s="1656"/>
      <c r="AK9" s="1656"/>
      <c r="AL9" s="1656"/>
      <c r="AM9" s="1658"/>
      <c r="AN9" s="1658"/>
      <c r="AO9" s="1656"/>
      <c r="AP9" s="1656"/>
      <c r="AQ9" s="1659"/>
    </row>
    <row r="10" spans="1:43" ht="15.75">
      <c r="A10" s="1660"/>
      <c r="B10" s="1661"/>
      <c r="C10" s="1662"/>
      <c r="D10" s="1663">
        <v>4</v>
      </c>
      <c r="E10" s="3498" t="s">
        <v>2113</v>
      </c>
      <c r="F10" s="3498"/>
      <c r="G10" s="3498"/>
      <c r="H10" s="3499"/>
      <c r="I10" s="3499"/>
      <c r="J10" s="1664"/>
      <c r="K10" s="1664"/>
      <c r="L10" s="1664"/>
      <c r="M10" s="1664"/>
      <c r="N10" s="1664"/>
      <c r="O10" s="1664"/>
      <c r="P10" s="1664"/>
      <c r="Q10" s="1664"/>
      <c r="R10" s="1664"/>
      <c r="S10" s="1664"/>
      <c r="T10" s="1664"/>
      <c r="U10" s="1664"/>
      <c r="V10" s="1664"/>
      <c r="W10" s="1664"/>
      <c r="X10" s="1664"/>
      <c r="Y10" s="1664"/>
      <c r="Z10" s="1664"/>
      <c r="AA10" s="1664"/>
      <c r="AB10" s="1664"/>
      <c r="AC10" s="1664"/>
      <c r="AD10" s="1664"/>
      <c r="AE10" s="1664"/>
      <c r="AF10" s="1664"/>
      <c r="AG10" s="1664"/>
      <c r="AH10" s="1664"/>
      <c r="AI10" s="1664"/>
      <c r="AJ10" s="1664"/>
      <c r="AK10" s="1664"/>
      <c r="AL10" s="1664"/>
      <c r="AM10" s="1664"/>
      <c r="AN10" s="1664"/>
      <c r="AO10" s="1664"/>
      <c r="AP10" s="1664"/>
      <c r="AQ10" s="1665"/>
    </row>
    <row r="11" spans="1:43" ht="15.75">
      <c r="A11" s="1666"/>
      <c r="B11" s="1667"/>
      <c r="C11" s="1667"/>
      <c r="D11" s="1667"/>
      <c r="E11" s="1666"/>
      <c r="F11" s="1666"/>
      <c r="G11" s="1668">
        <v>14</v>
      </c>
      <c r="H11" s="1669" t="s">
        <v>2114</v>
      </c>
      <c r="I11" s="387"/>
      <c r="J11" s="387"/>
      <c r="K11" s="387"/>
      <c r="L11" s="1670"/>
      <c r="M11" s="1670"/>
      <c r="N11" s="1670"/>
      <c r="O11" s="1670"/>
      <c r="P11" s="1670"/>
      <c r="Q11" s="1670"/>
      <c r="R11" s="1670"/>
      <c r="S11" s="1670"/>
      <c r="T11" s="1670"/>
      <c r="U11" s="1670"/>
      <c r="V11" s="1670"/>
      <c r="W11" s="1670"/>
      <c r="X11" s="1670"/>
      <c r="Y11" s="1670"/>
      <c r="Z11" s="1670"/>
      <c r="AA11" s="1670"/>
      <c r="AB11" s="1670"/>
      <c r="AC11" s="1670"/>
      <c r="AD11" s="1670"/>
      <c r="AE11" s="1670"/>
      <c r="AF11" s="1670"/>
      <c r="AG11" s="1670"/>
      <c r="AH11" s="1670"/>
      <c r="AI11" s="1670"/>
      <c r="AJ11" s="1670"/>
      <c r="AK11" s="1670"/>
      <c r="AL11" s="1670"/>
      <c r="AM11" s="1670"/>
      <c r="AN11" s="1670"/>
      <c r="AO11" s="1670"/>
      <c r="AP11" s="1670"/>
      <c r="AQ11" s="1671"/>
    </row>
    <row r="12" spans="1:43" ht="150">
      <c r="A12" s="1672"/>
      <c r="B12" s="1276"/>
      <c r="C12" s="1276"/>
      <c r="D12" s="1672"/>
      <c r="E12" s="1276"/>
      <c r="F12" s="1276"/>
      <c r="G12" s="1673"/>
      <c r="H12" s="2874"/>
      <c r="I12" s="2811"/>
      <c r="J12" s="1674">
        <v>54</v>
      </c>
      <c r="K12" s="1583" t="s">
        <v>2115</v>
      </c>
      <c r="L12" s="1583" t="s">
        <v>2116</v>
      </c>
      <c r="M12" s="1383">
        <v>130</v>
      </c>
      <c r="N12" s="1383" t="s">
        <v>2117</v>
      </c>
      <c r="O12" s="1383" t="s">
        <v>2118</v>
      </c>
      <c r="P12" s="1583" t="s">
        <v>2119</v>
      </c>
      <c r="Q12" s="1675">
        <f>+R12/$R$19</f>
        <v>0.09717022616428442</v>
      </c>
      <c r="R12" s="1676">
        <f>+V12</f>
        <v>240000000</v>
      </c>
      <c r="S12" s="1583" t="s">
        <v>2120</v>
      </c>
      <c r="T12" s="1583" t="s">
        <v>2121</v>
      </c>
      <c r="U12" s="1583" t="s">
        <v>2122</v>
      </c>
      <c r="V12" s="1677">
        <v>240000000</v>
      </c>
      <c r="W12" s="1678">
        <v>129</v>
      </c>
      <c r="X12" s="1679" t="s">
        <v>2123</v>
      </c>
      <c r="Y12" s="1680">
        <v>1382.4</v>
      </c>
      <c r="Z12" s="1680">
        <v>1317.6</v>
      </c>
      <c r="AA12" s="1680">
        <v>459</v>
      </c>
      <c r="AB12" s="1680">
        <v>248</v>
      </c>
      <c r="AC12" s="1680">
        <v>1615</v>
      </c>
      <c r="AD12" s="1680">
        <v>378</v>
      </c>
      <c r="AE12" s="1680"/>
      <c r="AF12" s="1680"/>
      <c r="AG12" s="1680"/>
      <c r="AH12" s="1680"/>
      <c r="AI12" s="1680"/>
      <c r="AJ12" s="1680"/>
      <c r="AK12" s="1680"/>
      <c r="AL12" s="1680"/>
      <c r="AM12" s="1680"/>
      <c r="AN12" s="1680">
        <f>+AA12+AB12+AC12+AD12</f>
        <v>2700</v>
      </c>
      <c r="AO12" s="1380">
        <v>43101</v>
      </c>
      <c r="AP12" s="1380">
        <v>43464</v>
      </c>
      <c r="AQ12" s="1680" t="s">
        <v>2124</v>
      </c>
    </row>
    <row r="13" spans="1:43" ht="15.75">
      <c r="A13" s="1666"/>
      <c r="B13" s="1667"/>
      <c r="C13" s="1667"/>
      <c r="D13" s="1667"/>
      <c r="E13" s="1666"/>
      <c r="F13" s="1666"/>
      <c r="G13" s="1681">
        <v>15</v>
      </c>
      <c r="H13" s="1669" t="s">
        <v>2125</v>
      </c>
      <c r="I13" s="387"/>
      <c r="J13" s="387"/>
      <c r="K13" s="387"/>
      <c r="L13" s="1670"/>
      <c r="M13" s="1671"/>
      <c r="N13" s="1682"/>
      <c r="O13" s="1682"/>
      <c r="P13" s="1682"/>
      <c r="Q13" s="1682"/>
      <c r="R13" s="1683"/>
      <c r="S13" s="1682"/>
      <c r="T13" s="1682"/>
      <c r="U13" s="1684"/>
      <c r="V13" s="1685"/>
      <c r="W13" s="1682"/>
      <c r="X13" s="1682"/>
      <c r="Y13" s="1682"/>
      <c r="Z13" s="1682"/>
      <c r="AA13" s="1682"/>
      <c r="AB13" s="1682"/>
      <c r="AC13" s="1682"/>
      <c r="AD13" s="1682"/>
      <c r="AE13" s="1682"/>
      <c r="AF13" s="1682"/>
      <c r="AG13" s="1682"/>
      <c r="AH13" s="1682"/>
      <c r="AI13" s="1682"/>
      <c r="AJ13" s="1682"/>
      <c r="AK13" s="1682"/>
      <c r="AL13" s="1682"/>
      <c r="AM13" s="1682"/>
      <c r="AN13" s="1682"/>
      <c r="AO13" s="1686"/>
      <c r="AP13" s="1686"/>
      <c r="AQ13" s="1682"/>
    </row>
    <row r="14" spans="1:43" ht="90">
      <c r="A14" s="1687"/>
      <c r="B14" s="1276"/>
      <c r="C14" s="1276"/>
      <c r="D14" s="1672"/>
      <c r="E14" s="1276"/>
      <c r="F14" s="1276"/>
      <c r="G14" s="3002"/>
      <c r="H14" s="2873"/>
      <c r="I14" s="2771"/>
      <c r="J14" s="414">
        <v>59</v>
      </c>
      <c r="K14" s="743" t="s">
        <v>2126</v>
      </c>
      <c r="L14" s="743" t="s">
        <v>2127</v>
      </c>
      <c r="M14" s="414">
        <v>12</v>
      </c>
      <c r="N14" s="414" t="s">
        <v>2117</v>
      </c>
      <c r="O14" s="2432" t="s">
        <v>2118</v>
      </c>
      <c r="P14" s="2441" t="s">
        <v>2119</v>
      </c>
      <c r="Q14" s="1675">
        <f>+R14/$R$19</f>
        <v>0.4858511308214221</v>
      </c>
      <c r="R14" s="1376">
        <f>+V14</f>
        <v>1200000000</v>
      </c>
      <c r="S14" s="2441" t="s">
        <v>2120</v>
      </c>
      <c r="T14" s="2441" t="s">
        <v>2128</v>
      </c>
      <c r="U14" s="743" t="s">
        <v>2129</v>
      </c>
      <c r="V14" s="1688">
        <v>1200000000</v>
      </c>
      <c r="W14" s="1678" t="s">
        <v>2130</v>
      </c>
      <c r="X14" s="1689" t="s">
        <v>2131</v>
      </c>
      <c r="Y14" s="3503">
        <f>+'[1]Hoja1'!$E$12</f>
        <v>2764.8</v>
      </c>
      <c r="Z14" s="3503">
        <f>+'[1]Hoja1'!$D$12</f>
        <v>2635.2</v>
      </c>
      <c r="AA14" s="3503">
        <f>+AA12</f>
        <v>459</v>
      </c>
      <c r="AB14" s="3503">
        <f>+AB12</f>
        <v>248</v>
      </c>
      <c r="AC14" s="3503">
        <f>+AC12</f>
        <v>1615</v>
      </c>
      <c r="AD14" s="3503">
        <f>+AD12</f>
        <v>378</v>
      </c>
      <c r="AE14" s="3503"/>
      <c r="AF14" s="3503"/>
      <c r="AG14" s="3503"/>
      <c r="AH14" s="3503"/>
      <c r="AI14" s="3503"/>
      <c r="AJ14" s="3503"/>
      <c r="AK14" s="3503"/>
      <c r="AL14" s="3503"/>
      <c r="AM14" s="3503"/>
      <c r="AN14" s="3503">
        <f>+AA14+AB14+AC14+AD14</f>
        <v>2700</v>
      </c>
      <c r="AO14" s="3506">
        <v>43101</v>
      </c>
      <c r="AP14" s="3506">
        <v>43464</v>
      </c>
      <c r="AQ14" s="3510" t="s">
        <v>2124</v>
      </c>
    </row>
    <row r="15" spans="1:43" ht="90">
      <c r="A15" s="1687"/>
      <c r="B15" s="1276"/>
      <c r="C15" s="1276"/>
      <c r="D15" s="1672"/>
      <c r="E15" s="1276"/>
      <c r="F15" s="1276"/>
      <c r="G15" s="3505"/>
      <c r="H15" s="2827"/>
      <c r="I15" s="2772"/>
      <c r="J15" s="414">
        <v>57</v>
      </c>
      <c r="K15" s="743" t="s">
        <v>2132</v>
      </c>
      <c r="L15" s="743" t="s">
        <v>2133</v>
      </c>
      <c r="M15" s="414">
        <v>12</v>
      </c>
      <c r="N15" s="414" t="s">
        <v>2117</v>
      </c>
      <c r="O15" s="2432"/>
      <c r="P15" s="2442"/>
      <c r="Q15" s="1675">
        <f>+R15/$R$19</f>
        <v>0.12146278270535553</v>
      </c>
      <c r="R15" s="1376">
        <f>+V15</f>
        <v>300000000</v>
      </c>
      <c r="S15" s="2442"/>
      <c r="T15" s="2442"/>
      <c r="U15" s="743" t="s">
        <v>2134</v>
      </c>
      <c r="V15" s="1688">
        <v>300000000</v>
      </c>
      <c r="W15" s="1678" t="s">
        <v>2130</v>
      </c>
      <c r="X15" s="1689" t="s">
        <v>2131</v>
      </c>
      <c r="Y15" s="3504"/>
      <c r="Z15" s="3504"/>
      <c r="AA15" s="3504"/>
      <c r="AB15" s="3504"/>
      <c r="AC15" s="3504"/>
      <c r="AD15" s="3504"/>
      <c r="AE15" s="3504"/>
      <c r="AF15" s="3504"/>
      <c r="AG15" s="3504"/>
      <c r="AH15" s="3504"/>
      <c r="AI15" s="3504"/>
      <c r="AJ15" s="3504"/>
      <c r="AK15" s="3504"/>
      <c r="AL15" s="3504"/>
      <c r="AM15" s="3504"/>
      <c r="AN15" s="3504"/>
      <c r="AO15" s="3507"/>
      <c r="AP15" s="3507">
        <v>43464</v>
      </c>
      <c r="AQ15" s="3511"/>
    </row>
    <row r="16" spans="1:43" ht="105">
      <c r="A16" s="1687"/>
      <c r="B16" s="403"/>
      <c r="C16" s="403"/>
      <c r="D16" s="1687"/>
      <c r="E16" s="1690"/>
      <c r="F16" s="1690"/>
      <c r="G16" s="3505"/>
      <c r="H16" s="2827"/>
      <c r="I16" s="2772"/>
      <c r="J16" s="414">
        <v>60</v>
      </c>
      <c r="K16" s="743" t="s">
        <v>2135</v>
      </c>
      <c r="L16" s="743" t="s">
        <v>2136</v>
      </c>
      <c r="M16" s="414">
        <v>12</v>
      </c>
      <c r="N16" s="414" t="s">
        <v>2117</v>
      </c>
      <c r="O16" s="2432"/>
      <c r="P16" s="2442"/>
      <c r="Q16" s="1675">
        <f>+R16/$R$19</f>
        <v>0.17719086615680413</v>
      </c>
      <c r="R16" s="1376">
        <f>+V16</f>
        <v>437642368</v>
      </c>
      <c r="S16" s="2442"/>
      <c r="T16" s="2442"/>
      <c r="U16" s="743" t="s">
        <v>2137</v>
      </c>
      <c r="V16" s="1691">
        <f>388000000+49642368</f>
        <v>437642368</v>
      </c>
      <c r="W16" s="1692" t="s">
        <v>2138</v>
      </c>
      <c r="X16" s="1693" t="s">
        <v>2123</v>
      </c>
      <c r="Y16" s="3504"/>
      <c r="Z16" s="3504"/>
      <c r="AA16" s="3504"/>
      <c r="AB16" s="3504"/>
      <c r="AC16" s="3504"/>
      <c r="AD16" s="3504"/>
      <c r="AE16" s="3504"/>
      <c r="AF16" s="3504"/>
      <c r="AG16" s="3504"/>
      <c r="AH16" s="3504"/>
      <c r="AI16" s="3504"/>
      <c r="AJ16" s="3504"/>
      <c r="AK16" s="3504"/>
      <c r="AL16" s="3504"/>
      <c r="AM16" s="3504"/>
      <c r="AN16" s="3504"/>
      <c r="AO16" s="3507"/>
      <c r="AP16" s="3507">
        <v>43464</v>
      </c>
      <c r="AQ16" s="3511"/>
    </row>
    <row r="17" spans="1:43" ht="47.25" customHeight="1">
      <c r="A17" s="1687"/>
      <c r="B17" s="403"/>
      <c r="C17" s="403"/>
      <c r="D17" s="1687"/>
      <c r="E17" s="1690"/>
      <c r="F17" s="1690"/>
      <c r="G17" s="3505"/>
      <c r="H17" s="2827"/>
      <c r="I17" s="2772"/>
      <c r="J17" s="2443">
        <v>63</v>
      </c>
      <c r="K17" s="2441" t="s">
        <v>2139</v>
      </c>
      <c r="L17" s="2441" t="s">
        <v>2140</v>
      </c>
      <c r="M17" s="2443">
        <v>250</v>
      </c>
      <c r="N17" s="2443" t="s">
        <v>2117</v>
      </c>
      <c r="O17" s="2432"/>
      <c r="P17" s="2442"/>
      <c r="Q17" s="3512">
        <f>+R17/$R$19</f>
        <v>0.11832499415213384</v>
      </c>
      <c r="R17" s="2861">
        <f>+V17+V18</f>
        <v>292250000</v>
      </c>
      <c r="S17" s="2442"/>
      <c r="T17" s="2442"/>
      <c r="U17" s="2441" t="s">
        <v>2141</v>
      </c>
      <c r="V17" s="1688">
        <v>152250000</v>
      </c>
      <c r="W17" s="1678" t="s">
        <v>2130</v>
      </c>
      <c r="X17" s="1689" t="s">
        <v>2131</v>
      </c>
      <c r="Y17" s="3504"/>
      <c r="Z17" s="3504"/>
      <c r="AA17" s="3504"/>
      <c r="AB17" s="3504"/>
      <c r="AC17" s="3504"/>
      <c r="AD17" s="3504"/>
      <c r="AE17" s="3504"/>
      <c r="AF17" s="3504"/>
      <c r="AG17" s="3504"/>
      <c r="AH17" s="3504"/>
      <c r="AI17" s="3504"/>
      <c r="AJ17" s="3504"/>
      <c r="AK17" s="3504"/>
      <c r="AL17" s="3504"/>
      <c r="AM17" s="3504"/>
      <c r="AN17" s="3504"/>
      <c r="AO17" s="3507"/>
      <c r="AP17" s="3507">
        <v>43464</v>
      </c>
      <c r="AQ17" s="3511"/>
    </row>
    <row r="18" spans="1:43" ht="47.25" customHeight="1" thickBot="1">
      <c r="A18" s="1687"/>
      <c r="B18" s="403"/>
      <c r="C18" s="403"/>
      <c r="D18" s="1687"/>
      <c r="E18" s="1690"/>
      <c r="F18" s="1690"/>
      <c r="G18" s="3505"/>
      <c r="H18" s="2827"/>
      <c r="I18" s="2772"/>
      <c r="J18" s="2444"/>
      <c r="K18" s="2442"/>
      <c r="L18" s="2442"/>
      <c r="M18" s="2444"/>
      <c r="N18" s="2444"/>
      <c r="O18" s="2443"/>
      <c r="P18" s="2442"/>
      <c r="Q18" s="3513"/>
      <c r="R18" s="2862"/>
      <c r="S18" s="2442"/>
      <c r="T18" s="2442"/>
      <c r="U18" s="2442"/>
      <c r="V18" s="1694">
        <v>140000000</v>
      </c>
      <c r="W18" s="1692" t="s">
        <v>2138</v>
      </c>
      <c r="X18" s="1693" t="s">
        <v>2123</v>
      </c>
      <c r="Y18" s="3504"/>
      <c r="Z18" s="3504"/>
      <c r="AA18" s="3504"/>
      <c r="AB18" s="3504"/>
      <c r="AC18" s="3504"/>
      <c r="AD18" s="3504"/>
      <c r="AE18" s="3504"/>
      <c r="AF18" s="3504"/>
      <c r="AG18" s="3504"/>
      <c r="AH18" s="3504"/>
      <c r="AI18" s="3504"/>
      <c r="AJ18" s="3504"/>
      <c r="AK18" s="3504"/>
      <c r="AL18" s="3504"/>
      <c r="AM18" s="3504"/>
      <c r="AN18" s="3504"/>
      <c r="AO18" s="3507"/>
      <c r="AP18" s="3507">
        <v>43464</v>
      </c>
      <c r="AQ18" s="3511"/>
    </row>
    <row r="19" spans="1:43" ht="26.25" customHeight="1" thickBot="1">
      <c r="A19" s="3508"/>
      <c r="B19" s="3509"/>
      <c r="C19" s="3509"/>
      <c r="D19" s="3509"/>
      <c r="E19" s="3509"/>
      <c r="F19" s="3509"/>
      <c r="G19" s="3509"/>
      <c r="H19" s="3509"/>
      <c r="I19" s="3509"/>
      <c r="J19" s="3509"/>
      <c r="K19" s="3509"/>
      <c r="L19" s="3509"/>
      <c r="M19" s="3509"/>
      <c r="N19" s="3509"/>
      <c r="O19" s="1695"/>
      <c r="P19" s="1696" t="s">
        <v>31</v>
      </c>
      <c r="Q19" s="1697"/>
      <c r="R19" s="1698">
        <f>SUM(R12:R18)</f>
        <v>2469892368</v>
      </c>
      <c r="S19" s="1699"/>
      <c r="T19" s="1700"/>
      <c r="U19" s="1701"/>
      <c r="V19" s="1702">
        <f>SUM(V12:V18)</f>
        <v>2469892368</v>
      </c>
      <c r="W19" s="1703"/>
      <c r="X19" s="1704"/>
      <c r="Y19" s="1704"/>
      <c r="Z19" s="1704"/>
      <c r="AA19" s="1704"/>
      <c r="AB19" s="1704"/>
      <c r="AC19" s="1704"/>
      <c r="AD19" s="1704"/>
      <c r="AE19" s="1704"/>
      <c r="AF19" s="1704"/>
      <c r="AG19" s="1704"/>
      <c r="AH19" s="1704"/>
      <c r="AI19" s="1704"/>
      <c r="AJ19" s="1704"/>
      <c r="AK19" s="1704"/>
      <c r="AL19" s="1704"/>
      <c r="AM19" s="1705"/>
      <c r="AN19" s="1706"/>
      <c r="AO19" s="1707"/>
      <c r="AP19" s="1707"/>
      <c r="AQ19" s="1708"/>
    </row>
    <row r="20" spans="1:40" ht="15.75">
      <c r="A20" s="337"/>
      <c r="B20" s="337"/>
      <c r="C20" s="337"/>
      <c r="D20" s="337"/>
      <c r="E20" s="355"/>
      <c r="F20" s="337"/>
      <c r="G20" s="355"/>
      <c r="H20" s="337"/>
      <c r="I20" s="337"/>
      <c r="J20" s="337"/>
      <c r="K20" s="337"/>
      <c r="L20" s="337"/>
      <c r="M20" s="337"/>
      <c r="N20" s="1360"/>
      <c r="O20" s="337"/>
      <c r="P20" s="337"/>
      <c r="Q20" s="337"/>
      <c r="R20" s="465"/>
      <c r="S20" s="465"/>
      <c r="T20" s="465"/>
      <c r="U20" s="465"/>
      <c r="V20" s="465"/>
      <c r="W20" s="337"/>
      <c r="X20" s="337"/>
      <c r="Y20" s="337"/>
      <c r="Z20" s="337"/>
      <c r="AA20" s="337"/>
      <c r="AB20" s="337"/>
      <c r="AC20" s="337"/>
      <c r="AD20" s="337"/>
      <c r="AE20" s="337"/>
      <c r="AF20" s="337"/>
      <c r="AG20" s="337"/>
      <c r="AH20" s="337"/>
      <c r="AI20" s="337"/>
      <c r="AJ20" s="337"/>
      <c r="AK20" s="337"/>
      <c r="AL20" s="337"/>
      <c r="AM20" s="464"/>
      <c r="AN20" s="1709"/>
    </row>
    <row r="21" spans="1:40" ht="15.75">
      <c r="A21" s="337"/>
      <c r="B21" s="337"/>
      <c r="C21" s="337"/>
      <c r="D21" s="337"/>
      <c r="E21" s="355"/>
      <c r="F21" s="337"/>
      <c r="G21" s="355"/>
      <c r="H21" s="337"/>
      <c r="I21" s="337"/>
      <c r="J21" s="337"/>
      <c r="K21" s="337"/>
      <c r="L21" s="337"/>
      <c r="M21" s="337"/>
      <c r="N21" s="1360"/>
      <c r="O21" s="337"/>
      <c r="P21" s="337"/>
      <c r="Q21" s="337"/>
      <c r="R21" s="465"/>
      <c r="S21" s="465"/>
      <c r="T21" s="465"/>
      <c r="U21" s="465"/>
      <c r="V21" s="465"/>
      <c r="W21" s="337"/>
      <c r="X21" s="337"/>
      <c r="Y21" s="337"/>
      <c r="Z21" s="337"/>
      <c r="AA21" s="337"/>
      <c r="AB21" s="337"/>
      <c r="AC21" s="337"/>
      <c r="AD21" s="337"/>
      <c r="AE21" s="337"/>
      <c r="AF21" s="337"/>
      <c r="AG21" s="337"/>
      <c r="AH21" s="337"/>
      <c r="AI21" s="337"/>
      <c r="AJ21" s="337"/>
      <c r="AK21" s="337"/>
      <c r="AL21" s="337"/>
      <c r="AM21" s="464"/>
      <c r="AN21" s="1709"/>
    </row>
    <row r="22" spans="1:40" ht="15.75">
      <c r="A22" s="337"/>
      <c r="B22" s="337"/>
      <c r="C22" s="337"/>
      <c r="D22" s="337"/>
      <c r="E22" s="355"/>
      <c r="F22" s="337"/>
      <c r="G22" s="355"/>
      <c r="H22" s="337"/>
      <c r="I22" s="337"/>
      <c r="J22" s="337"/>
      <c r="K22" s="337"/>
      <c r="L22" s="337"/>
      <c r="M22" s="337"/>
      <c r="N22" s="1360"/>
      <c r="O22" s="337"/>
      <c r="P22" s="337"/>
      <c r="Q22" s="337"/>
      <c r="R22" s="465"/>
      <c r="S22" s="465"/>
      <c r="T22" s="465"/>
      <c r="U22" s="465"/>
      <c r="V22" s="465"/>
      <c r="W22" s="337"/>
      <c r="X22" s="337"/>
      <c r="Y22" s="337"/>
      <c r="Z22" s="337"/>
      <c r="AA22" s="337"/>
      <c r="AB22" s="337"/>
      <c r="AC22" s="337"/>
      <c r="AD22" s="337"/>
      <c r="AE22" s="337"/>
      <c r="AF22" s="337"/>
      <c r="AG22" s="337"/>
      <c r="AH22" s="337"/>
      <c r="AI22" s="337"/>
      <c r="AJ22" s="337"/>
      <c r="AK22" s="337"/>
      <c r="AL22" s="337"/>
      <c r="AM22" s="464"/>
      <c r="AN22" s="1709"/>
    </row>
    <row r="23" spans="1:40" ht="15.75">
      <c r="A23" s="337"/>
      <c r="B23" s="337"/>
      <c r="C23" s="337"/>
      <c r="D23" s="337"/>
      <c r="E23" s="355"/>
      <c r="F23" s="337"/>
      <c r="G23" s="355"/>
      <c r="H23" s="337"/>
      <c r="I23" s="337"/>
      <c r="J23" s="337"/>
      <c r="K23" s="337"/>
      <c r="L23" s="337"/>
      <c r="M23" s="337"/>
      <c r="N23" s="1360"/>
      <c r="O23" s="337"/>
      <c r="P23" s="337"/>
      <c r="Q23" s="337"/>
      <c r="R23" s="465"/>
      <c r="S23" s="465"/>
      <c r="T23" s="465"/>
      <c r="U23" s="465"/>
      <c r="V23" s="465"/>
      <c r="W23" s="337"/>
      <c r="X23" s="337"/>
      <c r="Y23" s="337"/>
      <c r="Z23" s="337"/>
      <c r="AA23" s="337"/>
      <c r="AB23" s="337"/>
      <c r="AC23" s="337"/>
      <c r="AD23" s="337"/>
      <c r="AE23" s="337"/>
      <c r="AF23" s="337"/>
      <c r="AG23" s="337"/>
      <c r="AH23" s="337"/>
      <c r="AI23" s="337"/>
      <c r="AJ23" s="337"/>
      <c r="AK23" s="337"/>
      <c r="AL23" s="337"/>
      <c r="AM23" s="464"/>
      <c r="AN23" s="1709"/>
    </row>
    <row r="24" spans="1:40" ht="15.75">
      <c r="A24" s="337"/>
      <c r="B24" s="337"/>
      <c r="C24" s="337"/>
      <c r="D24" s="337"/>
      <c r="E24" s="355"/>
      <c r="F24" s="337"/>
      <c r="G24" s="355"/>
      <c r="H24" s="337"/>
      <c r="I24" s="337"/>
      <c r="J24" s="337"/>
      <c r="K24" s="337"/>
      <c r="L24" s="337"/>
      <c r="M24" s="337"/>
      <c r="N24" s="1360"/>
      <c r="O24" s="337"/>
      <c r="P24" s="337"/>
      <c r="Q24" s="337"/>
      <c r="R24" s="465"/>
      <c r="S24" s="465"/>
      <c r="T24" s="465"/>
      <c r="U24" s="465"/>
      <c r="V24" s="465"/>
      <c r="W24" s="337"/>
      <c r="X24" s="337"/>
      <c r="Y24" s="337"/>
      <c r="Z24" s="337"/>
      <c r="AA24" s="337"/>
      <c r="AB24" s="337"/>
      <c r="AC24" s="337"/>
      <c r="AD24" s="337"/>
      <c r="AE24" s="337"/>
      <c r="AF24" s="337"/>
      <c r="AG24" s="337"/>
      <c r="AH24" s="337"/>
      <c r="AI24" s="337"/>
      <c r="AJ24" s="337"/>
      <c r="AK24" s="337"/>
      <c r="AL24" s="337"/>
      <c r="AM24" s="464"/>
      <c r="AN24" s="1709"/>
    </row>
    <row r="25" spans="1:40" ht="15.75">
      <c r="A25" s="337"/>
      <c r="B25" s="337"/>
      <c r="C25" s="337"/>
      <c r="D25" s="337"/>
      <c r="E25" s="355"/>
      <c r="F25" s="337"/>
      <c r="G25" s="355"/>
      <c r="H25" s="337"/>
      <c r="I25" s="337"/>
      <c r="J25" s="337"/>
      <c r="K25" s="337"/>
      <c r="L25" s="337"/>
      <c r="M25" s="337"/>
      <c r="N25" s="1360"/>
      <c r="O25" s="337"/>
      <c r="P25" s="337"/>
      <c r="Q25" s="337"/>
      <c r="R25" s="465"/>
      <c r="S25" s="465"/>
      <c r="T25" s="465"/>
      <c r="U25" s="465"/>
      <c r="V25" s="465"/>
      <c r="W25" s="337"/>
      <c r="X25" s="337"/>
      <c r="Y25" s="337"/>
      <c r="Z25" s="337"/>
      <c r="AA25" s="337"/>
      <c r="AB25" s="337"/>
      <c r="AC25" s="337"/>
      <c r="AD25" s="337"/>
      <c r="AE25" s="337"/>
      <c r="AF25" s="337"/>
      <c r="AG25" s="337"/>
      <c r="AH25" s="337"/>
      <c r="AI25" s="337"/>
      <c r="AJ25" s="337"/>
      <c r="AK25" s="337"/>
      <c r="AL25" s="337"/>
      <c r="AM25" s="464"/>
      <c r="AN25" s="1709"/>
    </row>
    <row r="26" spans="1:40" ht="15.75">
      <c r="A26" s="337"/>
      <c r="B26" s="337"/>
      <c r="C26" s="337"/>
      <c r="D26" s="337"/>
      <c r="E26" s="355"/>
      <c r="F26" s="337"/>
      <c r="G26" s="355"/>
      <c r="H26" s="337"/>
      <c r="I26" s="337"/>
      <c r="J26" s="337"/>
      <c r="K26" s="337"/>
      <c r="L26" s="337"/>
      <c r="M26" s="337"/>
      <c r="N26" s="1360"/>
      <c r="O26" s="337"/>
      <c r="P26" s="337"/>
      <c r="Q26" s="337"/>
      <c r="R26" s="465"/>
      <c r="S26" s="465"/>
      <c r="T26" s="465"/>
      <c r="U26" s="465"/>
      <c r="V26" s="465"/>
      <c r="W26" s="337"/>
      <c r="X26" s="337"/>
      <c r="Y26" s="337"/>
      <c r="Z26" s="337"/>
      <c r="AA26" s="337"/>
      <c r="AB26" s="337"/>
      <c r="AC26" s="337"/>
      <c r="AD26" s="337"/>
      <c r="AE26" s="337"/>
      <c r="AF26" s="337"/>
      <c r="AG26" s="337"/>
      <c r="AH26" s="337"/>
      <c r="AI26" s="337"/>
      <c r="AJ26" s="337"/>
      <c r="AK26" s="337"/>
      <c r="AL26" s="337"/>
      <c r="AM26" s="464"/>
      <c r="AN26" s="1709"/>
    </row>
    <row r="27" spans="1:40" ht="15.75">
      <c r="A27" s="1710" t="s">
        <v>2142</v>
      </c>
      <c r="B27" s="1711"/>
      <c r="C27" s="337"/>
      <c r="D27" s="337"/>
      <c r="E27" s="355"/>
      <c r="F27" s="337"/>
      <c r="G27" s="355"/>
      <c r="H27" s="337"/>
      <c r="I27" s="337"/>
      <c r="J27" s="337"/>
      <c r="K27" s="337"/>
      <c r="L27" s="337"/>
      <c r="M27" s="337"/>
      <c r="N27" s="1360"/>
      <c r="O27" s="337"/>
      <c r="P27" s="337"/>
      <c r="Q27" s="337"/>
      <c r="R27" s="465"/>
      <c r="S27" s="465"/>
      <c r="T27" s="465"/>
      <c r="U27" s="465"/>
      <c r="V27" s="465"/>
      <c r="W27" s="337"/>
      <c r="X27" s="337"/>
      <c r="Y27" s="337"/>
      <c r="Z27" s="337"/>
      <c r="AA27" s="337"/>
      <c r="AB27" s="337"/>
      <c r="AC27" s="337"/>
      <c r="AD27" s="337"/>
      <c r="AE27" s="337"/>
      <c r="AF27" s="337"/>
      <c r="AG27" s="337"/>
      <c r="AH27" s="337"/>
      <c r="AI27" s="337"/>
      <c r="AJ27" s="337"/>
      <c r="AK27" s="337"/>
      <c r="AL27" s="337"/>
      <c r="AM27" s="464"/>
      <c r="AN27" s="1709"/>
    </row>
    <row r="28" spans="1:40" ht="15.75">
      <c r="A28" s="1710" t="s">
        <v>2143</v>
      </c>
      <c r="B28" s="1711"/>
      <c r="C28" s="337"/>
      <c r="D28" s="337"/>
      <c r="E28" s="355"/>
      <c r="F28" s="337"/>
      <c r="G28" s="355"/>
      <c r="H28" s="337"/>
      <c r="I28" s="337"/>
      <c r="J28" s="337"/>
      <c r="K28" s="337"/>
      <c r="L28" s="337"/>
      <c r="M28" s="337"/>
      <c r="N28" s="1360"/>
      <c r="O28" s="337"/>
      <c r="P28" s="337"/>
      <c r="Q28" s="337"/>
      <c r="R28" s="465"/>
      <c r="S28" s="465"/>
      <c r="T28" s="465"/>
      <c r="U28" s="465"/>
      <c r="V28" s="465"/>
      <c r="W28" s="337"/>
      <c r="X28" s="337"/>
      <c r="Y28" s="337"/>
      <c r="Z28" s="337"/>
      <c r="AA28" s="337"/>
      <c r="AB28" s="337"/>
      <c r="AC28" s="337"/>
      <c r="AD28" s="337"/>
      <c r="AE28" s="337"/>
      <c r="AF28" s="337"/>
      <c r="AG28" s="337"/>
      <c r="AH28" s="337"/>
      <c r="AI28" s="337"/>
      <c r="AJ28" s="337"/>
      <c r="AK28" s="337"/>
      <c r="AL28" s="337"/>
      <c r="AM28" s="464"/>
      <c r="AN28" s="1709"/>
    </row>
    <row r="29" spans="1:40" ht="15.75">
      <c r="A29" s="1711"/>
      <c r="B29" s="1711"/>
      <c r="C29" s="337"/>
      <c r="D29" s="337"/>
      <c r="E29" s="355"/>
      <c r="F29" s="337"/>
      <c r="G29" s="355"/>
      <c r="H29" s="337"/>
      <c r="I29" s="337"/>
      <c r="J29" s="337"/>
      <c r="K29" s="337"/>
      <c r="L29" s="337"/>
      <c r="M29" s="337"/>
      <c r="N29" s="1360"/>
      <c r="O29" s="337"/>
      <c r="P29" s="337"/>
      <c r="Q29" s="337"/>
      <c r="R29" s="465"/>
      <c r="S29" s="465"/>
      <c r="T29" s="465"/>
      <c r="U29" s="465"/>
      <c r="V29" s="465"/>
      <c r="W29" s="337"/>
      <c r="X29" s="337"/>
      <c r="Y29" s="337"/>
      <c r="Z29" s="337"/>
      <c r="AA29" s="337"/>
      <c r="AB29" s="337"/>
      <c r="AC29" s="337"/>
      <c r="AD29" s="337"/>
      <c r="AE29" s="337"/>
      <c r="AF29" s="337"/>
      <c r="AG29" s="337"/>
      <c r="AH29" s="337"/>
      <c r="AI29" s="337"/>
      <c r="AJ29" s="337"/>
      <c r="AK29" s="337"/>
      <c r="AL29" s="337"/>
      <c r="AM29" s="464"/>
      <c r="AN29" s="1709"/>
    </row>
    <row r="30" spans="1:40" ht="15.75">
      <c r="A30" s="1711"/>
      <c r="B30" s="1711"/>
      <c r="C30" s="337"/>
      <c r="D30" s="337"/>
      <c r="E30" s="355"/>
      <c r="F30" s="337"/>
      <c r="G30" s="355"/>
      <c r="H30" s="337"/>
      <c r="I30" s="337"/>
      <c r="J30" s="337"/>
      <c r="K30" s="337"/>
      <c r="L30" s="337"/>
      <c r="M30" s="337"/>
      <c r="N30" s="1360"/>
      <c r="O30" s="337"/>
      <c r="P30" s="337"/>
      <c r="Q30" s="337"/>
      <c r="R30" s="465"/>
      <c r="S30" s="465"/>
      <c r="T30" s="465"/>
      <c r="U30" s="465"/>
      <c r="V30" s="465"/>
      <c r="W30" s="337"/>
      <c r="X30" s="337"/>
      <c r="Y30" s="337"/>
      <c r="Z30" s="337"/>
      <c r="AA30" s="337"/>
      <c r="AB30" s="337"/>
      <c r="AC30" s="337"/>
      <c r="AD30" s="337"/>
      <c r="AE30" s="337"/>
      <c r="AF30" s="337"/>
      <c r="AG30" s="337"/>
      <c r="AH30" s="337"/>
      <c r="AI30" s="337"/>
      <c r="AJ30" s="337"/>
      <c r="AK30" s="337"/>
      <c r="AL30" s="337"/>
      <c r="AM30" s="464"/>
      <c r="AN30" s="1709"/>
    </row>
    <row r="31" spans="1:40" ht="15.75">
      <c r="A31" s="1712" t="s">
        <v>2144</v>
      </c>
      <c r="B31" s="1711"/>
      <c r="C31" s="337"/>
      <c r="D31" s="337"/>
      <c r="E31" s="355"/>
      <c r="F31" s="337"/>
      <c r="G31" s="355"/>
      <c r="H31" s="337"/>
      <c r="I31" s="337"/>
      <c r="J31" s="337"/>
      <c r="K31" s="337"/>
      <c r="L31" s="337"/>
      <c r="M31" s="337"/>
      <c r="N31" s="1360"/>
      <c r="O31" s="337"/>
      <c r="P31" s="337"/>
      <c r="Q31" s="337"/>
      <c r="R31" s="465"/>
      <c r="S31" s="465"/>
      <c r="T31" s="465"/>
      <c r="U31" s="465"/>
      <c r="V31" s="465"/>
      <c r="W31" s="337"/>
      <c r="X31" s="337"/>
      <c r="Y31" s="337"/>
      <c r="Z31" s="337"/>
      <c r="AA31" s="337"/>
      <c r="AB31" s="337"/>
      <c r="AC31" s="337"/>
      <c r="AD31" s="337"/>
      <c r="AE31" s="337"/>
      <c r="AF31" s="337"/>
      <c r="AG31" s="337"/>
      <c r="AH31" s="337"/>
      <c r="AI31" s="337"/>
      <c r="AJ31" s="337"/>
      <c r="AK31" s="337"/>
      <c r="AL31" s="337"/>
      <c r="AM31" s="464"/>
      <c r="AN31" s="1709"/>
    </row>
    <row r="32" spans="1:40" ht="15.75">
      <c r="A32" s="1712" t="s">
        <v>2145</v>
      </c>
      <c r="B32" s="1711"/>
      <c r="C32" s="337"/>
      <c r="D32" s="337"/>
      <c r="E32" s="355"/>
      <c r="F32" s="337"/>
      <c r="G32" s="355"/>
      <c r="H32" s="337"/>
      <c r="I32" s="337"/>
      <c r="J32" s="337"/>
      <c r="K32" s="337"/>
      <c r="L32" s="337"/>
      <c r="M32" s="337"/>
      <c r="N32" s="1360"/>
      <c r="O32" s="337"/>
      <c r="P32" s="337"/>
      <c r="Q32" s="337"/>
      <c r="R32" s="465"/>
      <c r="S32" s="465"/>
      <c r="T32" s="465"/>
      <c r="U32" s="465"/>
      <c r="V32" s="465"/>
      <c r="W32" s="337"/>
      <c r="X32" s="337"/>
      <c r="Y32" s="337"/>
      <c r="Z32" s="337"/>
      <c r="AA32" s="337"/>
      <c r="AB32" s="337"/>
      <c r="AC32" s="337"/>
      <c r="AD32" s="337"/>
      <c r="AE32" s="337"/>
      <c r="AF32" s="337"/>
      <c r="AG32" s="337"/>
      <c r="AH32" s="337"/>
      <c r="AI32" s="337"/>
      <c r="AJ32" s="337"/>
      <c r="AK32" s="337"/>
      <c r="AL32" s="337"/>
      <c r="AM32" s="464"/>
      <c r="AN32" s="1709"/>
    </row>
    <row r="33" spans="1:40" ht="15.75">
      <c r="A33" s="337"/>
      <c r="B33" s="337"/>
      <c r="C33" s="337"/>
      <c r="D33" s="337"/>
      <c r="E33" s="355"/>
      <c r="F33" s="337"/>
      <c r="G33" s="355"/>
      <c r="H33" s="337"/>
      <c r="I33" s="337"/>
      <c r="J33" s="337"/>
      <c r="K33" s="337"/>
      <c r="L33" s="337"/>
      <c r="M33" s="337"/>
      <c r="N33" s="1360"/>
      <c r="O33" s="337"/>
      <c r="P33" s="337"/>
      <c r="Q33" s="337"/>
      <c r="R33" s="465"/>
      <c r="S33" s="465"/>
      <c r="T33" s="465"/>
      <c r="U33" s="465"/>
      <c r="V33" s="465"/>
      <c r="W33" s="337"/>
      <c r="X33" s="337"/>
      <c r="Y33" s="337"/>
      <c r="Z33" s="337"/>
      <c r="AA33" s="337"/>
      <c r="AB33" s="337"/>
      <c r="AC33" s="337"/>
      <c r="AD33" s="337"/>
      <c r="AE33" s="337"/>
      <c r="AF33" s="337"/>
      <c r="AG33" s="337"/>
      <c r="AH33" s="337"/>
      <c r="AI33" s="337"/>
      <c r="AJ33" s="337"/>
      <c r="AK33" s="337"/>
      <c r="AL33" s="337"/>
      <c r="AM33" s="464"/>
      <c r="AN33" s="1709"/>
    </row>
  </sheetData>
  <sheetProtection password="CBEB" sheet="1" objects="1" scenarios="1"/>
  <mergeCells count="69">
    <mergeCell ref="A19:N19"/>
    <mergeCell ref="AP14:AP18"/>
    <mergeCell ref="AQ14:AQ18"/>
    <mergeCell ref="J17:J18"/>
    <mergeCell ref="K17:K18"/>
    <mergeCell ref="L17:L18"/>
    <mergeCell ref="M17:M18"/>
    <mergeCell ref="N17:N18"/>
    <mergeCell ref="Q17:Q18"/>
    <mergeCell ref="R17:R18"/>
    <mergeCell ref="U17:U18"/>
    <mergeCell ref="AJ14:AJ18"/>
    <mergeCell ref="AK14:AK18"/>
    <mergeCell ref="AL14:AL18"/>
    <mergeCell ref="AM14:AM18"/>
    <mergeCell ref="AN14:AN18"/>
    <mergeCell ref="AO14:AO18"/>
    <mergeCell ref="AD14:AD18"/>
    <mergeCell ref="AE14:AE18"/>
    <mergeCell ref="AF14:AF18"/>
    <mergeCell ref="AG14:AG18"/>
    <mergeCell ref="AH14:AH18"/>
    <mergeCell ref="AI14:AI18"/>
    <mergeCell ref="B9:F9"/>
    <mergeCell ref="AE7:AJ7"/>
    <mergeCell ref="AK7:AM7"/>
    <mergeCell ref="P7:P8"/>
    <mergeCell ref="AC14:AC18"/>
    <mergeCell ref="H12:I12"/>
    <mergeCell ref="G14:G18"/>
    <mergeCell ref="H14:I18"/>
    <mergeCell ref="O14:O18"/>
    <mergeCell ref="P14:P18"/>
    <mergeCell ref="S14:S18"/>
    <mergeCell ref="T14:T18"/>
    <mergeCell ref="Y14:Y18"/>
    <mergeCell ref="Z14:Z18"/>
    <mergeCell ref="AA14:AA18"/>
    <mergeCell ref="AB14:AB18"/>
    <mergeCell ref="E10:I10"/>
    <mergeCell ref="W7:W8"/>
    <mergeCell ref="X7:X8"/>
    <mergeCell ref="Y7:Z7"/>
    <mergeCell ref="AA7:AD7"/>
    <mergeCell ref="Q7:Q8"/>
    <mergeCell ref="R7:R8"/>
    <mergeCell ref="S7:S8"/>
    <mergeCell ref="T7:T8"/>
    <mergeCell ref="U7:U8"/>
    <mergeCell ref="V7:V8"/>
    <mergeCell ref="K7:K8"/>
    <mergeCell ref="L7:L8"/>
    <mergeCell ref="M7:M8"/>
    <mergeCell ref="N7:N8"/>
    <mergeCell ref="O7:O8"/>
    <mergeCell ref="A1:AO4"/>
    <mergeCell ref="A5:O6"/>
    <mergeCell ref="P5:AQ6"/>
    <mergeCell ref="A7:A8"/>
    <mergeCell ref="B7:C8"/>
    <mergeCell ref="D7:D8"/>
    <mergeCell ref="E7:F8"/>
    <mergeCell ref="G7:G8"/>
    <mergeCell ref="H7:I8"/>
    <mergeCell ref="J7:J8"/>
    <mergeCell ref="AN7:AN8"/>
    <mergeCell ref="AO7:AO8"/>
    <mergeCell ref="AP7:AP8"/>
    <mergeCell ref="AQ7:AQ8"/>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Q20"/>
  <sheetViews>
    <sheetView showGridLines="0" zoomScale="60" zoomScaleNormal="60" zoomScalePageLayoutView="0" workbookViewId="0" topLeftCell="H1">
      <selection activeCell="Z12" sqref="Z12:Z15"/>
    </sheetView>
  </sheetViews>
  <sheetFormatPr defaultColWidth="11.421875" defaultRowHeight="15"/>
  <cols>
    <col min="1" max="1" width="18.57421875" style="131" customWidth="1"/>
    <col min="2" max="2" width="9.57421875" style="131" customWidth="1"/>
    <col min="3" max="3" width="13.00390625" style="131" customWidth="1"/>
    <col min="4" max="4" width="16.00390625" style="131" customWidth="1"/>
    <col min="5" max="5" width="11.421875" style="131" customWidth="1"/>
    <col min="6" max="6" width="10.140625" style="131" customWidth="1"/>
    <col min="7" max="7" width="16.57421875" style="131" customWidth="1"/>
    <col min="8" max="8" width="11.421875" style="131" customWidth="1"/>
    <col min="9" max="9" width="2.8515625" style="131" customWidth="1"/>
    <col min="10" max="10" width="11.421875" style="131" customWidth="1"/>
    <col min="11" max="11" width="28.57421875" style="131" customWidth="1"/>
    <col min="12" max="12" width="19.00390625" style="131" customWidth="1"/>
    <col min="13" max="13" width="18.00390625" style="131" customWidth="1"/>
    <col min="14" max="14" width="21.28125" style="131" customWidth="1"/>
    <col min="15" max="15" width="12.7109375" style="131" customWidth="1"/>
    <col min="16" max="16" width="26.00390625" style="131" customWidth="1"/>
    <col min="17" max="17" width="14.140625" style="131" customWidth="1"/>
    <col min="18" max="18" width="26.57421875" style="131" customWidth="1"/>
    <col min="19" max="19" width="28.140625" style="131" customWidth="1"/>
    <col min="20" max="20" width="33.8515625" style="131" customWidth="1"/>
    <col min="21" max="21" width="34.140625" style="131" customWidth="1"/>
    <col min="22" max="22" width="27.00390625" style="131" customWidth="1"/>
    <col min="23" max="23" width="14.57421875" style="131" customWidth="1"/>
    <col min="24" max="24" width="16.28125" style="131" customWidth="1"/>
    <col min="25" max="40" width="11.421875" style="131" customWidth="1"/>
    <col min="41" max="41" width="14.8515625" style="131" customWidth="1"/>
    <col min="42" max="42" width="17.28125" style="131" customWidth="1"/>
    <col min="43" max="43" width="23.421875" style="131" customWidth="1"/>
    <col min="44" max="16384" width="11.421875" style="131" customWidth="1"/>
  </cols>
  <sheetData>
    <row r="1" spans="1:43" ht="15" customHeight="1">
      <c r="A1" s="2275" t="s">
        <v>2534</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488"/>
      <c r="AP1" s="1713" t="s">
        <v>1</v>
      </c>
      <c r="AQ1" s="1714" t="s">
        <v>2</v>
      </c>
    </row>
    <row r="2" spans="1:43" ht="1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489"/>
      <c r="AP2" s="243" t="s">
        <v>3</v>
      </c>
      <c r="AQ2" s="1715">
        <v>6</v>
      </c>
    </row>
    <row r="3" spans="1:43" ht="1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489"/>
      <c r="AP3" s="242" t="s">
        <v>5</v>
      </c>
      <c r="AQ3" s="1716" t="s">
        <v>6</v>
      </c>
    </row>
    <row r="4" spans="1:43" s="247" customFormat="1" ht="1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490"/>
      <c r="AP4" s="134" t="s">
        <v>7</v>
      </c>
      <c r="AQ4" s="1717" t="s">
        <v>184</v>
      </c>
    </row>
    <row r="5" spans="1:43" ht="15.75">
      <c r="A5" s="2281" t="s">
        <v>9</v>
      </c>
      <c r="B5" s="2282"/>
      <c r="C5" s="2282"/>
      <c r="D5" s="2282"/>
      <c r="E5" s="2282"/>
      <c r="F5" s="2282"/>
      <c r="G5" s="2282"/>
      <c r="H5" s="2282"/>
      <c r="I5" s="2282"/>
      <c r="J5" s="2282"/>
      <c r="K5" s="2282"/>
      <c r="L5" s="2282"/>
      <c r="M5" s="2282"/>
      <c r="N5" s="2282"/>
      <c r="O5" s="2282"/>
      <c r="P5" s="3110"/>
      <c r="Q5" s="2694" t="s">
        <v>10</v>
      </c>
      <c r="R5" s="2354"/>
      <c r="S5" s="2354"/>
      <c r="T5" s="2354"/>
      <c r="U5" s="2354"/>
      <c r="V5" s="2354"/>
      <c r="W5" s="2354"/>
      <c r="X5" s="2354"/>
      <c r="Y5" s="2354"/>
      <c r="Z5" s="2354"/>
      <c r="AA5" s="2354"/>
      <c r="AB5" s="2354"/>
      <c r="AC5" s="2354"/>
      <c r="AD5" s="2354"/>
      <c r="AE5" s="2354"/>
      <c r="AF5" s="2354"/>
      <c r="AG5" s="2354"/>
      <c r="AH5" s="2354"/>
      <c r="AI5" s="2354"/>
      <c r="AJ5" s="2354"/>
      <c r="AK5" s="2354"/>
      <c r="AL5" s="2354"/>
      <c r="AM5" s="2354"/>
      <c r="AN5" s="2354"/>
      <c r="AO5" s="2354"/>
      <c r="AP5" s="2354"/>
      <c r="AQ5" s="2356"/>
    </row>
    <row r="6" spans="1:43" ht="15.75">
      <c r="A6" s="2283"/>
      <c r="B6" s="2284"/>
      <c r="C6" s="2284"/>
      <c r="D6" s="2284"/>
      <c r="E6" s="2284"/>
      <c r="F6" s="2284"/>
      <c r="G6" s="2284"/>
      <c r="H6" s="2284"/>
      <c r="I6" s="2284"/>
      <c r="J6" s="2284"/>
      <c r="K6" s="2284"/>
      <c r="L6" s="2284"/>
      <c r="M6" s="2284"/>
      <c r="N6" s="2284"/>
      <c r="O6" s="2284"/>
      <c r="P6" s="2288"/>
      <c r="Q6" s="2694"/>
      <c r="R6" s="2354"/>
      <c r="S6" s="2354"/>
      <c r="T6" s="2354"/>
      <c r="U6" s="2354"/>
      <c r="V6" s="2354"/>
      <c r="W6" s="2354"/>
      <c r="X6" s="2354"/>
      <c r="Y6" s="2356"/>
      <c r="Z6" s="250"/>
      <c r="AA6" s="250"/>
      <c r="AB6" s="250"/>
      <c r="AC6" s="250"/>
      <c r="AD6" s="250"/>
      <c r="AE6" s="250"/>
      <c r="AF6" s="250"/>
      <c r="AG6" s="250"/>
      <c r="AH6" s="250"/>
      <c r="AI6" s="250"/>
      <c r="AJ6" s="250"/>
      <c r="AK6" s="250"/>
      <c r="AL6" s="250"/>
      <c r="AM6" s="250"/>
      <c r="AN6" s="250"/>
      <c r="AO6" s="250"/>
      <c r="AP6" s="2694"/>
      <c r="AQ6" s="2356"/>
    </row>
    <row r="7" spans="1:43" ht="15.75" customHeight="1">
      <c r="A7" s="3514" t="s">
        <v>12</v>
      </c>
      <c r="B7" s="3134" t="s">
        <v>13</v>
      </c>
      <c r="C7" s="3516"/>
      <c r="D7" s="3111" t="s">
        <v>12</v>
      </c>
      <c r="E7" s="3134" t="s">
        <v>14</v>
      </c>
      <c r="F7" s="3516"/>
      <c r="G7" s="3111" t="s">
        <v>12</v>
      </c>
      <c r="H7" s="3134" t="s">
        <v>15</v>
      </c>
      <c r="I7" s="3516"/>
      <c r="J7" s="3111" t="s">
        <v>12</v>
      </c>
      <c r="K7" s="3111" t="s">
        <v>16</v>
      </c>
      <c r="L7" s="3111" t="s">
        <v>17</v>
      </c>
      <c r="M7" s="3111" t="s">
        <v>18</v>
      </c>
      <c r="N7" s="3111" t="s">
        <v>19</v>
      </c>
      <c r="O7" s="3111" t="s">
        <v>185</v>
      </c>
      <c r="P7" s="3111" t="s">
        <v>10</v>
      </c>
      <c r="Q7" s="3111" t="s">
        <v>21</v>
      </c>
      <c r="R7" s="3111" t="s">
        <v>22</v>
      </c>
      <c r="S7" s="3111" t="s">
        <v>23</v>
      </c>
      <c r="T7" s="3111" t="s">
        <v>24</v>
      </c>
      <c r="U7" s="3111" t="s">
        <v>25</v>
      </c>
      <c r="V7" s="3111" t="s">
        <v>22</v>
      </c>
      <c r="W7" s="3111" t="s">
        <v>12</v>
      </c>
      <c r="X7" s="3111" t="s">
        <v>26</v>
      </c>
      <c r="Y7" s="2178" t="s">
        <v>27</v>
      </c>
      <c r="Z7" s="3520"/>
      <c r="AA7" s="2180" t="s">
        <v>28</v>
      </c>
      <c r="AB7" s="2181"/>
      <c r="AC7" s="2181"/>
      <c r="AD7" s="3521"/>
      <c r="AE7" s="2182" t="s">
        <v>29</v>
      </c>
      <c r="AF7" s="2183"/>
      <c r="AG7" s="2183"/>
      <c r="AH7" s="2183"/>
      <c r="AI7" s="2183"/>
      <c r="AJ7" s="3522"/>
      <c r="AK7" s="2180" t="s">
        <v>30</v>
      </c>
      <c r="AL7" s="2181"/>
      <c r="AM7" s="3521"/>
      <c r="AN7" s="3113" t="s">
        <v>31</v>
      </c>
      <c r="AO7" s="3523" t="s">
        <v>32</v>
      </c>
      <c r="AP7" s="3523" t="s">
        <v>33</v>
      </c>
      <c r="AQ7" s="3518" t="s">
        <v>34</v>
      </c>
    </row>
    <row r="8" spans="1:43" ht="111.75" customHeight="1">
      <c r="A8" s="3515"/>
      <c r="B8" s="3135"/>
      <c r="C8" s="3517"/>
      <c r="D8" s="3112"/>
      <c r="E8" s="3135"/>
      <c r="F8" s="3517"/>
      <c r="G8" s="3112"/>
      <c r="H8" s="3135"/>
      <c r="I8" s="3517"/>
      <c r="J8" s="3112"/>
      <c r="K8" s="3112"/>
      <c r="L8" s="3112"/>
      <c r="M8" s="3112"/>
      <c r="N8" s="3112"/>
      <c r="O8" s="3112"/>
      <c r="P8" s="3112"/>
      <c r="Q8" s="3112"/>
      <c r="R8" s="3112"/>
      <c r="S8" s="3112"/>
      <c r="T8" s="3112"/>
      <c r="U8" s="3112"/>
      <c r="V8" s="3112"/>
      <c r="W8" s="3112"/>
      <c r="X8" s="3112"/>
      <c r="Y8" s="673" t="s">
        <v>35</v>
      </c>
      <c r="Z8" s="674" t="s">
        <v>36</v>
      </c>
      <c r="AA8" s="673" t="s">
        <v>37</v>
      </c>
      <c r="AB8" s="673" t="s">
        <v>137</v>
      </c>
      <c r="AC8" s="673" t="s">
        <v>138</v>
      </c>
      <c r="AD8" s="673" t="s">
        <v>139</v>
      </c>
      <c r="AE8" s="673" t="s">
        <v>41</v>
      </c>
      <c r="AF8" s="673" t="s">
        <v>42</v>
      </c>
      <c r="AG8" s="673" t="s">
        <v>43</v>
      </c>
      <c r="AH8" s="673" t="s">
        <v>44</v>
      </c>
      <c r="AI8" s="673" t="s">
        <v>45</v>
      </c>
      <c r="AJ8" s="673" t="s">
        <v>46</v>
      </c>
      <c r="AK8" s="673" t="s">
        <v>47</v>
      </c>
      <c r="AL8" s="673" t="s">
        <v>48</v>
      </c>
      <c r="AM8" s="673" t="s">
        <v>49</v>
      </c>
      <c r="AN8" s="3114"/>
      <c r="AO8" s="3524"/>
      <c r="AP8" s="3524"/>
      <c r="AQ8" s="3519"/>
    </row>
    <row r="9" spans="1:43" ht="15.75">
      <c r="A9" s="1718">
        <v>4</v>
      </c>
      <c r="B9" s="1719" t="s">
        <v>2146</v>
      </c>
      <c r="C9" s="1720"/>
      <c r="D9" s="1720"/>
      <c r="E9" s="1720"/>
      <c r="F9" s="1720"/>
      <c r="G9" s="1720"/>
      <c r="H9" s="1720"/>
      <c r="I9" s="1720"/>
      <c r="J9" s="1720"/>
      <c r="K9" s="1721"/>
      <c r="L9" s="1720"/>
      <c r="M9" s="1720"/>
      <c r="N9" s="1720"/>
      <c r="O9" s="1722"/>
      <c r="P9" s="1721"/>
      <c r="Q9" s="1723"/>
      <c r="R9" s="1724"/>
      <c r="S9" s="1721"/>
      <c r="T9" s="1721"/>
      <c r="U9" s="1721"/>
      <c r="V9" s="1725"/>
      <c r="W9" s="1726"/>
      <c r="X9" s="1722"/>
      <c r="Y9" s="1720"/>
      <c r="Z9" s="1720"/>
      <c r="AA9" s="1720"/>
      <c r="AB9" s="1720"/>
      <c r="AC9" s="1720"/>
      <c r="AD9" s="1720"/>
      <c r="AE9" s="1720"/>
      <c r="AF9" s="1720"/>
      <c r="AG9" s="1720"/>
      <c r="AH9" s="1720"/>
      <c r="AI9" s="1720"/>
      <c r="AJ9" s="1720"/>
      <c r="AK9" s="1720"/>
      <c r="AL9" s="1720"/>
      <c r="AM9" s="1720"/>
      <c r="AN9" s="1720"/>
      <c r="AO9" s="1727"/>
      <c r="AP9" s="1727"/>
      <c r="AQ9" s="1728"/>
    </row>
    <row r="10" spans="1:43" ht="15.75">
      <c r="A10" s="1439"/>
      <c r="B10" s="1440"/>
      <c r="C10" s="1441"/>
      <c r="D10" s="1729">
        <v>23</v>
      </c>
      <c r="E10" s="1730" t="s">
        <v>2147</v>
      </c>
      <c r="F10" s="1730"/>
      <c r="G10" s="1731"/>
      <c r="H10" s="1731"/>
      <c r="I10" s="1731"/>
      <c r="J10" s="1731"/>
      <c r="K10" s="1732"/>
      <c r="L10" s="1731"/>
      <c r="M10" s="1731"/>
      <c r="N10" s="1731"/>
      <c r="O10" s="1733"/>
      <c r="P10" s="1732"/>
      <c r="Q10" s="1734"/>
      <c r="R10" s="1735"/>
      <c r="S10" s="1732"/>
      <c r="T10" s="1732"/>
      <c r="U10" s="1732"/>
      <c r="V10" s="1736"/>
      <c r="W10" s="1737"/>
      <c r="X10" s="1733"/>
      <c r="Y10" s="1731"/>
      <c r="Z10" s="1731"/>
      <c r="AA10" s="1731"/>
      <c r="AB10" s="1731"/>
      <c r="AC10" s="1731"/>
      <c r="AD10" s="1731"/>
      <c r="AE10" s="1731"/>
      <c r="AF10" s="1731"/>
      <c r="AG10" s="1731"/>
      <c r="AH10" s="1731"/>
      <c r="AI10" s="1731"/>
      <c r="AJ10" s="1731"/>
      <c r="AK10" s="1731"/>
      <c r="AL10" s="1731"/>
      <c r="AM10" s="1731"/>
      <c r="AN10" s="1731"/>
      <c r="AO10" s="1738"/>
      <c r="AP10" s="1738"/>
      <c r="AQ10" s="1739"/>
    </row>
    <row r="11" spans="1:43" ht="15.75">
      <c r="A11" s="167"/>
      <c r="B11" s="168"/>
      <c r="C11" s="1453"/>
      <c r="D11" s="180"/>
      <c r="E11" s="1440"/>
      <c r="F11" s="1441"/>
      <c r="G11" s="1740">
        <v>77</v>
      </c>
      <c r="H11" s="1741" t="s">
        <v>2148</v>
      </c>
      <c r="I11" s="1741"/>
      <c r="J11" s="1741"/>
      <c r="K11" s="1742"/>
      <c r="L11" s="1741"/>
      <c r="M11" s="1741"/>
      <c r="N11" s="1741"/>
      <c r="O11" s="1743"/>
      <c r="P11" s="1742"/>
      <c r="Q11" s="1744"/>
      <c r="R11" s="1745"/>
      <c r="S11" s="1742"/>
      <c r="T11" s="1742"/>
      <c r="U11" s="1742"/>
      <c r="V11" s="1746"/>
      <c r="W11" s="1747"/>
      <c r="X11" s="1743"/>
      <c r="Y11" s="1741"/>
      <c r="Z11" s="1741"/>
      <c r="AA11" s="1741"/>
      <c r="AB11" s="1741"/>
      <c r="AC11" s="1741"/>
      <c r="AD11" s="1741"/>
      <c r="AE11" s="1741"/>
      <c r="AF11" s="1741"/>
      <c r="AG11" s="1741"/>
      <c r="AH11" s="1741"/>
      <c r="AI11" s="1741"/>
      <c r="AJ11" s="1741"/>
      <c r="AK11" s="1741"/>
      <c r="AL11" s="1741"/>
      <c r="AM11" s="1741"/>
      <c r="AN11" s="1741"/>
      <c r="AO11" s="1748"/>
      <c r="AP11" s="1748"/>
      <c r="AQ11" s="1749"/>
    </row>
    <row r="12" spans="1:43" ht="48.75" customHeight="1">
      <c r="A12" s="193"/>
      <c r="B12" s="194"/>
      <c r="C12" s="1750"/>
      <c r="D12" s="3525"/>
      <c r="E12" s="194"/>
      <c r="F12" s="1750"/>
      <c r="G12" s="196"/>
      <c r="H12" s="194"/>
      <c r="I12" s="194"/>
      <c r="J12" s="2378">
        <v>223</v>
      </c>
      <c r="K12" s="2337" t="s">
        <v>2149</v>
      </c>
      <c r="L12" s="2375" t="s">
        <v>2150</v>
      </c>
      <c r="M12" s="2299">
        <v>1</v>
      </c>
      <c r="N12" s="2378">
        <v>2301010423</v>
      </c>
      <c r="O12" s="2404" t="s">
        <v>2151</v>
      </c>
      <c r="P12" s="2300" t="s">
        <v>2152</v>
      </c>
      <c r="Q12" s="3531">
        <f>(V12)/R12</f>
        <v>0.8933321739130434</v>
      </c>
      <c r="R12" s="2727">
        <f>SUM(V12:V15)</f>
        <v>115000000</v>
      </c>
      <c r="S12" s="2405" t="s">
        <v>2153</v>
      </c>
      <c r="T12" s="2375" t="s">
        <v>2154</v>
      </c>
      <c r="U12" s="3529" t="s">
        <v>2155</v>
      </c>
      <c r="V12" s="2485">
        <v>102733200</v>
      </c>
      <c r="W12" s="2919"/>
      <c r="X12" s="2405" t="s">
        <v>2156</v>
      </c>
      <c r="Y12" s="2951">
        <v>56929</v>
      </c>
      <c r="Z12" s="2951">
        <v>57641</v>
      </c>
      <c r="AA12" s="2951">
        <v>27997</v>
      </c>
      <c r="AB12" s="3198">
        <v>9152</v>
      </c>
      <c r="AC12" s="3198">
        <v>60541</v>
      </c>
      <c r="AD12" s="3198">
        <v>16880</v>
      </c>
      <c r="AE12" s="2951">
        <v>283</v>
      </c>
      <c r="AF12" s="2951">
        <v>1495</v>
      </c>
      <c r="AG12" s="2951">
        <v>7</v>
      </c>
      <c r="AH12" s="2951">
        <v>0</v>
      </c>
      <c r="AI12" s="2951">
        <v>0</v>
      </c>
      <c r="AJ12" s="2951">
        <v>0</v>
      </c>
      <c r="AK12" s="2951">
        <v>0</v>
      </c>
      <c r="AL12" s="2951">
        <v>5497</v>
      </c>
      <c r="AM12" s="2951">
        <v>0</v>
      </c>
      <c r="AN12" s="2951">
        <v>236422</v>
      </c>
      <c r="AO12" s="3286">
        <v>43101</v>
      </c>
      <c r="AP12" s="3286">
        <v>43465</v>
      </c>
      <c r="AQ12" s="3533" t="s">
        <v>2157</v>
      </c>
    </row>
    <row r="13" spans="1:43" ht="17.25" customHeight="1">
      <c r="A13" s="193"/>
      <c r="B13" s="2333"/>
      <c r="C13" s="2339"/>
      <c r="D13" s="3525"/>
      <c r="E13" s="2333"/>
      <c r="F13" s="2339"/>
      <c r="G13" s="195"/>
      <c r="H13" s="2333"/>
      <c r="I13" s="2333"/>
      <c r="J13" s="2374"/>
      <c r="K13" s="2319"/>
      <c r="L13" s="2377"/>
      <c r="M13" s="2334"/>
      <c r="N13" s="2373"/>
      <c r="O13" s="2404"/>
      <c r="P13" s="2300"/>
      <c r="Q13" s="3532"/>
      <c r="R13" s="3290"/>
      <c r="S13" s="2405"/>
      <c r="T13" s="2376"/>
      <c r="U13" s="3530"/>
      <c r="V13" s="3040"/>
      <c r="W13" s="2929"/>
      <c r="X13" s="2405"/>
      <c r="Y13" s="2990"/>
      <c r="Z13" s="2990"/>
      <c r="AA13" s="2990">
        <v>135912</v>
      </c>
      <c r="AB13" s="3527"/>
      <c r="AC13" s="3527"/>
      <c r="AD13" s="3527"/>
      <c r="AE13" s="2990"/>
      <c r="AF13" s="2990"/>
      <c r="AG13" s="2990"/>
      <c r="AH13" s="2990"/>
      <c r="AI13" s="2990"/>
      <c r="AJ13" s="2990"/>
      <c r="AK13" s="2990"/>
      <c r="AL13" s="2990"/>
      <c r="AM13" s="2990"/>
      <c r="AN13" s="2990"/>
      <c r="AO13" s="3287"/>
      <c r="AP13" s="3287"/>
      <c r="AQ13" s="3534"/>
    </row>
    <row r="14" spans="1:43" ht="75">
      <c r="A14" s="193"/>
      <c r="B14" s="194"/>
      <c r="C14" s="1750"/>
      <c r="D14" s="1751"/>
      <c r="E14" s="194"/>
      <c r="F14" s="1750"/>
      <c r="G14" s="195"/>
      <c r="H14" s="194"/>
      <c r="I14" s="194"/>
      <c r="J14" s="292">
        <v>224</v>
      </c>
      <c r="K14" s="201" t="s">
        <v>2158</v>
      </c>
      <c r="L14" s="767" t="s">
        <v>2159</v>
      </c>
      <c r="M14" s="200">
        <v>1</v>
      </c>
      <c r="N14" s="2373"/>
      <c r="O14" s="2404"/>
      <c r="P14" s="2300"/>
      <c r="Q14" s="1752">
        <f>V14/R12</f>
        <v>0.09217391304347826</v>
      </c>
      <c r="R14" s="3290"/>
      <c r="S14" s="2405"/>
      <c r="T14" s="2377"/>
      <c r="U14" s="1753" t="s">
        <v>2160</v>
      </c>
      <c r="V14" s="927">
        <v>10600000</v>
      </c>
      <c r="W14" s="2929"/>
      <c r="X14" s="2405"/>
      <c r="Y14" s="2990"/>
      <c r="Z14" s="2990">
        <v>57641</v>
      </c>
      <c r="AA14" s="2990">
        <v>135912</v>
      </c>
      <c r="AB14" s="3527"/>
      <c r="AC14" s="3527"/>
      <c r="AD14" s="3527"/>
      <c r="AE14" s="2990"/>
      <c r="AF14" s="2990"/>
      <c r="AG14" s="2990"/>
      <c r="AH14" s="2990"/>
      <c r="AI14" s="2990"/>
      <c r="AJ14" s="2990"/>
      <c r="AK14" s="2990"/>
      <c r="AL14" s="2990"/>
      <c r="AM14" s="2990"/>
      <c r="AN14" s="2990"/>
      <c r="AO14" s="3287"/>
      <c r="AP14" s="3287"/>
      <c r="AQ14" s="3534"/>
    </row>
    <row r="15" spans="1:43" ht="105.75" thickBot="1">
      <c r="A15" s="193"/>
      <c r="B15" s="194"/>
      <c r="C15" s="1750"/>
      <c r="D15" s="1751"/>
      <c r="E15" s="194"/>
      <c r="F15" s="1750"/>
      <c r="G15" s="195"/>
      <c r="H15" s="194"/>
      <c r="I15" s="194"/>
      <c r="J15" s="1166">
        <v>225</v>
      </c>
      <c r="K15" s="1203" t="s">
        <v>2161</v>
      </c>
      <c r="L15" s="1754" t="s">
        <v>2162</v>
      </c>
      <c r="M15" s="1224">
        <v>1</v>
      </c>
      <c r="N15" s="2373"/>
      <c r="O15" s="2378"/>
      <c r="P15" s="2337"/>
      <c r="Q15" s="1755">
        <f>V15/R12</f>
        <v>0.014493913043478262</v>
      </c>
      <c r="R15" s="3290"/>
      <c r="S15" s="2375"/>
      <c r="T15" s="737" t="s">
        <v>2163</v>
      </c>
      <c r="U15" s="1756" t="s">
        <v>2164</v>
      </c>
      <c r="V15" s="1757">
        <v>1666800</v>
      </c>
      <c r="W15" s="3008"/>
      <c r="X15" s="2375"/>
      <c r="Y15" s="3526"/>
      <c r="Z15" s="3526"/>
      <c r="AA15" s="3526">
        <v>135912</v>
      </c>
      <c r="AB15" s="3528"/>
      <c r="AC15" s="3528"/>
      <c r="AD15" s="3528"/>
      <c r="AE15" s="3526"/>
      <c r="AF15" s="3526"/>
      <c r="AG15" s="2990"/>
      <c r="AH15" s="2990"/>
      <c r="AI15" s="2990"/>
      <c r="AJ15" s="2990"/>
      <c r="AK15" s="2990"/>
      <c r="AL15" s="2990"/>
      <c r="AM15" s="2990"/>
      <c r="AN15" s="2990"/>
      <c r="AO15" s="3287"/>
      <c r="AP15" s="3287"/>
      <c r="AQ15" s="3534"/>
    </row>
    <row r="16" spans="1:43" s="220" customFormat="1" ht="16.5" thickBot="1">
      <c r="A16" s="1758"/>
      <c r="B16" s="207"/>
      <c r="C16" s="207"/>
      <c r="D16" s="207"/>
      <c r="E16" s="207"/>
      <c r="F16" s="207"/>
      <c r="G16" s="210"/>
      <c r="H16" s="207"/>
      <c r="I16" s="207"/>
      <c r="J16" s="207"/>
      <c r="K16" s="207"/>
      <c r="L16" s="207"/>
      <c r="M16" s="207"/>
      <c r="N16" s="207"/>
      <c r="O16" s="207"/>
      <c r="P16" s="207"/>
      <c r="Q16" s="207"/>
      <c r="R16" s="1759">
        <f>SUM(R12:R15)</f>
        <v>115000000</v>
      </c>
      <c r="S16" s="207"/>
      <c r="T16" s="207"/>
      <c r="U16" s="1760"/>
      <c r="V16" s="1759">
        <f>SUM(V12:V15)</f>
        <v>115000000</v>
      </c>
      <c r="W16" s="1758"/>
      <c r="X16" s="207"/>
      <c r="Y16" s="207"/>
      <c r="Z16" s="207"/>
      <c r="AA16" s="207"/>
      <c r="AB16" s="207"/>
      <c r="AC16" s="207"/>
      <c r="AD16" s="207"/>
      <c r="AE16" s="207"/>
      <c r="AF16" s="207"/>
      <c r="AG16" s="207"/>
      <c r="AH16" s="207"/>
      <c r="AI16" s="207"/>
      <c r="AJ16" s="207"/>
      <c r="AK16" s="207"/>
      <c r="AL16" s="207"/>
      <c r="AM16" s="207"/>
      <c r="AN16" s="207"/>
      <c r="AO16" s="207"/>
      <c r="AP16" s="207"/>
      <c r="AQ16" s="1760"/>
    </row>
    <row r="18" spans="9:33" ht="15">
      <c r="I18" s="1761"/>
      <c r="J18" s="1761"/>
      <c r="Z18" s="227"/>
      <c r="AA18" s="227"/>
      <c r="AB18" s="227"/>
      <c r="AC18" s="227"/>
      <c r="AD18" s="227"/>
      <c r="AE18" s="227"/>
      <c r="AF18" s="227"/>
      <c r="AG18" s="227"/>
    </row>
    <row r="19" spans="5:33" ht="15.75">
      <c r="E19" s="333" t="s">
        <v>2165</v>
      </c>
      <c r="F19" s="618"/>
      <c r="G19" s="618"/>
      <c r="H19" s="618"/>
      <c r="Z19" s="227"/>
      <c r="AA19" s="227"/>
      <c r="AB19" s="227"/>
      <c r="AC19" s="227"/>
      <c r="AD19" s="227"/>
      <c r="AE19" s="227"/>
      <c r="AF19" s="227"/>
      <c r="AG19" s="227"/>
    </row>
    <row r="20" ht="15.75">
      <c r="E20" s="334" t="s">
        <v>2166</v>
      </c>
    </row>
  </sheetData>
  <sheetProtection password="CBEB" sheet="1" objects="1" scenarios="1"/>
  <mergeCells count="72">
    <mergeCell ref="AM12:AM15"/>
    <mergeCell ref="AN12:AN15"/>
    <mergeCell ref="AO12:AO15"/>
    <mergeCell ref="AP12:AP15"/>
    <mergeCell ref="AQ12:AQ15"/>
    <mergeCell ref="B13:C13"/>
    <mergeCell ref="E13:F13"/>
    <mergeCell ref="H13:I13"/>
    <mergeCell ref="AG12:AG15"/>
    <mergeCell ref="AH12:AH15"/>
    <mergeCell ref="U12:U13"/>
    <mergeCell ref="V12:V13"/>
    <mergeCell ref="W12:W15"/>
    <mergeCell ref="X12:X15"/>
    <mergeCell ref="Y12:Y15"/>
    <mergeCell ref="Z12:Z15"/>
    <mergeCell ref="O12:O15"/>
    <mergeCell ref="P12:P15"/>
    <mergeCell ref="Q12:Q13"/>
    <mergeCell ref="R12:R15"/>
    <mergeCell ref="S12:S15"/>
    <mergeCell ref="AI12:AI15"/>
    <mergeCell ref="AJ12:AJ15"/>
    <mergeCell ref="AK12:AK15"/>
    <mergeCell ref="AL12:AL15"/>
    <mergeCell ref="AA12:AA15"/>
    <mergeCell ref="AB12:AB15"/>
    <mergeCell ref="AC12:AC15"/>
    <mergeCell ref="AD12:AD15"/>
    <mergeCell ref="AE12:AE15"/>
    <mergeCell ref="AF12:AF15"/>
    <mergeCell ref="T12:T14"/>
    <mergeCell ref="D12:D13"/>
    <mergeCell ref="J12:J13"/>
    <mergeCell ref="K12:K13"/>
    <mergeCell ref="L12:L13"/>
    <mergeCell ref="M12:M13"/>
    <mergeCell ref="N12:N15"/>
    <mergeCell ref="AQ7:AQ8"/>
    <mergeCell ref="U7:U8"/>
    <mergeCell ref="V7:V8"/>
    <mergeCell ref="W7:W8"/>
    <mergeCell ref="X7:X8"/>
    <mergeCell ref="Y7:Z7"/>
    <mergeCell ref="AA7:AD7"/>
    <mergeCell ref="AE7:AJ7"/>
    <mergeCell ref="AK7:AM7"/>
    <mergeCell ref="AN7:AN8"/>
    <mergeCell ref="AO7:AO8"/>
    <mergeCell ref="AP7:AP8"/>
    <mergeCell ref="T7:T8"/>
    <mergeCell ref="H7:I8"/>
    <mergeCell ref="J7:J8"/>
    <mergeCell ref="K7:K8"/>
    <mergeCell ref="L7:L8"/>
    <mergeCell ref="M7:M8"/>
    <mergeCell ref="N7:N8"/>
    <mergeCell ref="O7:O8"/>
    <mergeCell ref="P7:P8"/>
    <mergeCell ref="Q7:Q8"/>
    <mergeCell ref="R7:R8"/>
    <mergeCell ref="S7:S8"/>
    <mergeCell ref="A1:AO4"/>
    <mergeCell ref="A5:P6"/>
    <mergeCell ref="Q5:AQ5"/>
    <mergeCell ref="Q6:Y6"/>
    <mergeCell ref="AP6:AQ6"/>
    <mergeCell ref="A7:A8"/>
    <mergeCell ref="B7:C8"/>
    <mergeCell ref="D7:D8"/>
    <mergeCell ref="E7:F8"/>
    <mergeCell ref="G7:G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K115"/>
  <sheetViews>
    <sheetView showGridLines="0" zoomScale="60" zoomScaleNormal="60" zoomScalePageLayoutView="0" workbookViewId="0" topLeftCell="A1">
      <selection activeCell="A1" sqref="A1:AO4"/>
    </sheetView>
  </sheetViews>
  <sheetFormatPr defaultColWidth="14.8515625" defaultRowHeight="39.75" customHeight="1"/>
  <cols>
    <col min="1" max="1" width="13.28125" style="1634" bestFit="1" customWidth="1"/>
    <col min="2" max="3" width="7.421875" style="1387" customWidth="1"/>
    <col min="4" max="4" width="16.421875" style="1387" customWidth="1"/>
    <col min="5" max="5" width="7.421875" style="1387" customWidth="1"/>
    <col min="6" max="6" width="12.140625" style="1387" customWidth="1"/>
    <col min="7" max="7" width="19.28125" style="1387" customWidth="1"/>
    <col min="8" max="8" width="7.421875" style="1387" customWidth="1"/>
    <col min="9" max="9" width="19.57421875" style="1387" customWidth="1"/>
    <col min="10" max="10" width="17.8515625" style="1360" customWidth="1"/>
    <col min="11" max="11" width="61.28125" style="456" customWidth="1"/>
    <col min="12" max="12" width="40.00390625" style="457" customWidth="1"/>
    <col min="13" max="13" width="17.00390625" style="457" customWidth="1"/>
    <col min="14" max="14" width="38.28125" style="457" customWidth="1"/>
    <col min="15" max="15" width="29.28125" style="354" customWidth="1"/>
    <col min="16" max="16" width="37.28125" style="456" customWidth="1"/>
    <col min="17" max="17" width="20.00390625" style="1636" customWidth="1"/>
    <col min="18" max="18" width="26.7109375" style="467" customWidth="1"/>
    <col min="19" max="19" width="39.421875" style="456" customWidth="1"/>
    <col min="20" max="20" width="59.57421875" style="456" customWidth="1"/>
    <col min="21" max="21" width="72.57421875" style="456" customWidth="1"/>
    <col min="22" max="22" width="27.8515625" style="1642" customWidth="1"/>
    <col min="23" max="23" width="14.8515625" style="461" customWidth="1"/>
    <col min="24" max="24" width="18.7109375" style="462" customWidth="1"/>
    <col min="25" max="25" width="14.8515625" style="337" customWidth="1"/>
    <col min="26" max="26" width="17.7109375" style="337" customWidth="1"/>
    <col min="27" max="40" width="14.8515625" style="337" customWidth="1"/>
    <col min="41" max="41" width="14.8515625" style="1638" customWidth="1"/>
    <col min="42" max="42" width="23.57421875" style="1639" customWidth="1"/>
    <col min="43" max="43" width="28.28125" style="465" customWidth="1"/>
    <col min="44" max="16384" width="14.8515625" style="337" customWidth="1"/>
  </cols>
  <sheetData>
    <row r="1" spans="1:63" ht="25.5" customHeight="1">
      <c r="A1" s="2158" t="s">
        <v>2100</v>
      </c>
      <c r="B1" s="2158"/>
      <c r="C1" s="2158"/>
      <c r="D1" s="2158"/>
      <c r="E1" s="2158"/>
      <c r="F1" s="2158"/>
      <c r="G1" s="2158"/>
      <c r="H1" s="2158"/>
      <c r="I1" s="2158"/>
      <c r="J1" s="2158"/>
      <c r="K1" s="2158"/>
      <c r="L1" s="2158"/>
      <c r="M1" s="2158"/>
      <c r="N1" s="2158"/>
      <c r="O1" s="2158"/>
      <c r="P1" s="2158"/>
      <c r="Q1" s="2158"/>
      <c r="R1" s="2158"/>
      <c r="S1" s="2158"/>
      <c r="T1" s="2158"/>
      <c r="U1" s="2158"/>
      <c r="V1" s="2158"/>
      <c r="W1" s="2158"/>
      <c r="X1" s="2158"/>
      <c r="Y1" s="2158"/>
      <c r="Z1" s="2158"/>
      <c r="AA1" s="2158"/>
      <c r="AB1" s="2158"/>
      <c r="AC1" s="2158"/>
      <c r="AD1" s="2158"/>
      <c r="AE1" s="2158"/>
      <c r="AF1" s="2158"/>
      <c r="AG1" s="2158"/>
      <c r="AH1" s="2158"/>
      <c r="AI1" s="2158"/>
      <c r="AJ1" s="2158"/>
      <c r="AK1" s="2158"/>
      <c r="AL1" s="2158"/>
      <c r="AM1" s="2158"/>
      <c r="AN1" s="2158"/>
      <c r="AO1" s="2158"/>
      <c r="AP1" s="1480" t="s">
        <v>1</v>
      </c>
      <c r="AQ1" s="1480" t="s">
        <v>2</v>
      </c>
      <c r="AR1" s="345"/>
      <c r="AS1" s="345"/>
      <c r="AT1" s="345"/>
      <c r="AU1" s="345"/>
      <c r="AV1" s="345"/>
      <c r="AW1" s="345"/>
      <c r="AX1" s="345"/>
      <c r="AY1" s="345"/>
      <c r="AZ1" s="345"/>
      <c r="BA1" s="345"/>
      <c r="BB1" s="345"/>
      <c r="BC1" s="345"/>
      <c r="BD1" s="345"/>
      <c r="BE1" s="345"/>
      <c r="BF1" s="345"/>
      <c r="BG1" s="345"/>
      <c r="BH1" s="345"/>
      <c r="BI1" s="345"/>
      <c r="BJ1" s="345"/>
      <c r="BK1" s="345"/>
    </row>
    <row r="2" spans="1:63" ht="25.5" customHeight="1">
      <c r="A2" s="2158"/>
      <c r="B2" s="2158"/>
      <c r="C2" s="2158"/>
      <c r="D2" s="2158"/>
      <c r="E2" s="2158"/>
      <c r="F2" s="2158"/>
      <c r="G2" s="2158"/>
      <c r="H2" s="2158"/>
      <c r="I2" s="2158"/>
      <c r="J2" s="2158"/>
      <c r="K2" s="2158"/>
      <c r="L2" s="2158"/>
      <c r="M2" s="2158"/>
      <c r="N2" s="2158"/>
      <c r="O2" s="2158"/>
      <c r="P2" s="2158"/>
      <c r="Q2" s="2158"/>
      <c r="R2" s="2158"/>
      <c r="S2" s="2158"/>
      <c r="T2" s="2158"/>
      <c r="U2" s="2158"/>
      <c r="V2" s="2158"/>
      <c r="W2" s="2158"/>
      <c r="X2" s="2158"/>
      <c r="Y2" s="2158"/>
      <c r="Z2" s="2158"/>
      <c r="AA2" s="2158"/>
      <c r="AB2" s="2158"/>
      <c r="AC2" s="2158"/>
      <c r="AD2" s="2158"/>
      <c r="AE2" s="2158"/>
      <c r="AF2" s="2158"/>
      <c r="AG2" s="2158"/>
      <c r="AH2" s="2158"/>
      <c r="AI2" s="2158"/>
      <c r="AJ2" s="2158"/>
      <c r="AK2" s="2158"/>
      <c r="AL2" s="2158"/>
      <c r="AM2" s="2158"/>
      <c r="AN2" s="2158"/>
      <c r="AO2" s="2158"/>
      <c r="AP2" s="1481" t="s">
        <v>3</v>
      </c>
      <c r="AQ2" s="1480" t="s">
        <v>135</v>
      </c>
      <c r="AR2" s="345"/>
      <c r="AS2" s="345"/>
      <c r="AT2" s="345"/>
      <c r="AU2" s="345"/>
      <c r="AV2" s="345"/>
      <c r="AW2" s="345"/>
      <c r="AX2" s="345"/>
      <c r="AY2" s="345"/>
      <c r="AZ2" s="345"/>
      <c r="BA2" s="345"/>
      <c r="BB2" s="345"/>
      <c r="BC2" s="345"/>
      <c r="BD2" s="345"/>
      <c r="BE2" s="345"/>
      <c r="BF2" s="345"/>
      <c r="BG2" s="345"/>
      <c r="BH2" s="345"/>
      <c r="BI2" s="345"/>
      <c r="BJ2" s="345"/>
      <c r="BK2" s="345"/>
    </row>
    <row r="3" spans="1:63" ht="25.5" customHeight="1">
      <c r="A3" s="2158"/>
      <c r="B3" s="2158"/>
      <c r="C3" s="2158"/>
      <c r="D3" s="2158"/>
      <c r="E3" s="2158"/>
      <c r="F3" s="2158"/>
      <c r="G3" s="2158"/>
      <c r="H3" s="2158"/>
      <c r="I3" s="2158"/>
      <c r="J3" s="2158"/>
      <c r="K3" s="2158"/>
      <c r="L3" s="2158"/>
      <c r="M3" s="2158"/>
      <c r="N3" s="2158"/>
      <c r="O3" s="2158"/>
      <c r="P3" s="2158"/>
      <c r="Q3" s="2158"/>
      <c r="R3" s="2158"/>
      <c r="S3" s="2158"/>
      <c r="T3" s="2158"/>
      <c r="U3" s="2158"/>
      <c r="V3" s="2158"/>
      <c r="W3" s="2158"/>
      <c r="X3" s="2158"/>
      <c r="Y3" s="2158"/>
      <c r="Z3" s="2158"/>
      <c r="AA3" s="2158"/>
      <c r="AB3" s="2158"/>
      <c r="AC3" s="2158"/>
      <c r="AD3" s="2158"/>
      <c r="AE3" s="2158"/>
      <c r="AF3" s="2158"/>
      <c r="AG3" s="2158"/>
      <c r="AH3" s="2158"/>
      <c r="AI3" s="2158"/>
      <c r="AJ3" s="2158"/>
      <c r="AK3" s="2158"/>
      <c r="AL3" s="2158"/>
      <c r="AM3" s="2158"/>
      <c r="AN3" s="2158"/>
      <c r="AO3" s="2158"/>
      <c r="AP3" s="1480" t="s">
        <v>5</v>
      </c>
      <c r="AQ3" s="1482" t="s">
        <v>6</v>
      </c>
      <c r="AR3" s="345"/>
      <c r="AS3" s="345"/>
      <c r="AT3" s="345"/>
      <c r="AU3" s="345"/>
      <c r="AV3" s="345"/>
      <c r="AW3" s="345"/>
      <c r="AX3" s="345"/>
      <c r="AY3" s="345"/>
      <c r="AZ3" s="345"/>
      <c r="BA3" s="345"/>
      <c r="BB3" s="345"/>
      <c r="BC3" s="345"/>
      <c r="BD3" s="345"/>
      <c r="BE3" s="345"/>
      <c r="BF3" s="345"/>
      <c r="BG3" s="345"/>
      <c r="BH3" s="345"/>
      <c r="BI3" s="345"/>
      <c r="BJ3" s="345"/>
      <c r="BK3" s="345"/>
    </row>
    <row r="4" spans="1:63" ht="25.5" customHeight="1">
      <c r="A4" s="2159"/>
      <c r="B4" s="2159"/>
      <c r="C4" s="2159"/>
      <c r="D4" s="2159"/>
      <c r="E4" s="2159"/>
      <c r="F4" s="2159"/>
      <c r="G4" s="2159"/>
      <c r="H4" s="2159"/>
      <c r="I4" s="2159"/>
      <c r="J4" s="2159"/>
      <c r="K4" s="2159"/>
      <c r="L4" s="2159"/>
      <c r="M4" s="2159"/>
      <c r="N4" s="2159"/>
      <c r="O4" s="2159"/>
      <c r="P4" s="2159"/>
      <c r="Q4" s="2159"/>
      <c r="R4" s="2159"/>
      <c r="S4" s="2159"/>
      <c r="T4" s="2159"/>
      <c r="U4" s="2159"/>
      <c r="V4" s="2159"/>
      <c r="W4" s="2159"/>
      <c r="X4" s="2159"/>
      <c r="Y4" s="2159"/>
      <c r="Z4" s="2159"/>
      <c r="AA4" s="2159"/>
      <c r="AB4" s="2159"/>
      <c r="AC4" s="2159"/>
      <c r="AD4" s="2159"/>
      <c r="AE4" s="2159"/>
      <c r="AF4" s="2159"/>
      <c r="AG4" s="2159"/>
      <c r="AH4" s="2159"/>
      <c r="AI4" s="2159"/>
      <c r="AJ4" s="2159"/>
      <c r="AK4" s="2159"/>
      <c r="AL4" s="2159"/>
      <c r="AM4" s="2159"/>
      <c r="AN4" s="2159"/>
      <c r="AO4" s="2159"/>
      <c r="AP4" s="1480" t="s">
        <v>7</v>
      </c>
      <c r="AQ4" s="1483" t="s">
        <v>8</v>
      </c>
      <c r="AR4" s="345"/>
      <c r="AS4" s="345"/>
      <c r="AT4" s="345"/>
      <c r="AU4" s="345"/>
      <c r="AV4" s="345"/>
      <c r="AW4" s="345"/>
      <c r="AX4" s="345"/>
      <c r="AY4" s="345"/>
      <c r="AZ4" s="345"/>
      <c r="BA4" s="345"/>
      <c r="BB4" s="345"/>
      <c r="BC4" s="345"/>
      <c r="BD4" s="345"/>
      <c r="BE4" s="345"/>
      <c r="BF4" s="345"/>
      <c r="BG4" s="345"/>
      <c r="BH4" s="345"/>
      <c r="BI4" s="345"/>
      <c r="BJ4" s="345"/>
      <c r="BK4" s="345"/>
    </row>
    <row r="5" spans="1:63" ht="24" customHeight="1">
      <c r="A5" s="2160" t="s">
        <v>9</v>
      </c>
      <c r="B5" s="2160"/>
      <c r="C5" s="2160"/>
      <c r="D5" s="2160"/>
      <c r="E5" s="2160"/>
      <c r="F5" s="2160"/>
      <c r="G5" s="2160"/>
      <c r="H5" s="2160"/>
      <c r="I5" s="2160"/>
      <c r="J5" s="2160"/>
      <c r="K5" s="2160"/>
      <c r="L5" s="2160"/>
      <c r="M5" s="2160"/>
      <c r="N5" s="2161" t="s">
        <v>10</v>
      </c>
      <c r="O5" s="2161"/>
      <c r="P5" s="2161"/>
      <c r="Q5" s="2161"/>
      <c r="R5" s="2161"/>
      <c r="S5" s="2161"/>
      <c r="T5" s="2161"/>
      <c r="U5" s="2161"/>
      <c r="V5" s="2161"/>
      <c r="W5" s="2161"/>
      <c r="X5" s="2161"/>
      <c r="Y5" s="2161"/>
      <c r="Z5" s="2161"/>
      <c r="AA5" s="2161"/>
      <c r="AB5" s="2161"/>
      <c r="AC5" s="2161"/>
      <c r="AD5" s="2161"/>
      <c r="AE5" s="2161"/>
      <c r="AF5" s="2161"/>
      <c r="AG5" s="2161"/>
      <c r="AH5" s="2161"/>
      <c r="AI5" s="2161"/>
      <c r="AJ5" s="2161"/>
      <c r="AK5" s="2161"/>
      <c r="AL5" s="2161"/>
      <c r="AM5" s="2161"/>
      <c r="AN5" s="2161"/>
      <c r="AO5" s="2161"/>
      <c r="AP5" s="2161"/>
      <c r="AQ5" s="2161"/>
      <c r="AR5" s="345"/>
      <c r="AS5" s="345"/>
      <c r="AT5" s="345"/>
      <c r="AU5" s="345"/>
      <c r="AV5" s="345"/>
      <c r="AW5" s="345"/>
      <c r="AX5" s="345"/>
      <c r="AY5" s="345"/>
      <c r="AZ5" s="345"/>
      <c r="BA5" s="345"/>
      <c r="BB5" s="345"/>
      <c r="BC5" s="345"/>
      <c r="BD5" s="345"/>
      <c r="BE5" s="345"/>
      <c r="BF5" s="345"/>
      <c r="BG5" s="345"/>
      <c r="BH5" s="345"/>
      <c r="BI5" s="345"/>
      <c r="BJ5" s="345"/>
      <c r="BK5" s="345"/>
    </row>
    <row r="6" spans="1:63" ht="27.75" customHeight="1">
      <c r="A6" s="2162" t="s">
        <v>12</v>
      </c>
      <c r="B6" s="2164" t="s">
        <v>13</v>
      </c>
      <c r="C6" s="2165"/>
      <c r="D6" s="2168" t="s">
        <v>12</v>
      </c>
      <c r="E6" s="2164" t="s">
        <v>14</v>
      </c>
      <c r="F6" s="2165"/>
      <c r="G6" s="2168" t="s">
        <v>12</v>
      </c>
      <c r="H6" s="2164" t="s">
        <v>15</v>
      </c>
      <c r="I6" s="2165"/>
      <c r="J6" s="2168" t="s">
        <v>12</v>
      </c>
      <c r="K6" s="2168" t="s">
        <v>16</v>
      </c>
      <c r="L6" s="2168" t="s">
        <v>17</v>
      </c>
      <c r="M6" s="2164" t="s">
        <v>18</v>
      </c>
      <c r="N6" s="2168" t="s">
        <v>19</v>
      </c>
      <c r="O6" s="2168" t="s">
        <v>20</v>
      </c>
      <c r="P6" s="2168" t="s">
        <v>10</v>
      </c>
      <c r="Q6" s="2186" t="s">
        <v>21</v>
      </c>
      <c r="R6" s="2188" t="s">
        <v>22</v>
      </c>
      <c r="S6" s="2168" t="s">
        <v>23</v>
      </c>
      <c r="T6" s="2168" t="s">
        <v>24</v>
      </c>
      <c r="U6" s="2168" t="s">
        <v>25</v>
      </c>
      <c r="V6" s="2190" t="s">
        <v>22</v>
      </c>
      <c r="W6" s="2162" t="s">
        <v>12</v>
      </c>
      <c r="X6" s="2168" t="s">
        <v>26</v>
      </c>
      <c r="Y6" s="2178" t="s">
        <v>27</v>
      </c>
      <c r="Z6" s="2179"/>
      <c r="AA6" s="2180" t="s">
        <v>28</v>
      </c>
      <c r="AB6" s="2181"/>
      <c r="AC6" s="2181"/>
      <c r="AD6" s="2181"/>
      <c r="AE6" s="2182" t="s">
        <v>29</v>
      </c>
      <c r="AF6" s="2183"/>
      <c r="AG6" s="2183"/>
      <c r="AH6" s="2183"/>
      <c r="AI6" s="2183"/>
      <c r="AJ6" s="2183"/>
      <c r="AK6" s="2184" t="s">
        <v>30</v>
      </c>
      <c r="AL6" s="2185"/>
      <c r="AM6" s="2185"/>
      <c r="AN6" s="2172" t="s">
        <v>31</v>
      </c>
      <c r="AO6" s="2174" t="s">
        <v>32</v>
      </c>
      <c r="AP6" s="2174" t="s">
        <v>33</v>
      </c>
      <c r="AQ6" s="2170" t="s">
        <v>34</v>
      </c>
      <c r="AR6" s="345"/>
      <c r="AS6" s="345"/>
      <c r="AT6" s="345"/>
      <c r="AU6" s="345"/>
      <c r="AV6" s="345"/>
      <c r="AW6" s="345"/>
      <c r="AX6" s="345"/>
      <c r="AY6" s="345"/>
      <c r="AZ6" s="345"/>
      <c r="BA6" s="345"/>
      <c r="BB6" s="345"/>
      <c r="BC6" s="345"/>
      <c r="BD6" s="345"/>
      <c r="BE6" s="345"/>
      <c r="BF6" s="345"/>
      <c r="BG6" s="345"/>
      <c r="BH6" s="345"/>
      <c r="BI6" s="345"/>
      <c r="BJ6" s="345"/>
      <c r="BK6" s="345"/>
    </row>
    <row r="7" spans="1:63" s="1360" customFormat="1" ht="129" customHeight="1">
      <c r="A7" s="2163"/>
      <c r="B7" s="2166"/>
      <c r="C7" s="2167"/>
      <c r="D7" s="2169"/>
      <c r="E7" s="2166"/>
      <c r="F7" s="2167"/>
      <c r="G7" s="2169"/>
      <c r="H7" s="2166"/>
      <c r="I7" s="2167"/>
      <c r="J7" s="2169"/>
      <c r="K7" s="2169"/>
      <c r="L7" s="2169"/>
      <c r="M7" s="2192"/>
      <c r="N7" s="2169"/>
      <c r="O7" s="2169"/>
      <c r="P7" s="2169"/>
      <c r="Q7" s="2187"/>
      <c r="R7" s="2189"/>
      <c r="S7" s="2169"/>
      <c r="T7" s="2169"/>
      <c r="U7" s="2169"/>
      <c r="V7" s="2191"/>
      <c r="W7" s="2163"/>
      <c r="X7" s="2169"/>
      <c r="Y7" s="356" t="s">
        <v>35</v>
      </c>
      <c r="Z7" s="1646" t="s">
        <v>36</v>
      </c>
      <c r="AA7" s="356" t="s">
        <v>37</v>
      </c>
      <c r="AB7" s="356" t="s">
        <v>137</v>
      </c>
      <c r="AC7" s="356" t="s">
        <v>138</v>
      </c>
      <c r="AD7" s="356" t="s">
        <v>139</v>
      </c>
      <c r="AE7" s="356" t="s">
        <v>41</v>
      </c>
      <c r="AF7" s="356" t="s">
        <v>42</v>
      </c>
      <c r="AG7" s="356" t="s">
        <v>43</v>
      </c>
      <c r="AH7" s="356" t="s">
        <v>44</v>
      </c>
      <c r="AI7" s="356" t="s">
        <v>45</v>
      </c>
      <c r="AJ7" s="356" t="s">
        <v>1913</v>
      </c>
      <c r="AK7" s="1647" t="s">
        <v>47</v>
      </c>
      <c r="AL7" s="1647" t="s">
        <v>48</v>
      </c>
      <c r="AM7" s="1647" t="s">
        <v>49</v>
      </c>
      <c r="AN7" s="2173"/>
      <c r="AO7" s="2175"/>
      <c r="AP7" s="2175"/>
      <c r="AQ7" s="2171"/>
      <c r="AR7" s="462"/>
      <c r="AS7" s="462"/>
      <c r="AT7" s="462"/>
      <c r="AU7" s="462"/>
      <c r="AV7" s="462"/>
      <c r="AW7" s="462"/>
      <c r="AX7" s="462"/>
      <c r="AY7" s="462"/>
      <c r="AZ7" s="462"/>
      <c r="BA7" s="462"/>
      <c r="BB7" s="462"/>
      <c r="BC7" s="462"/>
      <c r="BD7" s="462"/>
      <c r="BE7" s="462"/>
      <c r="BF7" s="462"/>
      <c r="BG7" s="462"/>
      <c r="BH7" s="462"/>
      <c r="BI7" s="462"/>
      <c r="BJ7" s="462"/>
      <c r="BK7" s="462"/>
    </row>
    <row r="8" spans="1:63" ht="15.75" customHeight="1">
      <c r="A8" s="1484">
        <v>5</v>
      </c>
      <c r="B8" s="2176" t="s">
        <v>52</v>
      </c>
      <c r="C8" s="2176"/>
      <c r="D8" s="2176"/>
      <c r="E8" s="2176"/>
      <c r="F8" s="2176"/>
      <c r="G8" s="2176"/>
      <c r="H8" s="2176"/>
      <c r="I8" s="2176"/>
      <c r="J8" s="2176"/>
      <c r="K8" s="2176"/>
      <c r="L8" s="360"/>
      <c r="M8" s="360"/>
      <c r="N8" s="360"/>
      <c r="O8" s="366"/>
      <c r="P8" s="360"/>
      <c r="Q8" s="1485"/>
      <c r="R8" s="364"/>
      <c r="S8" s="360"/>
      <c r="T8" s="360"/>
      <c r="U8" s="1486"/>
      <c r="V8" s="1487"/>
      <c r="W8" s="365"/>
      <c r="X8" s="366"/>
      <c r="Y8" s="358"/>
      <c r="Z8" s="358"/>
      <c r="AA8" s="358"/>
      <c r="AB8" s="358"/>
      <c r="AC8" s="358"/>
      <c r="AD8" s="358"/>
      <c r="AE8" s="358"/>
      <c r="AF8" s="358"/>
      <c r="AG8" s="358"/>
      <c r="AH8" s="358"/>
      <c r="AI8" s="358"/>
      <c r="AJ8" s="358"/>
      <c r="AK8" s="358"/>
      <c r="AL8" s="358"/>
      <c r="AM8" s="358"/>
      <c r="AN8" s="358"/>
      <c r="AO8" s="1361"/>
      <c r="AP8" s="1361"/>
      <c r="AQ8" s="1488"/>
      <c r="AR8" s="345"/>
      <c r="AS8" s="345"/>
      <c r="AT8" s="345"/>
      <c r="AU8" s="345"/>
      <c r="AV8" s="345"/>
      <c r="AW8" s="345"/>
      <c r="AX8" s="345"/>
      <c r="AY8" s="345"/>
      <c r="AZ8" s="345"/>
      <c r="BA8" s="345"/>
      <c r="BB8" s="345"/>
      <c r="BC8" s="345"/>
      <c r="BD8" s="345"/>
      <c r="BE8" s="345"/>
      <c r="BF8" s="345"/>
      <c r="BG8" s="345"/>
      <c r="BH8" s="345"/>
      <c r="BI8" s="345"/>
      <c r="BJ8" s="345"/>
      <c r="BK8" s="345"/>
    </row>
    <row r="9" spans="1:43" s="345" customFormat="1" ht="23.25" customHeight="1">
      <c r="A9" s="1489"/>
      <c r="B9" s="1490"/>
      <c r="C9" s="1491"/>
      <c r="D9" s="1492">
        <v>26</v>
      </c>
      <c r="E9" s="2177" t="s">
        <v>186</v>
      </c>
      <c r="F9" s="2177"/>
      <c r="G9" s="2177"/>
      <c r="H9" s="2177"/>
      <c r="I9" s="2177"/>
      <c r="J9" s="2177"/>
      <c r="K9" s="2177"/>
      <c r="L9" s="374"/>
      <c r="M9" s="374"/>
      <c r="N9" s="374"/>
      <c r="O9" s="380"/>
      <c r="P9" s="374"/>
      <c r="Q9" s="1493"/>
      <c r="R9" s="378"/>
      <c r="S9" s="374"/>
      <c r="T9" s="374"/>
      <c r="U9" s="1494"/>
      <c r="V9" s="1495"/>
      <c r="W9" s="379"/>
      <c r="X9" s="380"/>
      <c r="Y9" s="373"/>
      <c r="Z9" s="373"/>
      <c r="AA9" s="373"/>
      <c r="AB9" s="373"/>
      <c r="AC9" s="373"/>
      <c r="AD9" s="373"/>
      <c r="AE9" s="373"/>
      <c r="AF9" s="373"/>
      <c r="AG9" s="373"/>
      <c r="AH9" s="373"/>
      <c r="AI9" s="373"/>
      <c r="AJ9" s="373"/>
      <c r="AK9" s="373"/>
      <c r="AL9" s="373"/>
      <c r="AM9" s="373"/>
      <c r="AN9" s="373"/>
      <c r="AO9" s="1362"/>
      <c r="AP9" s="1362"/>
      <c r="AQ9" s="1496"/>
    </row>
    <row r="10" spans="1:43" s="345" customFormat="1" ht="15.75" customHeight="1">
      <c r="A10" s="1497"/>
      <c r="B10" s="1498"/>
      <c r="C10" s="1498"/>
      <c r="D10" s="1499"/>
      <c r="E10" s="1490"/>
      <c r="F10" s="1491"/>
      <c r="G10" s="1500">
        <v>83</v>
      </c>
      <c r="H10" s="2194" t="s">
        <v>1914</v>
      </c>
      <c r="I10" s="2194"/>
      <c r="J10" s="2194"/>
      <c r="K10" s="2194"/>
      <c r="L10" s="388"/>
      <c r="M10" s="388"/>
      <c r="N10" s="388"/>
      <c r="O10" s="395"/>
      <c r="P10" s="388"/>
      <c r="Q10" s="1501"/>
      <c r="R10" s="1502"/>
      <c r="S10" s="388"/>
      <c r="T10" s="388"/>
      <c r="U10" s="1503"/>
      <c r="V10" s="1504"/>
      <c r="W10" s="394"/>
      <c r="X10" s="395"/>
      <c r="Y10" s="387"/>
      <c r="Z10" s="387"/>
      <c r="AA10" s="387"/>
      <c r="AB10" s="387"/>
      <c r="AC10" s="387"/>
      <c r="AD10" s="387"/>
      <c r="AE10" s="387"/>
      <c r="AF10" s="387"/>
      <c r="AG10" s="387"/>
      <c r="AH10" s="387"/>
      <c r="AI10" s="387"/>
      <c r="AJ10" s="387"/>
      <c r="AK10" s="387"/>
      <c r="AL10" s="387"/>
      <c r="AM10" s="387"/>
      <c r="AN10" s="387"/>
      <c r="AO10" s="1363"/>
      <c r="AP10" s="1363"/>
      <c r="AQ10" s="1505"/>
    </row>
    <row r="11" spans="1:43" ht="98.25" customHeight="1">
      <c r="A11" s="1506"/>
      <c r="B11" s="1507"/>
      <c r="C11" s="1507"/>
      <c r="D11" s="1508"/>
      <c r="E11" s="1507"/>
      <c r="F11" s="1509"/>
      <c r="G11" s="1510"/>
      <c r="H11" s="1507"/>
      <c r="I11" s="1507"/>
      <c r="J11" s="2122">
        <v>246</v>
      </c>
      <c r="K11" s="2123" t="s">
        <v>1915</v>
      </c>
      <c r="L11" s="2123" t="s">
        <v>1916</v>
      </c>
      <c r="M11" s="2122">
        <v>13</v>
      </c>
      <c r="N11" s="2123" t="s">
        <v>1917</v>
      </c>
      <c r="O11" s="2122" t="s">
        <v>1918</v>
      </c>
      <c r="P11" s="2123" t="s">
        <v>1919</v>
      </c>
      <c r="Q11" s="2193">
        <v>1</v>
      </c>
      <c r="R11" s="2195">
        <f>SUM(V11:V18)</f>
        <v>18000000</v>
      </c>
      <c r="S11" s="2098" t="s">
        <v>1920</v>
      </c>
      <c r="T11" s="1511" t="s">
        <v>1921</v>
      </c>
      <c r="U11" s="1512" t="s">
        <v>1922</v>
      </c>
      <c r="V11" s="1513">
        <v>0</v>
      </c>
      <c r="W11" s="2196">
        <v>20</v>
      </c>
      <c r="X11" s="2198" t="s">
        <v>80</v>
      </c>
      <c r="Y11" s="2201">
        <v>282326</v>
      </c>
      <c r="Z11" s="2203">
        <v>292684</v>
      </c>
      <c r="AA11" s="2201">
        <v>135912</v>
      </c>
      <c r="AB11" s="2201">
        <v>45122</v>
      </c>
      <c r="AC11" s="2201">
        <v>307101</v>
      </c>
      <c r="AD11" s="2201">
        <v>86875</v>
      </c>
      <c r="AE11" s="2201">
        <v>2145</v>
      </c>
      <c r="AF11" s="2201">
        <v>12718</v>
      </c>
      <c r="AG11" s="2201">
        <v>26</v>
      </c>
      <c r="AH11" s="2201">
        <v>37</v>
      </c>
      <c r="AI11" s="2201"/>
      <c r="AJ11" s="2201"/>
      <c r="AK11" s="2201">
        <v>43029</v>
      </c>
      <c r="AL11" s="2201">
        <v>16982</v>
      </c>
      <c r="AM11" s="2201">
        <v>60013</v>
      </c>
      <c r="AN11" s="2201">
        <v>575010</v>
      </c>
      <c r="AO11" s="2197">
        <v>43102</v>
      </c>
      <c r="AP11" s="2197">
        <v>43465</v>
      </c>
      <c r="AQ11" s="2198" t="s">
        <v>1923</v>
      </c>
    </row>
    <row r="12" spans="1:43" ht="69.75" customHeight="1">
      <c r="A12" s="1506"/>
      <c r="B12" s="1507"/>
      <c r="C12" s="1507"/>
      <c r="D12" s="1508"/>
      <c r="E12" s="1507"/>
      <c r="F12" s="1509"/>
      <c r="G12" s="1508"/>
      <c r="H12" s="1507"/>
      <c r="I12" s="1507"/>
      <c r="J12" s="2122"/>
      <c r="K12" s="2123"/>
      <c r="L12" s="2123"/>
      <c r="M12" s="2122"/>
      <c r="N12" s="2123"/>
      <c r="O12" s="2122"/>
      <c r="P12" s="2123"/>
      <c r="Q12" s="2193"/>
      <c r="R12" s="2195"/>
      <c r="S12" s="2127"/>
      <c r="T12" s="2098" t="s">
        <v>1924</v>
      </c>
      <c r="U12" s="1512" t="s">
        <v>1925</v>
      </c>
      <c r="V12" s="1513"/>
      <c r="W12" s="2196"/>
      <c r="X12" s="2198"/>
      <c r="Y12" s="2201"/>
      <c r="Z12" s="2203"/>
      <c r="AA12" s="2201"/>
      <c r="AB12" s="2201"/>
      <c r="AC12" s="2201"/>
      <c r="AD12" s="2201"/>
      <c r="AE12" s="2201"/>
      <c r="AF12" s="2201"/>
      <c r="AG12" s="2201"/>
      <c r="AH12" s="2201"/>
      <c r="AI12" s="2201"/>
      <c r="AJ12" s="2201"/>
      <c r="AK12" s="2201"/>
      <c r="AL12" s="2201"/>
      <c r="AM12" s="2201"/>
      <c r="AN12" s="2201"/>
      <c r="AO12" s="2197"/>
      <c r="AP12" s="2197"/>
      <c r="AQ12" s="2198"/>
    </row>
    <row r="13" spans="1:43" ht="54.75" customHeight="1">
      <c r="A13" s="1506"/>
      <c r="B13" s="1507"/>
      <c r="C13" s="1507"/>
      <c r="D13" s="1508"/>
      <c r="E13" s="1507"/>
      <c r="F13" s="1509"/>
      <c r="G13" s="1508"/>
      <c r="H13" s="1507"/>
      <c r="I13" s="1507"/>
      <c r="J13" s="2122"/>
      <c r="K13" s="2123"/>
      <c r="L13" s="2123"/>
      <c r="M13" s="2122"/>
      <c r="N13" s="2123"/>
      <c r="O13" s="2122"/>
      <c r="P13" s="2123"/>
      <c r="Q13" s="2193"/>
      <c r="R13" s="2195"/>
      <c r="S13" s="2127"/>
      <c r="T13" s="2127"/>
      <c r="U13" s="1512" t="s">
        <v>1926</v>
      </c>
      <c r="V13" s="1513">
        <v>4050000</v>
      </c>
      <c r="W13" s="2196"/>
      <c r="X13" s="2198"/>
      <c r="Y13" s="2201"/>
      <c r="Z13" s="2203"/>
      <c r="AA13" s="2201"/>
      <c r="AB13" s="2201"/>
      <c r="AC13" s="2201"/>
      <c r="AD13" s="2201"/>
      <c r="AE13" s="2201"/>
      <c r="AF13" s="2201"/>
      <c r="AG13" s="2201"/>
      <c r="AH13" s="2201"/>
      <c r="AI13" s="2201"/>
      <c r="AJ13" s="2201"/>
      <c r="AK13" s="2201"/>
      <c r="AL13" s="2201"/>
      <c r="AM13" s="2201"/>
      <c r="AN13" s="2201"/>
      <c r="AO13" s="2197"/>
      <c r="AP13" s="2197"/>
      <c r="AQ13" s="2198"/>
    </row>
    <row r="14" spans="1:43" ht="39.75" customHeight="1">
      <c r="A14" s="1506"/>
      <c r="B14" s="1507"/>
      <c r="C14" s="1507"/>
      <c r="D14" s="1508"/>
      <c r="E14" s="1507"/>
      <c r="F14" s="1509"/>
      <c r="G14" s="1508"/>
      <c r="H14" s="1507"/>
      <c r="I14" s="1507"/>
      <c r="J14" s="2122"/>
      <c r="K14" s="2123"/>
      <c r="L14" s="2123"/>
      <c r="M14" s="2122"/>
      <c r="N14" s="2123"/>
      <c r="O14" s="2122"/>
      <c r="P14" s="2123"/>
      <c r="Q14" s="2193"/>
      <c r="R14" s="2195"/>
      <c r="S14" s="2127"/>
      <c r="T14" s="2127"/>
      <c r="U14" s="1514" t="s">
        <v>1927</v>
      </c>
      <c r="V14" s="1513">
        <v>4500000</v>
      </c>
      <c r="W14" s="2196"/>
      <c r="X14" s="2198"/>
      <c r="Y14" s="2201"/>
      <c r="Z14" s="2203"/>
      <c r="AA14" s="2201"/>
      <c r="AB14" s="2201"/>
      <c r="AC14" s="2201"/>
      <c r="AD14" s="2201"/>
      <c r="AE14" s="2201"/>
      <c r="AF14" s="2201"/>
      <c r="AG14" s="2201"/>
      <c r="AH14" s="2201"/>
      <c r="AI14" s="2201"/>
      <c r="AJ14" s="2201"/>
      <c r="AK14" s="2201"/>
      <c r="AL14" s="2201"/>
      <c r="AM14" s="2201"/>
      <c r="AN14" s="2201"/>
      <c r="AO14" s="2197"/>
      <c r="AP14" s="2197"/>
      <c r="AQ14" s="2198"/>
    </row>
    <row r="15" spans="1:43" ht="39.75" customHeight="1">
      <c r="A15" s="1506"/>
      <c r="B15" s="1507"/>
      <c r="C15" s="1507"/>
      <c r="D15" s="1508"/>
      <c r="E15" s="1507"/>
      <c r="F15" s="1509"/>
      <c r="G15" s="1508"/>
      <c r="H15" s="1507"/>
      <c r="I15" s="1507"/>
      <c r="J15" s="2122"/>
      <c r="K15" s="2123"/>
      <c r="L15" s="2123"/>
      <c r="M15" s="2122"/>
      <c r="N15" s="2123"/>
      <c r="O15" s="2122"/>
      <c r="P15" s="2123"/>
      <c r="Q15" s="2193"/>
      <c r="R15" s="2195"/>
      <c r="S15" s="2127"/>
      <c r="T15" s="2127"/>
      <c r="U15" s="1514" t="s">
        <v>1928</v>
      </c>
      <c r="V15" s="1513">
        <v>3840000</v>
      </c>
      <c r="W15" s="2196"/>
      <c r="X15" s="2198"/>
      <c r="Y15" s="2201"/>
      <c r="Z15" s="2203"/>
      <c r="AA15" s="2201"/>
      <c r="AB15" s="2201"/>
      <c r="AC15" s="2201"/>
      <c r="AD15" s="2201"/>
      <c r="AE15" s="2201"/>
      <c r="AF15" s="2201"/>
      <c r="AG15" s="2201"/>
      <c r="AH15" s="2201"/>
      <c r="AI15" s="2201"/>
      <c r="AJ15" s="2201"/>
      <c r="AK15" s="2201"/>
      <c r="AL15" s="2201"/>
      <c r="AM15" s="2201"/>
      <c r="AN15" s="2201"/>
      <c r="AO15" s="2197"/>
      <c r="AP15" s="2197"/>
      <c r="AQ15" s="2198"/>
    </row>
    <row r="16" spans="1:43" ht="39.75" customHeight="1">
      <c r="A16" s="1506"/>
      <c r="B16" s="1507"/>
      <c r="C16" s="1507"/>
      <c r="D16" s="1508"/>
      <c r="E16" s="1507"/>
      <c r="F16" s="1509"/>
      <c r="G16" s="1508"/>
      <c r="H16" s="1507"/>
      <c r="I16" s="1507"/>
      <c r="J16" s="2122"/>
      <c r="K16" s="2123"/>
      <c r="L16" s="2123"/>
      <c r="M16" s="2122"/>
      <c r="N16" s="2123"/>
      <c r="O16" s="2122"/>
      <c r="P16" s="2123"/>
      <c r="Q16" s="2193"/>
      <c r="R16" s="2195"/>
      <c r="S16" s="2127"/>
      <c r="T16" s="2127"/>
      <c r="U16" s="1514" t="s">
        <v>1929</v>
      </c>
      <c r="V16" s="1513">
        <v>3450000</v>
      </c>
      <c r="W16" s="2196"/>
      <c r="X16" s="2198"/>
      <c r="Y16" s="2201"/>
      <c r="Z16" s="2203"/>
      <c r="AA16" s="2201"/>
      <c r="AB16" s="2201"/>
      <c r="AC16" s="2201"/>
      <c r="AD16" s="2201"/>
      <c r="AE16" s="2201"/>
      <c r="AF16" s="2201"/>
      <c r="AG16" s="2201"/>
      <c r="AH16" s="2201"/>
      <c r="AI16" s="2201"/>
      <c r="AJ16" s="2201"/>
      <c r="AK16" s="2201"/>
      <c r="AL16" s="2201"/>
      <c r="AM16" s="2201"/>
      <c r="AN16" s="2201"/>
      <c r="AO16" s="2197"/>
      <c r="AP16" s="2197"/>
      <c r="AQ16" s="2198"/>
    </row>
    <row r="17" spans="1:43" ht="39.75" customHeight="1">
      <c r="A17" s="1506"/>
      <c r="B17" s="1507"/>
      <c r="C17" s="1507"/>
      <c r="D17" s="1508"/>
      <c r="E17" s="1507"/>
      <c r="F17" s="1509"/>
      <c r="G17" s="1508"/>
      <c r="H17" s="1507"/>
      <c r="I17" s="1507"/>
      <c r="J17" s="2122"/>
      <c r="K17" s="2123"/>
      <c r="L17" s="2123"/>
      <c r="M17" s="2122"/>
      <c r="N17" s="2123"/>
      <c r="O17" s="2122"/>
      <c r="P17" s="2123"/>
      <c r="Q17" s="2193"/>
      <c r="R17" s="2195"/>
      <c r="S17" s="2127"/>
      <c r="T17" s="2098" t="s">
        <v>1930</v>
      </c>
      <c r="U17" s="1515" t="s">
        <v>1931</v>
      </c>
      <c r="V17" s="1513">
        <v>1500000</v>
      </c>
      <c r="W17" s="2196"/>
      <c r="X17" s="2198"/>
      <c r="Y17" s="2201"/>
      <c r="Z17" s="2203"/>
      <c r="AA17" s="2201"/>
      <c r="AB17" s="2201"/>
      <c r="AC17" s="2201"/>
      <c r="AD17" s="2201"/>
      <c r="AE17" s="2201"/>
      <c r="AF17" s="2201"/>
      <c r="AG17" s="2201"/>
      <c r="AH17" s="2201"/>
      <c r="AI17" s="2201"/>
      <c r="AJ17" s="2201"/>
      <c r="AK17" s="2201"/>
      <c r="AL17" s="2201"/>
      <c r="AM17" s="2201"/>
      <c r="AN17" s="2201"/>
      <c r="AO17" s="2197"/>
      <c r="AP17" s="2197"/>
      <c r="AQ17" s="2198"/>
    </row>
    <row r="18" spans="1:43" ht="99.75" customHeight="1">
      <c r="A18" s="1506"/>
      <c r="B18" s="1507"/>
      <c r="C18" s="1507"/>
      <c r="D18" s="1508"/>
      <c r="E18" s="1507"/>
      <c r="F18" s="1509"/>
      <c r="G18" s="1508"/>
      <c r="H18" s="1507"/>
      <c r="I18" s="1507"/>
      <c r="J18" s="2122"/>
      <c r="K18" s="2123"/>
      <c r="L18" s="2123"/>
      <c r="M18" s="2122"/>
      <c r="N18" s="2123"/>
      <c r="O18" s="2122"/>
      <c r="P18" s="2123"/>
      <c r="Q18" s="2193"/>
      <c r="R18" s="2195"/>
      <c r="S18" s="2127"/>
      <c r="T18" s="2127"/>
      <c r="U18" s="1515" t="s">
        <v>1932</v>
      </c>
      <c r="V18" s="1513">
        <v>660000</v>
      </c>
      <c r="W18" s="2196"/>
      <c r="X18" s="2198"/>
      <c r="Y18" s="2201"/>
      <c r="Z18" s="2203"/>
      <c r="AA18" s="2201"/>
      <c r="AB18" s="2201"/>
      <c r="AC18" s="2201"/>
      <c r="AD18" s="2201"/>
      <c r="AE18" s="2201"/>
      <c r="AF18" s="2201"/>
      <c r="AG18" s="2201"/>
      <c r="AH18" s="2201"/>
      <c r="AI18" s="2201"/>
      <c r="AJ18" s="2201"/>
      <c r="AK18" s="2201"/>
      <c r="AL18" s="2201"/>
      <c r="AM18" s="2201"/>
      <c r="AN18" s="2201"/>
      <c r="AO18" s="2197"/>
      <c r="AP18" s="2197"/>
      <c r="AQ18" s="2198"/>
    </row>
    <row r="19" spans="1:43" ht="39.75" customHeight="1">
      <c r="A19" s="1516"/>
      <c r="B19" s="457"/>
      <c r="C19" s="457"/>
      <c r="D19" s="1517"/>
      <c r="E19" s="457"/>
      <c r="F19" s="1518"/>
      <c r="G19" s="1500">
        <v>84</v>
      </c>
      <c r="H19" s="2194" t="s">
        <v>1933</v>
      </c>
      <c r="I19" s="2194"/>
      <c r="J19" s="2194"/>
      <c r="K19" s="2194"/>
      <c r="L19" s="388"/>
      <c r="M19" s="395"/>
      <c r="N19" s="388"/>
      <c r="O19" s="395"/>
      <c r="P19" s="388"/>
      <c r="Q19" s="1501"/>
      <c r="R19" s="1519"/>
      <c r="S19" s="388"/>
      <c r="T19" s="1520"/>
      <c r="U19" s="1503"/>
      <c r="V19" s="1521"/>
      <c r="W19" s="1522"/>
      <c r="X19" s="390"/>
      <c r="Y19" s="1523"/>
      <c r="Z19" s="1524"/>
      <c r="AA19" s="1523"/>
      <c r="AB19" s="1523"/>
      <c r="AC19" s="1523"/>
      <c r="AD19" s="1523"/>
      <c r="AE19" s="1523"/>
      <c r="AF19" s="1523"/>
      <c r="AG19" s="1523"/>
      <c r="AH19" s="1523"/>
      <c r="AI19" s="1523"/>
      <c r="AJ19" s="1523"/>
      <c r="AK19" s="1523"/>
      <c r="AL19" s="1523"/>
      <c r="AM19" s="1523"/>
      <c r="AN19" s="1523"/>
      <c r="AO19" s="1525"/>
      <c r="AP19" s="1526"/>
      <c r="AQ19" s="1527"/>
    </row>
    <row r="20" spans="1:43" ht="39.75" customHeight="1">
      <c r="A20" s="1528"/>
      <c r="D20" s="1529"/>
      <c r="G20" s="1529"/>
      <c r="J20" s="2122">
        <v>248</v>
      </c>
      <c r="K20" s="2123" t="s">
        <v>1934</v>
      </c>
      <c r="L20" s="2123" t="s">
        <v>1935</v>
      </c>
      <c r="M20" s="2199">
        <v>12</v>
      </c>
      <c r="N20" s="2200" t="s">
        <v>1936</v>
      </c>
      <c r="O20" s="2122" t="s">
        <v>1937</v>
      </c>
      <c r="P20" s="2123" t="s">
        <v>1938</v>
      </c>
      <c r="Q20" s="2205">
        <v>1</v>
      </c>
      <c r="R20" s="2206">
        <f>SUM(V20:V27)</f>
        <v>29000000</v>
      </c>
      <c r="S20" s="2202" t="s">
        <v>1939</v>
      </c>
      <c r="T20" s="2123" t="s">
        <v>1940</v>
      </c>
      <c r="U20" s="1371" t="s">
        <v>1941</v>
      </c>
      <c r="V20" s="1513">
        <v>500000</v>
      </c>
      <c r="W20" s="2196">
        <v>20</v>
      </c>
      <c r="X20" s="2198" t="s">
        <v>1942</v>
      </c>
      <c r="Y20" s="2201">
        <v>282326</v>
      </c>
      <c r="Z20" s="2203">
        <v>292684</v>
      </c>
      <c r="AA20" s="2201">
        <v>135912</v>
      </c>
      <c r="AB20" s="2201">
        <v>45122</v>
      </c>
      <c r="AC20" s="2201">
        <v>307101</v>
      </c>
      <c r="AD20" s="2201">
        <v>86875</v>
      </c>
      <c r="AE20" s="2201">
        <v>2145</v>
      </c>
      <c r="AF20" s="2201">
        <v>12718</v>
      </c>
      <c r="AG20" s="2201">
        <v>26</v>
      </c>
      <c r="AH20" s="2201">
        <v>37</v>
      </c>
      <c r="AI20" s="2201"/>
      <c r="AJ20" s="2201"/>
      <c r="AK20" s="2201">
        <v>43029</v>
      </c>
      <c r="AL20" s="2201">
        <v>16982</v>
      </c>
      <c r="AM20" s="2201">
        <v>60013</v>
      </c>
      <c r="AN20" s="2201">
        <f>Y20+Z20</f>
        <v>575010</v>
      </c>
      <c r="AO20" s="2197">
        <v>43102</v>
      </c>
      <c r="AP20" s="2197">
        <v>43465</v>
      </c>
      <c r="AQ20" s="2198" t="s">
        <v>1923</v>
      </c>
    </row>
    <row r="21" spans="1:43" ht="39.75" customHeight="1">
      <c r="A21" s="1528"/>
      <c r="D21" s="1529"/>
      <c r="G21" s="1529"/>
      <c r="J21" s="2122"/>
      <c r="K21" s="2123"/>
      <c r="L21" s="2123"/>
      <c r="M21" s="2199"/>
      <c r="N21" s="2200"/>
      <c r="O21" s="2122"/>
      <c r="P21" s="2123"/>
      <c r="Q21" s="2205"/>
      <c r="R21" s="2206"/>
      <c r="S21" s="2202"/>
      <c r="T21" s="2123"/>
      <c r="U21" s="1371" t="s">
        <v>1943</v>
      </c>
      <c r="V21" s="1513">
        <v>500000</v>
      </c>
      <c r="W21" s="2196"/>
      <c r="X21" s="2198"/>
      <c r="Y21" s="2201"/>
      <c r="Z21" s="2203"/>
      <c r="AA21" s="2201"/>
      <c r="AB21" s="2201"/>
      <c r="AC21" s="2201"/>
      <c r="AD21" s="2201"/>
      <c r="AE21" s="2201"/>
      <c r="AF21" s="2201"/>
      <c r="AG21" s="2201"/>
      <c r="AH21" s="2201"/>
      <c r="AI21" s="2201"/>
      <c r="AJ21" s="2201"/>
      <c r="AK21" s="2201"/>
      <c r="AL21" s="2201"/>
      <c r="AM21" s="2201"/>
      <c r="AN21" s="2201"/>
      <c r="AO21" s="2197"/>
      <c r="AP21" s="2197"/>
      <c r="AQ21" s="2198"/>
    </row>
    <row r="22" spans="1:43" ht="39.75" customHeight="1">
      <c r="A22" s="1528"/>
      <c r="D22" s="1529"/>
      <c r="G22" s="1529"/>
      <c r="J22" s="2122"/>
      <c r="K22" s="2123"/>
      <c r="L22" s="2123"/>
      <c r="M22" s="2199"/>
      <c r="N22" s="2200"/>
      <c r="O22" s="2122"/>
      <c r="P22" s="2123"/>
      <c r="Q22" s="2205"/>
      <c r="R22" s="2206"/>
      <c r="S22" s="2202"/>
      <c r="T22" s="2123"/>
      <c r="U22" s="1371" t="s">
        <v>1944</v>
      </c>
      <c r="V22" s="1513">
        <v>1000000</v>
      </c>
      <c r="W22" s="2196"/>
      <c r="X22" s="2198"/>
      <c r="Y22" s="2201"/>
      <c r="Z22" s="2203"/>
      <c r="AA22" s="2201"/>
      <c r="AB22" s="2201"/>
      <c r="AC22" s="2201"/>
      <c r="AD22" s="2201"/>
      <c r="AE22" s="2201"/>
      <c r="AF22" s="2201"/>
      <c r="AG22" s="2201"/>
      <c r="AH22" s="2201"/>
      <c r="AI22" s="2201"/>
      <c r="AJ22" s="2201"/>
      <c r="AK22" s="2201"/>
      <c r="AL22" s="2201"/>
      <c r="AM22" s="2201"/>
      <c r="AN22" s="2201"/>
      <c r="AO22" s="2197"/>
      <c r="AP22" s="2197"/>
      <c r="AQ22" s="2198"/>
    </row>
    <row r="23" spans="1:43" ht="39.75" customHeight="1">
      <c r="A23" s="1528"/>
      <c r="D23" s="1529"/>
      <c r="G23" s="1529"/>
      <c r="J23" s="2122"/>
      <c r="K23" s="2123"/>
      <c r="L23" s="2123"/>
      <c r="M23" s="2199"/>
      <c r="N23" s="2200"/>
      <c r="O23" s="2122"/>
      <c r="P23" s="2123"/>
      <c r="Q23" s="2205"/>
      <c r="R23" s="2206"/>
      <c r="S23" s="2202"/>
      <c r="T23" s="2123"/>
      <c r="U23" s="1371" t="s">
        <v>1945</v>
      </c>
      <c r="V23" s="1513">
        <v>500000</v>
      </c>
      <c r="W23" s="2196"/>
      <c r="X23" s="2198"/>
      <c r="Y23" s="2201"/>
      <c r="Z23" s="2203"/>
      <c r="AA23" s="2201"/>
      <c r="AB23" s="2201"/>
      <c r="AC23" s="2201"/>
      <c r="AD23" s="2201"/>
      <c r="AE23" s="2201"/>
      <c r="AF23" s="2201"/>
      <c r="AG23" s="2201"/>
      <c r="AH23" s="2201"/>
      <c r="AI23" s="2201"/>
      <c r="AJ23" s="2201"/>
      <c r="AK23" s="2201"/>
      <c r="AL23" s="2201"/>
      <c r="AM23" s="2201"/>
      <c r="AN23" s="2201"/>
      <c r="AO23" s="2197"/>
      <c r="AP23" s="2197"/>
      <c r="AQ23" s="2198"/>
    </row>
    <row r="24" spans="1:43" ht="39.75" customHeight="1">
      <c r="A24" s="1528"/>
      <c r="D24" s="1529"/>
      <c r="G24" s="1529"/>
      <c r="J24" s="2122"/>
      <c r="K24" s="2123"/>
      <c r="L24" s="2123"/>
      <c r="M24" s="2199"/>
      <c r="N24" s="2200"/>
      <c r="O24" s="2122"/>
      <c r="P24" s="2123"/>
      <c r="Q24" s="2205"/>
      <c r="R24" s="2206"/>
      <c r="S24" s="2202"/>
      <c r="T24" s="2123"/>
      <c r="U24" s="1371" t="s">
        <v>1946</v>
      </c>
      <c r="V24" s="1513">
        <v>500000</v>
      </c>
      <c r="W24" s="2196"/>
      <c r="X24" s="2198"/>
      <c r="Y24" s="2201"/>
      <c r="Z24" s="2203"/>
      <c r="AA24" s="2201"/>
      <c r="AB24" s="2201"/>
      <c r="AC24" s="2201"/>
      <c r="AD24" s="2201"/>
      <c r="AE24" s="2201"/>
      <c r="AF24" s="2201"/>
      <c r="AG24" s="2201"/>
      <c r="AH24" s="2201"/>
      <c r="AI24" s="2201"/>
      <c r="AJ24" s="2201"/>
      <c r="AK24" s="2201"/>
      <c r="AL24" s="2201"/>
      <c r="AM24" s="2201"/>
      <c r="AN24" s="2201"/>
      <c r="AO24" s="2197"/>
      <c r="AP24" s="2197"/>
      <c r="AQ24" s="2198"/>
    </row>
    <row r="25" spans="1:43" ht="117" customHeight="1">
      <c r="A25" s="1528"/>
      <c r="D25" s="1529"/>
      <c r="G25" s="1529"/>
      <c r="J25" s="2122"/>
      <c r="K25" s="2123"/>
      <c r="L25" s="2123"/>
      <c r="M25" s="2199"/>
      <c r="N25" s="2200"/>
      <c r="O25" s="2122"/>
      <c r="P25" s="2123"/>
      <c r="Q25" s="2205"/>
      <c r="R25" s="2206"/>
      <c r="S25" s="2202"/>
      <c r="T25" s="77" t="s">
        <v>1947</v>
      </c>
      <c r="U25" s="77" t="s">
        <v>1948</v>
      </c>
      <c r="V25" s="1513">
        <v>15000000</v>
      </c>
      <c r="W25" s="2196"/>
      <c r="X25" s="2198"/>
      <c r="Y25" s="2201"/>
      <c r="Z25" s="2203"/>
      <c r="AA25" s="2201"/>
      <c r="AB25" s="2201"/>
      <c r="AC25" s="2201"/>
      <c r="AD25" s="2201"/>
      <c r="AE25" s="2201"/>
      <c r="AF25" s="2201"/>
      <c r="AG25" s="2201"/>
      <c r="AH25" s="2201"/>
      <c r="AI25" s="2201"/>
      <c r="AJ25" s="2201"/>
      <c r="AK25" s="2201"/>
      <c r="AL25" s="2201"/>
      <c r="AM25" s="2201"/>
      <c r="AN25" s="2201"/>
      <c r="AO25" s="2197"/>
      <c r="AP25" s="2197"/>
      <c r="AQ25" s="2198"/>
    </row>
    <row r="26" spans="1:43" ht="39.75" customHeight="1">
      <c r="A26" s="1528"/>
      <c r="D26" s="1529"/>
      <c r="G26" s="1529"/>
      <c r="J26" s="2122"/>
      <c r="K26" s="2123"/>
      <c r="L26" s="2123"/>
      <c r="M26" s="2199"/>
      <c r="N26" s="2200"/>
      <c r="O26" s="2122"/>
      <c r="P26" s="2123"/>
      <c r="Q26" s="2205"/>
      <c r="R26" s="2206"/>
      <c r="S26" s="2202"/>
      <c r="T26" s="2123" t="s">
        <v>1949</v>
      </c>
      <c r="U26" s="1371" t="s">
        <v>1950</v>
      </c>
      <c r="V26" s="1513">
        <v>3500000</v>
      </c>
      <c r="W26" s="2196"/>
      <c r="X26" s="2198"/>
      <c r="Y26" s="2201"/>
      <c r="Z26" s="2203"/>
      <c r="AA26" s="2201"/>
      <c r="AB26" s="2201"/>
      <c r="AC26" s="2201"/>
      <c r="AD26" s="2201"/>
      <c r="AE26" s="2201"/>
      <c r="AF26" s="2201"/>
      <c r="AG26" s="2201"/>
      <c r="AH26" s="2201"/>
      <c r="AI26" s="2201"/>
      <c r="AJ26" s="2201"/>
      <c r="AK26" s="2201"/>
      <c r="AL26" s="2201"/>
      <c r="AM26" s="2201"/>
      <c r="AN26" s="2201"/>
      <c r="AO26" s="2197"/>
      <c r="AP26" s="2197"/>
      <c r="AQ26" s="2198"/>
    </row>
    <row r="27" spans="1:43" ht="87.75" customHeight="1">
      <c r="A27" s="1528"/>
      <c r="D27" s="1529"/>
      <c r="G27" s="1530"/>
      <c r="J27" s="2122"/>
      <c r="K27" s="2123"/>
      <c r="L27" s="2123"/>
      <c r="M27" s="2199"/>
      <c r="N27" s="2200"/>
      <c r="O27" s="2122"/>
      <c r="P27" s="2123"/>
      <c r="Q27" s="2205"/>
      <c r="R27" s="2206"/>
      <c r="S27" s="2202"/>
      <c r="T27" s="2123"/>
      <c r="U27" s="1371" t="s">
        <v>1951</v>
      </c>
      <c r="V27" s="1513">
        <v>7500000</v>
      </c>
      <c r="W27" s="2196"/>
      <c r="X27" s="2198"/>
      <c r="Y27" s="2201"/>
      <c r="Z27" s="2203"/>
      <c r="AA27" s="2201"/>
      <c r="AB27" s="2201"/>
      <c r="AC27" s="2201"/>
      <c r="AD27" s="2201"/>
      <c r="AE27" s="2201"/>
      <c r="AF27" s="2201"/>
      <c r="AG27" s="2201"/>
      <c r="AH27" s="2201"/>
      <c r="AI27" s="2201"/>
      <c r="AJ27" s="2201"/>
      <c r="AK27" s="2201"/>
      <c r="AL27" s="2201"/>
      <c r="AM27" s="2201"/>
      <c r="AN27" s="2201"/>
      <c r="AO27" s="2197"/>
      <c r="AP27" s="2197"/>
      <c r="AQ27" s="2198"/>
    </row>
    <row r="28" spans="1:43" ht="39.75" customHeight="1">
      <c r="A28" s="1516"/>
      <c r="B28" s="457"/>
      <c r="C28" s="457"/>
      <c r="D28" s="1531">
        <v>27</v>
      </c>
      <c r="E28" s="2204" t="s">
        <v>1952</v>
      </c>
      <c r="F28" s="2204"/>
      <c r="G28" s="2204"/>
      <c r="H28" s="2204"/>
      <c r="I28" s="2204"/>
      <c r="J28" s="2204"/>
      <c r="K28" s="2204"/>
      <c r="L28" s="1532"/>
      <c r="M28" s="1533"/>
      <c r="N28" s="1532"/>
      <c r="O28" s="1533"/>
      <c r="P28" s="1532"/>
      <c r="Q28" s="1534"/>
      <c r="R28" s="1535"/>
      <c r="S28" s="1532"/>
      <c r="T28" s="1536"/>
      <c r="U28" s="1537"/>
      <c r="V28" s="1538"/>
      <c r="W28" s="1539"/>
      <c r="X28" s="1540"/>
      <c r="Y28" s="1541"/>
      <c r="Z28" s="1542"/>
      <c r="AA28" s="1541"/>
      <c r="AB28" s="1541"/>
      <c r="AC28" s="1541"/>
      <c r="AD28" s="1541"/>
      <c r="AE28" s="1541"/>
      <c r="AF28" s="1541"/>
      <c r="AG28" s="1541"/>
      <c r="AH28" s="1541"/>
      <c r="AI28" s="1541"/>
      <c r="AJ28" s="1541"/>
      <c r="AK28" s="1541"/>
      <c r="AL28" s="1541"/>
      <c r="AM28" s="1541"/>
      <c r="AN28" s="1541"/>
      <c r="AO28" s="1543"/>
      <c r="AP28" s="1544"/>
      <c r="AQ28" s="1545"/>
    </row>
    <row r="29" spans="1:43" ht="39.75" customHeight="1">
      <c r="A29" s="1516"/>
      <c r="B29" s="457"/>
      <c r="C29" s="1546"/>
      <c r="D29" s="1517"/>
      <c r="E29" s="457"/>
      <c r="F29" s="1546"/>
      <c r="G29" s="1500">
        <v>85</v>
      </c>
      <c r="H29" s="2194" t="s">
        <v>1953</v>
      </c>
      <c r="I29" s="2194"/>
      <c r="J29" s="2194"/>
      <c r="K29" s="2194"/>
      <c r="L29" s="388"/>
      <c r="M29" s="395"/>
      <c r="N29" s="388"/>
      <c r="O29" s="395"/>
      <c r="P29" s="388"/>
      <c r="Q29" s="1501"/>
      <c r="R29" s="393"/>
      <c r="S29" s="388"/>
      <c r="T29" s="1520"/>
      <c r="U29" s="1503"/>
      <c r="V29" s="1504"/>
      <c r="W29" s="1522"/>
      <c r="X29" s="390"/>
      <c r="Y29" s="1523"/>
      <c r="Z29" s="1524"/>
      <c r="AA29" s="1523"/>
      <c r="AB29" s="1523"/>
      <c r="AC29" s="1523"/>
      <c r="AD29" s="1523"/>
      <c r="AE29" s="1523"/>
      <c r="AF29" s="1523"/>
      <c r="AG29" s="1523"/>
      <c r="AH29" s="1523"/>
      <c r="AI29" s="1523"/>
      <c r="AJ29" s="1523"/>
      <c r="AK29" s="1523"/>
      <c r="AL29" s="1523"/>
      <c r="AM29" s="1523"/>
      <c r="AN29" s="1523"/>
      <c r="AO29" s="1525"/>
      <c r="AP29" s="1526"/>
      <c r="AQ29" s="1527"/>
    </row>
    <row r="30" spans="1:43" ht="74.25" customHeight="1">
      <c r="A30" s="1547"/>
      <c r="B30" s="465"/>
      <c r="C30" s="1548"/>
      <c r="D30" s="1549"/>
      <c r="E30" s="465"/>
      <c r="F30" s="465"/>
      <c r="G30" s="1550"/>
      <c r="H30" s="465"/>
      <c r="I30" s="465"/>
      <c r="J30" s="2122">
        <v>249</v>
      </c>
      <c r="K30" s="2123" t="s">
        <v>1954</v>
      </c>
      <c r="L30" s="2202" t="s">
        <v>1955</v>
      </c>
      <c r="M30" s="2199">
        <v>1</v>
      </c>
      <c r="N30" s="2123" t="s">
        <v>1956</v>
      </c>
      <c r="O30" s="2122" t="s">
        <v>1957</v>
      </c>
      <c r="P30" s="2123" t="s">
        <v>1958</v>
      </c>
      <c r="Q30" s="2205">
        <v>1</v>
      </c>
      <c r="R30" s="2206">
        <f>SUM(V30:V37)</f>
        <v>120000000</v>
      </c>
      <c r="S30" s="2123" t="s">
        <v>1959</v>
      </c>
      <c r="T30" s="2123" t="s">
        <v>1960</v>
      </c>
      <c r="U30" s="1551" t="s">
        <v>1961</v>
      </c>
      <c r="V30" s="1513">
        <v>9000000</v>
      </c>
      <c r="W30" s="2196">
        <v>20</v>
      </c>
      <c r="X30" s="2122" t="s">
        <v>80</v>
      </c>
      <c r="Y30" s="2208">
        <v>282326</v>
      </c>
      <c r="Z30" s="2209">
        <v>292684</v>
      </c>
      <c r="AA30" s="2196">
        <v>135912</v>
      </c>
      <c r="AB30" s="2196">
        <v>45122</v>
      </c>
      <c r="AC30" s="2196">
        <v>307101</v>
      </c>
      <c r="AD30" s="2196">
        <v>86875</v>
      </c>
      <c r="AE30" s="2196">
        <v>2145</v>
      </c>
      <c r="AF30" s="2196">
        <v>12718</v>
      </c>
      <c r="AG30" s="2196">
        <v>26</v>
      </c>
      <c r="AH30" s="2196">
        <v>37</v>
      </c>
      <c r="AI30" s="2196"/>
      <c r="AJ30" s="2196"/>
      <c r="AK30" s="2196">
        <v>43029</v>
      </c>
      <c r="AL30" s="2196">
        <v>16982</v>
      </c>
      <c r="AM30" s="2196">
        <v>60013</v>
      </c>
      <c r="AN30" s="2196">
        <f>Y30+Z30</f>
        <v>575010</v>
      </c>
      <c r="AO30" s="2197">
        <v>43102</v>
      </c>
      <c r="AP30" s="2197">
        <v>43465</v>
      </c>
      <c r="AQ30" s="2122" t="s">
        <v>1923</v>
      </c>
    </row>
    <row r="31" spans="1:43" ht="77.25" customHeight="1">
      <c r="A31" s="1547"/>
      <c r="B31" s="465"/>
      <c r="C31" s="1548"/>
      <c r="D31" s="1549"/>
      <c r="E31" s="465"/>
      <c r="F31" s="465"/>
      <c r="G31" s="1549"/>
      <c r="H31" s="465"/>
      <c r="I31" s="465"/>
      <c r="J31" s="2122"/>
      <c r="K31" s="2123"/>
      <c r="L31" s="2202"/>
      <c r="M31" s="2199"/>
      <c r="N31" s="2123"/>
      <c r="O31" s="2122"/>
      <c r="P31" s="2123"/>
      <c r="Q31" s="2205"/>
      <c r="R31" s="2206"/>
      <c r="S31" s="2123"/>
      <c r="T31" s="2123"/>
      <c r="U31" s="1551" t="s">
        <v>1962</v>
      </c>
      <c r="V31" s="1513">
        <v>15000000</v>
      </c>
      <c r="W31" s="2196"/>
      <c r="X31" s="2122"/>
      <c r="Y31" s="2208"/>
      <c r="Z31" s="2209"/>
      <c r="AA31" s="2196"/>
      <c r="AB31" s="2196"/>
      <c r="AC31" s="2196"/>
      <c r="AD31" s="2196"/>
      <c r="AE31" s="2196"/>
      <c r="AF31" s="2196"/>
      <c r="AG31" s="2196"/>
      <c r="AH31" s="2196"/>
      <c r="AI31" s="2196"/>
      <c r="AJ31" s="2196"/>
      <c r="AK31" s="2196"/>
      <c r="AL31" s="2196"/>
      <c r="AM31" s="2196"/>
      <c r="AN31" s="2196"/>
      <c r="AO31" s="2197"/>
      <c r="AP31" s="2197"/>
      <c r="AQ31" s="2122"/>
    </row>
    <row r="32" spans="1:43" ht="65.25" customHeight="1">
      <c r="A32" s="1547"/>
      <c r="B32" s="465"/>
      <c r="C32" s="1548"/>
      <c r="D32" s="1549"/>
      <c r="E32" s="465"/>
      <c r="F32" s="465"/>
      <c r="G32" s="1549"/>
      <c r="H32" s="465"/>
      <c r="I32" s="465"/>
      <c r="J32" s="2122"/>
      <c r="K32" s="2123"/>
      <c r="L32" s="2202"/>
      <c r="M32" s="2199"/>
      <c r="N32" s="2123"/>
      <c r="O32" s="2122"/>
      <c r="P32" s="2123"/>
      <c r="Q32" s="2205"/>
      <c r="R32" s="2206"/>
      <c r="S32" s="2123"/>
      <c r="T32" s="2123"/>
      <c r="U32" s="1551" t="s">
        <v>1963</v>
      </c>
      <c r="V32" s="1513">
        <v>18000000</v>
      </c>
      <c r="W32" s="2196"/>
      <c r="X32" s="2122"/>
      <c r="Y32" s="2208"/>
      <c r="Z32" s="2209"/>
      <c r="AA32" s="2196"/>
      <c r="AB32" s="2196"/>
      <c r="AC32" s="2196"/>
      <c r="AD32" s="2196"/>
      <c r="AE32" s="2196"/>
      <c r="AF32" s="2196"/>
      <c r="AG32" s="2196"/>
      <c r="AH32" s="2196"/>
      <c r="AI32" s="2196"/>
      <c r="AJ32" s="2196"/>
      <c r="AK32" s="2196"/>
      <c r="AL32" s="2196"/>
      <c r="AM32" s="2196"/>
      <c r="AN32" s="2196"/>
      <c r="AO32" s="2197"/>
      <c r="AP32" s="2197"/>
      <c r="AQ32" s="2122"/>
    </row>
    <row r="33" spans="1:43" ht="93.75" customHeight="1">
      <c r="A33" s="1547"/>
      <c r="B33" s="465"/>
      <c r="C33" s="1548"/>
      <c r="D33" s="1549"/>
      <c r="E33" s="465"/>
      <c r="F33" s="465"/>
      <c r="G33" s="1549"/>
      <c r="H33" s="465"/>
      <c r="I33" s="465"/>
      <c r="J33" s="2122"/>
      <c r="K33" s="2123"/>
      <c r="L33" s="2202"/>
      <c r="M33" s="2199"/>
      <c r="N33" s="2123"/>
      <c r="O33" s="2122"/>
      <c r="P33" s="2123"/>
      <c r="Q33" s="2205"/>
      <c r="R33" s="2206"/>
      <c r="S33" s="2123"/>
      <c r="T33" s="2123"/>
      <c r="U33" s="1551" t="s">
        <v>1964</v>
      </c>
      <c r="V33" s="1513">
        <v>2000000</v>
      </c>
      <c r="W33" s="2196"/>
      <c r="X33" s="2122"/>
      <c r="Y33" s="2208"/>
      <c r="Z33" s="2209"/>
      <c r="AA33" s="2196"/>
      <c r="AB33" s="2196"/>
      <c r="AC33" s="2196"/>
      <c r="AD33" s="2196"/>
      <c r="AE33" s="2196"/>
      <c r="AF33" s="2196"/>
      <c r="AG33" s="2196"/>
      <c r="AH33" s="2196"/>
      <c r="AI33" s="2196"/>
      <c r="AJ33" s="2196"/>
      <c r="AK33" s="2196"/>
      <c r="AL33" s="2196"/>
      <c r="AM33" s="2196"/>
      <c r="AN33" s="2196"/>
      <c r="AO33" s="2197"/>
      <c r="AP33" s="2197"/>
      <c r="AQ33" s="2122"/>
    </row>
    <row r="34" spans="1:43" ht="69.75" customHeight="1">
      <c r="A34" s="1547"/>
      <c r="B34" s="465"/>
      <c r="C34" s="1548"/>
      <c r="D34" s="1549"/>
      <c r="E34" s="465"/>
      <c r="F34" s="465"/>
      <c r="G34" s="1549"/>
      <c r="H34" s="465"/>
      <c r="I34" s="465"/>
      <c r="J34" s="2122"/>
      <c r="K34" s="2123"/>
      <c r="L34" s="2202"/>
      <c r="M34" s="2199"/>
      <c r="N34" s="2123"/>
      <c r="O34" s="2122"/>
      <c r="P34" s="2123"/>
      <c r="Q34" s="2205"/>
      <c r="R34" s="2206"/>
      <c r="S34" s="2123"/>
      <c r="T34" s="2123" t="s">
        <v>1965</v>
      </c>
      <c r="U34" s="1551" t="s">
        <v>1966</v>
      </c>
      <c r="V34" s="1513">
        <v>21000000</v>
      </c>
      <c r="W34" s="2196"/>
      <c r="X34" s="2122"/>
      <c r="Y34" s="2208"/>
      <c r="Z34" s="2209"/>
      <c r="AA34" s="2196"/>
      <c r="AB34" s="2196"/>
      <c r="AC34" s="2196"/>
      <c r="AD34" s="2196"/>
      <c r="AE34" s="2196"/>
      <c r="AF34" s="2196"/>
      <c r="AG34" s="2196"/>
      <c r="AH34" s="2196"/>
      <c r="AI34" s="2196"/>
      <c r="AJ34" s="2196"/>
      <c r="AK34" s="2196"/>
      <c r="AL34" s="2196"/>
      <c r="AM34" s="2196"/>
      <c r="AN34" s="2196"/>
      <c r="AO34" s="2197"/>
      <c r="AP34" s="2197"/>
      <c r="AQ34" s="2122"/>
    </row>
    <row r="35" spans="1:43" ht="60.75" customHeight="1">
      <c r="A35" s="1547"/>
      <c r="B35" s="465"/>
      <c r="C35" s="1548"/>
      <c r="D35" s="1549"/>
      <c r="E35" s="465"/>
      <c r="F35" s="465"/>
      <c r="G35" s="1549"/>
      <c r="H35" s="465"/>
      <c r="I35" s="465"/>
      <c r="J35" s="2122"/>
      <c r="K35" s="2123"/>
      <c r="L35" s="2202"/>
      <c r="M35" s="2199"/>
      <c r="N35" s="2123"/>
      <c r="O35" s="2122"/>
      <c r="P35" s="2123"/>
      <c r="Q35" s="2205"/>
      <c r="R35" s="2206"/>
      <c r="S35" s="2123"/>
      <c r="T35" s="2123"/>
      <c r="U35" s="1551" t="s">
        <v>1967</v>
      </c>
      <c r="V35" s="1513">
        <v>15000000</v>
      </c>
      <c r="W35" s="2196"/>
      <c r="X35" s="2122"/>
      <c r="Y35" s="2208"/>
      <c r="Z35" s="2209"/>
      <c r="AA35" s="2196"/>
      <c r="AB35" s="2196"/>
      <c r="AC35" s="2196"/>
      <c r="AD35" s="2196"/>
      <c r="AE35" s="2196"/>
      <c r="AF35" s="2196"/>
      <c r="AG35" s="2196"/>
      <c r="AH35" s="2196"/>
      <c r="AI35" s="2196"/>
      <c r="AJ35" s="2196"/>
      <c r="AK35" s="2196"/>
      <c r="AL35" s="2196"/>
      <c r="AM35" s="2196"/>
      <c r="AN35" s="2196"/>
      <c r="AO35" s="2197"/>
      <c r="AP35" s="2197"/>
      <c r="AQ35" s="2122"/>
    </row>
    <row r="36" spans="1:43" ht="39.75" customHeight="1">
      <c r="A36" s="1547"/>
      <c r="B36" s="465"/>
      <c r="C36" s="1548"/>
      <c r="D36" s="1549"/>
      <c r="E36" s="465"/>
      <c r="F36" s="465"/>
      <c r="G36" s="1549"/>
      <c r="H36" s="465"/>
      <c r="I36" s="465"/>
      <c r="J36" s="2122"/>
      <c r="K36" s="2123"/>
      <c r="L36" s="2202"/>
      <c r="M36" s="2199"/>
      <c r="N36" s="2123"/>
      <c r="O36" s="2122"/>
      <c r="P36" s="2123"/>
      <c r="Q36" s="2205"/>
      <c r="R36" s="2206"/>
      <c r="S36" s="2123"/>
      <c r="T36" s="2123" t="s">
        <v>1968</v>
      </c>
      <c r="U36" s="1551" t="s">
        <v>1969</v>
      </c>
      <c r="V36" s="1513">
        <v>20000000</v>
      </c>
      <c r="W36" s="2196"/>
      <c r="X36" s="2122"/>
      <c r="Y36" s="2208"/>
      <c r="Z36" s="2209"/>
      <c r="AA36" s="2196"/>
      <c r="AB36" s="2196"/>
      <c r="AC36" s="2196"/>
      <c r="AD36" s="2196"/>
      <c r="AE36" s="2196"/>
      <c r="AF36" s="2196"/>
      <c r="AG36" s="2196"/>
      <c r="AH36" s="2196"/>
      <c r="AI36" s="2196"/>
      <c r="AJ36" s="2196"/>
      <c r="AK36" s="2196"/>
      <c r="AL36" s="2196"/>
      <c r="AM36" s="2196"/>
      <c r="AN36" s="2196"/>
      <c r="AO36" s="2197"/>
      <c r="AP36" s="2197"/>
      <c r="AQ36" s="2122"/>
    </row>
    <row r="37" spans="1:43" ht="72.75" customHeight="1">
      <c r="A37" s="1547"/>
      <c r="B37" s="465"/>
      <c r="C37" s="1548"/>
      <c r="D37" s="1549"/>
      <c r="E37" s="465"/>
      <c r="F37" s="465"/>
      <c r="G37" s="1549"/>
      <c r="H37" s="465"/>
      <c r="I37" s="465"/>
      <c r="J37" s="2122"/>
      <c r="K37" s="2123"/>
      <c r="L37" s="2202"/>
      <c r="M37" s="2199"/>
      <c r="N37" s="2123"/>
      <c r="O37" s="2122"/>
      <c r="P37" s="2123"/>
      <c r="Q37" s="2205"/>
      <c r="R37" s="2206"/>
      <c r="S37" s="2123"/>
      <c r="T37" s="2123"/>
      <c r="U37" s="1551" t="s">
        <v>1970</v>
      </c>
      <c r="V37" s="1513">
        <v>20000000</v>
      </c>
      <c r="W37" s="2196"/>
      <c r="X37" s="2122"/>
      <c r="Y37" s="2208"/>
      <c r="Z37" s="2209"/>
      <c r="AA37" s="2196"/>
      <c r="AB37" s="2196"/>
      <c r="AC37" s="2196"/>
      <c r="AD37" s="2196"/>
      <c r="AE37" s="2196"/>
      <c r="AF37" s="2196"/>
      <c r="AG37" s="2196"/>
      <c r="AH37" s="2196"/>
      <c r="AI37" s="2196"/>
      <c r="AJ37" s="2196"/>
      <c r="AK37" s="2196"/>
      <c r="AL37" s="2196"/>
      <c r="AM37" s="2196"/>
      <c r="AN37" s="2196"/>
      <c r="AO37" s="2197"/>
      <c r="AP37" s="2197"/>
      <c r="AQ37" s="2122"/>
    </row>
    <row r="38" spans="1:43" ht="39.75" customHeight="1">
      <c r="A38" s="1516"/>
      <c r="B38" s="457"/>
      <c r="C38" s="1546"/>
      <c r="D38" s="1552">
        <v>28</v>
      </c>
      <c r="E38" s="1553"/>
      <c r="F38" s="2207" t="s">
        <v>210</v>
      </c>
      <c r="G38" s="2207"/>
      <c r="H38" s="2207"/>
      <c r="I38" s="2207"/>
      <c r="J38" s="2207"/>
      <c r="K38" s="2207"/>
      <c r="L38" s="1554"/>
      <c r="M38" s="1555"/>
      <c r="N38" s="1554"/>
      <c r="O38" s="1555"/>
      <c r="P38" s="1554"/>
      <c r="Q38" s="1556"/>
      <c r="R38" s="1557"/>
      <c r="S38" s="1554"/>
      <c r="T38" s="1558"/>
      <c r="U38" s="1559"/>
      <c r="V38" s="1560"/>
      <c r="W38" s="1561"/>
      <c r="X38" s="1562"/>
      <c r="Y38" s="1563"/>
      <c r="Z38" s="1564"/>
      <c r="AA38" s="1563"/>
      <c r="AB38" s="1563"/>
      <c r="AC38" s="1563"/>
      <c r="AD38" s="1563"/>
      <c r="AE38" s="1563"/>
      <c r="AF38" s="1563"/>
      <c r="AG38" s="1563"/>
      <c r="AH38" s="1563"/>
      <c r="AI38" s="1563"/>
      <c r="AJ38" s="1563"/>
      <c r="AK38" s="1563"/>
      <c r="AL38" s="1563"/>
      <c r="AM38" s="1563"/>
      <c r="AN38" s="1563"/>
      <c r="AO38" s="1565"/>
      <c r="AP38" s="1566"/>
      <c r="AQ38" s="1567"/>
    </row>
    <row r="39" spans="1:43" ht="39.75" customHeight="1">
      <c r="A39" s="1516"/>
      <c r="B39" s="457"/>
      <c r="C39" s="457"/>
      <c r="D39" s="1568"/>
      <c r="E39" s="1569"/>
      <c r="F39" s="1570"/>
      <c r="G39" s="1500">
        <v>87</v>
      </c>
      <c r="H39" s="2194" t="s">
        <v>1971</v>
      </c>
      <c r="I39" s="2194"/>
      <c r="J39" s="2194"/>
      <c r="K39" s="2194"/>
      <c r="L39" s="388"/>
      <c r="M39" s="395"/>
      <c r="N39" s="406"/>
      <c r="O39" s="422"/>
      <c r="P39" s="388"/>
      <c r="Q39" s="1501"/>
      <c r="R39" s="393"/>
      <c r="S39" s="388"/>
      <c r="T39" s="1520"/>
      <c r="U39" s="1503"/>
      <c r="V39" s="1504"/>
      <c r="W39" s="1571"/>
      <c r="X39" s="1572"/>
      <c r="Y39" s="1523"/>
      <c r="Z39" s="1524"/>
      <c r="AA39" s="1523"/>
      <c r="AB39" s="1573"/>
      <c r="AC39" s="1573"/>
      <c r="AD39" s="1573"/>
      <c r="AE39" s="1573"/>
      <c r="AF39" s="1573"/>
      <c r="AG39" s="1523"/>
      <c r="AH39" s="1523"/>
      <c r="AI39" s="1523"/>
      <c r="AJ39" s="1523"/>
      <c r="AK39" s="1523"/>
      <c r="AL39" s="1523"/>
      <c r="AM39" s="1523"/>
      <c r="AN39" s="1523"/>
      <c r="AO39" s="1525"/>
      <c r="AP39" s="1526"/>
      <c r="AQ39" s="1527"/>
    </row>
    <row r="40" spans="1:43" ht="69.75" customHeight="1">
      <c r="A40" s="1528"/>
      <c r="D40" s="1529"/>
      <c r="G40" s="1574"/>
      <c r="H40" s="1575"/>
      <c r="I40" s="1575"/>
      <c r="J40" s="2198">
        <v>257</v>
      </c>
      <c r="K40" s="2123" t="s">
        <v>1972</v>
      </c>
      <c r="L40" s="2123" t="s">
        <v>1438</v>
      </c>
      <c r="M40" s="2221">
        <v>1</v>
      </c>
      <c r="N40" s="2124" t="s">
        <v>1973</v>
      </c>
      <c r="O40" s="2222" t="s">
        <v>1974</v>
      </c>
      <c r="P40" s="2210" t="s">
        <v>1975</v>
      </c>
      <c r="Q40" s="2205">
        <f>SUM(V40:V42)/R40</f>
        <v>0.3394871794871795</v>
      </c>
      <c r="R40" s="2213">
        <f>SUM(V40:V48)</f>
        <v>312000000</v>
      </c>
      <c r="S40" s="2098" t="s">
        <v>1976</v>
      </c>
      <c r="T40" s="2123" t="s">
        <v>1977</v>
      </c>
      <c r="U40" s="1371" t="s">
        <v>1978</v>
      </c>
      <c r="V40" s="1576">
        <f>13500000+14220000-1840000+24000000</f>
        <v>49880000</v>
      </c>
      <c r="W40" s="2216" t="s">
        <v>63</v>
      </c>
      <c r="X40" s="2216" t="s">
        <v>1979</v>
      </c>
      <c r="Y40" s="2231">
        <v>282326</v>
      </c>
      <c r="Z40" s="2228">
        <v>292684</v>
      </c>
      <c r="AA40" s="2234">
        <v>135912</v>
      </c>
      <c r="AB40" s="2227">
        <v>45122</v>
      </c>
      <c r="AC40" s="2227">
        <v>307101</v>
      </c>
      <c r="AD40" s="2227">
        <v>86875</v>
      </c>
      <c r="AE40" s="2227">
        <v>2145</v>
      </c>
      <c r="AF40" s="2227">
        <v>12718</v>
      </c>
      <c r="AG40" s="2228">
        <v>26</v>
      </c>
      <c r="AH40" s="2228">
        <v>37</v>
      </c>
      <c r="AI40" s="2228"/>
      <c r="AJ40" s="2228"/>
      <c r="AK40" s="2228">
        <v>43029</v>
      </c>
      <c r="AL40" s="2228">
        <v>16982</v>
      </c>
      <c r="AM40" s="2228">
        <v>60013</v>
      </c>
      <c r="AN40" s="2228">
        <f>Y40+Z40</f>
        <v>575010</v>
      </c>
      <c r="AO40" s="2239">
        <v>43102</v>
      </c>
      <c r="AP40" s="2239">
        <v>43465</v>
      </c>
      <c r="AQ40" s="2216" t="s">
        <v>1923</v>
      </c>
    </row>
    <row r="41" spans="1:43" ht="39.75" customHeight="1">
      <c r="A41" s="1528"/>
      <c r="D41" s="1529"/>
      <c r="G41" s="1529"/>
      <c r="J41" s="2198"/>
      <c r="K41" s="2123"/>
      <c r="L41" s="2123"/>
      <c r="M41" s="2221"/>
      <c r="N41" s="2125"/>
      <c r="O41" s="2223"/>
      <c r="P41" s="2211"/>
      <c r="Q41" s="2205"/>
      <c r="R41" s="2214"/>
      <c r="S41" s="2127"/>
      <c r="T41" s="2123"/>
      <c r="U41" s="1371" t="s">
        <v>1980</v>
      </c>
      <c r="V41" s="1576">
        <f>9300000+14700000-8160000+19920000</f>
        <v>35760000</v>
      </c>
      <c r="W41" s="2217"/>
      <c r="X41" s="2217"/>
      <c r="Y41" s="2232"/>
      <c r="Z41" s="2229"/>
      <c r="AA41" s="2235"/>
      <c r="AB41" s="2227"/>
      <c r="AC41" s="2227"/>
      <c r="AD41" s="2227"/>
      <c r="AE41" s="2227"/>
      <c r="AF41" s="2227"/>
      <c r="AG41" s="2229"/>
      <c r="AH41" s="2229"/>
      <c r="AI41" s="2229"/>
      <c r="AJ41" s="2229"/>
      <c r="AK41" s="2229"/>
      <c r="AL41" s="2229"/>
      <c r="AM41" s="2229"/>
      <c r="AN41" s="2229"/>
      <c r="AO41" s="2240"/>
      <c r="AP41" s="2240"/>
      <c r="AQ41" s="2217"/>
    </row>
    <row r="42" spans="1:43" ht="39.75" customHeight="1">
      <c r="A42" s="1528"/>
      <c r="D42" s="1529"/>
      <c r="G42" s="1529"/>
      <c r="I42" s="1577"/>
      <c r="J42" s="2198"/>
      <c r="K42" s="2123"/>
      <c r="L42" s="2123"/>
      <c r="M42" s="2221"/>
      <c r="N42" s="2125"/>
      <c r="O42" s="2223"/>
      <c r="P42" s="2211"/>
      <c r="Q42" s="2205"/>
      <c r="R42" s="2214"/>
      <c r="S42" s="2127"/>
      <c r="T42" s="2123"/>
      <c r="U42" s="1371" t="s">
        <v>1981</v>
      </c>
      <c r="V42" s="1513">
        <f>9200000+11080000</f>
        <v>20280000</v>
      </c>
      <c r="W42" s="2217"/>
      <c r="X42" s="2217"/>
      <c r="Y42" s="2232"/>
      <c r="Z42" s="2229"/>
      <c r="AA42" s="2235"/>
      <c r="AB42" s="2227"/>
      <c r="AC42" s="2227"/>
      <c r="AD42" s="2227"/>
      <c r="AE42" s="2227"/>
      <c r="AF42" s="2227"/>
      <c r="AG42" s="2229"/>
      <c r="AH42" s="2229"/>
      <c r="AI42" s="2229"/>
      <c r="AJ42" s="2229"/>
      <c r="AK42" s="2229"/>
      <c r="AL42" s="2229"/>
      <c r="AM42" s="2229"/>
      <c r="AN42" s="2229"/>
      <c r="AO42" s="2240"/>
      <c r="AP42" s="2240"/>
      <c r="AQ42" s="2217"/>
    </row>
    <row r="43" spans="1:43" ht="39.75" customHeight="1">
      <c r="A43" s="1528"/>
      <c r="D43" s="1529"/>
      <c r="G43" s="1529"/>
      <c r="I43" s="1577"/>
      <c r="J43" s="2198">
        <v>258</v>
      </c>
      <c r="K43" s="2123" t="s">
        <v>1982</v>
      </c>
      <c r="L43" s="2123" t="s">
        <v>1983</v>
      </c>
      <c r="M43" s="2242">
        <v>1</v>
      </c>
      <c r="N43" s="2125"/>
      <c r="O43" s="2223"/>
      <c r="P43" s="2211"/>
      <c r="Q43" s="2205">
        <f>(V43+V44)/R40</f>
        <v>0.09615384615384616</v>
      </c>
      <c r="R43" s="2214"/>
      <c r="S43" s="2127"/>
      <c r="T43" s="2123" t="s">
        <v>1984</v>
      </c>
      <c r="U43" s="1371" t="s">
        <v>1985</v>
      </c>
      <c r="V43" s="1513">
        <v>18000000</v>
      </c>
      <c r="W43" s="2217"/>
      <c r="X43" s="2217"/>
      <c r="Y43" s="2232"/>
      <c r="Z43" s="2229"/>
      <c r="AA43" s="2235"/>
      <c r="AB43" s="2227"/>
      <c r="AC43" s="2227"/>
      <c r="AD43" s="2227"/>
      <c r="AE43" s="2227"/>
      <c r="AF43" s="2227"/>
      <c r="AG43" s="2229"/>
      <c r="AH43" s="2229"/>
      <c r="AI43" s="2229"/>
      <c r="AJ43" s="2229"/>
      <c r="AK43" s="2229"/>
      <c r="AL43" s="2229"/>
      <c r="AM43" s="2229"/>
      <c r="AN43" s="2229"/>
      <c r="AO43" s="2240"/>
      <c r="AP43" s="2240"/>
      <c r="AQ43" s="2217"/>
    </row>
    <row r="44" spans="1:43" ht="39.75" customHeight="1">
      <c r="A44" s="1528"/>
      <c r="D44" s="1529"/>
      <c r="G44" s="1529"/>
      <c r="J44" s="2198"/>
      <c r="K44" s="2123"/>
      <c r="L44" s="2123"/>
      <c r="M44" s="2242"/>
      <c r="N44" s="2125"/>
      <c r="O44" s="2223"/>
      <c r="P44" s="2211"/>
      <c r="Q44" s="2205"/>
      <c r="R44" s="2214"/>
      <c r="S44" s="2127"/>
      <c r="T44" s="2123"/>
      <c r="U44" s="1371" t="s">
        <v>1986</v>
      </c>
      <c r="V44" s="1513">
        <v>12000000</v>
      </c>
      <c r="W44" s="2217"/>
      <c r="X44" s="2217"/>
      <c r="Y44" s="2232"/>
      <c r="Z44" s="2229"/>
      <c r="AA44" s="2235"/>
      <c r="AB44" s="2227"/>
      <c r="AC44" s="2227"/>
      <c r="AD44" s="2227"/>
      <c r="AE44" s="2227"/>
      <c r="AF44" s="2227"/>
      <c r="AG44" s="2229"/>
      <c r="AH44" s="2229"/>
      <c r="AI44" s="2229"/>
      <c r="AJ44" s="2229"/>
      <c r="AK44" s="2229"/>
      <c r="AL44" s="2229"/>
      <c r="AM44" s="2229"/>
      <c r="AN44" s="2229"/>
      <c r="AO44" s="2240"/>
      <c r="AP44" s="2240"/>
      <c r="AQ44" s="2217"/>
    </row>
    <row r="45" spans="1:43" ht="72" customHeight="1">
      <c r="A45" s="1528"/>
      <c r="D45" s="1529"/>
      <c r="G45" s="1529"/>
      <c r="J45" s="1578">
        <v>259</v>
      </c>
      <c r="K45" s="77" t="s">
        <v>1987</v>
      </c>
      <c r="L45" s="77" t="s">
        <v>1988</v>
      </c>
      <c r="M45" s="1579">
        <v>1</v>
      </c>
      <c r="N45" s="2125"/>
      <c r="O45" s="2223"/>
      <c r="P45" s="2211"/>
      <c r="Q45" s="1580">
        <f>V45/R40</f>
        <v>0.028846153846153848</v>
      </c>
      <c r="R45" s="2214"/>
      <c r="S45" s="2127"/>
      <c r="T45" s="77" t="s">
        <v>1989</v>
      </c>
      <c r="U45" s="1371" t="s">
        <v>1990</v>
      </c>
      <c r="V45" s="1513">
        <v>9000000</v>
      </c>
      <c r="W45" s="2217"/>
      <c r="X45" s="2217"/>
      <c r="Y45" s="2232"/>
      <c r="Z45" s="2229"/>
      <c r="AA45" s="2235"/>
      <c r="AB45" s="2227"/>
      <c r="AC45" s="2227"/>
      <c r="AD45" s="2227"/>
      <c r="AE45" s="2227"/>
      <c r="AF45" s="2227"/>
      <c r="AG45" s="2229"/>
      <c r="AH45" s="2229"/>
      <c r="AI45" s="2229"/>
      <c r="AJ45" s="2229"/>
      <c r="AK45" s="2229"/>
      <c r="AL45" s="2229"/>
      <c r="AM45" s="2229"/>
      <c r="AN45" s="2229"/>
      <c r="AO45" s="2240"/>
      <c r="AP45" s="2240"/>
      <c r="AQ45" s="2217"/>
    </row>
    <row r="46" spans="1:43" ht="67.5" customHeight="1">
      <c r="A46" s="1528"/>
      <c r="D46" s="1529"/>
      <c r="G46" s="1529"/>
      <c r="J46" s="1578">
        <v>263</v>
      </c>
      <c r="K46" s="77" t="s">
        <v>1991</v>
      </c>
      <c r="L46" s="77" t="s">
        <v>1992</v>
      </c>
      <c r="M46" s="1579">
        <v>1</v>
      </c>
      <c r="N46" s="2125"/>
      <c r="O46" s="2223"/>
      <c r="P46" s="2211"/>
      <c r="Q46" s="1580">
        <f>V46/R40</f>
        <v>0.31256410256410255</v>
      </c>
      <c r="R46" s="2214"/>
      <c r="S46" s="2127"/>
      <c r="T46" s="77" t="s">
        <v>1993</v>
      </c>
      <c r="U46" s="1371" t="s">
        <v>1994</v>
      </c>
      <c r="V46" s="1576">
        <f>80000000+17520000</f>
        <v>97520000</v>
      </c>
      <c r="W46" s="2217"/>
      <c r="X46" s="2217"/>
      <c r="Y46" s="2232"/>
      <c r="Z46" s="2229"/>
      <c r="AA46" s="2235"/>
      <c r="AB46" s="2227"/>
      <c r="AC46" s="2227"/>
      <c r="AD46" s="2227"/>
      <c r="AE46" s="2227"/>
      <c r="AF46" s="2227"/>
      <c r="AG46" s="2229"/>
      <c r="AH46" s="2229"/>
      <c r="AI46" s="2229"/>
      <c r="AJ46" s="2229"/>
      <c r="AK46" s="2229"/>
      <c r="AL46" s="2229"/>
      <c r="AM46" s="2229"/>
      <c r="AN46" s="2229"/>
      <c r="AO46" s="2240"/>
      <c r="AP46" s="2240"/>
      <c r="AQ46" s="2217"/>
    </row>
    <row r="47" spans="1:43" ht="39.75" customHeight="1">
      <c r="A47" s="1528"/>
      <c r="D47" s="1529"/>
      <c r="G47" s="1529"/>
      <c r="J47" s="2216">
        <v>261</v>
      </c>
      <c r="K47" s="2098" t="s">
        <v>1995</v>
      </c>
      <c r="L47" s="2098" t="s">
        <v>1996</v>
      </c>
      <c r="M47" s="2225">
        <v>2</v>
      </c>
      <c r="N47" s="2125"/>
      <c r="O47" s="2223"/>
      <c r="P47" s="2211"/>
      <c r="Q47" s="2219">
        <f>(V47+V48)/R40</f>
        <v>0.22294871794871796</v>
      </c>
      <c r="R47" s="2214"/>
      <c r="S47" s="2127"/>
      <c r="T47" s="2124" t="s">
        <v>1997</v>
      </c>
      <c r="U47" s="1371" t="s">
        <v>1998</v>
      </c>
      <c r="V47" s="1576">
        <f>21000000+32000000</f>
        <v>53000000</v>
      </c>
      <c r="W47" s="2217"/>
      <c r="X47" s="2217"/>
      <c r="Y47" s="2232"/>
      <c r="Z47" s="2229"/>
      <c r="AA47" s="2235"/>
      <c r="AB47" s="2227"/>
      <c r="AC47" s="2227"/>
      <c r="AD47" s="2227"/>
      <c r="AE47" s="2227"/>
      <c r="AF47" s="2227"/>
      <c r="AG47" s="2229"/>
      <c r="AH47" s="2229"/>
      <c r="AI47" s="2229"/>
      <c r="AJ47" s="2229"/>
      <c r="AK47" s="2229"/>
      <c r="AL47" s="2229"/>
      <c r="AM47" s="2229"/>
      <c r="AN47" s="2229"/>
      <c r="AO47" s="2240"/>
      <c r="AP47" s="2240"/>
      <c r="AQ47" s="2217"/>
    </row>
    <row r="48" spans="1:43" ht="39.75" customHeight="1">
      <c r="A48" s="1528"/>
      <c r="D48" s="1529"/>
      <c r="G48" s="1529"/>
      <c r="J48" s="2218"/>
      <c r="K48" s="2099"/>
      <c r="L48" s="2099"/>
      <c r="M48" s="2226"/>
      <c r="N48" s="2126"/>
      <c r="O48" s="2224"/>
      <c r="P48" s="2212"/>
      <c r="Q48" s="2220"/>
      <c r="R48" s="2215"/>
      <c r="S48" s="2099"/>
      <c r="T48" s="2126"/>
      <c r="U48" s="1371" t="s">
        <v>1999</v>
      </c>
      <c r="V48" s="1581">
        <f>0+10000000+6560000</f>
        <v>16560000</v>
      </c>
      <c r="W48" s="2218"/>
      <c r="X48" s="2218"/>
      <c r="Y48" s="2233"/>
      <c r="Z48" s="2230"/>
      <c r="AA48" s="2236"/>
      <c r="AB48" s="2227"/>
      <c r="AC48" s="2227"/>
      <c r="AD48" s="2227"/>
      <c r="AE48" s="2227"/>
      <c r="AF48" s="2227"/>
      <c r="AG48" s="2230"/>
      <c r="AH48" s="2230"/>
      <c r="AI48" s="2230"/>
      <c r="AJ48" s="2230"/>
      <c r="AK48" s="2230"/>
      <c r="AL48" s="2230"/>
      <c r="AM48" s="2230"/>
      <c r="AN48" s="2230"/>
      <c r="AO48" s="2241"/>
      <c r="AP48" s="2241"/>
      <c r="AQ48" s="2218"/>
    </row>
    <row r="49" spans="1:43" ht="18" customHeight="1">
      <c r="A49" s="1528"/>
      <c r="D49" s="1529"/>
      <c r="G49" s="1529"/>
      <c r="J49" s="1582"/>
      <c r="K49" s="1583"/>
      <c r="L49" s="1583"/>
      <c r="M49" s="1584"/>
      <c r="N49" s="1383"/>
      <c r="O49" s="1585"/>
      <c r="P49" s="1586"/>
      <c r="Q49" s="1587"/>
      <c r="R49" s="1588"/>
      <c r="S49" s="1586"/>
      <c r="T49" s="1383"/>
      <c r="U49" s="1371"/>
      <c r="V49" s="1581"/>
      <c r="W49" s="1582"/>
      <c r="X49" s="1582"/>
      <c r="Y49" s="1589"/>
      <c r="Z49" s="1590"/>
      <c r="AA49" s="1591"/>
      <c r="AB49" s="1590"/>
      <c r="AC49" s="1590"/>
      <c r="AD49" s="1590"/>
      <c r="AE49" s="1590"/>
      <c r="AF49" s="1590"/>
      <c r="AG49" s="1590"/>
      <c r="AH49" s="1592"/>
      <c r="AI49" s="1590"/>
      <c r="AJ49" s="1590"/>
      <c r="AK49" s="1590"/>
      <c r="AL49" s="1590"/>
      <c r="AM49" s="1590"/>
      <c r="AN49" s="1590"/>
      <c r="AO49" s="1593"/>
      <c r="AP49" s="1593"/>
      <c r="AQ49" s="1582"/>
    </row>
    <row r="50" spans="1:43" ht="131.25" customHeight="1">
      <c r="A50" s="1506"/>
      <c r="D50" s="1508"/>
      <c r="E50" s="2237"/>
      <c r="F50" s="2237"/>
      <c r="G50" s="2238"/>
      <c r="H50" s="2237"/>
      <c r="I50" s="2237"/>
      <c r="J50" s="2122">
        <v>262</v>
      </c>
      <c r="K50" s="2123" t="s">
        <v>2000</v>
      </c>
      <c r="L50" s="2123" t="s">
        <v>2001</v>
      </c>
      <c r="M50" s="2122">
        <v>1</v>
      </c>
      <c r="N50" s="2099" t="s">
        <v>2002</v>
      </c>
      <c r="O50" s="2245" t="s">
        <v>2003</v>
      </c>
      <c r="P50" s="2123" t="s">
        <v>2004</v>
      </c>
      <c r="Q50" s="2247">
        <v>1</v>
      </c>
      <c r="R50" s="2195">
        <f>SUM(V50:V56)</f>
        <v>117000000</v>
      </c>
      <c r="S50" s="2243" t="s">
        <v>2005</v>
      </c>
      <c r="T50" s="2244" t="s">
        <v>2006</v>
      </c>
      <c r="U50" s="77" t="s">
        <v>2007</v>
      </c>
      <c r="V50" s="1581">
        <f>6000000+6600000-5952000</f>
        <v>6648000</v>
      </c>
      <c r="W50" s="2218" t="s">
        <v>63</v>
      </c>
      <c r="X50" s="2218" t="s">
        <v>1979</v>
      </c>
      <c r="Y50" s="2196">
        <v>282326</v>
      </c>
      <c r="Z50" s="2209">
        <v>292684</v>
      </c>
      <c r="AA50" s="2196">
        <v>135912</v>
      </c>
      <c r="AB50" s="2226">
        <v>45122</v>
      </c>
      <c r="AC50" s="2226">
        <v>307101</v>
      </c>
      <c r="AD50" s="2226">
        <v>86875</v>
      </c>
      <c r="AE50" s="2226">
        <v>2145</v>
      </c>
      <c r="AF50" s="2226">
        <v>12718</v>
      </c>
      <c r="AG50" s="2196">
        <v>26</v>
      </c>
      <c r="AH50" s="2248">
        <v>37</v>
      </c>
      <c r="AI50" s="2196"/>
      <c r="AJ50" s="2196"/>
      <c r="AK50" s="2196">
        <v>43029</v>
      </c>
      <c r="AL50" s="2196">
        <v>16982</v>
      </c>
      <c r="AM50" s="2196">
        <v>60013</v>
      </c>
      <c r="AN50" s="2196">
        <f>Y50+Z50</f>
        <v>575010</v>
      </c>
      <c r="AO50" s="2197">
        <v>43102</v>
      </c>
      <c r="AP50" s="2197">
        <v>43465</v>
      </c>
      <c r="AQ50" s="2198" t="s">
        <v>2008</v>
      </c>
    </row>
    <row r="51" spans="1:43" ht="96.75" customHeight="1">
      <c r="A51" s="1506"/>
      <c r="D51" s="1508"/>
      <c r="E51" s="2237"/>
      <c r="F51" s="2237"/>
      <c r="G51" s="2238"/>
      <c r="H51" s="2237"/>
      <c r="I51" s="2237"/>
      <c r="J51" s="2122"/>
      <c r="K51" s="2123"/>
      <c r="L51" s="2123"/>
      <c r="M51" s="2122"/>
      <c r="N51" s="2123"/>
      <c r="O51" s="2246"/>
      <c r="P51" s="2123"/>
      <c r="Q51" s="2247"/>
      <c r="R51" s="2195"/>
      <c r="S51" s="2243"/>
      <c r="T51" s="2244"/>
      <c r="U51" s="77" t="s">
        <v>2009</v>
      </c>
      <c r="V51" s="1594">
        <f>4500000+4500000</f>
        <v>9000000</v>
      </c>
      <c r="W51" s="2196"/>
      <c r="X51" s="2198"/>
      <c r="Y51" s="2196"/>
      <c r="Z51" s="2209"/>
      <c r="AA51" s="2196"/>
      <c r="AB51" s="2196"/>
      <c r="AC51" s="2196"/>
      <c r="AD51" s="2196"/>
      <c r="AE51" s="2196"/>
      <c r="AF51" s="2196"/>
      <c r="AG51" s="2196"/>
      <c r="AH51" s="2248"/>
      <c r="AI51" s="2196"/>
      <c r="AJ51" s="2196"/>
      <c r="AK51" s="2196"/>
      <c r="AL51" s="2196"/>
      <c r="AM51" s="2196"/>
      <c r="AN51" s="2196"/>
      <c r="AO51" s="2197"/>
      <c r="AP51" s="2197"/>
      <c r="AQ51" s="2198"/>
    </row>
    <row r="52" spans="1:43" ht="80.25" customHeight="1">
      <c r="A52" s="1506"/>
      <c r="D52" s="1508"/>
      <c r="E52" s="2237"/>
      <c r="F52" s="2237"/>
      <c r="G52" s="2238"/>
      <c r="H52" s="2237"/>
      <c r="I52" s="2237"/>
      <c r="J52" s="2122"/>
      <c r="K52" s="2123"/>
      <c r="L52" s="2123"/>
      <c r="M52" s="2122"/>
      <c r="N52" s="2123"/>
      <c r="O52" s="2246"/>
      <c r="P52" s="2123"/>
      <c r="Q52" s="2247"/>
      <c r="R52" s="2195"/>
      <c r="S52" s="2243"/>
      <c r="T52" s="2098" t="s">
        <v>2010</v>
      </c>
      <c r="U52" s="752" t="s">
        <v>2011</v>
      </c>
      <c r="V52" s="1581">
        <f>13200000-5020000</f>
        <v>8180000</v>
      </c>
      <c r="W52" s="2196"/>
      <c r="X52" s="2198"/>
      <c r="Y52" s="2196"/>
      <c r="Z52" s="2209"/>
      <c r="AA52" s="2196"/>
      <c r="AB52" s="2196"/>
      <c r="AC52" s="2196"/>
      <c r="AD52" s="2196"/>
      <c r="AE52" s="2196"/>
      <c r="AF52" s="2196"/>
      <c r="AG52" s="2196"/>
      <c r="AH52" s="2248"/>
      <c r="AI52" s="2196"/>
      <c r="AJ52" s="2196"/>
      <c r="AK52" s="2196"/>
      <c r="AL52" s="2196"/>
      <c r="AM52" s="2196"/>
      <c r="AN52" s="2196"/>
      <c r="AO52" s="2197"/>
      <c r="AP52" s="2197"/>
      <c r="AQ52" s="2198"/>
    </row>
    <row r="53" spans="1:43" ht="80.25" customHeight="1">
      <c r="A53" s="1506"/>
      <c r="D53" s="1508"/>
      <c r="E53" s="2237"/>
      <c r="F53" s="2237"/>
      <c r="G53" s="2238"/>
      <c r="H53" s="2237"/>
      <c r="I53" s="2237"/>
      <c r="J53" s="2122"/>
      <c r="K53" s="2123"/>
      <c r="L53" s="2123"/>
      <c r="M53" s="2122"/>
      <c r="N53" s="2123"/>
      <c r="O53" s="2246"/>
      <c r="P53" s="2123"/>
      <c r="Q53" s="2247"/>
      <c r="R53" s="2195"/>
      <c r="S53" s="2243"/>
      <c r="T53" s="2127"/>
      <c r="U53" s="1595" t="s">
        <v>2012</v>
      </c>
      <c r="V53" s="1581">
        <f>8000000+48000000+19532000+9000000</f>
        <v>84532000</v>
      </c>
      <c r="W53" s="2196"/>
      <c r="X53" s="2198"/>
      <c r="Y53" s="2196"/>
      <c r="Z53" s="2209"/>
      <c r="AA53" s="2196"/>
      <c r="AB53" s="2196"/>
      <c r="AC53" s="2196"/>
      <c r="AD53" s="2196"/>
      <c r="AE53" s="2196"/>
      <c r="AF53" s="2196"/>
      <c r="AG53" s="2196"/>
      <c r="AH53" s="2248"/>
      <c r="AI53" s="2196"/>
      <c r="AJ53" s="2196"/>
      <c r="AK53" s="2196"/>
      <c r="AL53" s="2196"/>
      <c r="AM53" s="2196"/>
      <c r="AN53" s="2196"/>
      <c r="AO53" s="2197"/>
      <c r="AP53" s="2197"/>
      <c r="AQ53" s="2198"/>
    </row>
    <row r="54" spans="1:43" ht="80.25" customHeight="1">
      <c r="A54" s="1506"/>
      <c r="D54" s="1508"/>
      <c r="E54" s="2237"/>
      <c r="F54" s="2237"/>
      <c r="G54" s="2238"/>
      <c r="H54" s="2237"/>
      <c r="I54" s="2237"/>
      <c r="J54" s="2122"/>
      <c r="K54" s="2123"/>
      <c r="L54" s="2123"/>
      <c r="M54" s="2122"/>
      <c r="N54" s="2123"/>
      <c r="O54" s="2246"/>
      <c r="P54" s="2123"/>
      <c r="Q54" s="2247"/>
      <c r="R54" s="2195"/>
      <c r="S54" s="2243"/>
      <c r="T54" s="2127"/>
      <c r="U54" s="1595" t="s">
        <v>2013</v>
      </c>
      <c r="V54" s="1581">
        <f>3700000+1900000-1500000</f>
        <v>4100000</v>
      </c>
      <c r="W54" s="2196"/>
      <c r="X54" s="2198"/>
      <c r="Y54" s="2196"/>
      <c r="Z54" s="2209"/>
      <c r="AA54" s="2196"/>
      <c r="AB54" s="2196"/>
      <c r="AC54" s="2196"/>
      <c r="AD54" s="2196"/>
      <c r="AE54" s="2196"/>
      <c r="AF54" s="2196"/>
      <c r="AG54" s="2196"/>
      <c r="AH54" s="2248"/>
      <c r="AI54" s="2196"/>
      <c r="AJ54" s="2196"/>
      <c r="AK54" s="2196"/>
      <c r="AL54" s="2196"/>
      <c r="AM54" s="2196"/>
      <c r="AN54" s="2196"/>
      <c r="AO54" s="2197"/>
      <c r="AP54" s="2197"/>
      <c r="AQ54" s="2198"/>
    </row>
    <row r="55" spans="1:43" ht="80.25" customHeight="1">
      <c r="A55" s="1506"/>
      <c r="D55" s="1508"/>
      <c r="E55" s="2237"/>
      <c r="F55" s="2237"/>
      <c r="G55" s="2238"/>
      <c r="H55" s="2237"/>
      <c r="I55" s="2237"/>
      <c r="J55" s="2122"/>
      <c r="K55" s="2123"/>
      <c r="L55" s="2123"/>
      <c r="M55" s="2122"/>
      <c r="N55" s="2123"/>
      <c r="O55" s="2246"/>
      <c r="P55" s="2123"/>
      <c r="Q55" s="2247"/>
      <c r="R55" s="2195"/>
      <c r="S55" s="2243"/>
      <c r="T55" s="2127"/>
      <c r="U55" s="1595" t="s">
        <v>2014</v>
      </c>
      <c r="V55" s="1581">
        <f>4800000+3900000-7060000</f>
        <v>1640000</v>
      </c>
      <c r="W55" s="2196"/>
      <c r="X55" s="2198"/>
      <c r="Y55" s="2196"/>
      <c r="Z55" s="2209"/>
      <c r="AA55" s="2196"/>
      <c r="AB55" s="2196"/>
      <c r="AC55" s="2196"/>
      <c r="AD55" s="2196"/>
      <c r="AE55" s="2196"/>
      <c r="AF55" s="2196"/>
      <c r="AG55" s="2196"/>
      <c r="AH55" s="2248"/>
      <c r="AI55" s="2196"/>
      <c r="AJ55" s="2196"/>
      <c r="AK55" s="2196"/>
      <c r="AL55" s="2196"/>
      <c r="AM55" s="2196"/>
      <c r="AN55" s="2196"/>
      <c r="AO55" s="2197"/>
      <c r="AP55" s="2197"/>
      <c r="AQ55" s="2198"/>
    </row>
    <row r="56" spans="1:43" ht="39.75" customHeight="1">
      <c r="A56" s="1506"/>
      <c r="D56" s="1508"/>
      <c r="E56" s="2237"/>
      <c r="F56" s="2237"/>
      <c r="G56" s="2238"/>
      <c r="H56" s="2237"/>
      <c r="I56" s="2237"/>
      <c r="J56" s="2122"/>
      <c r="K56" s="2123"/>
      <c r="L56" s="2123"/>
      <c r="M56" s="2122"/>
      <c r="N56" s="2123"/>
      <c r="O56" s="2246"/>
      <c r="P56" s="2123"/>
      <c r="Q56" s="2247"/>
      <c r="R56" s="2195"/>
      <c r="S56" s="2243"/>
      <c r="T56" s="2099"/>
      <c r="U56" s="1595" t="s">
        <v>2015</v>
      </c>
      <c r="V56" s="1581">
        <f>3000000-100000</f>
        <v>2900000</v>
      </c>
      <c r="W56" s="2196"/>
      <c r="X56" s="2198"/>
      <c r="Y56" s="2196"/>
      <c r="Z56" s="2209"/>
      <c r="AA56" s="2196"/>
      <c r="AB56" s="2196"/>
      <c r="AC56" s="2196"/>
      <c r="AD56" s="2196"/>
      <c r="AE56" s="2196"/>
      <c r="AF56" s="2196"/>
      <c r="AG56" s="2196"/>
      <c r="AH56" s="2248"/>
      <c r="AI56" s="2196"/>
      <c r="AJ56" s="2196"/>
      <c r="AK56" s="2196"/>
      <c r="AL56" s="2196"/>
      <c r="AM56" s="2196"/>
      <c r="AN56" s="2196"/>
      <c r="AO56" s="2197"/>
      <c r="AP56" s="2197"/>
      <c r="AQ56" s="2198"/>
    </row>
    <row r="57" spans="1:43" ht="21.75" customHeight="1">
      <c r="A57" s="1506"/>
      <c r="D57" s="1508"/>
      <c r="E57" s="1507"/>
      <c r="F57" s="1507"/>
      <c r="G57" s="1508"/>
      <c r="H57" s="1507"/>
      <c r="I57" s="1507"/>
      <c r="J57" s="80"/>
      <c r="K57" s="77"/>
      <c r="L57" s="77"/>
      <c r="M57" s="80"/>
      <c r="N57" s="77"/>
      <c r="O57" s="1596"/>
      <c r="P57" s="1583"/>
      <c r="Q57" s="1597"/>
      <c r="R57" s="1588"/>
      <c r="S57" s="1598"/>
      <c r="T57" s="1383"/>
      <c r="U57" s="1595"/>
      <c r="V57" s="1581"/>
      <c r="W57" s="1584"/>
      <c r="X57" s="1582"/>
      <c r="Y57" s="1584"/>
      <c r="Z57" s="1600"/>
      <c r="AA57" s="1584"/>
      <c r="AB57" s="1584"/>
      <c r="AC57" s="1584"/>
      <c r="AD57" s="1584"/>
      <c r="AE57" s="1584"/>
      <c r="AF57" s="1584"/>
      <c r="AG57" s="1584"/>
      <c r="AH57" s="1601"/>
      <c r="AI57" s="1602"/>
      <c r="AJ57" s="1602"/>
      <c r="AK57" s="1602"/>
      <c r="AL57" s="1602"/>
      <c r="AM57" s="1602"/>
      <c r="AN57" s="1602"/>
      <c r="AO57" s="1603"/>
      <c r="AP57" s="1603"/>
      <c r="AQ57" s="1578"/>
    </row>
    <row r="58" spans="1:43" ht="99" customHeight="1" hidden="1">
      <c r="A58" s="1506"/>
      <c r="D58" s="1508"/>
      <c r="E58" s="1507"/>
      <c r="F58" s="1507"/>
      <c r="G58" s="1508"/>
      <c r="H58" s="1507"/>
      <c r="I58" s="1507"/>
      <c r="J58" s="2122">
        <v>264</v>
      </c>
      <c r="K58" s="2123" t="s">
        <v>2016</v>
      </c>
      <c r="L58" s="2123" t="s">
        <v>2017</v>
      </c>
      <c r="M58" s="2122">
        <v>1</v>
      </c>
      <c r="N58" s="2251" t="s">
        <v>2018</v>
      </c>
      <c r="O58" s="2122" t="s">
        <v>2019</v>
      </c>
      <c r="P58" s="2099" t="s">
        <v>2020</v>
      </c>
      <c r="Q58" s="2249">
        <v>1</v>
      </c>
      <c r="R58" s="2215">
        <f>SUM(V58:V70)</f>
        <v>150000000</v>
      </c>
      <c r="S58" s="2123" t="s">
        <v>2021</v>
      </c>
      <c r="T58" s="2123" t="s">
        <v>2022</v>
      </c>
      <c r="U58" s="1604"/>
      <c r="V58" s="1576"/>
      <c r="W58" s="2218" t="s">
        <v>63</v>
      </c>
      <c r="X58" s="2218" t="s">
        <v>2023</v>
      </c>
      <c r="Y58" s="2226">
        <v>282326</v>
      </c>
      <c r="Z58" s="2252">
        <v>292684</v>
      </c>
      <c r="AA58" s="2226">
        <v>135912</v>
      </c>
      <c r="AB58" s="2226">
        <v>45122</v>
      </c>
      <c r="AC58" s="2226">
        <v>307101</v>
      </c>
      <c r="AD58" s="2226">
        <v>86875</v>
      </c>
      <c r="AE58" s="2226">
        <v>2145</v>
      </c>
      <c r="AF58" s="2226">
        <v>12718</v>
      </c>
      <c r="AG58" s="2226">
        <v>26</v>
      </c>
      <c r="AH58" s="2196">
        <v>37</v>
      </c>
      <c r="AI58" s="2196" t="e">
        <f>#REF!</f>
        <v>#REF!</v>
      </c>
      <c r="AJ58" s="2196"/>
      <c r="AK58" s="2196">
        <v>43029</v>
      </c>
      <c r="AL58" s="2196">
        <v>16982</v>
      </c>
      <c r="AM58" s="2196">
        <v>60013</v>
      </c>
      <c r="AN58" s="2196">
        <v>575010</v>
      </c>
      <c r="AO58" s="2197">
        <v>43102</v>
      </c>
      <c r="AP58" s="2197">
        <v>43465</v>
      </c>
      <c r="AQ58" s="2198" t="s">
        <v>1923</v>
      </c>
    </row>
    <row r="59" spans="1:43" ht="105" customHeight="1">
      <c r="A59" s="1506"/>
      <c r="D59" s="1508"/>
      <c r="E59" s="1507"/>
      <c r="F59" s="1507"/>
      <c r="G59" s="1508"/>
      <c r="H59" s="1507"/>
      <c r="I59" s="1507"/>
      <c r="J59" s="2124"/>
      <c r="K59" s="2098"/>
      <c r="L59" s="2123"/>
      <c r="M59" s="2122"/>
      <c r="N59" s="2251"/>
      <c r="O59" s="2122"/>
      <c r="P59" s="2123"/>
      <c r="Q59" s="2249"/>
      <c r="R59" s="2213"/>
      <c r="S59" s="2123"/>
      <c r="T59" s="2250"/>
      <c r="U59" s="1605" t="s">
        <v>2101</v>
      </c>
      <c r="V59" s="1576">
        <f>0+30000000</f>
        <v>30000000</v>
      </c>
      <c r="W59" s="2196"/>
      <c r="X59" s="2198"/>
      <c r="Y59" s="2196"/>
      <c r="Z59" s="2209"/>
      <c r="AA59" s="2196"/>
      <c r="AB59" s="2196"/>
      <c r="AC59" s="2196"/>
      <c r="AD59" s="2196"/>
      <c r="AE59" s="2196"/>
      <c r="AF59" s="2196"/>
      <c r="AG59" s="2196"/>
      <c r="AH59" s="2196"/>
      <c r="AI59" s="2196"/>
      <c r="AJ59" s="2196"/>
      <c r="AK59" s="2196"/>
      <c r="AL59" s="2196"/>
      <c r="AM59" s="2196"/>
      <c r="AN59" s="2196"/>
      <c r="AO59" s="2197"/>
      <c r="AP59" s="2197"/>
      <c r="AQ59" s="2198"/>
    </row>
    <row r="60" spans="1:43" ht="104.25" customHeight="1">
      <c r="A60" s="1506"/>
      <c r="D60" s="1508"/>
      <c r="E60" s="1507"/>
      <c r="F60" s="1507"/>
      <c r="G60" s="1508"/>
      <c r="H60" s="1507"/>
      <c r="I60" s="1507"/>
      <c r="J60" s="2124"/>
      <c r="K60" s="2098"/>
      <c r="L60" s="2123"/>
      <c r="M60" s="2122"/>
      <c r="N60" s="2251"/>
      <c r="O60" s="2122"/>
      <c r="P60" s="2123"/>
      <c r="Q60" s="2249"/>
      <c r="R60" s="2213"/>
      <c r="S60" s="2123"/>
      <c r="T60" s="2250"/>
      <c r="U60" s="1605" t="s">
        <v>2102</v>
      </c>
      <c r="V60" s="1576">
        <f>0+8000000</f>
        <v>8000000</v>
      </c>
      <c r="W60" s="2196"/>
      <c r="X60" s="2198"/>
      <c r="Y60" s="2196"/>
      <c r="Z60" s="2209"/>
      <c r="AA60" s="2196"/>
      <c r="AB60" s="2196"/>
      <c r="AC60" s="2196"/>
      <c r="AD60" s="2196"/>
      <c r="AE60" s="2196"/>
      <c r="AF60" s="2196"/>
      <c r="AG60" s="2196"/>
      <c r="AH60" s="2196"/>
      <c r="AI60" s="2196"/>
      <c r="AJ60" s="2196"/>
      <c r="AK60" s="2196"/>
      <c r="AL60" s="2196"/>
      <c r="AM60" s="2196"/>
      <c r="AN60" s="2196"/>
      <c r="AO60" s="2197"/>
      <c r="AP60" s="2197"/>
      <c r="AQ60" s="2198"/>
    </row>
    <row r="61" spans="1:43" ht="103.5" customHeight="1">
      <c r="A61" s="1506"/>
      <c r="D61" s="1508"/>
      <c r="E61" s="1507"/>
      <c r="F61" s="1507"/>
      <c r="G61" s="1508"/>
      <c r="H61" s="1507"/>
      <c r="I61" s="1507"/>
      <c r="J61" s="2124"/>
      <c r="K61" s="2098"/>
      <c r="L61" s="2123"/>
      <c r="M61" s="2122"/>
      <c r="N61" s="2251"/>
      <c r="O61" s="2122"/>
      <c r="P61" s="2123"/>
      <c r="Q61" s="2249"/>
      <c r="R61" s="2213"/>
      <c r="S61" s="2123"/>
      <c r="T61" s="2250"/>
      <c r="U61" s="1605" t="s">
        <v>2103</v>
      </c>
      <c r="V61" s="1576">
        <f>0+11000000</f>
        <v>11000000</v>
      </c>
      <c r="W61" s="2196"/>
      <c r="X61" s="2198"/>
      <c r="Y61" s="2196"/>
      <c r="Z61" s="2209"/>
      <c r="AA61" s="2196"/>
      <c r="AB61" s="2196"/>
      <c r="AC61" s="2196"/>
      <c r="AD61" s="2196"/>
      <c r="AE61" s="2196"/>
      <c r="AF61" s="2196"/>
      <c r="AG61" s="2196"/>
      <c r="AH61" s="2196"/>
      <c r="AI61" s="2196"/>
      <c r="AJ61" s="2196"/>
      <c r="AK61" s="2196"/>
      <c r="AL61" s="2196"/>
      <c r="AM61" s="2196"/>
      <c r="AN61" s="2196"/>
      <c r="AO61" s="2197"/>
      <c r="AP61" s="2197"/>
      <c r="AQ61" s="2198"/>
    </row>
    <row r="62" spans="1:43" ht="134.25" customHeight="1">
      <c r="A62" s="1506"/>
      <c r="D62" s="1508"/>
      <c r="E62" s="1507"/>
      <c r="F62" s="1507"/>
      <c r="G62" s="1508"/>
      <c r="H62" s="1507"/>
      <c r="I62" s="1507"/>
      <c r="J62" s="2124"/>
      <c r="K62" s="2098"/>
      <c r="L62" s="2123"/>
      <c r="M62" s="2122"/>
      <c r="N62" s="2251"/>
      <c r="O62" s="2122"/>
      <c r="P62" s="2123"/>
      <c r="Q62" s="2249"/>
      <c r="R62" s="2213"/>
      <c r="S62" s="2123"/>
      <c r="T62" s="2250"/>
      <c r="U62" s="1605" t="s">
        <v>2104</v>
      </c>
      <c r="V62" s="1576">
        <f>0+11000000</f>
        <v>11000000</v>
      </c>
      <c r="W62" s="2196"/>
      <c r="X62" s="2198"/>
      <c r="Y62" s="2196"/>
      <c r="Z62" s="2209"/>
      <c r="AA62" s="2196"/>
      <c r="AB62" s="2196"/>
      <c r="AC62" s="2196"/>
      <c r="AD62" s="2196"/>
      <c r="AE62" s="2196"/>
      <c r="AF62" s="2196"/>
      <c r="AG62" s="2196"/>
      <c r="AH62" s="2196"/>
      <c r="AI62" s="2196"/>
      <c r="AJ62" s="2196"/>
      <c r="AK62" s="2196"/>
      <c r="AL62" s="2196"/>
      <c r="AM62" s="2196"/>
      <c r="AN62" s="2196"/>
      <c r="AO62" s="2197"/>
      <c r="AP62" s="2197"/>
      <c r="AQ62" s="2198"/>
    </row>
    <row r="63" spans="1:43" ht="91.5" customHeight="1">
      <c r="A63" s="1506"/>
      <c r="D63" s="1508"/>
      <c r="E63" s="1507"/>
      <c r="F63" s="1507"/>
      <c r="G63" s="1508"/>
      <c r="H63" s="1507"/>
      <c r="I63" s="1507"/>
      <c r="J63" s="2124"/>
      <c r="K63" s="2098"/>
      <c r="L63" s="2123"/>
      <c r="M63" s="2122"/>
      <c r="N63" s="2251"/>
      <c r="O63" s="2122"/>
      <c r="P63" s="2123"/>
      <c r="Q63" s="2249"/>
      <c r="R63" s="2213"/>
      <c r="S63" s="2123"/>
      <c r="T63" s="2250"/>
      <c r="U63" s="1605" t="s">
        <v>2105</v>
      </c>
      <c r="V63" s="1576">
        <f>0+5500000</f>
        <v>5500000</v>
      </c>
      <c r="W63" s="2196"/>
      <c r="X63" s="2198"/>
      <c r="Y63" s="2196"/>
      <c r="Z63" s="2209"/>
      <c r="AA63" s="2196"/>
      <c r="AB63" s="2196"/>
      <c r="AC63" s="2196"/>
      <c r="AD63" s="2196"/>
      <c r="AE63" s="2196"/>
      <c r="AF63" s="2196"/>
      <c r="AG63" s="2196"/>
      <c r="AH63" s="2196"/>
      <c r="AI63" s="2196"/>
      <c r="AJ63" s="2196"/>
      <c r="AK63" s="2196"/>
      <c r="AL63" s="2196"/>
      <c r="AM63" s="2196"/>
      <c r="AN63" s="2196"/>
      <c r="AO63" s="2197"/>
      <c r="AP63" s="2197"/>
      <c r="AQ63" s="2198"/>
    </row>
    <row r="64" spans="1:43" ht="57" customHeight="1">
      <c r="A64" s="1506"/>
      <c r="D64" s="1508"/>
      <c r="E64" s="1507"/>
      <c r="F64" s="1507"/>
      <c r="G64" s="1508"/>
      <c r="H64" s="1507"/>
      <c r="I64" s="1507"/>
      <c r="J64" s="2124"/>
      <c r="K64" s="2098"/>
      <c r="L64" s="2123"/>
      <c r="M64" s="2122"/>
      <c r="N64" s="2251"/>
      <c r="O64" s="2122"/>
      <c r="P64" s="2123"/>
      <c r="Q64" s="2249"/>
      <c r="R64" s="2213"/>
      <c r="S64" s="2123"/>
      <c r="T64" s="2250"/>
      <c r="U64" s="1605" t="s">
        <v>2106</v>
      </c>
      <c r="V64" s="1576">
        <f>0+3100000</f>
        <v>3100000</v>
      </c>
      <c r="W64" s="2196"/>
      <c r="X64" s="2198"/>
      <c r="Y64" s="2196"/>
      <c r="Z64" s="2209"/>
      <c r="AA64" s="2196"/>
      <c r="AB64" s="2196"/>
      <c r="AC64" s="2196"/>
      <c r="AD64" s="2196"/>
      <c r="AE64" s="2196"/>
      <c r="AF64" s="2196"/>
      <c r="AG64" s="2196"/>
      <c r="AH64" s="2196"/>
      <c r="AI64" s="2196"/>
      <c r="AJ64" s="2196"/>
      <c r="AK64" s="2196"/>
      <c r="AL64" s="2196"/>
      <c r="AM64" s="2196"/>
      <c r="AN64" s="2196"/>
      <c r="AO64" s="2197"/>
      <c r="AP64" s="2197"/>
      <c r="AQ64" s="2198"/>
    </row>
    <row r="65" spans="1:43" ht="57" customHeight="1">
      <c r="A65" s="1506"/>
      <c r="D65" s="1508"/>
      <c r="E65" s="1507"/>
      <c r="F65" s="1507"/>
      <c r="G65" s="1508"/>
      <c r="H65" s="1507"/>
      <c r="I65" s="1507"/>
      <c r="J65" s="2124"/>
      <c r="K65" s="2098"/>
      <c r="L65" s="2123"/>
      <c r="M65" s="2122"/>
      <c r="N65" s="2251"/>
      <c r="O65" s="2122"/>
      <c r="P65" s="2123"/>
      <c r="Q65" s="2249"/>
      <c r="R65" s="2213"/>
      <c r="S65" s="2123"/>
      <c r="T65" s="2250"/>
      <c r="U65" s="1605" t="s">
        <v>2107</v>
      </c>
      <c r="V65" s="1576">
        <f>0+4000000</f>
        <v>4000000</v>
      </c>
      <c r="W65" s="2196"/>
      <c r="X65" s="2198"/>
      <c r="Y65" s="2196"/>
      <c r="Z65" s="2209"/>
      <c r="AA65" s="2196"/>
      <c r="AB65" s="2196"/>
      <c r="AC65" s="2196"/>
      <c r="AD65" s="2196"/>
      <c r="AE65" s="2196"/>
      <c r="AF65" s="2196"/>
      <c r="AG65" s="2196"/>
      <c r="AH65" s="2196"/>
      <c r="AI65" s="2196"/>
      <c r="AJ65" s="2196"/>
      <c r="AK65" s="2196"/>
      <c r="AL65" s="2196"/>
      <c r="AM65" s="2196"/>
      <c r="AN65" s="2196"/>
      <c r="AO65" s="2197"/>
      <c r="AP65" s="2197"/>
      <c r="AQ65" s="2198"/>
    </row>
    <row r="66" spans="1:43" ht="57" customHeight="1">
      <c r="A66" s="1506"/>
      <c r="D66" s="1508"/>
      <c r="E66" s="1507"/>
      <c r="F66" s="1507"/>
      <c r="G66" s="1508"/>
      <c r="H66" s="1507"/>
      <c r="I66" s="1507"/>
      <c r="J66" s="2124"/>
      <c r="K66" s="2098"/>
      <c r="L66" s="2123"/>
      <c r="M66" s="2122"/>
      <c r="N66" s="2251"/>
      <c r="O66" s="2122"/>
      <c r="P66" s="2123"/>
      <c r="Q66" s="2249"/>
      <c r="R66" s="2213"/>
      <c r="S66" s="2123"/>
      <c r="T66" s="2250"/>
      <c r="U66" s="1605" t="s">
        <v>2108</v>
      </c>
      <c r="V66" s="1576">
        <f>0+47700000</f>
        <v>47700000</v>
      </c>
      <c r="W66" s="2196"/>
      <c r="X66" s="2198"/>
      <c r="Y66" s="2196"/>
      <c r="Z66" s="2209"/>
      <c r="AA66" s="2196"/>
      <c r="AB66" s="2196"/>
      <c r="AC66" s="2196"/>
      <c r="AD66" s="2196"/>
      <c r="AE66" s="2196"/>
      <c r="AF66" s="2196"/>
      <c r="AG66" s="2196"/>
      <c r="AH66" s="2196"/>
      <c r="AI66" s="2196"/>
      <c r="AJ66" s="2196"/>
      <c r="AK66" s="2196"/>
      <c r="AL66" s="2196"/>
      <c r="AM66" s="2196"/>
      <c r="AN66" s="2196"/>
      <c r="AO66" s="2197"/>
      <c r="AP66" s="2197"/>
      <c r="AQ66" s="2198"/>
    </row>
    <row r="67" spans="1:43" ht="77.25" customHeight="1">
      <c r="A67" s="1506"/>
      <c r="D67" s="1508"/>
      <c r="E67" s="1507"/>
      <c r="F67" s="1507"/>
      <c r="G67" s="1508"/>
      <c r="H67" s="1507"/>
      <c r="I67" s="1507"/>
      <c r="J67" s="2124"/>
      <c r="K67" s="2098"/>
      <c r="L67" s="2123"/>
      <c r="M67" s="2122"/>
      <c r="N67" s="2251"/>
      <c r="O67" s="2122"/>
      <c r="P67" s="2123"/>
      <c r="Q67" s="2249"/>
      <c r="R67" s="2213"/>
      <c r="S67" s="2123"/>
      <c r="T67" s="2250"/>
      <c r="U67" s="1606" t="s">
        <v>2109</v>
      </c>
      <c r="V67" s="1576">
        <f>0+11000000</f>
        <v>11000000</v>
      </c>
      <c r="W67" s="2196"/>
      <c r="X67" s="2198"/>
      <c r="Y67" s="2196"/>
      <c r="Z67" s="2209"/>
      <c r="AA67" s="2196"/>
      <c r="AB67" s="2196"/>
      <c r="AC67" s="2196"/>
      <c r="AD67" s="2196"/>
      <c r="AE67" s="2196"/>
      <c r="AF67" s="2196"/>
      <c r="AG67" s="2196"/>
      <c r="AH67" s="2196"/>
      <c r="AI67" s="2196"/>
      <c r="AJ67" s="2196"/>
      <c r="AK67" s="2196"/>
      <c r="AL67" s="2196"/>
      <c r="AM67" s="2196"/>
      <c r="AN67" s="2196"/>
      <c r="AO67" s="2197"/>
      <c r="AP67" s="2197"/>
      <c r="AQ67" s="2198"/>
    </row>
    <row r="68" spans="1:43" ht="57" customHeight="1">
      <c r="A68" s="1506"/>
      <c r="D68" s="1508"/>
      <c r="E68" s="1507"/>
      <c r="F68" s="1507"/>
      <c r="G68" s="1508"/>
      <c r="H68" s="1507"/>
      <c r="I68" s="1507"/>
      <c r="J68" s="2124"/>
      <c r="K68" s="2098"/>
      <c r="L68" s="2123"/>
      <c r="M68" s="2122"/>
      <c r="N68" s="2251"/>
      <c r="O68" s="2122"/>
      <c r="P68" s="2123"/>
      <c r="Q68" s="2249"/>
      <c r="R68" s="2213"/>
      <c r="S68" s="2123"/>
      <c r="T68" s="2250"/>
      <c r="U68" s="1605" t="s">
        <v>2110</v>
      </c>
      <c r="V68" s="1576">
        <f>0+4300000</f>
        <v>4300000</v>
      </c>
      <c r="W68" s="2196"/>
      <c r="X68" s="2198"/>
      <c r="Y68" s="2196"/>
      <c r="Z68" s="2209"/>
      <c r="AA68" s="2196"/>
      <c r="AB68" s="2196"/>
      <c r="AC68" s="2196"/>
      <c r="AD68" s="2196"/>
      <c r="AE68" s="2196"/>
      <c r="AF68" s="2196"/>
      <c r="AG68" s="2196"/>
      <c r="AH68" s="2196"/>
      <c r="AI68" s="2196"/>
      <c r="AJ68" s="2196"/>
      <c r="AK68" s="2196"/>
      <c r="AL68" s="2196"/>
      <c r="AM68" s="2196"/>
      <c r="AN68" s="2196"/>
      <c r="AO68" s="2197"/>
      <c r="AP68" s="2197"/>
      <c r="AQ68" s="2198"/>
    </row>
    <row r="69" spans="1:43" ht="57" customHeight="1">
      <c r="A69" s="1506"/>
      <c r="D69" s="1508"/>
      <c r="E69" s="1507"/>
      <c r="F69" s="1507"/>
      <c r="G69" s="1508"/>
      <c r="H69" s="1507"/>
      <c r="I69" s="1507"/>
      <c r="J69" s="2124"/>
      <c r="K69" s="2098"/>
      <c r="L69" s="2123"/>
      <c r="M69" s="2122"/>
      <c r="N69" s="2251"/>
      <c r="O69" s="2122"/>
      <c r="P69" s="2123"/>
      <c r="Q69" s="2249"/>
      <c r="R69" s="2213"/>
      <c r="S69" s="2123"/>
      <c r="T69" s="2250"/>
      <c r="U69" s="1605" t="s">
        <v>2111</v>
      </c>
      <c r="V69" s="1576">
        <f>0+6400000</f>
        <v>6400000</v>
      </c>
      <c r="W69" s="2196"/>
      <c r="X69" s="2198"/>
      <c r="Y69" s="2196"/>
      <c r="Z69" s="2209"/>
      <c r="AA69" s="2196"/>
      <c r="AB69" s="2196"/>
      <c r="AC69" s="2196"/>
      <c r="AD69" s="2196"/>
      <c r="AE69" s="2196"/>
      <c r="AF69" s="2196"/>
      <c r="AG69" s="2196"/>
      <c r="AH69" s="2196"/>
      <c r="AI69" s="2196"/>
      <c r="AJ69" s="2196"/>
      <c r="AK69" s="2196"/>
      <c r="AL69" s="2196"/>
      <c r="AM69" s="2196"/>
      <c r="AN69" s="2196"/>
      <c r="AO69" s="2197"/>
      <c r="AP69" s="2197"/>
      <c r="AQ69" s="2198"/>
    </row>
    <row r="70" spans="1:43" ht="87" customHeight="1">
      <c r="A70" s="1506"/>
      <c r="D70" s="1508"/>
      <c r="E70" s="1507"/>
      <c r="F70" s="1507"/>
      <c r="G70" s="1508"/>
      <c r="H70" s="1507"/>
      <c r="I70" s="1507"/>
      <c r="J70" s="2124"/>
      <c r="K70" s="2098"/>
      <c r="L70" s="2123"/>
      <c r="M70" s="2122"/>
      <c r="N70" s="2251"/>
      <c r="O70" s="2122"/>
      <c r="P70" s="2123"/>
      <c r="Q70" s="2249"/>
      <c r="R70" s="2213"/>
      <c r="S70" s="2123"/>
      <c r="T70" s="2250"/>
      <c r="U70" s="1605" t="s">
        <v>2112</v>
      </c>
      <c r="V70" s="1576">
        <f>0+8000000</f>
        <v>8000000</v>
      </c>
      <c r="W70" s="2196"/>
      <c r="X70" s="2198"/>
      <c r="Y70" s="2196"/>
      <c r="Z70" s="2209"/>
      <c r="AA70" s="2196"/>
      <c r="AB70" s="2196"/>
      <c r="AC70" s="2196"/>
      <c r="AD70" s="2196"/>
      <c r="AE70" s="2196"/>
      <c r="AF70" s="2196"/>
      <c r="AG70" s="2196"/>
      <c r="AH70" s="2196"/>
      <c r="AI70" s="2196"/>
      <c r="AJ70" s="2196"/>
      <c r="AK70" s="2196"/>
      <c r="AL70" s="2196"/>
      <c r="AM70" s="2196"/>
      <c r="AN70" s="2196"/>
      <c r="AO70" s="2197"/>
      <c r="AP70" s="2197"/>
      <c r="AQ70" s="2198"/>
    </row>
    <row r="71" spans="1:43" ht="15.75" customHeight="1">
      <c r="A71" s="1506"/>
      <c r="D71" s="1508"/>
      <c r="E71" s="1507"/>
      <c r="F71" s="1507"/>
      <c r="G71" s="1508"/>
      <c r="H71" s="1507"/>
      <c r="I71" s="1507"/>
      <c r="J71" s="90"/>
      <c r="K71" s="91"/>
      <c r="L71" s="1598"/>
      <c r="M71" s="80"/>
      <c r="N71" s="1607"/>
      <c r="O71" s="80"/>
      <c r="P71" s="77"/>
      <c r="Q71" s="1608"/>
      <c r="R71" s="1609"/>
      <c r="S71" s="1598"/>
      <c r="T71" s="1367"/>
      <c r="U71" s="1610"/>
      <c r="V71" s="1576"/>
      <c r="W71" s="1602"/>
      <c r="X71" s="1578"/>
      <c r="Y71" s="1602"/>
      <c r="Z71" s="1611"/>
      <c r="AA71" s="1602"/>
      <c r="AB71" s="1602"/>
      <c r="AC71" s="1602"/>
      <c r="AD71" s="1602"/>
      <c r="AE71" s="1602"/>
      <c r="AF71" s="1602"/>
      <c r="AG71" s="1602"/>
      <c r="AH71" s="1602"/>
      <c r="AI71" s="1602"/>
      <c r="AJ71" s="1602"/>
      <c r="AK71" s="1602"/>
      <c r="AL71" s="1602"/>
      <c r="AM71" s="1602"/>
      <c r="AN71" s="1602"/>
      <c r="AO71" s="1603"/>
      <c r="AP71" s="1603"/>
      <c r="AQ71" s="1578"/>
    </row>
    <row r="72" spans="1:43" ht="75" customHeight="1">
      <c r="A72" s="2255"/>
      <c r="B72" s="2256"/>
      <c r="C72" s="2256"/>
      <c r="D72" s="2257"/>
      <c r="E72" s="2256"/>
      <c r="F72" s="2256"/>
      <c r="G72" s="2257"/>
      <c r="H72" s="2258"/>
      <c r="I72" s="2258"/>
      <c r="J72" s="2198">
        <v>265</v>
      </c>
      <c r="K72" s="2123" t="s">
        <v>2024</v>
      </c>
      <c r="L72" s="2243" t="s">
        <v>2025</v>
      </c>
      <c r="M72" s="2196">
        <v>1</v>
      </c>
      <c r="N72" s="2123" t="s">
        <v>2026</v>
      </c>
      <c r="O72" s="2199" t="s">
        <v>2027</v>
      </c>
      <c r="P72" s="2253" t="s">
        <v>2028</v>
      </c>
      <c r="Q72" s="2254">
        <v>1</v>
      </c>
      <c r="R72" s="2260">
        <f>SUM(V72:V83)</f>
        <v>582500000</v>
      </c>
      <c r="S72" s="2261" t="s">
        <v>2029</v>
      </c>
      <c r="T72" s="2123" t="s">
        <v>2030</v>
      </c>
      <c r="U72" s="1612" t="s">
        <v>2031</v>
      </c>
      <c r="V72" s="1513">
        <v>18000000</v>
      </c>
      <c r="W72" s="2198" t="s">
        <v>63</v>
      </c>
      <c r="X72" s="2198" t="s">
        <v>90</v>
      </c>
      <c r="Y72" s="2201">
        <v>282326</v>
      </c>
      <c r="Z72" s="2259">
        <v>292684</v>
      </c>
      <c r="AA72" s="2201">
        <v>135912</v>
      </c>
      <c r="AB72" s="2201">
        <v>45122</v>
      </c>
      <c r="AC72" s="2201">
        <v>307101</v>
      </c>
      <c r="AD72" s="2201">
        <v>86875</v>
      </c>
      <c r="AE72" s="2201">
        <v>2145</v>
      </c>
      <c r="AF72" s="2201">
        <v>12718</v>
      </c>
      <c r="AG72" s="2201">
        <v>26</v>
      </c>
      <c r="AH72" s="2201">
        <v>37</v>
      </c>
      <c r="AI72" s="2201"/>
      <c r="AJ72" s="2201"/>
      <c r="AK72" s="2201">
        <v>43029</v>
      </c>
      <c r="AL72" s="2201">
        <v>16982</v>
      </c>
      <c r="AM72" s="2201">
        <v>60013</v>
      </c>
      <c r="AN72" s="2201" t="e">
        <f>#REF!</f>
        <v>#REF!</v>
      </c>
      <c r="AO72" s="2197">
        <v>43102</v>
      </c>
      <c r="AP72" s="2197">
        <v>43465</v>
      </c>
      <c r="AQ72" s="2198" t="s">
        <v>2008</v>
      </c>
    </row>
    <row r="73" spans="1:43" ht="108.75" customHeight="1">
      <c r="A73" s="2255"/>
      <c r="B73" s="2256"/>
      <c r="C73" s="2256"/>
      <c r="D73" s="2257"/>
      <c r="E73" s="2256"/>
      <c r="F73" s="2256"/>
      <c r="G73" s="2257"/>
      <c r="H73" s="2258"/>
      <c r="I73" s="2258"/>
      <c r="J73" s="2198"/>
      <c r="K73" s="2123"/>
      <c r="L73" s="2243"/>
      <c r="M73" s="2196"/>
      <c r="N73" s="2123"/>
      <c r="O73" s="2199"/>
      <c r="P73" s="2253"/>
      <c r="Q73" s="2254"/>
      <c r="R73" s="2260"/>
      <c r="S73" s="2261"/>
      <c r="T73" s="2123"/>
      <c r="U73" s="1371" t="s">
        <v>2032</v>
      </c>
      <c r="V73" s="1513">
        <v>58000000</v>
      </c>
      <c r="W73" s="2196"/>
      <c r="X73" s="2198"/>
      <c r="Y73" s="2201"/>
      <c r="Z73" s="2259"/>
      <c r="AA73" s="2201"/>
      <c r="AB73" s="2201"/>
      <c r="AC73" s="2201"/>
      <c r="AD73" s="2201"/>
      <c r="AE73" s="2201"/>
      <c r="AF73" s="2201"/>
      <c r="AG73" s="2201"/>
      <c r="AH73" s="2201"/>
      <c r="AI73" s="2201"/>
      <c r="AJ73" s="2201"/>
      <c r="AK73" s="2201"/>
      <c r="AL73" s="2201"/>
      <c r="AM73" s="2201"/>
      <c r="AN73" s="2201"/>
      <c r="AO73" s="2197"/>
      <c r="AP73" s="2197"/>
      <c r="AQ73" s="2198"/>
    </row>
    <row r="74" spans="1:43" ht="60.75" customHeight="1">
      <c r="A74" s="2255"/>
      <c r="B74" s="2256"/>
      <c r="C74" s="2256"/>
      <c r="D74" s="2257"/>
      <c r="E74" s="2256"/>
      <c r="F74" s="2256"/>
      <c r="G74" s="2257"/>
      <c r="H74" s="2258"/>
      <c r="I74" s="2258"/>
      <c r="J74" s="2198"/>
      <c r="K74" s="2123"/>
      <c r="L74" s="2243"/>
      <c r="M74" s="2196"/>
      <c r="N74" s="2123"/>
      <c r="O74" s="2199"/>
      <c r="P74" s="2253"/>
      <c r="Q74" s="2254"/>
      <c r="R74" s="2260"/>
      <c r="S74" s="2261"/>
      <c r="T74" s="2123"/>
      <c r="U74" s="1371" t="s">
        <v>2033</v>
      </c>
      <c r="V74" s="1513">
        <v>89100000</v>
      </c>
      <c r="W74" s="2196"/>
      <c r="X74" s="2198"/>
      <c r="Y74" s="2201"/>
      <c r="Z74" s="2259"/>
      <c r="AA74" s="2201"/>
      <c r="AB74" s="2201"/>
      <c r="AC74" s="2201"/>
      <c r="AD74" s="2201"/>
      <c r="AE74" s="2201"/>
      <c r="AF74" s="2201"/>
      <c r="AG74" s="2201"/>
      <c r="AH74" s="2201"/>
      <c r="AI74" s="2201"/>
      <c r="AJ74" s="2201"/>
      <c r="AK74" s="2201"/>
      <c r="AL74" s="2201"/>
      <c r="AM74" s="2201"/>
      <c r="AN74" s="2201"/>
      <c r="AO74" s="2197"/>
      <c r="AP74" s="2197"/>
      <c r="AQ74" s="2198"/>
    </row>
    <row r="75" spans="1:43" ht="56.25" customHeight="1">
      <c r="A75" s="2255"/>
      <c r="B75" s="2256"/>
      <c r="C75" s="2256"/>
      <c r="D75" s="2257"/>
      <c r="E75" s="2256"/>
      <c r="F75" s="2256"/>
      <c r="G75" s="2257"/>
      <c r="H75" s="2258"/>
      <c r="I75" s="2258"/>
      <c r="J75" s="2198"/>
      <c r="K75" s="2123"/>
      <c r="L75" s="2243"/>
      <c r="M75" s="2196"/>
      <c r="N75" s="2123"/>
      <c r="O75" s="2199"/>
      <c r="P75" s="2253"/>
      <c r="Q75" s="2254"/>
      <c r="R75" s="2260"/>
      <c r="S75" s="2261"/>
      <c r="T75" s="2123"/>
      <c r="U75" s="1371" t="s">
        <v>2034</v>
      </c>
      <c r="V75" s="1576">
        <f>62400000+65120000-20480000-32000000-28800000</f>
        <v>46240000</v>
      </c>
      <c r="W75" s="2196"/>
      <c r="X75" s="2198"/>
      <c r="Y75" s="2201"/>
      <c r="Z75" s="2259"/>
      <c r="AA75" s="2201"/>
      <c r="AB75" s="2201"/>
      <c r="AC75" s="2201"/>
      <c r="AD75" s="2201"/>
      <c r="AE75" s="2201"/>
      <c r="AF75" s="2201"/>
      <c r="AG75" s="2201"/>
      <c r="AH75" s="2201"/>
      <c r="AI75" s="2201"/>
      <c r="AJ75" s="2201"/>
      <c r="AK75" s="2201"/>
      <c r="AL75" s="2201"/>
      <c r="AM75" s="2201"/>
      <c r="AN75" s="2201"/>
      <c r="AO75" s="2197"/>
      <c r="AP75" s="2197"/>
      <c r="AQ75" s="2198"/>
    </row>
    <row r="76" spans="1:43" ht="39.75" customHeight="1">
      <c r="A76" s="2255"/>
      <c r="B76" s="2256"/>
      <c r="C76" s="2256"/>
      <c r="D76" s="2257"/>
      <c r="E76" s="2256"/>
      <c r="F76" s="2256"/>
      <c r="G76" s="2257"/>
      <c r="H76" s="2258"/>
      <c r="I76" s="2258"/>
      <c r="J76" s="2198"/>
      <c r="K76" s="2123"/>
      <c r="L76" s="2243"/>
      <c r="M76" s="2196"/>
      <c r="N76" s="2123"/>
      <c r="O76" s="2199"/>
      <c r="P76" s="2253"/>
      <c r="Q76" s="2254"/>
      <c r="R76" s="2260"/>
      <c r="S76" s="2261"/>
      <c r="T76" s="2123"/>
      <c r="U76" s="1371" t="s">
        <v>2035</v>
      </c>
      <c r="V76" s="1576">
        <f>20800000+39520000</f>
        <v>60320000</v>
      </c>
      <c r="W76" s="2196"/>
      <c r="X76" s="2198"/>
      <c r="Y76" s="2201"/>
      <c r="Z76" s="2259"/>
      <c r="AA76" s="2201"/>
      <c r="AB76" s="2201"/>
      <c r="AC76" s="2201"/>
      <c r="AD76" s="2201"/>
      <c r="AE76" s="2201"/>
      <c r="AF76" s="2201"/>
      <c r="AG76" s="2201"/>
      <c r="AH76" s="2201"/>
      <c r="AI76" s="2201"/>
      <c r="AJ76" s="2201"/>
      <c r="AK76" s="2201"/>
      <c r="AL76" s="2201"/>
      <c r="AM76" s="2201"/>
      <c r="AN76" s="2201"/>
      <c r="AO76" s="2197"/>
      <c r="AP76" s="2197"/>
      <c r="AQ76" s="2198"/>
    </row>
    <row r="77" spans="1:43" ht="72.75" customHeight="1">
      <c r="A77" s="2255"/>
      <c r="B77" s="2256"/>
      <c r="C77" s="2256"/>
      <c r="D77" s="2257"/>
      <c r="E77" s="2256"/>
      <c r="F77" s="2256"/>
      <c r="G77" s="2257"/>
      <c r="H77" s="2258"/>
      <c r="I77" s="2258"/>
      <c r="J77" s="2198"/>
      <c r="K77" s="2123"/>
      <c r="L77" s="2243"/>
      <c r="M77" s="2196"/>
      <c r="N77" s="2123"/>
      <c r="O77" s="2199"/>
      <c r="P77" s="2253"/>
      <c r="Q77" s="2254"/>
      <c r="R77" s="2260"/>
      <c r="S77" s="2261"/>
      <c r="T77" s="2123"/>
      <c r="U77" s="1371" t="s">
        <v>2036</v>
      </c>
      <c r="V77" s="1576">
        <f>5760000+20480000+32000000+28800000</f>
        <v>87040000</v>
      </c>
      <c r="W77" s="2196"/>
      <c r="X77" s="2198"/>
      <c r="Y77" s="2201"/>
      <c r="Z77" s="2259"/>
      <c r="AA77" s="2201"/>
      <c r="AB77" s="2201"/>
      <c r="AC77" s="2201"/>
      <c r="AD77" s="2201"/>
      <c r="AE77" s="2201"/>
      <c r="AF77" s="2201"/>
      <c r="AG77" s="2201"/>
      <c r="AH77" s="2201"/>
      <c r="AI77" s="2201"/>
      <c r="AJ77" s="2201"/>
      <c r="AK77" s="2201"/>
      <c r="AL77" s="2201"/>
      <c r="AM77" s="2201"/>
      <c r="AN77" s="2201"/>
      <c r="AO77" s="2197"/>
      <c r="AP77" s="2197"/>
      <c r="AQ77" s="2198"/>
    </row>
    <row r="78" spans="1:43" ht="60.75" customHeight="1">
      <c r="A78" s="2255"/>
      <c r="B78" s="2256"/>
      <c r="C78" s="2256"/>
      <c r="D78" s="2257"/>
      <c r="E78" s="2256"/>
      <c r="F78" s="2256"/>
      <c r="G78" s="2257"/>
      <c r="H78" s="2258"/>
      <c r="I78" s="2258"/>
      <c r="J78" s="2198"/>
      <c r="K78" s="2123"/>
      <c r="L78" s="2243"/>
      <c r="M78" s="2196"/>
      <c r="N78" s="2123"/>
      <c r="O78" s="2199"/>
      <c r="P78" s="2253"/>
      <c r="Q78" s="2254"/>
      <c r="R78" s="2260"/>
      <c r="S78" s="2261"/>
      <c r="T78" s="2123"/>
      <c r="U78" s="1371" t="s">
        <v>2037</v>
      </c>
      <c r="V78" s="1576">
        <f>14480000+11520000</f>
        <v>26000000</v>
      </c>
      <c r="W78" s="2196"/>
      <c r="X78" s="2198"/>
      <c r="Y78" s="2201"/>
      <c r="Z78" s="2259"/>
      <c r="AA78" s="2201"/>
      <c r="AB78" s="2201"/>
      <c r="AC78" s="2201"/>
      <c r="AD78" s="2201"/>
      <c r="AE78" s="2201"/>
      <c r="AF78" s="2201"/>
      <c r="AG78" s="2201"/>
      <c r="AH78" s="2201"/>
      <c r="AI78" s="2201"/>
      <c r="AJ78" s="2201"/>
      <c r="AK78" s="2201"/>
      <c r="AL78" s="2201"/>
      <c r="AM78" s="2201"/>
      <c r="AN78" s="2201"/>
      <c r="AO78" s="2197"/>
      <c r="AP78" s="2197"/>
      <c r="AQ78" s="2198"/>
    </row>
    <row r="79" spans="1:43" ht="39.75" customHeight="1">
      <c r="A79" s="2255"/>
      <c r="B79" s="2256"/>
      <c r="C79" s="2256"/>
      <c r="D79" s="2257"/>
      <c r="E79" s="2256"/>
      <c r="F79" s="2256"/>
      <c r="G79" s="2257"/>
      <c r="H79" s="2258"/>
      <c r="I79" s="2258"/>
      <c r="J79" s="2198"/>
      <c r="K79" s="2123"/>
      <c r="L79" s="2243"/>
      <c r="M79" s="2196"/>
      <c r="N79" s="2123"/>
      <c r="O79" s="2199"/>
      <c r="P79" s="2253"/>
      <c r="Q79" s="2254"/>
      <c r="R79" s="2260"/>
      <c r="S79" s="2261"/>
      <c r="T79" s="2123" t="s">
        <v>2038</v>
      </c>
      <c r="U79" s="1371" t="s">
        <v>2039</v>
      </c>
      <c r="V79" s="1513">
        <v>8000000</v>
      </c>
      <c r="W79" s="2196"/>
      <c r="X79" s="2198"/>
      <c r="Y79" s="2201"/>
      <c r="Z79" s="2259"/>
      <c r="AA79" s="2201"/>
      <c r="AB79" s="2201"/>
      <c r="AC79" s="2201"/>
      <c r="AD79" s="2201"/>
      <c r="AE79" s="2201"/>
      <c r="AF79" s="2201"/>
      <c r="AG79" s="2201"/>
      <c r="AH79" s="2201"/>
      <c r="AI79" s="2201"/>
      <c r="AJ79" s="2201"/>
      <c r="AK79" s="2201"/>
      <c r="AL79" s="2201"/>
      <c r="AM79" s="2201"/>
      <c r="AN79" s="2201"/>
      <c r="AO79" s="2197"/>
      <c r="AP79" s="2197"/>
      <c r="AQ79" s="2198"/>
    </row>
    <row r="80" spans="1:43" ht="39.75" customHeight="1">
      <c r="A80" s="2255"/>
      <c r="B80" s="2256"/>
      <c r="C80" s="2256"/>
      <c r="D80" s="2257"/>
      <c r="E80" s="2256"/>
      <c r="F80" s="2256"/>
      <c r="G80" s="2257"/>
      <c r="H80" s="2258"/>
      <c r="I80" s="2258"/>
      <c r="J80" s="2198"/>
      <c r="K80" s="2123"/>
      <c r="L80" s="2243"/>
      <c r="M80" s="2196"/>
      <c r="N80" s="2123"/>
      <c r="O80" s="2199"/>
      <c r="P80" s="2253"/>
      <c r="Q80" s="2254"/>
      <c r="R80" s="2260"/>
      <c r="S80" s="2261"/>
      <c r="T80" s="2123"/>
      <c r="U80" s="1371" t="s">
        <v>2040</v>
      </c>
      <c r="V80" s="1513">
        <v>6500000</v>
      </c>
      <c r="W80" s="2196"/>
      <c r="X80" s="2198"/>
      <c r="Y80" s="2201"/>
      <c r="Z80" s="2259"/>
      <c r="AA80" s="2201"/>
      <c r="AB80" s="2201"/>
      <c r="AC80" s="2201"/>
      <c r="AD80" s="2201"/>
      <c r="AE80" s="2201"/>
      <c r="AF80" s="2201"/>
      <c r="AG80" s="2201"/>
      <c r="AH80" s="2201"/>
      <c r="AI80" s="2201"/>
      <c r="AJ80" s="2201"/>
      <c r="AK80" s="2201"/>
      <c r="AL80" s="2201"/>
      <c r="AM80" s="2201"/>
      <c r="AN80" s="2201"/>
      <c r="AO80" s="2197"/>
      <c r="AP80" s="2197"/>
      <c r="AQ80" s="2198"/>
    </row>
    <row r="81" spans="1:43" ht="39.75" customHeight="1">
      <c r="A81" s="2255"/>
      <c r="B81" s="2256"/>
      <c r="C81" s="2256"/>
      <c r="D81" s="2257"/>
      <c r="E81" s="2256"/>
      <c r="F81" s="2256"/>
      <c r="G81" s="2257"/>
      <c r="H81" s="2258"/>
      <c r="I81" s="2258"/>
      <c r="J81" s="2198"/>
      <c r="K81" s="2123"/>
      <c r="L81" s="2243"/>
      <c r="M81" s="2196"/>
      <c r="N81" s="2123"/>
      <c r="O81" s="2199"/>
      <c r="P81" s="2253"/>
      <c r="Q81" s="2254"/>
      <c r="R81" s="2260"/>
      <c r="S81" s="2261"/>
      <c r="T81" s="2123"/>
      <c r="U81" s="1371" t="s">
        <v>2041</v>
      </c>
      <c r="V81" s="1513">
        <v>18000000</v>
      </c>
      <c r="W81" s="2196"/>
      <c r="X81" s="2198"/>
      <c r="Y81" s="2201"/>
      <c r="Z81" s="2259"/>
      <c r="AA81" s="2201"/>
      <c r="AB81" s="2201"/>
      <c r="AC81" s="2201"/>
      <c r="AD81" s="2201"/>
      <c r="AE81" s="2201"/>
      <c r="AF81" s="2201"/>
      <c r="AG81" s="2201"/>
      <c r="AH81" s="2201"/>
      <c r="AI81" s="2201"/>
      <c r="AJ81" s="2201"/>
      <c r="AK81" s="2201"/>
      <c r="AL81" s="2201"/>
      <c r="AM81" s="2201"/>
      <c r="AN81" s="2201"/>
      <c r="AO81" s="2197"/>
      <c r="AP81" s="2197"/>
      <c r="AQ81" s="2198"/>
    </row>
    <row r="82" spans="1:43" ht="105" customHeight="1">
      <c r="A82" s="2255"/>
      <c r="B82" s="2256"/>
      <c r="C82" s="2256"/>
      <c r="D82" s="2257"/>
      <c r="E82" s="2256"/>
      <c r="F82" s="2256"/>
      <c r="G82" s="2257"/>
      <c r="H82" s="2258"/>
      <c r="I82" s="2258"/>
      <c r="J82" s="2198"/>
      <c r="K82" s="2123"/>
      <c r="L82" s="2243"/>
      <c r="M82" s="2196"/>
      <c r="N82" s="2123"/>
      <c r="O82" s="2199"/>
      <c r="P82" s="2253"/>
      <c r="Q82" s="2254"/>
      <c r="R82" s="2260"/>
      <c r="S82" s="2261"/>
      <c r="T82" s="2123" t="s">
        <v>2042</v>
      </c>
      <c r="U82" s="1371" t="s">
        <v>2043</v>
      </c>
      <c r="V82" s="1513">
        <v>90000000</v>
      </c>
      <c r="W82" s="2196"/>
      <c r="X82" s="2198"/>
      <c r="Y82" s="2201"/>
      <c r="Z82" s="2259"/>
      <c r="AA82" s="2201"/>
      <c r="AB82" s="2201"/>
      <c r="AC82" s="2201"/>
      <c r="AD82" s="2201"/>
      <c r="AE82" s="2201"/>
      <c r="AF82" s="2201"/>
      <c r="AG82" s="2201"/>
      <c r="AH82" s="2201"/>
      <c r="AI82" s="2201"/>
      <c r="AJ82" s="2201"/>
      <c r="AK82" s="2201"/>
      <c r="AL82" s="2201"/>
      <c r="AM82" s="2201"/>
      <c r="AN82" s="2201"/>
      <c r="AO82" s="2197"/>
      <c r="AP82" s="2197"/>
      <c r="AQ82" s="2198"/>
    </row>
    <row r="83" spans="1:43" ht="39.75" customHeight="1">
      <c r="A83" s="2255"/>
      <c r="B83" s="2256"/>
      <c r="C83" s="2256"/>
      <c r="D83" s="2257"/>
      <c r="E83" s="2256"/>
      <c r="F83" s="2256"/>
      <c r="G83" s="2257"/>
      <c r="H83" s="2258"/>
      <c r="I83" s="2258"/>
      <c r="J83" s="2198"/>
      <c r="K83" s="2123"/>
      <c r="L83" s="2243"/>
      <c r="M83" s="2196"/>
      <c r="N83" s="2123"/>
      <c r="O83" s="2199"/>
      <c r="P83" s="2253"/>
      <c r="Q83" s="2254"/>
      <c r="R83" s="2260"/>
      <c r="S83" s="2261"/>
      <c r="T83" s="2123"/>
      <c r="U83" s="1371" t="s">
        <v>2044</v>
      </c>
      <c r="V83" s="1576">
        <f>53940000+30360000-9000000</f>
        <v>75300000</v>
      </c>
      <c r="W83" s="2196"/>
      <c r="X83" s="2198"/>
      <c r="Y83" s="2201"/>
      <c r="Z83" s="2259"/>
      <c r="AA83" s="2201"/>
      <c r="AB83" s="2201"/>
      <c r="AC83" s="2201"/>
      <c r="AD83" s="2201"/>
      <c r="AE83" s="2201"/>
      <c r="AF83" s="2201"/>
      <c r="AG83" s="2201"/>
      <c r="AH83" s="2201"/>
      <c r="AI83" s="2201"/>
      <c r="AJ83" s="2201"/>
      <c r="AK83" s="2201"/>
      <c r="AL83" s="2201"/>
      <c r="AM83" s="2201"/>
      <c r="AN83" s="2201"/>
      <c r="AO83" s="2197"/>
      <c r="AP83" s="2197"/>
      <c r="AQ83" s="2198"/>
    </row>
    <row r="84" spans="1:43" ht="15" customHeight="1">
      <c r="A84" s="1528"/>
      <c r="B84" s="1613"/>
      <c r="C84" s="1613"/>
      <c r="D84" s="1529"/>
      <c r="E84" s="1613"/>
      <c r="F84" s="1613"/>
      <c r="G84" s="1529"/>
      <c r="J84" s="1582"/>
      <c r="K84" s="1583"/>
      <c r="L84" s="1598"/>
      <c r="M84" s="1602"/>
      <c r="N84" s="77"/>
      <c r="O84" s="1375"/>
      <c r="P84" s="1371"/>
      <c r="Q84" s="1614"/>
      <c r="R84" s="1615"/>
      <c r="S84" s="1616"/>
      <c r="T84" s="77"/>
      <c r="U84" s="1371"/>
      <c r="V84" s="1576"/>
      <c r="W84" s="1602"/>
      <c r="X84" s="1578"/>
      <c r="Y84" s="1617"/>
      <c r="Z84" s="1618"/>
      <c r="AA84" s="1617"/>
      <c r="AB84" s="1617"/>
      <c r="AC84" s="1617"/>
      <c r="AD84" s="1617"/>
      <c r="AE84" s="1617"/>
      <c r="AF84" s="1617"/>
      <c r="AG84" s="1617"/>
      <c r="AH84" s="1617"/>
      <c r="AI84" s="1617"/>
      <c r="AJ84" s="1617"/>
      <c r="AK84" s="1617"/>
      <c r="AL84" s="1617"/>
      <c r="AM84" s="1617"/>
      <c r="AN84" s="1617"/>
      <c r="AO84" s="1603"/>
      <c r="AP84" s="1603"/>
      <c r="AQ84" s="1578"/>
    </row>
    <row r="85" spans="1:43" ht="39.75" customHeight="1">
      <c r="A85" s="1528"/>
      <c r="D85" s="1529"/>
      <c r="G85" s="1529"/>
      <c r="J85" s="2218">
        <v>266</v>
      </c>
      <c r="K85" s="2099" t="s">
        <v>2045</v>
      </c>
      <c r="L85" s="2202" t="s">
        <v>2046</v>
      </c>
      <c r="M85" s="2196">
        <v>1</v>
      </c>
      <c r="N85" s="2123" t="s">
        <v>2047</v>
      </c>
      <c r="O85" s="2199" t="s">
        <v>2048</v>
      </c>
      <c r="P85" s="2253" t="s">
        <v>2049</v>
      </c>
      <c r="Q85" s="2205">
        <v>1</v>
      </c>
      <c r="R85" s="2263">
        <f>SUM(V85:V100)</f>
        <v>38500000</v>
      </c>
      <c r="S85" s="2123" t="s">
        <v>2050</v>
      </c>
      <c r="T85" s="2123" t="s">
        <v>2051</v>
      </c>
      <c r="U85" s="1514" t="s">
        <v>2052</v>
      </c>
      <c r="V85" s="1513">
        <v>1020000</v>
      </c>
      <c r="W85" s="2196">
        <v>20</v>
      </c>
      <c r="X85" s="2198" t="s">
        <v>1718</v>
      </c>
      <c r="Y85" s="2196">
        <v>282326</v>
      </c>
      <c r="Z85" s="2262">
        <v>292684</v>
      </c>
      <c r="AA85" s="2196">
        <v>135912</v>
      </c>
      <c r="AB85" s="2196">
        <v>45122</v>
      </c>
      <c r="AC85" s="2196">
        <v>307101</v>
      </c>
      <c r="AD85" s="2196">
        <v>86875</v>
      </c>
      <c r="AE85" s="2196">
        <v>2145</v>
      </c>
      <c r="AF85" s="2196">
        <v>12718</v>
      </c>
      <c r="AG85" s="2196">
        <v>26</v>
      </c>
      <c r="AH85" s="2196">
        <v>37</v>
      </c>
      <c r="AI85" s="2196"/>
      <c r="AJ85" s="2196"/>
      <c r="AK85" s="2196">
        <v>43029</v>
      </c>
      <c r="AL85" s="2267">
        <f>AL72</f>
        <v>16982</v>
      </c>
      <c r="AM85" s="2196">
        <v>60013</v>
      </c>
      <c r="AN85" s="2267">
        <f>Y85+Z85</f>
        <v>575010</v>
      </c>
      <c r="AO85" s="2197">
        <v>43102</v>
      </c>
      <c r="AP85" s="2197">
        <v>43465</v>
      </c>
      <c r="AQ85" s="2198" t="s">
        <v>2008</v>
      </c>
    </row>
    <row r="86" spans="1:43" ht="39.75" customHeight="1">
      <c r="A86" s="1528"/>
      <c r="D86" s="1529"/>
      <c r="G86" s="1529"/>
      <c r="J86" s="2198"/>
      <c r="K86" s="2123"/>
      <c r="L86" s="2202"/>
      <c r="M86" s="2196"/>
      <c r="N86" s="2123"/>
      <c r="O86" s="2199"/>
      <c r="P86" s="2253"/>
      <c r="Q86" s="2205"/>
      <c r="R86" s="2264"/>
      <c r="S86" s="2123"/>
      <c r="T86" s="2123"/>
      <c r="U86" s="1514" t="s">
        <v>2053</v>
      </c>
      <c r="V86" s="1513">
        <v>3300000</v>
      </c>
      <c r="W86" s="2196"/>
      <c r="X86" s="2198"/>
      <c r="Y86" s="2196"/>
      <c r="Z86" s="2262"/>
      <c r="AA86" s="2196"/>
      <c r="AB86" s="2196"/>
      <c r="AC86" s="2196"/>
      <c r="AD86" s="2196"/>
      <c r="AE86" s="2196"/>
      <c r="AF86" s="2196"/>
      <c r="AG86" s="2196"/>
      <c r="AH86" s="2196"/>
      <c r="AI86" s="2196"/>
      <c r="AJ86" s="2196"/>
      <c r="AK86" s="2196"/>
      <c r="AL86" s="2267"/>
      <c r="AM86" s="2196"/>
      <c r="AN86" s="2267"/>
      <c r="AO86" s="2197"/>
      <c r="AP86" s="2197"/>
      <c r="AQ86" s="2198"/>
    </row>
    <row r="87" spans="1:43" ht="39.75" customHeight="1">
      <c r="A87" s="1528"/>
      <c r="D87" s="1529"/>
      <c r="G87" s="1529"/>
      <c r="J87" s="2198"/>
      <c r="K87" s="2123"/>
      <c r="L87" s="2202"/>
      <c r="M87" s="2196"/>
      <c r="N87" s="2123"/>
      <c r="O87" s="2199"/>
      <c r="P87" s="2253"/>
      <c r="Q87" s="2205"/>
      <c r="R87" s="2264"/>
      <c r="S87" s="2123"/>
      <c r="T87" s="2123"/>
      <c r="U87" s="1514" t="s">
        <v>2054</v>
      </c>
      <c r="V87" s="1513"/>
      <c r="W87" s="2196"/>
      <c r="X87" s="2198"/>
      <c r="Y87" s="2196"/>
      <c r="Z87" s="2262"/>
      <c r="AA87" s="2196"/>
      <c r="AB87" s="2196"/>
      <c r="AC87" s="2196"/>
      <c r="AD87" s="2196"/>
      <c r="AE87" s="2196"/>
      <c r="AF87" s="2196"/>
      <c r="AG87" s="2196"/>
      <c r="AH87" s="2196"/>
      <c r="AI87" s="2196"/>
      <c r="AJ87" s="2196"/>
      <c r="AK87" s="2196"/>
      <c r="AL87" s="2267"/>
      <c r="AM87" s="2196"/>
      <c r="AN87" s="2267"/>
      <c r="AO87" s="2197"/>
      <c r="AP87" s="2197"/>
      <c r="AQ87" s="2198"/>
    </row>
    <row r="88" spans="1:43" ht="39.75" customHeight="1">
      <c r="A88" s="1528"/>
      <c r="D88" s="1529"/>
      <c r="G88" s="1529"/>
      <c r="J88" s="2198"/>
      <c r="K88" s="2123"/>
      <c r="L88" s="2202"/>
      <c r="M88" s="2196"/>
      <c r="N88" s="2123"/>
      <c r="O88" s="2199"/>
      <c r="P88" s="2253"/>
      <c r="Q88" s="2205"/>
      <c r="R88" s="2264"/>
      <c r="S88" s="2123"/>
      <c r="T88" s="2123"/>
      <c r="U88" s="1514" t="s">
        <v>2055</v>
      </c>
      <c r="V88" s="1513">
        <v>600000</v>
      </c>
      <c r="W88" s="2196"/>
      <c r="X88" s="2198"/>
      <c r="Y88" s="2196"/>
      <c r="Z88" s="2262"/>
      <c r="AA88" s="2196"/>
      <c r="AB88" s="2196"/>
      <c r="AC88" s="2196"/>
      <c r="AD88" s="2196"/>
      <c r="AE88" s="2196"/>
      <c r="AF88" s="2196"/>
      <c r="AG88" s="2196"/>
      <c r="AH88" s="2196"/>
      <c r="AI88" s="2196"/>
      <c r="AJ88" s="2196"/>
      <c r="AK88" s="2196"/>
      <c r="AL88" s="2267"/>
      <c r="AM88" s="2196"/>
      <c r="AN88" s="2267"/>
      <c r="AO88" s="2197"/>
      <c r="AP88" s="2197"/>
      <c r="AQ88" s="2198"/>
    </row>
    <row r="89" spans="1:43" ht="39.75" customHeight="1">
      <c r="A89" s="1528"/>
      <c r="D89" s="1529"/>
      <c r="G89" s="1529"/>
      <c r="J89" s="2198"/>
      <c r="K89" s="2123"/>
      <c r="L89" s="2202"/>
      <c r="M89" s="2196"/>
      <c r="N89" s="2123"/>
      <c r="O89" s="2199"/>
      <c r="P89" s="2253"/>
      <c r="Q89" s="2205"/>
      <c r="R89" s="2264"/>
      <c r="S89" s="2123"/>
      <c r="T89" s="2123"/>
      <c r="U89" s="1514" t="s">
        <v>2056</v>
      </c>
      <c r="V89" s="1513">
        <v>600000</v>
      </c>
      <c r="W89" s="2196"/>
      <c r="X89" s="2198"/>
      <c r="Y89" s="2196"/>
      <c r="Z89" s="2262"/>
      <c r="AA89" s="2196"/>
      <c r="AB89" s="2196"/>
      <c r="AC89" s="2196"/>
      <c r="AD89" s="2196"/>
      <c r="AE89" s="2196"/>
      <c r="AF89" s="2196"/>
      <c r="AG89" s="2196"/>
      <c r="AH89" s="2196"/>
      <c r="AI89" s="2196"/>
      <c r="AJ89" s="2196"/>
      <c r="AK89" s="2196"/>
      <c r="AL89" s="2267"/>
      <c r="AM89" s="2196"/>
      <c r="AN89" s="2267"/>
      <c r="AO89" s="2197"/>
      <c r="AP89" s="2197"/>
      <c r="AQ89" s="2198"/>
    </row>
    <row r="90" spans="1:43" ht="39.75" customHeight="1">
      <c r="A90" s="1528"/>
      <c r="D90" s="1529"/>
      <c r="G90" s="1529"/>
      <c r="J90" s="2198"/>
      <c r="K90" s="2123"/>
      <c r="L90" s="2202"/>
      <c r="M90" s="2196"/>
      <c r="N90" s="2123"/>
      <c r="O90" s="2199"/>
      <c r="P90" s="2253"/>
      <c r="Q90" s="2205"/>
      <c r="R90" s="2264"/>
      <c r="S90" s="2123"/>
      <c r="T90" s="2123"/>
      <c r="U90" s="1514" t="s">
        <v>2057</v>
      </c>
      <c r="V90" s="1513">
        <v>600000</v>
      </c>
      <c r="W90" s="2196"/>
      <c r="X90" s="2198"/>
      <c r="Y90" s="2196"/>
      <c r="Z90" s="2262"/>
      <c r="AA90" s="2196"/>
      <c r="AB90" s="2196"/>
      <c r="AC90" s="2196"/>
      <c r="AD90" s="2196"/>
      <c r="AE90" s="2196"/>
      <c r="AF90" s="2196"/>
      <c r="AG90" s="2196"/>
      <c r="AH90" s="2196"/>
      <c r="AI90" s="2196"/>
      <c r="AJ90" s="2196"/>
      <c r="AK90" s="2196"/>
      <c r="AL90" s="2267"/>
      <c r="AM90" s="2196"/>
      <c r="AN90" s="2267"/>
      <c r="AO90" s="2197"/>
      <c r="AP90" s="2197"/>
      <c r="AQ90" s="2198"/>
    </row>
    <row r="91" spans="1:43" ht="39.75" customHeight="1">
      <c r="A91" s="1528"/>
      <c r="D91" s="1529"/>
      <c r="G91" s="1529"/>
      <c r="J91" s="2198"/>
      <c r="K91" s="2123"/>
      <c r="L91" s="2202"/>
      <c r="M91" s="2196"/>
      <c r="N91" s="2123"/>
      <c r="O91" s="2199"/>
      <c r="P91" s="2253"/>
      <c r="Q91" s="2205"/>
      <c r="R91" s="2264"/>
      <c r="S91" s="2123"/>
      <c r="T91" s="2123"/>
      <c r="U91" s="1514" t="s">
        <v>2058</v>
      </c>
      <c r="V91" s="1513">
        <v>2700000</v>
      </c>
      <c r="W91" s="2196"/>
      <c r="X91" s="2198"/>
      <c r="Y91" s="2196"/>
      <c r="Z91" s="2262"/>
      <c r="AA91" s="2196"/>
      <c r="AB91" s="2196"/>
      <c r="AC91" s="2196"/>
      <c r="AD91" s="2196"/>
      <c r="AE91" s="2196"/>
      <c r="AF91" s="2196"/>
      <c r="AG91" s="2196"/>
      <c r="AH91" s="2196"/>
      <c r="AI91" s="2196"/>
      <c r="AJ91" s="2196"/>
      <c r="AK91" s="2196"/>
      <c r="AL91" s="2267"/>
      <c r="AM91" s="2196"/>
      <c r="AN91" s="2267"/>
      <c r="AO91" s="2197"/>
      <c r="AP91" s="2197"/>
      <c r="AQ91" s="2198"/>
    </row>
    <row r="92" spans="1:43" ht="39.75" customHeight="1">
      <c r="A92" s="1528"/>
      <c r="D92" s="1529"/>
      <c r="G92" s="1529"/>
      <c r="J92" s="2198"/>
      <c r="K92" s="2123"/>
      <c r="L92" s="2202"/>
      <c r="M92" s="2196"/>
      <c r="N92" s="2123"/>
      <c r="O92" s="2199"/>
      <c r="P92" s="2253"/>
      <c r="Q92" s="2205"/>
      <c r="R92" s="2264"/>
      <c r="S92" s="2123"/>
      <c r="T92" s="2123"/>
      <c r="U92" s="1515" t="s">
        <v>2059</v>
      </c>
      <c r="V92" s="1513">
        <v>2700000</v>
      </c>
      <c r="W92" s="2196"/>
      <c r="X92" s="2198"/>
      <c r="Y92" s="2196"/>
      <c r="Z92" s="2262"/>
      <c r="AA92" s="2196"/>
      <c r="AB92" s="2196"/>
      <c r="AC92" s="2196"/>
      <c r="AD92" s="2196"/>
      <c r="AE92" s="2196"/>
      <c r="AF92" s="2196"/>
      <c r="AG92" s="2196"/>
      <c r="AH92" s="2196"/>
      <c r="AI92" s="2196"/>
      <c r="AJ92" s="2196"/>
      <c r="AK92" s="2196"/>
      <c r="AL92" s="2267"/>
      <c r="AM92" s="2196"/>
      <c r="AN92" s="2267"/>
      <c r="AO92" s="2197"/>
      <c r="AP92" s="2197"/>
      <c r="AQ92" s="2198"/>
    </row>
    <row r="93" spans="1:43" ht="39.75" customHeight="1">
      <c r="A93" s="1528"/>
      <c r="D93" s="1529"/>
      <c r="G93" s="1529"/>
      <c r="J93" s="2198"/>
      <c r="K93" s="2123"/>
      <c r="L93" s="2202"/>
      <c r="M93" s="2196"/>
      <c r="N93" s="2123"/>
      <c r="O93" s="2199"/>
      <c r="P93" s="2253"/>
      <c r="Q93" s="2205"/>
      <c r="R93" s="2264"/>
      <c r="S93" s="2123"/>
      <c r="T93" s="2123"/>
      <c r="U93" s="1515" t="s">
        <v>2060</v>
      </c>
      <c r="V93" s="1513">
        <v>2700000</v>
      </c>
      <c r="W93" s="2196"/>
      <c r="X93" s="2198"/>
      <c r="Y93" s="2196"/>
      <c r="Z93" s="2262"/>
      <c r="AA93" s="2196"/>
      <c r="AB93" s="2196"/>
      <c r="AC93" s="2196"/>
      <c r="AD93" s="2196"/>
      <c r="AE93" s="2196"/>
      <c r="AF93" s="2196"/>
      <c r="AG93" s="2196"/>
      <c r="AH93" s="2196"/>
      <c r="AI93" s="2196"/>
      <c r="AJ93" s="2196"/>
      <c r="AK93" s="2196"/>
      <c r="AL93" s="2267"/>
      <c r="AM93" s="2196"/>
      <c r="AN93" s="2267"/>
      <c r="AO93" s="2197"/>
      <c r="AP93" s="2197"/>
      <c r="AQ93" s="2198"/>
    </row>
    <row r="94" spans="1:43" ht="39.75" customHeight="1">
      <c r="A94" s="1528"/>
      <c r="D94" s="1529"/>
      <c r="G94" s="1529"/>
      <c r="J94" s="2198"/>
      <c r="K94" s="2123"/>
      <c r="L94" s="2202"/>
      <c r="M94" s="2196"/>
      <c r="N94" s="2123"/>
      <c r="O94" s="2199"/>
      <c r="P94" s="2253"/>
      <c r="Q94" s="2205"/>
      <c r="R94" s="2264"/>
      <c r="S94" s="2123"/>
      <c r="T94" s="2123"/>
      <c r="U94" s="1515" t="s">
        <v>2061</v>
      </c>
      <c r="V94" s="1513">
        <v>2700000</v>
      </c>
      <c r="W94" s="2196"/>
      <c r="X94" s="2198"/>
      <c r="Y94" s="2196"/>
      <c r="Z94" s="2262"/>
      <c r="AA94" s="2196"/>
      <c r="AB94" s="2196"/>
      <c r="AC94" s="2196"/>
      <c r="AD94" s="2196"/>
      <c r="AE94" s="2196"/>
      <c r="AF94" s="2196"/>
      <c r="AG94" s="2196"/>
      <c r="AH94" s="2196"/>
      <c r="AI94" s="2196"/>
      <c r="AJ94" s="2196"/>
      <c r="AK94" s="2196"/>
      <c r="AL94" s="2267"/>
      <c r="AM94" s="2196"/>
      <c r="AN94" s="2267"/>
      <c r="AO94" s="2197"/>
      <c r="AP94" s="2197"/>
      <c r="AQ94" s="2198"/>
    </row>
    <row r="95" spans="1:43" ht="39.75" customHeight="1">
      <c r="A95" s="1528"/>
      <c r="D95" s="1529"/>
      <c r="G95" s="1529"/>
      <c r="J95" s="2198"/>
      <c r="K95" s="2123"/>
      <c r="L95" s="2202"/>
      <c r="M95" s="2196"/>
      <c r="N95" s="2123"/>
      <c r="O95" s="2199"/>
      <c r="P95" s="2253"/>
      <c r="Q95" s="2205"/>
      <c r="R95" s="2264"/>
      <c r="S95" s="2123"/>
      <c r="T95" s="2123"/>
      <c r="U95" s="1515" t="s">
        <v>2062</v>
      </c>
      <c r="V95" s="1513">
        <v>2700000</v>
      </c>
      <c r="W95" s="2196"/>
      <c r="X95" s="2198"/>
      <c r="Y95" s="2196"/>
      <c r="Z95" s="2262"/>
      <c r="AA95" s="2196"/>
      <c r="AB95" s="2196"/>
      <c r="AC95" s="2196"/>
      <c r="AD95" s="2196"/>
      <c r="AE95" s="2196"/>
      <c r="AF95" s="2196"/>
      <c r="AG95" s="2196"/>
      <c r="AH95" s="2196"/>
      <c r="AI95" s="2196"/>
      <c r="AJ95" s="2196"/>
      <c r="AK95" s="2196"/>
      <c r="AL95" s="2267"/>
      <c r="AM95" s="2196"/>
      <c r="AN95" s="2267"/>
      <c r="AO95" s="2197"/>
      <c r="AP95" s="2197"/>
      <c r="AQ95" s="2198"/>
    </row>
    <row r="96" spans="1:43" ht="39.75" customHeight="1">
      <c r="A96" s="1528"/>
      <c r="D96" s="1529"/>
      <c r="G96" s="1529"/>
      <c r="J96" s="2198"/>
      <c r="K96" s="2123"/>
      <c r="L96" s="2202"/>
      <c r="M96" s="2196"/>
      <c r="N96" s="2123"/>
      <c r="O96" s="2199"/>
      <c r="P96" s="2253"/>
      <c r="Q96" s="2205"/>
      <c r="R96" s="2264"/>
      <c r="S96" s="2123"/>
      <c r="T96" s="2123"/>
      <c r="U96" s="1515" t="s">
        <v>2063</v>
      </c>
      <c r="V96" s="1513">
        <v>2700000</v>
      </c>
      <c r="W96" s="2196"/>
      <c r="X96" s="2198"/>
      <c r="Y96" s="2196"/>
      <c r="Z96" s="2262"/>
      <c r="AA96" s="2196"/>
      <c r="AB96" s="2196"/>
      <c r="AC96" s="2196"/>
      <c r="AD96" s="2196"/>
      <c r="AE96" s="2196"/>
      <c r="AF96" s="2196"/>
      <c r="AG96" s="2196"/>
      <c r="AH96" s="2196"/>
      <c r="AI96" s="2196"/>
      <c r="AJ96" s="2196"/>
      <c r="AK96" s="2196"/>
      <c r="AL96" s="2267"/>
      <c r="AM96" s="2196"/>
      <c r="AN96" s="2267"/>
      <c r="AO96" s="2197"/>
      <c r="AP96" s="2197"/>
      <c r="AQ96" s="2198"/>
    </row>
    <row r="97" spans="1:43" ht="39.75" customHeight="1">
      <c r="A97" s="1528"/>
      <c r="D97" s="1529"/>
      <c r="G97" s="1529"/>
      <c r="J97" s="2198"/>
      <c r="K97" s="2123"/>
      <c r="L97" s="2202"/>
      <c r="M97" s="2196"/>
      <c r="N97" s="2123"/>
      <c r="O97" s="2199"/>
      <c r="P97" s="2253"/>
      <c r="Q97" s="2205"/>
      <c r="R97" s="2264"/>
      <c r="S97" s="2123"/>
      <c r="T97" s="2123"/>
      <c r="U97" s="1515" t="s">
        <v>2064</v>
      </c>
      <c r="V97" s="1513">
        <v>450000</v>
      </c>
      <c r="W97" s="2196"/>
      <c r="X97" s="2198"/>
      <c r="Y97" s="2196"/>
      <c r="Z97" s="2262"/>
      <c r="AA97" s="2196"/>
      <c r="AB97" s="2196"/>
      <c r="AC97" s="2196"/>
      <c r="AD97" s="2196"/>
      <c r="AE97" s="2196"/>
      <c r="AF97" s="2196"/>
      <c r="AG97" s="2196"/>
      <c r="AH97" s="2196"/>
      <c r="AI97" s="2196"/>
      <c r="AJ97" s="2196"/>
      <c r="AK97" s="2196"/>
      <c r="AL97" s="2267"/>
      <c r="AM97" s="2196"/>
      <c r="AN97" s="2267"/>
      <c r="AO97" s="2197"/>
      <c r="AP97" s="2197"/>
      <c r="AQ97" s="2198"/>
    </row>
    <row r="98" spans="1:43" ht="39.75" customHeight="1">
      <c r="A98" s="1528"/>
      <c r="D98" s="1529"/>
      <c r="G98" s="1529"/>
      <c r="J98" s="2198"/>
      <c r="K98" s="2123"/>
      <c r="L98" s="2202"/>
      <c r="M98" s="2196"/>
      <c r="N98" s="2123"/>
      <c r="O98" s="2199"/>
      <c r="P98" s="2253"/>
      <c r="Q98" s="2205"/>
      <c r="R98" s="2264"/>
      <c r="S98" s="2123"/>
      <c r="T98" s="2123"/>
      <c r="U98" s="1515" t="s">
        <v>2065</v>
      </c>
      <c r="V98" s="1513">
        <v>4800000</v>
      </c>
      <c r="W98" s="2196"/>
      <c r="X98" s="2198"/>
      <c r="Y98" s="2196"/>
      <c r="Z98" s="2262"/>
      <c r="AA98" s="2196"/>
      <c r="AB98" s="2196"/>
      <c r="AC98" s="2196"/>
      <c r="AD98" s="2196"/>
      <c r="AE98" s="2196"/>
      <c r="AF98" s="2196"/>
      <c r="AG98" s="2196"/>
      <c r="AH98" s="2196"/>
      <c r="AI98" s="2196"/>
      <c r="AJ98" s="2196"/>
      <c r="AK98" s="2196"/>
      <c r="AL98" s="2267"/>
      <c r="AM98" s="2196"/>
      <c r="AN98" s="2267"/>
      <c r="AO98" s="2197"/>
      <c r="AP98" s="2197"/>
      <c r="AQ98" s="2198"/>
    </row>
    <row r="99" spans="1:43" ht="39.75" customHeight="1">
      <c r="A99" s="1528"/>
      <c r="D99" s="1529"/>
      <c r="G99" s="1529"/>
      <c r="J99" s="2198"/>
      <c r="K99" s="2123"/>
      <c r="L99" s="2202"/>
      <c r="M99" s="2196"/>
      <c r="N99" s="2123"/>
      <c r="O99" s="2199"/>
      <c r="P99" s="2253"/>
      <c r="Q99" s="2205"/>
      <c r="R99" s="2264"/>
      <c r="S99" s="2123"/>
      <c r="T99" s="2123"/>
      <c r="U99" s="1515" t="s">
        <v>2066</v>
      </c>
      <c r="V99" s="1576">
        <f>1000000+1500000</f>
        <v>2500000</v>
      </c>
      <c r="W99" s="2196"/>
      <c r="X99" s="2198"/>
      <c r="Y99" s="2196"/>
      <c r="Z99" s="2262"/>
      <c r="AA99" s="2196"/>
      <c r="AB99" s="2196"/>
      <c r="AC99" s="2196"/>
      <c r="AD99" s="2196"/>
      <c r="AE99" s="2196"/>
      <c r="AF99" s="2196"/>
      <c r="AG99" s="2196"/>
      <c r="AH99" s="2196"/>
      <c r="AI99" s="2196"/>
      <c r="AJ99" s="2196"/>
      <c r="AK99" s="2196"/>
      <c r="AL99" s="2267"/>
      <c r="AM99" s="2196"/>
      <c r="AN99" s="2267"/>
      <c r="AO99" s="2197"/>
      <c r="AP99" s="2197"/>
      <c r="AQ99" s="2198"/>
    </row>
    <row r="100" spans="1:43" ht="93.75" customHeight="1">
      <c r="A100" s="1528"/>
      <c r="D100" s="1529"/>
      <c r="G100" s="1529"/>
      <c r="J100" s="2198"/>
      <c r="K100" s="2123"/>
      <c r="L100" s="2202"/>
      <c r="M100" s="2196"/>
      <c r="N100" s="2123"/>
      <c r="O100" s="2199"/>
      <c r="P100" s="2253"/>
      <c r="Q100" s="2205"/>
      <c r="R100" s="2264"/>
      <c r="S100" s="2253"/>
      <c r="T100" s="77" t="s">
        <v>2067</v>
      </c>
      <c r="U100" s="1514" t="s">
        <v>2068</v>
      </c>
      <c r="V100" s="1576">
        <f>9930000-1500000</f>
        <v>8430000</v>
      </c>
      <c r="W100" s="2196"/>
      <c r="X100" s="2198"/>
      <c r="Y100" s="2196"/>
      <c r="Z100" s="2262"/>
      <c r="AA100" s="2196"/>
      <c r="AB100" s="2196"/>
      <c r="AC100" s="2196"/>
      <c r="AD100" s="2196"/>
      <c r="AE100" s="2196"/>
      <c r="AF100" s="2196"/>
      <c r="AG100" s="2196"/>
      <c r="AH100" s="2196"/>
      <c r="AI100" s="2196"/>
      <c r="AJ100" s="2196"/>
      <c r="AK100" s="2196"/>
      <c r="AL100" s="2267"/>
      <c r="AM100" s="2196"/>
      <c r="AN100" s="2267"/>
      <c r="AO100" s="2197"/>
      <c r="AP100" s="2197"/>
      <c r="AQ100" s="2198"/>
    </row>
    <row r="101" spans="1:43" ht="21.75" customHeight="1">
      <c r="A101" s="1528"/>
      <c r="D101" s="1529"/>
      <c r="G101" s="1529"/>
      <c r="J101" s="1578"/>
      <c r="K101" s="77"/>
      <c r="L101" s="1619"/>
      <c r="M101" s="1602"/>
      <c r="N101" s="77"/>
      <c r="O101" s="1375"/>
      <c r="P101" s="1371"/>
      <c r="Q101" s="1580"/>
      <c r="R101" s="1620"/>
      <c r="S101" s="1371"/>
      <c r="T101" s="77"/>
      <c r="U101" s="1514"/>
      <c r="V101" s="1576"/>
      <c r="W101" s="1602"/>
      <c r="X101" s="1578"/>
      <c r="Y101" s="1602"/>
      <c r="Z101" s="1611"/>
      <c r="AA101" s="1602"/>
      <c r="AB101" s="1602"/>
      <c r="AC101" s="1602"/>
      <c r="AD101" s="1602"/>
      <c r="AE101" s="1602"/>
      <c r="AF101" s="1602"/>
      <c r="AG101" s="1602"/>
      <c r="AH101" s="1602"/>
      <c r="AI101" s="1602"/>
      <c r="AJ101" s="1602"/>
      <c r="AK101" s="1602"/>
      <c r="AL101" s="1621"/>
      <c r="AM101" s="1599"/>
      <c r="AN101" s="1621"/>
      <c r="AO101" s="1603"/>
      <c r="AP101" s="1603"/>
      <c r="AQ101" s="1578"/>
    </row>
    <row r="102" spans="1:43" ht="108.75" customHeight="1">
      <c r="A102" s="1528"/>
      <c r="D102" s="1529"/>
      <c r="G102" s="1529"/>
      <c r="I102" s="1622"/>
      <c r="J102" s="1578">
        <v>267</v>
      </c>
      <c r="K102" s="77" t="s">
        <v>2069</v>
      </c>
      <c r="L102" s="77" t="s">
        <v>2070</v>
      </c>
      <c r="M102" s="1602">
        <v>1</v>
      </c>
      <c r="N102" s="2123" t="s">
        <v>2071</v>
      </c>
      <c r="O102" s="2199" t="s">
        <v>2072</v>
      </c>
      <c r="P102" s="2253" t="s">
        <v>2073</v>
      </c>
      <c r="Q102" s="1580">
        <f aca="true" t="shared" si="0" ref="Q102:Q110">+V102/SUM($V$102:$V$110)</f>
        <v>0.04</v>
      </c>
      <c r="R102" s="2260">
        <f>SUM(V102:V110)</f>
        <v>250000000</v>
      </c>
      <c r="S102" s="2123" t="s">
        <v>2074</v>
      </c>
      <c r="T102" s="77" t="s">
        <v>2075</v>
      </c>
      <c r="U102" s="1623" t="s">
        <v>2076</v>
      </c>
      <c r="V102" s="1513">
        <v>10000000</v>
      </c>
      <c r="W102" s="2198" t="s">
        <v>63</v>
      </c>
      <c r="X102" s="2198" t="s">
        <v>90</v>
      </c>
      <c r="Y102" s="2196">
        <v>282326</v>
      </c>
      <c r="Z102" s="2262">
        <v>292684</v>
      </c>
      <c r="AA102" s="2196">
        <v>135912</v>
      </c>
      <c r="AB102" s="2196">
        <v>45122</v>
      </c>
      <c r="AC102" s="2196">
        <v>307101</v>
      </c>
      <c r="AD102" s="2196">
        <v>86875</v>
      </c>
      <c r="AE102" s="2196">
        <v>2145</v>
      </c>
      <c r="AF102" s="2196">
        <v>12718</v>
      </c>
      <c r="AG102" s="2196">
        <v>26</v>
      </c>
      <c r="AH102" s="2196">
        <v>37</v>
      </c>
      <c r="AI102" s="2196"/>
      <c r="AJ102" s="2196"/>
      <c r="AK102" s="2196">
        <v>43029</v>
      </c>
      <c r="AL102" s="2196">
        <v>16982</v>
      </c>
      <c r="AM102" s="2225">
        <v>60013</v>
      </c>
      <c r="AN102" s="2196">
        <f>Y102+Z102</f>
        <v>575010</v>
      </c>
      <c r="AO102" s="2197">
        <v>43102</v>
      </c>
      <c r="AP102" s="2197">
        <v>43465</v>
      </c>
      <c r="AQ102" s="2198" t="s">
        <v>2008</v>
      </c>
    </row>
    <row r="103" spans="1:43" ht="68.25" customHeight="1">
      <c r="A103" s="1528"/>
      <c r="D103" s="1529"/>
      <c r="G103" s="1529"/>
      <c r="I103" s="1622"/>
      <c r="J103" s="1578">
        <v>268</v>
      </c>
      <c r="K103" s="77" t="s">
        <v>2077</v>
      </c>
      <c r="L103" s="77" t="s">
        <v>2078</v>
      </c>
      <c r="M103" s="1602">
        <v>12</v>
      </c>
      <c r="N103" s="2123"/>
      <c r="O103" s="2199"/>
      <c r="P103" s="2253"/>
      <c r="Q103" s="1580">
        <f t="shared" si="0"/>
        <v>0.28</v>
      </c>
      <c r="R103" s="2260"/>
      <c r="S103" s="2123"/>
      <c r="T103" s="2123" t="s">
        <v>2079</v>
      </c>
      <c r="U103" s="1623" t="s">
        <v>2080</v>
      </c>
      <c r="V103" s="1513">
        <f>21000000+9000000+40000000</f>
        <v>70000000</v>
      </c>
      <c r="W103" s="2196"/>
      <c r="X103" s="2198"/>
      <c r="Y103" s="2196"/>
      <c r="Z103" s="2262"/>
      <c r="AA103" s="2196"/>
      <c r="AB103" s="2196"/>
      <c r="AC103" s="2196"/>
      <c r="AD103" s="2196"/>
      <c r="AE103" s="2196"/>
      <c r="AF103" s="2196"/>
      <c r="AG103" s="2196"/>
      <c r="AH103" s="2196"/>
      <c r="AI103" s="2196"/>
      <c r="AJ103" s="2196"/>
      <c r="AK103" s="2196"/>
      <c r="AL103" s="2196"/>
      <c r="AM103" s="2268"/>
      <c r="AN103" s="2196"/>
      <c r="AO103" s="2197"/>
      <c r="AP103" s="2197"/>
      <c r="AQ103" s="2198"/>
    </row>
    <row r="104" spans="1:43" ht="72.75" customHeight="1">
      <c r="A104" s="1528"/>
      <c r="D104" s="1529"/>
      <c r="G104" s="1529"/>
      <c r="I104" s="1622"/>
      <c r="J104" s="1578">
        <v>269</v>
      </c>
      <c r="K104" s="77" t="s">
        <v>2081</v>
      </c>
      <c r="L104" s="77" t="s">
        <v>2082</v>
      </c>
      <c r="M104" s="1602">
        <v>12</v>
      </c>
      <c r="N104" s="2123"/>
      <c r="O104" s="2199"/>
      <c r="P104" s="2253"/>
      <c r="Q104" s="1580">
        <f t="shared" si="0"/>
        <v>0.12</v>
      </c>
      <c r="R104" s="2260"/>
      <c r="S104" s="2123"/>
      <c r="T104" s="2123"/>
      <c r="U104" s="1623" t="s">
        <v>2083</v>
      </c>
      <c r="V104" s="1513">
        <f>21000000+9000000</f>
        <v>30000000</v>
      </c>
      <c r="W104" s="2196"/>
      <c r="X104" s="2198"/>
      <c r="Y104" s="2196"/>
      <c r="Z104" s="2262"/>
      <c r="AA104" s="2196"/>
      <c r="AB104" s="2196"/>
      <c r="AC104" s="2196"/>
      <c r="AD104" s="2196"/>
      <c r="AE104" s="2196"/>
      <c r="AF104" s="2196"/>
      <c r="AG104" s="2196"/>
      <c r="AH104" s="2196"/>
      <c r="AI104" s="2196"/>
      <c r="AJ104" s="2196"/>
      <c r="AK104" s="2196"/>
      <c r="AL104" s="2196"/>
      <c r="AM104" s="2268"/>
      <c r="AN104" s="2196"/>
      <c r="AO104" s="2197"/>
      <c r="AP104" s="2197"/>
      <c r="AQ104" s="2198"/>
    </row>
    <row r="105" spans="1:43" ht="66.75" customHeight="1">
      <c r="A105" s="1528"/>
      <c r="D105" s="1529"/>
      <c r="G105" s="1529"/>
      <c r="I105" s="1622"/>
      <c r="J105" s="1578">
        <v>270</v>
      </c>
      <c r="K105" s="77" t="s">
        <v>2084</v>
      </c>
      <c r="L105" s="77" t="s">
        <v>2085</v>
      </c>
      <c r="M105" s="1602">
        <v>12</v>
      </c>
      <c r="N105" s="2123"/>
      <c r="O105" s="2199"/>
      <c r="P105" s="2253"/>
      <c r="Q105" s="1580">
        <f t="shared" si="0"/>
        <v>0.084</v>
      </c>
      <c r="R105" s="2260"/>
      <c r="S105" s="2123"/>
      <c r="T105" s="2123"/>
      <c r="U105" s="1623" t="s">
        <v>2086</v>
      </c>
      <c r="V105" s="1513">
        <v>21000000</v>
      </c>
      <c r="W105" s="2196"/>
      <c r="X105" s="2198"/>
      <c r="Y105" s="2196"/>
      <c r="Z105" s="2262"/>
      <c r="AA105" s="2196"/>
      <c r="AB105" s="2196"/>
      <c r="AC105" s="2196"/>
      <c r="AD105" s="2196"/>
      <c r="AE105" s="2196"/>
      <c r="AF105" s="2196"/>
      <c r="AG105" s="2196"/>
      <c r="AH105" s="2196"/>
      <c r="AI105" s="2196"/>
      <c r="AJ105" s="2196"/>
      <c r="AK105" s="2196"/>
      <c r="AL105" s="2196"/>
      <c r="AM105" s="2268"/>
      <c r="AN105" s="2196"/>
      <c r="AO105" s="2197"/>
      <c r="AP105" s="2197"/>
      <c r="AQ105" s="2198"/>
    </row>
    <row r="106" spans="1:43" ht="69.75" customHeight="1">
      <c r="A106" s="1528"/>
      <c r="D106" s="1529"/>
      <c r="G106" s="1529"/>
      <c r="I106" s="1622"/>
      <c r="J106" s="1578">
        <v>271</v>
      </c>
      <c r="K106" s="77" t="s">
        <v>2087</v>
      </c>
      <c r="L106" s="77" t="s">
        <v>2085</v>
      </c>
      <c r="M106" s="1602">
        <v>12</v>
      </c>
      <c r="N106" s="2123"/>
      <c r="O106" s="2199"/>
      <c r="P106" s="2253"/>
      <c r="Q106" s="1580">
        <f t="shared" si="0"/>
        <v>0.154</v>
      </c>
      <c r="R106" s="2260"/>
      <c r="S106" s="2123"/>
      <c r="T106" s="2123"/>
      <c r="U106" s="1623" t="s">
        <v>2088</v>
      </c>
      <c r="V106" s="1513">
        <v>38500000</v>
      </c>
      <c r="W106" s="2196"/>
      <c r="X106" s="2198"/>
      <c r="Y106" s="2196"/>
      <c r="Z106" s="2262"/>
      <c r="AA106" s="2196"/>
      <c r="AB106" s="2196"/>
      <c r="AC106" s="2196"/>
      <c r="AD106" s="2196"/>
      <c r="AE106" s="2196"/>
      <c r="AF106" s="2196"/>
      <c r="AG106" s="2196"/>
      <c r="AH106" s="2196"/>
      <c r="AI106" s="2196"/>
      <c r="AJ106" s="2196"/>
      <c r="AK106" s="2196"/>
      <c r="AL106" s="2196"/>
      <c r="AM106" s="2268"/>
      <c r="AN106" s="2196"/>
      <c r="AO106" s="2197"/>
      <c r="AP106" s="2197"/>
      <c r="AQ106" s="2198"/>
    </row>
    <row r="107" spans="1:43" ht="71.25" customHeight="1">
      <c r="A107" s="1528"/>
      <c r="D107" s="1529"/>
      <c r="G107" s="1529"/>
      <c r="I107" s="1622"/>
      <c r="J107" s="1578">
        <v>272</v>
      </c>
      <c r="K107" s="77" t="s">
        <v>2089</v>
      </c>
      <c r="L107" s="77" t="s">
        <v>2085</v>
      </c>
      <c r="M107" s="1602">
        <v>12</v>
      </c>
      <c r="N107" s="2123"/>
      <c r="O107" s="2199"/>
      <c r="P107" s="2253"/>
      <c r="Q107" s="1580">
        <f t="shared" si="0"/>
        <v>0.154</v>
      </c>
      <c r="R107" s="2260"/>
      <c r="S107" s="2123"/>
      <c r="T107" s="2123"/>
      <c r="U107" s="1623" t="s">
        <v>2090</v>
      </c>
      <c r="V107" s="1513">
        <v>38500000</v>
      </c>
      <c r="W107" s="2196"/>
      <c r="X107" s="2198"/>
      <c r="Y107" s="2196"/>
      <c r="Z107" s="2262"/>
      <c r="AA107" s="2196"/>
      <c r="AB107" s="2196"/>
      <c r="AC107" s="2196"/>
      <c r="AD107" s="2196"/>
      <c r="AE107" s="2196"/>
      <c r="AF107" s="2196"/>
      <c r="AG107" s="2196"/>
      <c r="AH107" s="2196"/>
      <c r="AI107" s="2196"/>
      <c r="AJ107" s="2196"/>
      <c r="AK107" s="2196"/>
      <c r="AL107" s="2196"/>
      <c r="AM107" s="2268"/>
      <c r="AN107" s="2196"/>
      <c r="AO107" s="2197"/>
      <c r="AP107" s="2197"/>
      <c r="AQ107" s="2198"/>
    </row>
    <row r="108" spans="1:43" ht="71.25" customHeight="1">
      <c r="A108" s="1528"/>
      <c r="D108" s="1529"/>
      <c r="G108" s="1529"/>
      <c r="I108" s="1622"/>
      <c r="J108" s="1578">
        <v>273</v>
      </c>
      <c r="K108" s="77" t="s">
        <v>2091</v>
      </c>
      <c r="L108" s="77" t="s">
        <v>2082</v>
      </c>
      <c r="M108" s="1602">
        <v>12</v>
      </c>
      <c r="N108" s="2123"/>
      <c r="O108" s="2199"/>
      <c r="P108" s="2253"/>
      <c r="Q108" s="1580">
        <f t="shared" si="0"/>
        <v>0.008</v>
      </c>
      <c r="R108" s="2260"/>
      <c r="S108" s="2123"/>
      <c r="T108" s="2123"/>
      <c r="U108" s="1623" t="s">
        <v>2092</v>
      </c>
      <c r="V108" s="1513">
        <v>2000000</v>
      </c>
      <c r="W108" s="2196"/>
      <c r="X108" s="2198"/>
      <c r="Y108" s="2196"/>
      <c r="Z108" s="2262"/>
      <c r="AA108" s="2196"/>
      <c r="AB108" s="2196"/>
      <c r="AC108" s="2196"/>
      <c r="AD108" s="2196"/>
      <c r="AE108" s="2196"/>
      <c r="AF108" s="2196"/>
      <c r="AG108" s="2196"/>
      <c r="AH108" s="2196"/>
      <c r="AI108" s="2196"/>
      <c r="AJ108" s="2196"/>
      <c r="AK108" s="2196"/>
      <c r="AL108" s="2196"/>
      <c r="AM108" s="2268"/>
      <c r="AN108" s="2196"/>
      <c r="AO108" s="2197"/>
      <c r="AP108" s="2197"/>
      <c r="AQ108" s="2198"/>
    </row>
    <row r="109" spans="1:43" ht="68.25" customHeight="1">
      <c r="A109" s="1528"/>
      <c r="D109" s="1529"/>
      <c r="G109" s="1529"/>
      <c r="I109" s="1622"/>
      <c r="J109" s="1578">
        <v>274</v>
      </c>
      <c r="K109" s="77" t="s">
        <v>2093</v>
      </c>
      <c r="L109" s="77" t="s">
        <v>2082</v>
      </c>
      <c r="M109" s="1602">
        <v>12</v>
      </c>
      <c r="N109" s="2123"/>
      <c r="O109" s="2199"/>
      <c r="P109" s="2253"/>
      <c r="Q109" s="1580">
        <f t="shared" si="0"/>
        <v>0.12</v>
      </c>
      <c r="R109" s="2260"/>
      <c r="S109" s="2123"/>
      <c r="T109" s="2123"/>
      <c r="U109" s="1623" t="s">
        <v>2094</v>
      </c>
      <c r="V109" s="1513">
        <f>21000000+9000000</f>
        <v>30000000</v>
      </c>
      <c r="W109" s="2196"/>
      <c r="X109" s="2198"/>
      <c r="Y109" s="2196"/>
      <c r="Z109" s="2262"/>
      <c r="AA109" s="2196"/>
      <c r="AB109" s="2196"/>
      <c r="AC109" s="2196"/>
      <c r="AD109" s="2196"/>
      <c r="AE109" s="2196"/>
      <c r="AF109" s="2196"/>
      <c r="AG109" s="2196"/>
      <c r="AH109" s="2196"/>
      <c r="AI109" s="2196"/>
      <c r="AJ109" s="2196"/>
      <c r="AK109" s="2196"/>
      <c r="AL109" s="2196"/>
      <c r="AM109" s="2268"/>
      <c r="AN109" s="2196"/>
      <c r="AO109" s="2197"/>
      <c r="AP109" s="2197"/>
      <c r="AQ109" s="2198"/>
    </row>
    <row r="110" spans="1:43" ht="71.25" customHeight="1" thickBot="1">
      <c r="A110" s="1528"/>
      <c r="D110" s="1529"/>
      <c r="G110" s="1529"/>
      <c r="I110" s="1622"/>
      <c r="J110" s="1624">
        <v>260</v>
      </c>
      <c r="K110" s="91" t="s">
        <v>2095</v>
      </c>
      <c r="L110" s="91" t="s">
        <v>2096</v>
      </c>
      <c r="M110" s="1599">
        <v>12</v>
      </c>
      <c r="N110" s="2098"/>
      <c r="O110" s="2222"/>
      <c r="P110" s="2265"/>
      <c r="Q110" s="1625">
        <f t="shared" si="0"/>
        <v>0.04</v>
      </c>
      <c r="R110" s="2266"/>
      <c r="S110" s="2098"/>
      <c r="T110" s="2098"/>
      <c r="U110" s="1626" t="s">
        <v>2097</v>
      </c>
      <c r="V110" s="1627">
        <v>10000000</v>
      </c>
      <c r="W110" s="2225"/>
      <c r="X110" s="2216"/>
      <c r="Y110" s="2225"/>
      <c r="Z110" s="2270"/>
      <c r="AA110" s="2225"/>
      <c r="AB110" s="2225"/>
      <c r="AC110" s="2225"/>
      <c r="AD110" s="2225"/>
      <c r="AE110" s="2225"/>
      <c r="AF110" s="2225"/>
      <c r="AG110" s="2225"/>
      <c r="AH110" s="2225"/>
      <c r="AI110" s="2225"/>
      <c r="AJ110" s="2225"/>
      <c r="AK110" s="2225"/>
      <c r="AL110" s="2225"/>
      <c r="AM110" s="2269"/>
      <c r="AN110" s="2225"/>
      <c r="AO110" s="2239"/>
      <c r="AP110" s="2239"/>
      <c r="AQ110" s="2216"/>
    </row>
    <row r="111" spans="1:43" ht="39.75" customHeight="1" thickBot="1">
      <c r="A111" s="1628"/>
      <c r="B111" s="1385"/>
      <c r="C111" s="1385"/>
      <c r="D111" s="1385"/>
      <c r="E111" s="1385"/>
      <c r="F111" s="1385"/>
      <c r="G111" s="1385"/>
      <c r="H111" s="1385"/>
      <c r="I111" s="1385"/>
      <c r="J111" s="1386"/>
      <c r="K111" s="440"/>
      <c r="L111" s="441"/>
      <c r="M111" s="441"/>
      <c r="N111" s="444" t="s">
        <v>225</v>
      </c>
      <c r="O111" s="443"/>
      <c r="P111" s="440"/>
      <c r="Q111" s="1629"/>
      <c r="R111" s="1630">
        <f>SUM(R8:R110)</f>
        <v>1617000000</v>
      </c>
      <c r="S111" s="447"/>
      <c r="T111" s="440"/>
      <c r="U111" s="448"/>
      <c r="V111" s="1631">
        <f>SUM(V8:V110)</f>
        <v>1617000000</v>
      </c>
      <c r="W111" s="450"/>
      <c r="X111" s="451"/>
      <c r="Y111" s="439"/>
      <c r="Z111" s="439"/>
      <c r="AA111" s="439"/>
      <c r="AB111" s="439"/>
      <c r="AC111" s="439"/>
      <c r="AD111" s="439"/>
      <c r="AE111" s="439"/>
      <c r="AF111" s="439"/>
      <c r="AG111" s="439"/>
      <c r="AH111" s="439"/>
      <c r="AI111" s="439"/>
      <c r="AJ111" s="439"/>
      <c r="AK111" s="439"/>
      <c r="AL111" s="439"/>
      <c r="AM111" s="439"/>
      <c r="AN111" s="439"/>
      <c r="AO111" s="1632"/>
      <c r="AP111" s="1633"/>
      <c r="AQ111" s="454"/>
    </row>
    <row r="112" spans="3:22" ht="39.75" customHeight="1">
      <c r="C112" s="1635"/>
      <c r="D112" s="1635"/>
      <c r="V112" s="1637"/>
    </row>
    <row r="113" spans="1:63" s="456" customFormat="1" ht="39.75" customHeight="1">
      <c r="A113" s="1634"/>
      <c r="B113" s="1387"/>
      <c r="C113" s="1387"/>
      <c r="D113" s="1387"/>
      <c r="E113" s="1387"/>
      <c r="F113" s="1387"/>
      <c r="G113" s="1387"/>
      <c r="H113" s="1387"/>
      <c r="I113" s="1387"/>
      <c r="J113" s="1360"/>
      <c r="L113" s="457"/>
      <c r="M113" s="457"/>
      <c r="N113" s="457"/>
      <c r="O113" s="355"/>
      <c r="P113" s="1387"/>
      <c r="Q113" s="465"/>
      <c r="R113" s="1640"/>
      <c r="S113" s="1641"/>
      <c r="V113" s="1642"/>
      <c r="W113" s="461"/>
      <c r="X113" s="462"/>
      <c r="Y113" s="337"/>
      <c r="Z113" s="337"/>
      <c r="AA113" s="337"/>
      <c r="AB113" s="337"/>
      <c r="AC113" s="337"/>
      <c r="AD113" s="337"/>
      <c r="AE113" s="337"/>
      <c r="AF113" s="337"/>
      <c r="AG113" s="337"/>
      <c r="AH113" s="337"/>
      <c r="AI113" s="337"/>
      <c r="AJ113" s="337"/>
      <c r="AK113" s="337"/>
      <c r="AL113" s="337"/>
      <c r="AM113" s="337"/>
      <c r="AN113" s="337"/>
      <c r="AO113" s="1638"/>
      <c r="AP113" s="1639"/>
      <c r="AQ113" s="465"/>
      <c r="AR113" s="337"/>
      <c r="AS113" s="337"/>
      <c r="AT113" s="337"/>
      <c r="AU113" s="337"/>
      <c r="AV113" s="337"/>
      <c r="AW113" s="337"/>
      <c r="AX113" s="337"/>
      <c r="AY113" s="337"/>
      <c r="AZ113" s="337"/>
      <c r="BA113" s="337"/>
      <c r="BB113" s="337"/>
      <c r="BC113" s="337"/>
      <c r="BD113" s="337"/>
      <c r="BE113" s="337"/>
      <c r="BF113" s="337"/>
      <c r="BG113" s="337"/>
      <c r="BH113" s="337"/>
      <c r="BI113" s="337"/>
      <c r="BJ113" s="337"/>
      <c r="BK113" s="337"/>
    </row>
    <row r="114" spans="1:63" s="456" customFormat="1" ht="17.25" customHeight="1">
      <c r="A114" s="1634"/>
      <c r="B114" s="1387"/>
      <c r="C114" s="1387"/>
      <c r="D114" s="1387"/>
      <c r="E114" s="1387"/>
      <c r="F114" s="1387"/>
      <c r="G114" s="1387"/>
      <c r="H114" s="1387"/>
      <c r="I114" s="1387"/>
      <c r="J114" s="1360"/>
      <c r="L114" s="457"/>
      <c r="M114" s="457"/>
      <c r="N114" s="1643" t="s">
        <v>2098</v>
      </c>
      <c r="O114" s="1644"/>
      <c r="P114" s="1643"/>
      <c r="Q114" s="468"/>
      <c r="R114" s="1645"/>
      <c r="S114" s="468"/>
      <c r="V114" s="1642"/>
      <c r="W114" s="461"/>
      <c r="X114" s="462"/>
      <c r="Y114" s="337"/>
      <c r="Z114" s="337"/>
      <c r="AA114" s="337"/>
      <c r="AB114" s="337"/>
      <c r="AC114" s="337"/>
      <c r="AD114" s="337"/>
      <c r="AE114" s="337"/>
      <c r="AF114" s="337"/>
      <c r="AG114" s="337"/>
      <c r="AH114" s="337"/>
      <c r="AI114" s="337"/>
      <c r="AJ114" s="337"/>
      <c r="AK114" s="337"/>
      <c r="AL114" s="337"/>
      <c r="AM114" s="337"/>
      <c r="AN114" s="337"/>
      <c r="AO114" s="1638"/>
      <c r="AP114" s="1639"/>
      <c r="AQ114" s="465"/>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row>
    <row r="115" spans="1:63" s="456" customFormat="1" ht="17.25" customHeight="1">
      <c r="A115" s="1634"/>
      <c r="B115" s="1387"/>
      <c r="C115" s="1387"/>
      <c r="D115" s="1387"/>
      <c r="E115" s="1387"/>
      <c r="F115" s="1387"/>
      <c r="G115" s="1387"/>
      <c r="H115" s="1387"/>
      <c r="I115" s="1387"/>
      <c r="J115" s="1360"/>
      <c r="L115" s="457"/>
      <c r="M115" s="457"/>
      <c r="N115" s="468" t="s">
        <v>2099</v>
      </c>
      <c r="O115" s="1645"/>
      <c r="P115" s="468"/>
      <c r="Q115" s="468"/>
      <c r="R115" s="1645"/>
      <c r="S115" s="468"/>
      <c r="V115" s="1642"/>
      <c r="W115" s="461"/>
      <c r="X115" s="462"/>
      <c r="Y115" s="337"/>
      <c r="Z115" s="337"/>
      <c r="AA115" s="337"/>
      <c r="AB115" s="337"/>
      <c r="AC115" s="337"/>
      <c r="AD115" s="337"/>
      <c r="AE115" s="337"/>
      <c r="AF115" s="337"/>
      <c r="AG115" s="337"/>
      <c r="AH115" s="337"/>
      <c r="AI115" s="337"/>
      <c r="AJ115" s="337"/>
      <c r="AK115" s="337"/>
      <c r="AL115" s="337"/>
      <c r="AM115" s="337"/>
      <c r="AN115" s="337"/>
      <c r="AO115" s="1638"/>
      <c r="AP115" s="1639"/>
      <c r="AQ115" s="465"/>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row>
  </sheetData>
  <sheetProtection password="CBEB" sheet="1" objects="1" scenarios="1"/>
  <mergeCells count="351">
    <mergeCell ref="T103:T110"/>
    <mergeCell ref="AL102:AL110"/>
    <mergeCell ref="AM102:AM110"/>
    <mergeCell ref="AN102:AN110"/>
    <mergeCell ref="AO102:AO110"/>
    <mergeCell ref="AP102:AP110"/>
    <mergeCell ref="AQ102:AQ110"/>
    <mergeCell ref="AF102:AF110"/>
    <mergeCell ref="AG102:AG110"/>
    <mergeCell ref="AH102:AH110"/>
    <mergeCell ref="AI102:AI110"/>
    <mergeCell ref="AJ102:AJ110"/>
    <mergeCell ref="AK102:AK110"/>
    <mergeCell ref="Z102:Z110"/>
    <mergeCell ref="AA102:AA110"/>
    <mergeCell ref="AB102:AB110"/>
    <mergeCell ref="AC102:AC110"/>
    <mergeCell ref="AD102:AD110"/>
    <mergeCell ref="AE102:AE110"/>
    <mergeCell ref="AP85:AP100"/>
    <mergeCell ref="AQ85:AQ100"/>
    <mergeCell ref="N102:N110"/>
    <mergeCell ref="O102:O110"/>
    <mergeCell ref="P102:P110"/>
    <mergeCell ref="R102:R110"/>
    <mergeCell ref="S102:S110"/>
    <mergeCell ref="W102:W110"/>
    <mergeCell ref="X102:X110"/>
    <mergeCell ref="Y102:Y110"/>
    <mergeCell ref="AJ85:AJ100"/>
    <mergeCell ref="AK85:AK100"/>
    <mergeCell ref="AL85:AL100"/>
    <mergeCell ref="AM85:AM100"/>
    <mergeCell ref="AN85:AN100"/>
    <mergeCell ref="AO85:AO100"/>
    <mergeCell ref="AD85:AD100"/>
    <mergeCell ref="AE85:AE100"/>
    <mergeCell ref="AF85:AF100"/>
    <mergeCell ref="AG85:AG100"/>
    <mergeCell ref="AH85:AH100"/>
    <mergeCell ref="AI85:AI100"/>
    <mergeCell ref="X85:X100"/>
    <mergeCell ref="Y85:Y100"/>
    <mergeCell ref="Z85:Z100"/>
    <mergeCell ref="AA85:AA100"/>
    <mergeCell ref="AB85:AB100"/>
    <mergeCell ref="AC85:AC100"/>
    <mergeCell ref="P85:P100"/>
    <mergeCell ref="Q85:Q100"/>
    <mergeCell ref="R85:R100"/>
    <mergeCell ref="S85:S100"/>
    <mergeCell ref="T85:T99"/>
    <mergeCell ref="W85:W100"/>
    <mergeCell ref="J85:J100"/>
    <mergeCell ref="K85:K100"/>
    <mergeCell ref="L85:L100"/>
    <mergeCell ref="M85:M100"/>
    <mergeCell ref="N85:N100"/>
    <mergeCell ref="O85:O100"/>
    <mergeCell ref="AL72:AL83"/>
    <mergeCell ref="AM72:AM83"/>
    <mergeCell ref="AN72:AN83"/>
    <mergeCell ref="Z72:Z83"/>
    <mergeCell ref="AA72:AA83"/>
    <mergeCell ref="AB72:AB83"/>
    <mergeCell ref="AC72:AC83"/>
    <mergeCell ref="AD72:AD83"/>
    <mergeCell ref="AE72:AE83"/>
    <mergeCell ref="R72:R83"/>
    <mergeCell ref="S72:S83"/>
    <mergeCell ref="T72:T78"/>
    <mergeCell ref="W72:W83"/>
    <mergeCell ref="X72:X83"/>
    <mergeCell ref="Y72:Y83"/>
    <mergeCell ref="T79:T81"/>
    <mergeCell ref="T82:T83"/>
    <mergeCell ref="L72:L83"/>
    <mergeCell ref="AO72:AO83"/>
    <mergeCell ref="AP72:AP83"/>
    <mergeCell ref="AQ72:AQ83"/>
    <mergeCell ref="AF72:AF83"/>
    <mergeCell ref="AG72:AG83"/>
    <mergeCell ref="AH72:AH83"/>
    <mergeCell ref="AI72:AI83"/>
    <mergeCell ref="AJ72:AJ83"/>
    <mergeCell ref="AK72:AK83"/>
    <mergeCell ref="M72:M83"/>
    <mergeCell ref="N72:N83"/>
    <mergeCell ref="O72:O83"/>
    <mergeCell ref="P72:P83"/>
    <mergeCell ref="Q72:Q83"/>
    <mergeCell ref="AP58:AP70"/>
    <mergeCell ref="AQ58:AQ70"/>
    <mergeCell ref="A72:A83"/>
    <mergeCell ref="B72:C83"/>
    <mergeCell ref="D72:D83"/>
    <mergeCell ref="E72:F83"/>
    <mergeCell ref="G72:G83"/>
    <mergeCell ref="H72:I83"/>
    <mergeCell ref="J72:J83"/>
    <mergeCell ref="K72:K83"/>
    <mergeCell ref="AJ58:AJ70"/>
    <mergeCell ref="AK58:AK70"/>
    <mergeCell ref="AL58:AL70"/>
    <mergeCell ref="AM58:AM70"/>
    <mergeCell ref="AN58:AN70"/>
    <mergeCell ref="AO58:AO70"/>
    <mergeCell ref="AD58:AD70"/>
    <mergeCell ref="AE58:AE70"/>
    <mergeCell ref="AF58:AF70"/>
    <mergeCell ref="AG58:AG70"/>
    <mergeCell ref="AH58:AH70"/>
    <mergeCell ref="AI58:AI70"/>
    <mergeCell ref="X58:X70"/>
    <mergeCell ref="Y58:Y70"/>
    <mergeCell ref="Z58:Z70"/>
    <mergeCell ref="AA58:AA70"/>
    <mergeCell ref="AB58:AB70"/>
    <mergeCell ref="AC58:AC70"/>
    <mergeCell ref="P58:P70"/>
    <mergeCell ref="Q58:Q70"/>
    <mergeCell ref="R58:R70"/>
    <mergeCell ref="S58:S70"/>
    <mergeCell ref="T58:T70"/>
    <mergeCell ref="W58:W70"/>
    <mergeCell ref="J58:J70"/>
    <mergeCell ref="K58:K70"/>
    <mergeCell ref="L58:L70"/>
    <mergeCell ref="M58:M70"/>
    <mergeCell ref="N58:N70"/>
    <mergeCell ref="O58:O70"/>
    <mergeCell ref="AM50:AM56"/>
    <mergeCell ref="AN50:AN56"/>
    <mergeCell ref="AO50:AO56"/>
    <mergeCell ref="AP50:AP56"/>
    <mergeCell ref="AQ50:AQ56"/>
    <mergeCell ref="T52:T56"/>
    <mergeCell ref="AG50:AG56"/>
    <mergeCell ref="AH50:AH56"/>
    <mergeCell ref="AI50:AI56"/>
    <mergeCell ref="AJ50:AJ56"/>
    <mergeCell ref="AK50:AK56"/>
    <mergeCell ref="AL50:AL56"/>
    <mergeCell ref="AA50:AA56"/>
    <mergeCell ref="AB50:AB56"/>
    <mergeCell ref="AC50:AC56"/>
    <mergeCell ref="AD50:AD56"/>
    <mergeCell ref="AE50:AE56"/>
    <mergeCell ref="AF50:AF56"/>
    <mergeCell ref="S50:S56"/>
    <mergeCell ref="T50:T51"/>
    <mergeCell ref="W50:W56"/>
    <mergeCell ref="X50:X56"/>
    <mergeCell ref="Y50:Y56"/>
    <mergeCell ref="Z50:Z56"/>
    <mergeCell ref="M50:M56"/>
    <mergeCell ref="N50:N56"/>
    <mergeCell ref="O50:O56"/>
    <mergeCell ref="P50:P56"/>
    <mergeCell ref="Q50:Q56"/>
    <mergeCell ref="R50:R56"/>
    <mergeCell ref="E50:F56"/>
    <mergeCell ref="G50:G56"/>
    <mergeCell ref="H50:I56"/>
    <mergeCell ref="J50:J56"/>
    <mergeCell ref="K50:K56"/>
    <mergeCell ref="L50:L56"/>
    <mergeCell ref="AP40:AP48"/>
    <mergeCell ref="AQ40:AQ48"/>
    <mergeCell ref="J43:J44"/>
    <mergeCell ref="K43:K44"/>
    <mergeCell ref="L43:L44"/>
    <mergeCell ref="M43:M44"/>
    <mergeCell ref="Q43:Q44"/>
    <mergeCell ref="T43:T44"/>
    <mergeCell ref="J47:J48"/>
    <mergeCell ref="K47:K48"/>
    <mergeCell ref="AJ40:AJ48"/>
    <mergeCell ref="AK40:AK48"/>
    <mergeCell ref="AL40:AL48"/>
    <mergeCell ref="AM40:AM48"/>
    <mergeCell ref="AN40:AN48"/>
    <mergeCell ref="AO40:AO48"/>
    <mergeCell ref="AD40:AD48"/>
    <mergeCell ref="AE40:AE48"/>
    <mergeCell ref="AF40:AF48"/>
    <mergeCell ref="AG40:AG48"/>
    <mergeCell ref="AH40:AH48"/>
    <mergeCell ref="AI40:AI48"/>
    <mergeCell ref="X40:X48"/>
    <mergeCell ref="Y40:Y48"/>
    <mergeCell ref="Z40:Z48"/>
    <mergeCell ref="AA40:AA48"/>
    <mergeCell ref="AB40:AB48"/>
    <mergeCell ref="AC40:AC48"/>
    <mergeCell ref="P40:P48"/>
    <mergeCell ref="Q40:Q42"/>
    <mergeCell ref="R40:R48"/>
    <mergeCell ref="S40:S48"/>
    <mergeCell ref="T40:T42"/>
    <mergeCell ref="W40:W48"/>
    <mergeCell ref="Q47:Q48"/>
    <mergeCell ref="T47:T48"/>
    <mergeCell ref="J40:J42"/>
    <mergeCell ref="K40:K42"/>
    <mergeCell ref="L40:L42"/>
    <mergeCell ref="M40:M42"/>
    <mergeCell ref="N40:N48"/>
    <mergeCell ref="O40:O48"/>
    <mergeCell ref="L47:L48"/>
    <mergeCell ref="M47:M48"/>
    <mergeCell ref="AP30:AP37"/>
    <mergeCell ref="AQ30:AQ37"/>
    <mergeCell ref="T34:T35"/>
    <mergeCell ref="T36:T37"/>
    <mergeCell ref="F38:K38"/>
    <mergeCell ref="H39:K39"/>
    <mergeCell ref="AJ30:AJ37"/>
    <mergeCell ref="AK30:AK37"/>
    <mergeCell ref="AL30:AL37"/>
    <mergeCell ref="AM30:AM37"/>
    <mergeCell ref="AN30:AN37"/>
    <mergeCell ref="AO30:AO37"/>
    <mergeCell ref="AD30:AD37"/>
    <mergeCell ref="AE30:AE37"/>
    <mergeCell ref="AF30:AF37"/>
    <mergeCell ref="AG30:AG37"/>
    <mergeCell ref="AH30:AH37"/>
    <mergeCell ref="AI30:AI37"/>
    <mergeCell ref="X30:X37"/>
    <mergeCell ref="Y30:Y37"/>
    <mergeCell ref="Z30:Z37"/>
    <mergeCell ref="AA30:AA37"/>
    <mergeCell ref="AB30:AB37"/>
    <mergeCell ref="AC30:AC37"/>
    <mergeCell ref="P30:P37"/>
    <mergeCell ref="Q30:Q37"/>
    <mergeCell ref="R30:R37"/>
    <mergeCell ref="S30:S37"/>
    <mergeCell ref="T30:T33"/>
    <mergeCell ref="W30:W37"/>
    <mergeCell ref="J30:J37"/>
    <mergeCell ref="K30:K37"/>
    <mergeCell ref="L30:L37"/>
    <mergeCell ref="M30:M37"/>
    <mergeCell ref="N30:N37"/>
    <mergeCell ref="O30:O37"/>
    <mergeCell ref="E28:K28"/>
    <mergeCell ref="H29:K29"/>
    <mergeCell ref="AI20:AI27"/>
    <mergeCell ref="AJ20:AJ27"/>
    <mergeCell ref="AK20:AK27"/>
    <mergeCell ref="AL20:AL27"/>
    <mergeCell ref="AM20:AM27"/>
    <mergeCell ref="AN20:AN27"/>
    <mergeCell ref="AC20:AC27"/>
    <mergeCell ref="AD20:AD27"/>
    <mergeCell ref="AE20:AE27"/>
    <mergeCell ref="AF20:AF27"/>
    <mergeCell ref="AG20:AG27"/>
    <mergeCell ref="AH20:AH27"/>
    <mergeCell ref="W20:W27"/>
    <mergeCell ref="X20:X27"/>
    <mergeCell ref="Y20:Y27"/>
    <mergeCell ref="Z20:Z27"/>
    <mergeCell ref="AA20:AA27"/>
    <mergeCell ref="AB20:AB27"/>
    <mergeCell ref="O20:O27"/>
    <mergeCell ref="P20:P27"/>
    <mergeCell ref="Q20:Q27"/>
    <mergeCell ref="R20:R27"/>
    <mergeCell ref="S20:S27"/>
    <mergeCell ref="T20:T24"/>
    <mergeCell ref="AP11:AP18"/>
    <mergeCell ref="AQ11:AQ18"/>
    <mergeCell ref="T12:T16"/>
    <mergeCell ref="T17:T18"/>
    <mergeCell ref="AM11:AM18"/>
    <mergeCell ref="AN11:AN18"/>
    <mergeCell ref="AO11:AO18"/>
    <mergeCell ref="Z11:Z18"/>
    <mergeCell ref="AA11:AA18"/>
    <mergeCell ref="AB11:AB18"/>
    <mergeCell ref="AC11:AC18"/>
    <mergeCell ref="R11:R18"/>
    <mergeCell ref="S11:S18"/>
    <mergeCell ref="W11:W18"/>
    <mergeCell ref="AO20:AO27"/>
    <mergeCell ref="AP20:AP27"/>
    <mergeCell ref="AQ20:AQ27"/>
    <mergeCell ref="T26:T27"/>
    <mergeCell ref="H19:K19"/>
    <mergeCell ref="J20:J27"/>
    <mergeCell ref="K20:K27"/>
    <mergeCell ref="L20:L27"/>
    <mergeCell ref="M20:M27"/>
    <mergeCell ref="N20:N27"/>
    <mergeCell ref="AJ11:AJ18"/>
    <mergeCell ref="AK11:AK18"/>
    <mergeCell ref="AL11:AL18"/>
    <mergeCell ref="AD11:AD18"/>
    <mergeCell ref="AE11:AE18"/>
    <mergeCell ref="AF11:AF18"/>
    <mergeCell ref="AG11:AG18"/>
    <mergeCell ref="AH11:AH18"/>
    <mergeCell ref="AI11:AI18"/>
    <mergeCell ref="X11:X18"/>
    <mergeCell ref="Y11:Y18"/>
    <mergeCell ref="O11:O18"/>
    <mergeCell ref="P11:P18"/>
    <mergeCell ref="Q11:Q18"/>
    <mergeCell ref="H10:K10"/>
    <mergeCell ref="J11:J18"/>
    <mergeCell ref="K11:K18"/>
    <mergeCell ref="L11:L18"/>
    <mergeCell ref="M11:M18"/>
    <mergeCell ref="N11:N18"/>
    <mergeCell ref="B8:K8"/>
    <mergeCell ref="E9:K9"/>
    <mergeCell ref="W6:W7"/>
    <mergeCell ref="X6:X7"/>
    <mergeCell ref="Y6:Z6"/>
    <mergeCell ref="AA6:AD6"/>
    <mergeCell ref="AE6:AJ6"/>
    <mergeCell ref="AK6:AM6"/>
    <mergeCell ref="Q6:Q7"/>
    <mergeCell ref="R6:R7"/>
    <mergeCell ref="S6:S7"/>
    <mergeCell ref="T6:T7"/>
    <mergeCell ref="U6:U7"/>
    <mergeCell ref="V6:V7"/>
    <mergeCell ref="K6:K7"/>
    <mergeCell ref="L6:L7"/>
    <mergeCell ref="M6:M7"/>
    <mergeCell ref="N6:N7"/>
    <mergeCell ref="O6:O7"/>
    <mergeCell ref="P6:P7"/>
    <mergeCell ref="A1:AO4"/>
    <mergeCell ref="A5:M5"/>
    <mergeCell ref="N5:AQ5"/>
    <mergeCell ref="A6:A7"/>
    <mergeCell ref="B6:C7"/>
    <mergeCell ref="D6:D7"/>
    <mergeCell ref="E6:F7"/>
    <mergeCell ref="G6:G7"/>
    <mergeCell ref="H6:I7"/>
    <mergeCell ref="J6:J7"/>
    <mergeCell ref="AQ6:AQ7"/>
    <mergeCell ref="AN6:AN7"/>
    <mergeCell ref="AO6:AO7"/>
    <mergeCell ref="AP6:AP7"/>
  </mergeCells>
  <printOptions/>
  <pageMargins left="1.1023622047244095" right="0.11811023622047245" top="0.35433070866141736" bottom="0.35433070866141736" header="0.31496062992125984" footer="0.31496062992125984"/>
  <pageSetup fitToHeight="0"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dimension ref="A1:BM33"/>
  <sheetViews>
    <sheetView showGridLines="0" zoomScale="60" zoomScaleNormal="60" zoomScalePageLayoutView="0" workbookViewId="0" topLeftCell="A1">
      <selection activeCell="A1" sqref="A1:AO4"/>
    </sheetView>
  </sheetViews>
  <sheetFormatPr defaultColWidth="11.421875" defaultRowHeight="27" customHeight="1"/>
  <cols>
    <col min="1" max="1" width="12.421875" style="227" customWidth="1"/>
    <col min="2" max="2" width="4.00390625" style="131" customWidth="1"/>
    <col min="3" max="3" width="18.8515625" style="131" customWidth="1"/>
    <col min="4" max="4" width="13.7109375" style="131" customWidth="1"/>
    <col min="5" max="5" width="21.57421875" style="131" customWidth="1"/>
    <col min="6" max="6" width="0.13671875" style="131" customWidth="1"/>
    <col min="7" max="7" width="13.7109375" style="131" customWidth="1"/>
    <col min="8" max="8" width="3.28125" style="131" customWidth="1"/>
    <col min="9" max="9" width="19.7109375" style="131" customWidth="1"/>
    <col min="10" max="10" width="19.28125" style="131" customWidth="1"/>
    <col min="11" max="11" width="33.00390625" style="235" customWidth="1"/>
    <col min="12" max="12" width="17.7109375" style="224" customWidth="1"/>
    <col min="13" max="13" width="26.7109375" style="238" customWidth="1"/>
    <col min="14" max="14" width="50.00390625" style="224" customWidth="1"/>
    <col min="15" max="15" width="26.8515625" style="224" customWidth="1"/>
    <col min="16" max="16" width="24.57421875" style="235" customWidth="1"/>
    <col min="17" max="17" width="24.28125" style="239" customWidth="1"/>
    <col min="18" max="18" width="28.8515625" style="240" customWidth="1"/>
    <col min="19" max="19" width="23.421875" style="235" customWidth="1"/>
    <col min="20" max="20" width="48.8515625" style="235" customWidth="1"/>
    <col min="21" max="21" width="58.140625" style="235" customWidth="1"/>
    <col min="22" max="22" width="32.00390625" style="241" customWidth="1"/>
    <col min="23" max="23" width="18.57421875" style="234" customWidth="1"/>
    <col min="24" max="24" width="22.00390625" style="235" customWidth="1"/>
    <col min="25" max="25" width="10.421875" style="131" customWidth="1"/>
    <col min="26" max="26" width="10.57421875" style="131" customWidth="1"/>
    <col min="27" max="27" width="9.28125" style="131" customWidth="1"/>
    <col min="28" max="28" width="10.140625" style="131" customWidth="1"/>
    <col min="29" max="29" width="11.00390625" style="131" customWidth="1"/>
    <col min="30" max="30" width="9.57421875" style="131" customWidth="1"/>
    <col min="31" max="31" width="9.28125" style="131" customWidth="1"/>
    <col min="32" max="32" width="8.8515625" style="131" customWidth="1"/>
    <col min="33" max="35" width="8.00390625" style="131" customWidth="1"/>
    <col min="36" max="36" width="8.7109375" style="131" customWidth="1"/>
    <col min="37" max="37" width="8.140625" style="131" customWidth="1"/>
    <col min="38" max="38" width="10.57421875" style="131" customWidth="1"/>
    <col min="39" max="39" width="9.8515625" style="131" customWidth="1"/>
    <col min="40" max="40" width="13.140625" style="131" customWidth="1"/>
    <col min="41" max="41" width="13.7109375" style="236" customWidth="1"/>
    <col min="42" max="42" width="13.7109375" style="237" customWidth="1"/>
    <col min="43" max="43" width="27.8515625" style="229" customWidth="1"/>
    <col min="44" max="16384" width="11.421875" style="131" customWidth="1"/>
  </cols>
  <sheetData>
    <row r="1" spans="1:63" ht="15" customHeight="1">
      <c r="A1" s="2275" t="s">
        <v>133</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276"/>
      <c r="AP1" s="128" t="s">
        <v>1</v>
      </c>
      <c r="AQ1" s="129" t="s">
        <v>134</v>
      </c>
      <c r="AR1" s="130"/>
      <c r="AS1" s="130"/>
      <c r="AT1" s="130"/>
      <c r="AU1" s="130"/>
      <c r="AV1" s="130"/>
      <c r="AW1" s="130"/>
      <c r="AX1" s="130"/>
      <c r="AY1" s="130"/>
      <c r="AZ1" s="130"/>
      <c r="BA1" s="130"/>
      <c r="BB1" s="130"/>
      <c r="BC1" s="130"/>
      <c r="BD1" s="130"/>
      <c r="BE1" s="130"/>
      <c r="BF1" s="130"/>
      <c r="BG1" s="130"/>
      <c r="BH1" s="130"/>
      <c r="BI1" s="130"/>
      <c r="BJ1" s="130"/>
      <c r="BK1" s="130"/>
    </row>
    <row r="2" spans="1:63" ht="1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278"/>
      <c r="AP2" s="132" t="s">
        <v>3</v>
      </c>
      <c r="AQ2" s="133" t="s">
        <v>135</v>
      </c>
      <c r="AR2" s="130"/>
      <c r="AS2" s="130"/>
      <c r="AT2" s="130"/>
      <c r="AU2" s="130"/>
      <c r="AV2" s="130"/>
      <c r="AW2" s="130"/>
      <c r="AX2" s="130"/>
      <c r="AY2" s="130"/>
      <c r="AZ2" s="130"/>
      <c r="BA2" s="130"/>
      <c r="BB2" s="130"/>
      <c r="BC2" s="130"/>
      <c r="BD2" s="130"/>
      <c r="BE2" s="130"/>
      <c r="BF2" s="130"/>
      <c r="BG2" s="130"/>
      <c r="BH2" s="130"/>
      <c r="BI2" s="130"/>
      <c r="BJ2" s="130"/>
      <c r="BK2" s="130"/>
    </row>
    <row r="3" spans="1:63" ht="1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278"/>
      <c r="AP3" s="134" t="s">
        <v>5</v>
      </c>
      <c r="AQ3" s="135" t="s">
        <v>6</v>
      </c>
      <c r="AR3" s="130"/>
      <c r="AS3" s="130"/>
      <c r="AT3" s="130"/>
      <c r="AU3" s="130"/>
      <c r="AV3" s="130"/>
      <c r="AW3" s="130"/>
      <c r="AX3" s="130"/>
      <c r="AY3" s="130"/>
      <c r="AZ3" s="130"/>
      <c r="BA3" s="130"/>
      <c r="BB3" s="130"/>
      <c r="BC3" s="130"/>
      <c r="BD3" s="130"/>
      <c r="BE3" s="130"/>
      <c r="BF3" s="130"/>
      <c r="BG3" s="130"/>
      <c r="BH3" s="130"/>
      <c r="BI3" s="130"/>
      <c r="BJ3" s="130"/>
      <c r="BK3" s="130"/>
    </row>
    <row r="4" spans="1:63" ht="1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134" t="s">
        <v>7</v>
      </c>
      <c r="AQ4" s="136" t="s">
        <v>8</v>
      </c>
      <c r="AR4" s="130"/>
      <c r="AS4" s="130"/>
      <c r="AT4" s="130"/>
      <c r="AU4" s="130"/>
      <c r="AV4" s="130"/>
      <c r="AW4" s="130"/>
      <c r="AX4" s="130"/>
      <c r="AY4" s="130"/>
      <c r="AZ4" s="130"/>
      <c r="BA4" s="130"/>
      <c r="BB4" s="130"/>
      <c r="BC4" s="130"/>
      <c r="BD4" s="130"/>
      <c r="BE4" s="130"/>
      <c r="BF4" s="130"/>
      <c r="BG4" s="130"/>
      <c r="BH4" s="130"/>
      <c r="BI4" s="130"/>
      <c r="BJ4" s="130"/>
      <c r="BK4" s="130"/>
    </row>
    <row r="5" spans="1:63" ht="15.75">
      <c r="A5" s="2281" t="s">
        <v>9</v>
      </c>
      <c r="B5" s="2282"/>
      <c r="C5" s="2282"/>
      <c r="D5" s="2282"/>
      <c r="E5" s="2282"/>
      <c r="F5" s="2282"/>
      <c r="G5" s="2282"/>
      <c r="H5" s="2282"/>
      <c r="I5" s="2282"/>
      <c r="J5" s="2282"/>
      <c r="K5" s="2282"/>
      <c r="L5" s="2282"/>
      <c r="M5" s="2282"/>
      <c r="N5" s="2285" t="s">
        <v>136</v>
      </c>
      <c r="O5" s="2285"/>
      <c r="P5" s="2285"/>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6"/>
      <c r="AR5" s="130"/>
      <c r="AS5" s="130"/>
      <c r="AT5" s="130"/>
      <c r="AU5" s="130"/>
      <c r="AV5" s="130"/>
      <c r="AW5" s="130"/>
      <c r="AX5" s="130"/>
      <c r="AY5" s="130"/>
      <c r="AZ5" s="130"/>
      <c r="BA5" s="130"/>
      <c r="BB5" s="130"/>
      <c r="BC5" s="130"/>
      <c r="BD5" s="130"/>
      <c r="BE5" s="130"/>
      <c r="BF5" s="130"/>
      <c r="BG5" s="130"/>
      <c r="BH5" s="130"/>
      <c r="BI5" s="130"/>
      <c r="BJ5" s="130"/>
      <c r="BK5" s="130"/>
    </row>
    <row r="6" spans="1:63" ht="15.75">
      <c r="A6" s="2283"/>
      <c r="B6" s="2284"/>
      <c r="C6" s="2284"/>
      <c r="D6" s="2284"/>
      <c r="E6" s="2284"/>
      <c r="F6" s="2284"/>
      <c r="G6" s="2284"/>
      <c r="H6" s="2284"/>
      <c r="I6" s="2284"/>
      <c r="J6" s="2284"/>
      <c r="K6" s="2284"/>
      <c r="L6" s="2284"/>
      <c r="M6" s="2284"/>
      <c r="N6" s="137"/>
      <c r="O6" s="138"/>
      <c r="P6" s="138"/>
      <c r="Q6" s="139"/>
      <c r="R6" s="140"/>
      <c r="S6" s="138"/>
      <c r="T6" s="138"/>
      <c r="U6" s="138"/>
      <c r="V6" s="141"/>
      <c r="W6" s="142"/>
      <c r="X6" s="138"/>
      <c r="Y6" s="2287" t="s">
        <v>11</v>
      </c>
      <c r="Z6" s="2284"/>
      <c r="AA6" s="2284"/>
      <c r="AB6" s="2284"/>
      <c r="AC6" s="2284"/>
      <c r="AD6" s="2284"/>
      <c r="AE6" s="2284"/>
      <c r="AF6" s="2284"/>
      <c r="AG6" s="2284"/>
      <c r="AH6" s="2284"/>
      <c r="AI6" s="2284"/>
      <c r="AJ6" s="2284"/>
      <c r="AK6" s="2284"/>
      <c r="AL6" s="2284"/>
      <c r="AM6" s="2288"/>
      <c r="AN6" s="139"/>
      <c r="AO6" s="142"/>
      <c r="AP6" s="142"/>
      <c r="AQ6" s="143"/>
      <c r="AR6" s="130"/>
      <c r="AS6" s="130"/>
      <c r="AT6" s="130"/>
      <c r="AU6" s="130"/>
      <c r="AV6" s="130"/>
      <c r="AW6" s="130"/>
      <c r="AX6" s="130"/>
      <c r="AY6" s="130"/>
      <c r="AZ6" s="130"/>
      <c r="BA6" s="130"/>
      <c r="BB6" s="130"/>
      <c r="BC6" s="130"/>
      <c r="BD6" s="130"/>
      <c r="BE6" s="130"/>
      <c r="BF6" s="130"/>
      <c r="BG6" s="130"/>
      <c r="BH6" s="130"/>
      <c r="BI6" s="130"/>
      <c r="BJ6" s="130"/>
      <c r="BK6" s="130"/>
    </row>
    <row r="7" spans="1:63" ht="15.75" customHeight="1">
      <c r="A7" s="2289" t="s">
        <v>12</v>
      </c>
      <c r="B7" s="2271" t="s">
        <v>13</v>
      </c>
      <c r="C7" s="2271"/>
      <c r="D7" s="2271" t="s">
        <v>12</v>
      </c>
      <c r="E7" s="2271" t="s">
        <v>14</v>
      </c>
      <c r="F7" s="2271"/>
      <c r="G7" s="2271" t="s">
        <v>12</v>
      </c>
      <c r="H7" s="2271" t="s">
        <v>15</v>
      </c>
      <c r="I7" s="2271"/>
      <c r="J7" s="2271" t="s">
        <v>12</v>
      </c>
      <c r="K7" s="2271" t="s">
        <v>16</v>
      </c>
      <c r="L7" s="2271" t="s">
        <v>17</v>
      </c>
      <c r="M7" s="2271" t="s">
        <v>18</v>
      </c>
      <c r="N7" s="2271" t="s">
        <v>19</v>
      </c>
      <c r="O7" s="2271" t="s">
        <v>20</v>
      </c>
      <c r="P7" s="2271" t="s">
        <v>10</v>
      </c>
      <c r="Q7" s="2308" t="s">
        <v>21</v>
      </c>
      <c r="R7" s="2310" t="s">
        <v>22</v>
      </c>
      <c r="S7" s="2312" t="s">
        <v>23</v>
      </c>
      <c r="T7" s="2314" t="s">
        <v>24</v>
      </c>
      <c r="U7" s="2316" t="s">
        <v>25</v>
      </c>
      <c r="V7" s="2305" t="s">
        <v>22</v>
      </c>
      <c r="W7" s="144"/>
      <c r="X7" s="2297" t="s">
        <v>26</v>
      </c>
      <c r="Y7" s="2178" t="s">
        <v>27</v>
      </c>
      <c r="Z7" s="2179"/>
      <c r="AA7" s="2180" t="s">
        <v>28</v>
      </c>
      <c r="AB7" s="2181"/>
      <c r="AC7" s="2181"/>
      <c r="AD7" s="2181"/>
      <c r="AE7" s="2182" t="s">
        <v>29</v>
      </c>
      <c r="AF7" s="2183"/>
      <c r="AG7" s="2183"/>
      <c r="AH7" s="2183"/>
      <c r="AI7" s="2183"/>
      <c r="AJ7" s="2183"/>
      <c r="AK7" s="2180" t="s">
        <v>30</v>
      </c>
      <c r="AL7" s="2181"/>
      <c r="AM7" s="2181"/>
      <c r="AN7" s="2291" t="s">
        <v>31</v>
      </c>
      <c r="AO7" s="145" t="s">
        <v>32</v>
      </c>
      <c r="AP7" s="145" t="s">
        <v>33</v>
      </c>
      <c r="AQ7" s="2294" t="s">
        <v>34</v>
      </c>
      <c r="AR7" s="130"/>
      <c r="AS7" s="130"/>
      <c r="AT7" s="130"/>
      <c r="AU7" s="130"/>
      <c r="AV7" s="130"/>
      <c r="AW7" s="130"/>
      <c r="AX7" s="130"/>
      <c r="AY7" s="130"/>
      <c r="AZ7" s="130"/>
      <c r="BA7" s="130"/>
      <c r="BB7" s="130"/>
      <c r="BC7" s="130"/>
      <c r="BD7" s="130"/>
      <c r="BE7" s="130"/>
      <c r="BF7" s="130"/>
      <c r="BG7" s="130"/>
      <c r="BH7" s="130"/>
      <c r="BI7" s="130"/>
      <c r="BJ7" s="130"/>
      <c r="BK7" s="130"/>
    </row>
    <row r="8" spans="1:63" ht="15.75">
      <c r="A8" s="2290"/>
      <c r="B8" s="2272"/>
      <c r="C8" s="2272"/>
      <c r="D8" s="2272"/>
      <c r="E8" s="2272"/>
      <c r="F8" s="2272"/>
      <c r="G8" s="2272"/>
      <c r="H8" s="2272"/>
      <c r="I8" s="2272"/>
      <c r="J8" s="2272"/>
      <c r="K8" s="2272"/>
      <c r="L8" s="2272"/>
      <c r="M8" s="2272"/>
      <c r="N8" s="2274"/>
      <c r="O8" s="2272"/>
      <c r="P8" s="2272"/>
      <c r="Q8" s="2309"/>
      <c r="R8" s="2311"/>
      <c r="S8" s="2313"/>
      <c r="T8" s="2315"/>
      <c r="U8" s="2317"/>
      <c r="V8" s="2306"/>
      <c r="W8" s="146"/>
      <c r="X8" s="2274"/>
      <c r="Y8" s="147"/>
      <c r="Z8" s="148"/>
      <c r="AA8" s="149"/>
      <c r="AB8" s="150"/>
      <c r="AC8" s="150"/>
      <c r="AD8" s="150"/>
      <c r="AE8" s="151"/>
      <c r="AF8" s="152"/>
      <c r="AG8" s="152"/>
      <c r="AH8" s="152"/>
      <c r="AI8" s="152"/>
      <c r="AJ8" s="152"/>
      <c r="AK8" s="149"/>
      <c r="AL8" s="150"/>
      <c r="AM8" s="150"/>
      <c r="AN8" s="2292"/>
      <c r="AO8" s="153"/>
      <c r="AP8" s="153"/>
      <c r="AQ8" s="2295"/>
      <c r="AR8" s="130"/>
      <c r="AS8" s="130"/>
      <c r="AT8" s="130"/>
      <c r="AU8" s="130"/>
      <c r="AV8" s="130"/>
      <c r="AW8" s="130"/>
      <c r="AX8" s="130"/>
      <c r="AY8" s="130"/>
      <c r="AZ8" s="130"/>
      <c r="BA8" s="130"/>
      <c r="BB8" s="130"/>
      <c r="BC8" s="130"/>
      <c r="BD8" s="130"/>
      <c r="BE8" s="130"/>
      <c r="BF8" s="130"/>
      <c r="BG8" s="130"/>
      <c r="BH8" s="130"/>
      <c r="BI8" s="130"/>
      <c r="BJ8" s="130"/>
      <c r="BK8" s="130"/>
    </row>
    <row r="9" spans="1:63" ht="141.75">
      <c r="A9" s="2290"/>
      <c r="B9" s="2272"/>
      <c r="C9" s="2272"/>
      <c r="D9" s="2272"/>
      <c r="E9" s="2272"/>
      <c r="F9" s="2272"/>
      <c r="G9" s="2272"/>
      <c r="H9" s="2272"/>
      <c r="I9" s="2272"/>
      <c r="J9" s="2272"/>
      <c r="K9" s="2272"/>
      <c r="L9" s="2272"/>
      <c r="M9" s="2273"/>
      <c r="N9" s="2274"/>
      <c r="O9" s="2272"/>
      <c r="P9" s="2272"/>
      <c r="Q9" s="2309"/>
      <c r="R9" s="2311"/>
      <c r="S9" s="2313"/>
      <c r="T9" s="2315"/>
      <c r="U9" s="2317"/>
      <c r="V9" s="2307"/>
      <c r="W9" s="146" t="s">
        <v>12</v>
      </c>
      <c r="X9" s="2274"/>
      <c r="Y9" s="154" t="s">
        <v>35</v>
      </c>
      <c r="Z9" s="155" t="s">
        <v>36</v>
      </c>
      <c r="AA9" s="154" t="s">
        <v>37</v>
      </c>
      <c r="AB9" s="154" t="s">
        <v>137</v>
      </c>
      <c r="AC9" s="154" t="s">
        <v>138</v>
      </c>
      <c r="AD9" s="154" t="s">
        <v>139</v>
      </c>
      <c r="AE9" s="154" t="s">
        <v>41</v>
      </c>
      <c r="AF9" s="154" t="s">
        <v>42</v>
      </c>
      <c r="AG9" s="154" t="s">
        <v>43</v>
      </c>
      <c r="AH9" s="154" t="s">
        <v>44</v>
      </c>
      <c r="AI9" s="154" t="s">
        <v>45</v>
      </c>
      <c r="AJ9" s="154" t="s">
        <v>46</v>
      </c>
      <c r="AK9" s="154" t="s">
        <v>47</v>
      </c>
      <c r="AL9" s="154" t="s">
        <v>48</v>
      </c>
      <c r="AM9" s="154" t="s">
        <v>49</v>
      </c>
      <c r="AN9" s="2293"/>
      <c r="AO9" s="153" t="s">
        <v>50</v>
      </c>
      <c r="AP9" s="153" t="s">
        <v>50</v>
      </c>
      <c r="AQ9" s="2296"/>
      <c r="AR9" s="130"/>
      <c r="AS9" s="130"/>
      <c r="AT9" s="130"/>
      <c r="AU9" s="130"/>
      <c r="AV9" s="130"/>
      <c r="AW9" s="130"/>
      <c r="AX9" s="130"/>
      <c r="AY9" s="130"/>
      <c r="AZ9" s="130"/>
      <c r="BA9" s="130"/>
      <c r="BB9" s="130"/>
      <c r="BC9" s="130"/>
      <c r="BD9" s="130"/>
      <c r="BE9" s="130"/>
      <c r="BF9" s="130"/>
      <c r="BG9" s="130"/>
      <c r="BH9" s="130"/>
      <c r="BI9" s="130"/>
      <c r="BJ9" s="130"/>
      <c r="BK9" s="130"/>
    </row>
    <row r="10" spans="1:63" ht="15.75">
      <c r="A10" s="156">
        <v>5</v>
      </c>
      <c r="B10" s="157" t="s">
        <v>52</v>
      </c>
      <c r="C10" s="157"/>
      <c r="D10" s="158"/>
      <c r="E10" s="158"/>
      <c r="F10" s="157"/>
      <c r="G10" s="157"/>
      <c r="H10" s="157"/>
      <c r="I10" s="157"/>
      <c r="J10" s="157"/>
      <c r="K10" s="159"/>
      <c r="L10" s="159"/>
      <c r="M10" s="160"/>
      <c r="N10" s="159"/>
      <c r="O10" s="159"/>
      <c r="P10" s="159"/>
      <c r="Q10" s="161"/>
      <c r="R10" s="162"/>
      <c r="S10" s="159"/>
      <c r="T10" s="159"/>
      <c r="U10" s="159"/>
      <c r="V10" s="163"/>
      <c r="W10" s="164"/>
      <c r="X10" s="159"/>
      <c r="Y10" s="157"/>
      <c r="Z10" s="157"/>
      <c r="AA10" s="157"/>
      <c r="AB10" s="157"/>
      <c r="AC10" s="157"/>
      <c r="AD10" s="157"/>
      <c r="AE10" s="157"/>
      <c r="AF10" s="157"/>
      <c r="AG10" s="157"/>
      <c r="AH10" s="157"/>
      <c r="AI10" s="157"/>
      <c r="AJ10" s="157"/>
      <c r="AK10" s="157"/>
      <c r="AL10" s="157"/>
      <c r="AM10" s="157"/>
      <c r="AN10" s="157"/>
      <c r="AO10" s="165"/>
      <c r="AP10" s="165"/>
      <c r="AQ10" s="166"/>
      <c r="AR10" s="130"/>
      <c r="AS10" s="130"/>
      <c r="AT10" s="130"/>
      <c r="AU10" s="130"/>
      <c r="AV10" s="130"/>
      <c r="AW10" s="130"/>
      <c r="AX10" s="130"/>
      <c r="AY10" s="130"/>
      <c r="AZ10" s="130"/>
      <c r="BA10" s="130"/>
      <c r="BB10" s="130"/>
      <c r="BC10" s="130"/>
      <c r="BD10" s="130"/>
      <c r="BE10" s="130"/>
      <c r="BF10" s="130"/>
      <c r="BG10" s="130"/>
      <c r="BH10" s="130"/>
      <c r="BI10" s="130"/>
      <c r="BJ10" s="130"/>
      <c r="BK10" s="130"/>
    </row>
    <row r="11" spans="1:43" s="130" customFormat="1" ht="15.75">
      <c r="A11" s="167"/>
      <c r="B11" s="168"/>
      <c r="C11" s="168"/>
      <c r="D11" s="169">
        <v>28</v>
      </c>
      <c r="E11" s="170" t="s">
        <v>140</v>
      </c>
      <c r="F11" s="170"/>
      <c r="G11" s="170"/>
      <c r="H11" s="170"/>
      <c r="I11" s="170"/>
      <c r="J11" s="170"/>
      <c r="K11" s="171"/>
      <c r="L11" s="171"/>
      <c r="M11" s="172"/>
      <c r="N11" s="173"/>
      <c r="O11" s="171"/>
      <c r="P11" s="171"/>
      <c r="Q11" s="174"/>
      <c r="R11" s="175"/>
      <c r="S11" s="171"/>
      <c r="T11" s="171"/>
      <c r="U11" s="171"/>
      <c r="V11" s="176"/>
      <c r="W11" s="177"/>
      <c r="X11" s="171"/>
      <c r="Y11" s="170"/>
      <c r="Z11" s="170"/>
      <c r="AA11" s="170"/>
      <c r="AB11" s="170"/>
      <c r="AC11" s="170"/>
      <c r="AD11" s="170"/>
      <c r="AE11" s="170"/>
      <c r="AF11" s="170"/>
      <c r="AG11" s="170"/>
      <c r="AH11" s="170"/>
      <c r="AI11" s="170"/>
      <c r="AJ11" s="170"/>
      <c r="AK11" s="170"/>
      <c r="AL11" s="170"/>
      <c r="AM11" s="170"/>
      <c r="AN11" s="170"/>
      <c r="AO11" s="178"/>
      <c r="AP11" s="178"/>
      <c r="AQ11" s="179"/>
    </row>
    <row r="12" spans="1:43" s="130" customFormat="1" ht="15.75">
      <c r="A12" s="167"/>
      <c r="B12" s="168"/>
      <c r="C12" s="168"/>
      <c r="D12" s="180"/>
      <c r="E12" s="168"/>
      <c r="F12" s="168"/>
      <c r="G12" s="181">
        <v>89</v>
      </c>
      <c r="H12" s="182" t="s">
        <v>54</v>
      </c>
      <c r="I12" s="182"/>
      <c r="J12" s="182"/>
      <c r="K12" s="183"/>
      <c r="L12" s="183"/>
      <c r="M12" s="184"/>
      <c r="N12" s="185"/>
      <c r="O12" s="183"/>
      <c r="P12" s="183"/>
      <c r="Q12" s="186"/>
      <c r="R12" s="187"/>
      <c r="S12" s="183"/>
      <c r="T12" s="183"/>
      <c r="U12" s="183"/>
      <c r="V12" s="188"/>
      <c r="W12" s="189"/>
      <c r="X12" s="183"/>
      <c r="Y12" s="190"/>
      <c r="Z12" s="190"/>
      <c r="AA12" s="190"/>
      <c r="AB12" s="190"/>
      <c r="AC12" s="190"/>
      <c r="AD12" s="190"/>
      <c r="AE12" s="190"/>
      <c r="AF12" s="190"/>
      <c r="AG12" s="190"/>
      <c r="AH12" s="190"/>
      <c r="AI12" s="190"/>
      <c r="AJ12" s="190"/>
      <c r="AK12" s="190"/>
      <c r="AL12" s="190"/>
      <c r="AM12" s="190"/>
      <c r="AN12" s="190"/>
      <c r="AO12" s="191"/>
      <c r="AP12" s="191"/>
      <c r="AQ12" s="192"/>
    </row>
    <row r="13" spans="1:43" s="130" customFormat="1" ht="45" customHeight="1">
      <c r="A13" s="193"/>
      <c r="B13" s="194"/>
      <c r="C13" s="194"/>
      <c r="D13" s="195"/>
      <c r="E13" s="194"/>
      <c r="F13" s="194"/>
      <c r="G13" s="196"/>
      <c r="H13" s="194"/>
      <c r="I13" s="194"/>
      <c r="J13" s="2298">
        <v>275</v>
      </c>
      <c r="K13" s="2300" t="s">
        <v>141</v>
      </c>
      <c r="L13" s="2300" t="s">
        <v>142</v>
      </c>
      <c r="M13" s="2301">
        <v>4</v>
      </c>
      <c r="N13" s="2302" t="s">
        <v>143</v>
      </c>
      <c r="O13" s="2303" t="s">
        <v>144</v>
      </c>
      <c r="P13" s="2300" t="s">
        <v>145</v>
      </c>
      <c r="Q13" s="2304">
        <f>SUM(V13:V15)/R13</f>
        <v>0.7394343799249824</v>
      </c>
      <c r="R13" s="2321">
        <f>SUM(V13:V24)</f>
        <v>1907441457</v>
      </c>
      <c r="S13" s="2300" t="s">
        <v>146</v>
      </c>
      <c r="T13" s="2300" t="s">
        <v>147</v>
      </c>
      <c r="U13" s="197" t="s">
        <v>148</v>
      </c>
      <c r="V13" s="198">
        <f>52000000+26000000</f>
        <v>78000000</v>
      </c>
      <c r="W13" s="2322" t="s">
        <v>149</v>
      </c>
      <c r="X13" s="2298" t="s">
        <v>150</v>
      </c>
      <c r="Y13" s="2320">
        <v>292684</v>
      </c>
      <c r="Z13" s="2320">
        <v>282326</v>
      </c>
      <c r="AA13" s="2320">
        <v>135912</v>
      </c>
      <c r="AB13" s="2320">
        <v>45122</v>
      </c>
      <c r="AC13" s="2320">
        <v>307101</v>
      </c>
      <c r="AD13" s="2320">
        <v>86875</v>
      </c>
      <c r="AE13" s="2320">
        <v>2145</v>
      </c>
      <c r="AF13" s="2320">
        <v>12718</v>
      </c>
      <c r="AG13" s="2320">
        <v>26</v>
      </c>
      <c r="AH13" s="2320">
        <v>37</v>
      </c>
      <c r="AI13" s="2320">
        <v>0</v>
      </c>
      <c r="AJ13" s="2320">
        <v>0</v>
      </c>
      <c r="AK13" s="2320">
        <v>53164</v>
      </c>
      <c r="AL13" s="2320">
        <v>16982</v>
      </c>
      <c r="AM13" s="2320">
        <v>60013</v>
      </c>
      <c r="AN13" s="2320">
        <v>575010</v>
      </c>
      <c r="AO13" s="2324">
        <v>43105</v>
      </c>
      <c r="AP13" s="2327">
        <v>43465</v>
      </c>
      <c r="AQ13" s="2330" t="s">
        <v>151</v>
      </c>
    </row>
    <row r="14" spans="1:43" s="130" customFormat="1" ht="45" customHeight="1">
      <c r="A14" s="193"/>
      <c r="B14" s="194"/>
      <c r="C14" s="194"/>
      <c r="D14" s="195"/>
      <c r="E14" s="194"/>
      <c r="F14" s="194"/>
      <c r="G14" s="195"/>
      <c r="H14" s="194"/>
      <c r="I14" s="194"/>
      <c r="J14" s="2298"/>
      <c r="K14" s="2300"/>
      <c r="L14" s="2300"/>
      <c r="M14" s="2301"/>
      <c r="N14" s="2302"/>
      <c r="O14" s="2303"/>
      <c r="P14" s="2300"/>
      <c r="Q14" s="2304"/>
      <c r="R14" s="2321"/>
      <c r="S14" s="2300"/>
      <c r="T14" s="2300"/>
      <c r="U14" s="197" t="s">
        <v>152</v>
      </c>
      <c r="V14" s="198">
        <f>52000000+8000000</f>
        <v>60000000</v>
      </c>
      <c r="W14" s="2322"/>
      <c r="X14" s="2298"/>
      <c r="Y14" s="2320"/>
      <c r="Z14" s="2320"/>
      <c r="AA14" s="2320"/>
      <c r="AB14" s="2320"/>
      <c r="AC14" s="2320"/>
      <c r="AD14" s="2320"/>
      <c r="AE14" s="2320"/>
      <c r="AF14" s="2320"/>
      <c r="AG14" s="2320"/>
      <c r="AH14" s="2320"/>
      <c r="AI14" s="2320"/>
      <c r="AJ14" s="2320"/>
      <c r="AK14" s="2320"/>
      <c r="AL14" s="2320"/>
      <c r="AM14" s="2320"/>
      <c r="AN14" s="2320"/>
      <c r="AO14" s="2325"/>
      <c r="AP14" s="2328"/>
      <c r="AQ14" s="2331"/>
    </row>
    <row r="15" spans="1:43" s="130" customFormat="1" ht="56.25" customHeight="1">
      <c r="A15" s="193"/>
      <c r="B15" s="194"/>
      <c r="C15" s="194"/>
      <c r="D15" s="195"/>
      <c r="E15" s="194"/>
      <c r="F15" s="194"/>
      <c r="G15" s="195"/>
      <c r="H15" s="194"/>
      <c r="I15" s="194"/>
      <c r="J15" s="2299"/>
      <c r="K15" s="2300"/>
      <c r="L15" s="2300"/>
      <c r="M15" s="2301"/>
      <c r="N15" s="199" t="s">
        <v>153</v>
      </c>
      <c r="O15" s="2303"/>
      <c r="P15" s="2300"/>
      <c r="Q15" s="2304"/>
      <c r="R15" s="2321"/>
      <c r="S15" s="2300"/>
      <c r="T15" s="2300"/>
      <c r="U15" s="197" t="s">
        <v>154</v>
      </c>
      <c r="V15" s="198">
        <v>1272427791</v>
      </c>
      <c r="W15" s="2322"/>
      <c r="X15" s="2298"/>
      <c r="Y15" s="2320"/>
      <c r="Z15" s="2320"/>
      <c r="AA15" s="2320"/>
      <c r="AB15" s="2320"/>
      <c r="AC15" s="2320"/>
      <c r="AD15" s="2320"/>
      <c r="AE15" s="2320"/>
      <c r="AF15" s="2320"/>
      <c r="AG15" s="2320"/>
      <c r="AH15" s="2320"/>
      <c r="AI15" s="2320"/>
      <c r="AJ15" s="2320"/>
      <c r="AK15" s="2320"/>
      <c r="AL15" s="2320"/>
      <c r="AM15" s="2320"/>
      <c r="AN15" s="2320"/>
      <c r="AO15" s="2325"/>
      <c r="AP15" s="2328"/>
      <c r="AQ15" s="2331"/>
    </row>
    <row r="16" spans="1:43" s="130" customFormat="1" ht="84.75" customHeight="1">
      <c r="A16" s="193"/>
      <c r="B16" s="2333"/>
      <c r="C16" s="2333"/>
      <c r="D16" s="195"/>
      <c r="E16" s="2333"/>
      <c r="F16" s="2333"/>
      <c r="G16" s="195"/>
      <c r="H16" s="2333"/>
      <c r="I16" s="2333"/>
      <c r="J16" s="2299">
        <v>276</v>
      </c>
      <c r="K16" s="2335" t="s">
        <v>155</v>
      </c>
      <c r="L16" s="2300" t="s">
        <v>156</v>
      </c>
      <c r="M16" s="2301">
        <v>1</v>
      </c>
      <c r="N16" s="2300" t="s">
        <v>157</v>
      </c>
      <c r="O16" s="2303"/>
      <c r="P16" s="2300"/>
      <c r="Q16" s="2304">
        <f>+V16/R13</f>
        <v>0.16318910593962202</v>
      </c>
      <c r="R16" s="2321"/>
      <c r="S16" s="2300"/>
      <c r="T16" s="2300" t="s">
        <v>158</v>
      </c>
      <c r="U16" s="2300" t="s">
        <v>159</v>
      </c>
      <c r="V16" s="2323">
        <f>308773666+2500000</f>
        <v>311273666</v>
      </c>
      <c r="W16" s="2322"/>
      <c r="X16" s="2298"/>
      <c r="Y16" s="2320"/>
      <c r="Z16" s="2320"/>
      <c r="AA16" s="2320"/>
      <c r="AB16" s="2320"/>
      <c r="AC16" s="2320"/>
      <c r="AD16" s="2320"/>
      <c r="AE16" s="2320"/>
      <c r="AF16" s="2320"/>
      <c r="AG16" s="2320"/>
      <c r="AH16" s="2320"/>
      <c r="AI16" s="2320"/>
      <c r="AJ16" s="2320"/>
      <c r="AK16" s="2320"/>
      <c r="AL16" s="2320"/>
      <c r="AM16" s="2320"/>
      <c r="AN16" s="2320"/>
      <c r="AO16" s="2325"/>
      <c r="AP16" s="2328"/>
      <c r="AQ16" s="2331"/>
    </row>
    <row r="17" spans="1:43" s="130" customFormat="1" ht="15">
      <c r="A17" s="193"/>
      <c r="B17" s="194"/>
      <c r="C17" s="194"/>
      <c r="D17" s="195"/>
      <c r="E17" s="194"/>
      <c r="F17" s="194"/>
      <c r="G17" s="195"/>
      <c r="H17" s="194"/>
      <c r="I17" s="194"/>
      <c r="J17" s="2334"/>
      <c r="K17" s="2335"/>
      <c r="L17" s="2300"/>
      <c r="M17" s="2301"/>
      <c r="N17" s="2300"/>
      <c r="O17" s="2303"/>
      <c r="P17" s="2300"/>
      <c r="Q17" s="2304"/>
      <c r="R17" s="2321"/>
      <c r="S17" s="2300"/>
      <c r="T17" s="2300"/>
      <c r="U17" s="2300"/>
      <c r="V17" s="2323"/>
      <c r="W17" s="2322"/>
      <c r="X17" s="2298"/>
      <c r="Y17" s="2320"/>
      <c r="Z17" s="2320"/>
      <c r="AA17" s="2320"/>
      <c r="AB17" s="2320"/>
      <c r="AC17" s="2320"/>
      <c r="AD17" s="2320"/>
      <c r="AE17" s="2320"/>
      <c r="AF17" s="2320"/>
      <c r="AG17" s="2320"/>
      <c r="AH17" s="2320"/>
      <c r="AI17" s="2320"/>
      <c r="AJ17" s="2320"/>
      <c r="AK17" s="2320"/>
      <c r="AL17" s="2320"/>
      <c r="AM17" s="2320"/>
      <c r="AN17" s="2320"/>
      <c r="AO17" s="2325"/>
      <c r="AP17" s="2328"/>
      <c r="AQ17" s="2331"/>
    </row>
    <row r="18" spans="1:43" s="130" customFormat="1" ht="27" customHeight="1">
      <c r="A18" s="193"/>
      <c r="B18" s="194"/>
      <c r="C18" s="194"/>
      <c r="D18" s="195"/>
      <c r="E18" s="194"/>
      <c r="F18" s="194"/>
      <c r="G18" s="195"/>
      <c r="H18" s="194"/>
      <c r="I18" s="194"/>
      <c r="J18" s="2336">
        <v>277</v>
      </c>
      <c r="K18" s="2300" t="s">
        <v>160</v>
      </c>
      <c r="L18" s="2300" t="s">
        <v>161</v>
      </c>
      <c r="M18" s="2301">
        <v>1</v>
      </c>
      <c r="N18" s="2318" t="s">
        <v>162</v>
      </c>
      <c r="O18" s="2303"/>
      <c r="P18" s="2300"/>
      <c r="Q18" s="2304">
        <f>+V18/R13</f>
        <v>0.09737651413539555</v>
      </c>
      <c r="R18" s="2321"/>
      <c r="S18" s="2300"/>
      <c r="T18" s="2300" t="s">
        <v>163</v>
      </c>
      <c r="U18" s="2300" t="s">
        <v>164</v>
      </c>
      <c r="V18" s="2323">
        <f>188240000-2500000</f>
        <v>185740000</v>
      </c>
      <c r="W18" s="2322"/>
      <c r="X18" s="2298"/>
      <c r="Y18" s="2320"/>
      <c r="Z18" s="2320"/>
      <c r="AA18" s="2320"/>
      <c r="AB18" s="2320"/>
      <c r="AC18" s="2320"/>
      <c r="AD18" s="2320"/>
      <c r="AE18" s="2320"/>
      <c r="AF18" s="2320"/>
      <c r="AG18" s="2320"/>
      <c r="AH18" s="2320"/>
      <c r="AI18" s="2320"/>
      <c r="AJ18" s="2320"/>
      <c r="AK18" s="2320"/>
      <c r="AL18" s="2320"/>
      <c r="AM18" s="2320"/>
      <c r="AN18" s="2320"/>
      <c r="AO18" s="2325"/>
      <c r="AP18" s="2328"/>
      <c r="AQ18" s="2331"/>
    </row>
    <row r="19" spans="1:43" s="130" customFormat="1" ht="15">
      <c r="A19" s="193"/>
      <c r="B19" s="194"/>
      <c r="C19" s="194"/>
      <c r="D19" s="195"/>
      <c r="E19" s="194"/>
      <c r="F19" s="194"/>
      <c r="G19" s="195"/>
      <c r="H19" s="194"/>
      <c r="I19" s="194"/>
      <c r="J19" s="2336"/>
      <c r="K19" s="2300"/>
      <c r="L19" s="2300"/>
      <c r="M19" s="2301"/>
      <c r="N19" s="2318"/>
      <c r="O19" s="2303"/>
      <c r="P19" s="2300"/>
      <c r="Q19" s="2304"/>
      <c r="R19" s="2321"/>
      <c r="S19" s="2300"/>
      <c r="T19" s="2300"/>
      <c r="U19" s="2300"/>
      <c r="V19" s="2323"/>
      <c r="W19" s="2322"/>
      <c r="X19" s="2298"/>
      <c r="Y19" s="2320"/>
      <c r="Z19" s="2320"/>
      <c r="AA19" s="2320"/>
      <c r="AB19" s="2320"/>
      <c r="AC19" s="2320"/>
      <c r="AD19" s="2320"/>
      <c r="AE19" s="2320"/>
      <c r="AF19" s="2320"/>
      <c r="AG19" s="2320"/>
      <c r="AH19" s="2320"/>
      <c r="AI19" s="2320"/>
      <c r="AJ19" s="2320"/>
      <c r="AK19" s="2320"/>
      <c r="AL19" s="2320"/>
      <c r="AM19" s="2320"/>
      <c r="AN19" s="2320"/>
      <c r="AO19" s="2325"/>
      <c r="AP19" s="2328"/>
      <c r="AQ19" s="2331"/>
    </row>
    <row r="20" spans="1:43" s="130" customFormat="1" ht="15">
      <c r="A20" s="193"/>
      <c r="B20" s="194"/>
      <c r="C20" s="194"/>
      <c r="D20" s="195"/>
      <c r="E20" s="194"/>
      <c r="F20" s="194"/>
      <c r="G20" s="195"/>
      <c r="H20" s="194"/>
      <c r="I20" s="194"/>
      <c r="J20" s="2336"/>
      <c r="K20" s="2300"/>
      <c r="L20" s="2300"/>
      <c r="M20" s="2301"/>
      <c r="N20" s="2318"/>
      <c r="O20" s="2303"/>
      <c r="P20" s="2300"/>
      <c r="Q20" s="2304"/>
      <c r="R20" s="2321"/>
      <c r="S20" s="2300"/>
      <c r="T20" s="2300"/>
      <c r="U20" s="2300"/>
      <c r="V20" s="2323"/>
      <c r="W20" s="2322"/>
      <c r="X20" s="2298"/>
      <c r="Y20" s="2320"/>
      <c r="Z20" s="2320"/>
      <c r="AA20" s="2320"/>
      <c r="AB20" s="2320"/>
      <c r="AC20" s="2320"/>
      <c r="AD20" s="2320"/>
      <c r="AE20" s="2320"/>
      <c r="AF20" s="2320"/>
      <c r="AG20" s="2320"/>
      <c r="AH20" s="2320"/>
      <c r="AI20" s="2320"/>
      <c r="AJ20" s="2320"/>
      <c r="AK20" s="2320"/>
      <c r="AL20" s="2320"/>
      <c r="AM20" s="2320"/>
      <c r="AN20" s="2320"/>
      <c r="AO20" s="2325"/>
      <c r="AP20" s="2328"/>
      <c r="AQ20" s="2331"/>
    </row>
    <row r="21" spans="1:43" s="130" customFormat="1" ht="15">
      <c r="A21" s="193"/>
      <c r="B21" s="194"/>
      <c r="C21" s="194"/>
      <c r="D21" s="195"/>
      <c r="E21" s="194"/>
      <c r="F21" s="194"/>
      <c r="G21" s="195"/>
      <c r="H21" s="194"/>
      <c r="I21" s="194"/>
      <c r="J21" s="2336"/>
      <c r="K21" s="2300"/>
      <c r="L21" s="2300"/>
      <c r="M21" s="2301"/>
      <c r="N21" s="2318"/>
      <c r="O21" s="2303"/>
      <c r="P21" s="2300"/>
      <c r="Q21" s="2304"/>
      <c r="R21" s="2321"/>
      <c r="S21" s="2300"/>
      <c r="T21" s="2300"/>
      <c r="U21" s="2300"/>
      <c r="V21" s="2323"/>
      <c r="W21" s="2322"/>
      <c r="X21" s="2298"/>
      <c r="Y21" s="2320"/>
      <c r="Z21" s="2320"/>
      <c r="AA21" s="2320"/>
      <c r="AB21" s="2320"/>
      <c r="AC21" s="2320"/>
      <c r="AD21" s="2320"/>
      <c r="AE21" s="2320"/>
      <c r="AF21" s="2320"/>
      <c r="AG21" s="2320"/>
      <c r="AH21" s="2320"/>
      <c r="AI21" s="2320"/>
      <c r="AJ21" s="2320"/>
      <c r="AK21" s="2320"/>
      <c r="AL21" s="2320"/>
      <c r="AM21" s="2320"/>
      <c r="AN21" s="2320"/>
      <c r="AO21" s="2325"/>
      <c r="AP21" s="2328"/>
      <c r="AQ21" s="2331"/>
    </row>
    <row r="22" spans="1:43" s="130" customFormat="1" ht="15">
      <c r="A22" s="193"/>
      <c r="B22" s="194"/>
      <c r="C22" s="194"/>
      <c r="D22" s="195"/>
      <c r="E22" s="194"/>
      <c r="F22" s="194"/>
      <c r="G22" s="195"/>
      <c r="H22" s="194"/>
      <c r="I22" s="194"/>
      <c r="J22" s="2336"/>
      <c r="K22" s="2300"/>
      <c r="L22" s="2300"/>
      <c r="M22" s="2301"/>
      <c r="N22" s="2318"/>
      <c r="O22" s="2303"/>
      <c r="P22" s="2300"/>
      <c r="Q22" s="2304"/>
      <c r="R22" s="2321"/>
      <c r="S22" s="2300"/>
      <c r="T22" s="2300"/>
      <c r="U22" s="2300"/>
      <c r="V22" s="2323"/>
      <c r="W22" s="2322"/>
      <c r="X22" s="2298"/>
      <c r="Y22" s="2320"/>
      <c r="Z22" s="2320"/>
      <c r="AA22" s="2320"/>
      <c r="AB22" s="2320"/>
      <c r="AC22" s="2320"/>
      <c r="AD22" s="2320"/>
      <c r="AE22" s="2320"/>
      <c r="AF22" s="2320"/>
      <c r="AG22" s="2320"/>
      <c r="AH22" s="2320"/>
      <c r="AI22" s="2320"/>
      <c r="AJ22" s="2320"/>
      <c r="AK22" s="2320"/>
      <c r="AL22" s="2320"/>
      <c r="AM22" s="2320"/>
      <c r="AN22" s="2320"/>
      <c r="AO22" s="2325"/>
      <c r="AP22" s="2328"/>
      <c r="AQ22" s="2331"/>
    </row>
    <row r="23" spans="1:43" s="130" customFormat="1" ht="15">
      <c r="A23" s="193"/>
      <c r="B23" s="194"/>
      <c r="C23" s="194"/>
      <c r="D23" s="195"/>
      <c r="E23" s="194"/>
      <c r="F23" s="194"/>
      <c r="G23" s="195"/>
      <c r="H23" s="194"/>
      <c r="I23" s="194"/>
      <c r="J23" s="2336"/>
      <c r="K23" s="2300"/>
      <c r="L23" s="2300"/>
      <c r="M23" s="2301"/>
      <c r="N23" s="2318"/>
      <c r="O23" s="2303"/>
      <c r="P23" s="2300"/>
      <c r="Q23" s="2304"/>
      <c r="R23" s="2321"/>
      <c r="S23" s="2300"/>
      <c r="T23" s="2300"/>
      <c r="U23" s="2300"/>
      <c r="V23" s="2323"/>
      <c r="W23" s="2322"/>
      <c r="X23" s="2298"/>
      <c r="Y23" s="2320"/>
      <c r="Z23" s="2320"/>
      <c r="AA23" s="2320"/>
      <c r="AB23" s="2320"/>
      <c r="AC23" s="2320"/>
      <c r="AD23" s="2320"/>
      <c r="AE23" s="2320"/>
      <c r="AF23" s="2320"/>
      <c r="AG23" s="2320"/>
      <c r="AH23" s="2320"/>
      <c r="AI23" s="2320"/>
      <c r="AJ23" s="2320"/>
      <c r="AK23" s="2320"/>
      <c r="AL23" s="2320"/>
      <c r="AM23" s="2320"/>
      <c r="AN23" s="2320"/>
      <c r="AO23" s="2325"/>
      <c r="AP23" s="2328"/>
      <c r="AQ23" s="2331"/>
    </row>
    <row r="24" spans="1:43" s="130" customFormat="1" ht="27" customHeight="1">
      <c r="A24" s="193"/>
      <c r="B24" s="194"/>
      <c r="C24" s="194"/>
      <c r="D24" s="195"/>
      <c r="E24" s="194"/>
      <c r="F24" s="194"/>
      <c r="G24" s="195"/>
      <c r="H24" s="194"/>
      <c r="I24" s="194"/>
      <c r="J24" s="2336"/>
      <c r="K24" s="2300"/>
      <c r="L24" s="2300"/>
      <c r="M24" s="2301"/>
      <c r="N24" s="2319"/>
      <c r="O24" s="2303"/>
      <c r="P24" s="2300"/>
      <c r="Q24" s="2304"/>
      <c r="R24" s="2321"/>
      <c r="S24" s="2300"/>
      <c r="T24" s="2300"/>
      <c r="U24" s="2300"/>
      <c r="V24" s="2323"/>
      <c r="W24" s="2322"/>
      <c r="X24" s="2298"/>
      <c r="Y24" s="2320"/>
      <c r="Z24" s="2320"/>
      <c r="AA24" s="2320"/>
      <c r="AB24" s="2320"/>
      <c r="AC24" s="2320"/>
      <c r="AD24" s="2320"/>
      <c r="AE24" s="2320"/>
      <c r="AF24" s="2320"/>
      <c r="AG24" s="2320"/>
      <c r="AH24" s="2320"/>
      <c r="AI24" s="2320"/>
      <c r="AJ24" s="2320"/>
      <c r="AK24" s="2320"/>
      <c r="AL24" s="2320"/>
      <c r="AM24" s="2320"/>
      <c r="AN24" s="2320"/>
      <c r="AO24" s="2326"/>
      <c r="AP24" s="2329"/>
      <c r="AQ24" s="2332"/>
    </row>
    <row r="25" spans="1:43" s="130" customFormat="1" ht="116.25" customHeight="1">
      <c r="A25" s="193"/>
      <c r="B25" s="2333"/>
      <c r="C25" s="2333"/>
      <c r="D25" s="195"/>
      <c r="E25" s="2333"/>
      <c r="F25" s="2333"/>
      <c r="G25" s="195"/>
      <c r="H25" s="2333"/>
      <c r="I25" s="2333"/>
      <c r="J25" s="200">
        <v>278</v>
      </c>
      <c r="K25" s="201" t="s">
        <v>165</v>
      </c>
      <c r="L25" s="201" t="s">
        <v>166</v>
      </c>
      <c r="M25" s="202">
        <v>1</v>
      </c>
      <c r="N25" s="203" t="s">
        <v>167</v>
      </c>
      <c r="O25" s="2303" t="s">
        <v>168</v>
      </c>
      <c r="P25" s="2300" t="s">
        <v>169</v>
      </c>
      <c r="Q25" s="204">
        <f>+V25/R25</f>
        <v>0.04311377245508982</v>
      </c>
      <c r="R25" s="2321">
        <f>+V25+V26+V27</f>
        <v>417500000</v>
      </c>
      <c r="S25" s="2300" t="s">
        <v>170</v>
      </c>
      <c r="T25" s="62" t="s">
        <v>171</v>
      </c>
      <c r="U25" s="62" t="s">
        <v>172</v>
      </c>
      <c r="V25" s="198">
        <v>18000000</v>
      </c>
      <c r="W25" s="2342" t="s">
        <v>63</v>
      </c>
      <c r="X25" s="2299" t="s">
        <v>90</v>
      </c>
      <c r="Y25" s="2340">
        <v>292684</v>
      </c>
      <c r="Z25" s="2340">
        <v>282326</v>
      </c>
      <c r="AA25" s="2340">
        <v>135912</v>
      </c>
      <c r="AB25" s="2340">
        <v>45122</v>
      </c>
      <c r="AC25" s="2340">
        <v>307101</v>
      </c>
      <c r="AD25" s="2340">
        <v>86875</v>
      </c>
      <c r="AE25" s="2340">
        <v>2145</v>
      </c>
      <c r="AF25" s="2340">
        <v>12718</v>
      </c>
      <c r="AG25" s="2340">
        <v>26</v>
      </c>
      <c r="AH25" s="2340">
        <v>37</v>
      </c>
      <c r="AI25" s="2340">
        <v>0</v>
      </c>
      <c r="AJ25" s="2340">
        <v>0</v>
      </c>
      <c r="AK25" s="2340">
        <v>53164</v>
      </c>
      <c r="AL25" s="2340">
        <v>16982</v>
      </c>
      <c r="AM25" s="2340">
        <v>60013</v>
      </c>
      <c r="AN25" s="2340">
        <v>575010</v>
      </c>
      <c r="AO25" s="2324">
        <v>43105</v>
      </c>
      <c r="AP25" s="2327">
        <v>43465</v>
      </c>
      <c r="AQ25" s="2330" t="s">
        <v>173</v>
      </c>
    </row>
    <row r="26" spans="1:43" s="130" customFormat="1" ht="63.75" customHeight="1">
      <c r="A26" s="193"/>
      <c r="B26" s="194"/>
      <c r="C26" s="194"/>
      <c r="D26" s="195"/>
      <c r="E26" s="194"/>
      <c r="F26" s="194"/>
      <c r="G26" s="195"/>
      <c r="H26" s="194"/>
      <c r="I26" s="194"/>
      <c r="J26" s="2299">
        <v>279</v>
      </c>
      <c r="K26" s="2300" t="s">
        <v>174</v>
      </c>
      <c r="L26" s="2300" t="s">
        <v>175</v>
      </c>
      <c r="M26" s="2298">
        <v>1</v>
      </c>
      <c r="N26" s="2319" t="s">
        <v>176</v>
      </c>
      <c r="O26" s="2298"/>
      <c r="P26" s="2300"/>
      <c r="Q26" s="2304">
        <f>+(V26+V27)/R25</f>
        <v>0.9568862275449102</v>
      </c>
      <c r="R26" s="2321"/>
      <c r="S26" s="2300"/>
      <c r="T26" s="2109" t="s">
        <v>177</v>
      </c>
      <c r="U26" s="62" t="s">
        <v>178</v>
      </c>
      <c r="V26" s="198">
        <v>282000000</v>
      </c>
      <c r="W26" s="2343"/>
      <c r="X26" s="2336"/>
      <c r="Y26" s="2341"/>
      <c r="Z26" s="2341"/>
      <c r="AA26" s="2341"/>
      <c r="AB26" s="2341"/>
      <c r="AC26" s="2341"/>
      <c r="AD26" s="2341"/>
      <c r="AE26" s="2341"/>
      <c r="AF26" s="2341"/>
      <c r="AG26" s="2341"/>
      <c r="AH26" s="2341"/>
      <c r="AI26" s="2341"/>
      <c r="AJ26" s="2341"/>
      <c r="AK26" s="2341"/>
      <c r="AL26" s="2341"/>
      <c r="AM26" s="2341"/>
      <c r="AN26" s="2341"/>
      <c r="AO26" s="2325"/>
      <c r="AP26" s="2328"/>
      <c r="AQ26" s="2331"/>
    </row>
    <row r="27" spans="1:43" s="130" customFormat="1" ht="81" customHeight="1" thickBot="1">
      <c r="A27" s="193"/>
      <c r="B27" s="2333"/>
      <c r="C27" s="2333"/>
      <c r="D27" s="195"/>
      <c r="E27" s="2333"/>
      <c r="F27" s="2333"/>
      <c r="G27" s="195"/>
      <c r="H27" s="2333"/>
      <c r="I27" s="2339"/>
      <c r="J27" s="2336"/>
      <c r="K27" s="2337"/>
      <c r="L27" s="2337"/>
      <c r="M27" s="2299"/>
      <c r="N27" s="2337"/>
      <c r="O27" s="2299"/>
      <c r="P27" s="2337"/>
      <c r="Q27" s="2351"/>
      <c r="R27" s="2338"/>
      <c r="S27" s="2337"/>
      <c r="T27" s="2095"/>
      <c r="U27" s="89" t="s">
        <v>179</v>
      </c>
      <c r="V27" s="205">
        <v>117500000</v>
      </c>
      <c r="W27" s="2343"/>
      <c r="X27" s="2336"/>
      <c r="Y27" s="2341"/>
      <c r="Z27" s="2341"/>
      <c r="AA27" s="2341"/>
      <c r="AB27" s="2341"/>
      <c r="AC27" s="2341"/>
      <c r="AD27" s="2341"/>
      <c r="AE27" s="2341"/>
      <c r="AF27" s="2341"/>
      <c r="AG27" s="2341"/>
      <c r="AH27" s="2341"/>
      <c r="AI27" s="2341"/>
      <c r="AJ27" s="2341"/>
      <c r="AK27" s="2341"/>
      <c r="AL27" s="2341"/>
      <c r="AM27" s="2341"/>
      <c r="AN27" s="2341"/>
      <c r="AO27" s="2348"/>
      <c r="AP27" s="2349"/>
      <c r="AQ27" s="2350"/>
    </row>
    <row r="28" spans="1:43" s="220" customFormat="1" ht="16.5" thickBot="1">
      <c r="A28" s="206"/>
      <c r="B28" s="207"/>
      <c r="C28" s="207"/>
      <c r="D28" s="207"/>
      <c r="E28" s="207"/>
      <c r="F28" s="207"/>
      <c r="G28" s="207"/>
      <c r="H28" s="207"/>
      <c r="I28" s="207"/>
      <c r="J28" s="208"/>
      <c r="K28" s="209"/>
      <c r="L28" s="209"/>
      <c r="M28" s="210"/>
      <c r="N28" s="209"/>
      <c r="O28" s="209"/>
      <c r="P28" s="209"/>
      <c r="Q28" s="211"/>
      <c r="R28" s="212">
        <f>R25+R13</f>
        <v>2324941457</v>
      </c>
      <c r="S28" s="213"/>
      <c r="T28" s="209"/>
      <c r="U28" s="214"/>
      <c r="V28" s="215">
        <f>V27+V26+V25+V18+V16+V15+V14+V13</f>
        <v>2324941457</v>
      </c>
      <c r="W28" s="216"/>
      <c r="X28" s="217"/>
      <c r="Y28" s="207"/>
      <c r="Z28" s="207"/>
      <c r="AA28" s="207"/>
      <c r="AB28" s="207"/>
      <c r="AC28" s="207"/>
      <c r="AD28" s="207"/>
      <c r="AE28" s="207"/>
      <c r="AF28" s="207"/>
      <c r="AG28" s="207"/>
      <c r="AH28" s="207"/>
      <c r="AI28" s="207"/>
      <c r="AJ28" s="207"/>
      <c r="AK28" s="207"/>
      <c r="AL28" s="207"/>
      <c r="AM28" s="207"/>
      <c r="AN28" s="207"/>
      <c r="AO28" s="218"/>
      <c r="AP28" s="219"/>
      <c r="AQ28" s="214"/>
    </row>
    <row r="29" spans="1:65" ht="51" customHeight="1">
      <c r="A29" s="2344"/>
      <c r="B29" s="2344"/>
      <c r="C29" s="2344"/>
      <c r="D29" s="2344"/>
      <c r="E29" s="2344"/>
      <c r="F29" s="2344"/>
      <c r="G29" s="2344"/>
      <c r="H29" s="2344"/>
      <c r="I29" s="2344"/>
      <c r="J29" s="2344"/>
      <c r="K29" s="2344"/>
      <c r="L29" s="2344"/>
      <c r="M29" s="2344"/>
      <c r="N29" s="2344"/>
      <c r="O29" s="2344"/>
      <c r="P29" s="2344"/>
      <c r="Q29" s="2344"/>
      <c r="R29" s="221" t="s">
        <v>180</v>
      </c>
      <c r="S29" s="2345"/>
      <c r="T29" s="2345"/>
      <c r="U29" s="2345"/>
      <c r="V29" s="222"/>
      <c r="W29" s="223"/>
      <c r="X29" s="224"/>
      <c r="Y29" s="130"/>
      <c r="Z29" s="225"/>
      <c r="AA29" s="225"/>
      <c r="AB29" s="225"/>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5"/>
      <c r="BE29" s="225"/>
      <c r="BF29" s="226"/>
      <c r="BG29" s="226"/>
      <c r="BH29" s="226"/>
      <c r="BI29" s="226"/>
      <c r="BJ29" s="226"/>
      <c r="BK29" s="226"/>
      <c r="BL29" s="226"/>
      <c r="BM29" s="226"/>
    </row>
    <row r="30" spans="10:22" ht="15">
      <c r="J30" s="228"/>
      <c r="K30" s="229"/>
      <c r="L30" s="230"/>
      <c r="M30" s="231"/>
      <c r="N30" s="230"/>
      <c r="O30" s="230"/>
      <c r="P30" s="230"/>
      <c r="Q30" s="231"/>
      <c r="R30" s="232"/>
      <c r="S30" s="230"/>
      <c r="T30" s="229"/>
      <c r="U30" s="229"/>
      <c r="V30" s="233"/>
    </row>
    <row r="31" spans="10:22" ht="15.75">
      <c r="J31" s="228"/>
      <c r="K31" s="229"/>
      <c r="L31" s="230"/>
      <c r="M31" s="2346" t="s">
        <v>181</v>
      </c>
      <c r="N31" s="2346"/>
      <c r="O31" s="2346"/>
      <c r="P31" s="2346"/>
      <c r="Q31" s="2346"/>
      <c r="R31" s="2346"/>
      <c r="S31" s="2346"/>
      <c r="T31" s="229"/>
      <c r="U31" s="229"/>
      <c r="V31" s="233"/>
    </row>
    <row r="32" spans="10:22" ht="15">
      <c r="J32" s="228"/>
      <c r="K32" s="229"/>
      <c r="L32" s="230"/>
      <c r="M32" s="2347" t="s">
        <v>182</v>
      </c>
      <c r="N32" s="2347"/>
      <c r="O32" s="2347"/>
      <c r="P32" s="2347"/>
      <c r="Q32" s="2347"/>
      <c r="R32" s="2347"/>
      <c r="S32" s="2347"/>
      <c r="T32" s="229"/>
      <c r="U32" s="229"/>
      <c r="V32" s="233"/>
    </row>
    <row r="33" spans="11:22" ht="15">
      <c r="K33" s="229"/>
      <c r="L33" s="230"/>
      <c r="M33" s="231"/>
      <c r="N33" s="230"/>
      <c r="O33" s="230"/>
      <c r="P33" s="230"/>
      <c r="Q33" s="231"/>
      <c r="R33" s="232"/>
      <c r="S33" s="230"/>
      <c r="T33" s="229"/>
      <c r="U33" s="229"/>
      <c r="V33" s="233"/>
    </row>
    <row r="34" ht="15"/>
    <row r="35" ht="15"/>
    <row r="36" ht="15"/>
    <row r="37" ht="15"/>
    <row r="38" ht="15"/>
    <row r="39" ht="15"/>
    <row r="40" ht="15"/>
    <row r="41" ht="15"/>
  </sheetData>
  <sheetProtection password="CBEB" sheet="1" objects="1" scenarios="1"/>
  <mergeCells count="125">
    <mergeCell ref="A29:Q29"/>
    <mergeCell ref="S29:U29"/>
    <mergeCell ref="M31:S31"/>
    <mergeCell ref="M32:S32"/>
    <mergeCell ref="AN25:AN27"/>
    <mergeCell ref="AO25:AO27"/>
    <mergeCell ref="AP25:AP27"/>
    <mergeCell ref="AQ25:AQ27"/>
    <mergeCell ref="J26:J27"/>
    <mergeCell ref="K26:K27"/>
    <mergeCell ref="L26:L27"/>
    <mergeCell ref="M26:M27"/>
    <mergeCell ref="N26:N27"/>
    <mergeCell ref="Q26:Q27"/>
    <mergeCell ref="AH25:AH27"/>
    <mergeCell ref="AI25:AI27"/>
    <mergeCell ref="AJ25:AJ27"/>
    <mergeCell ref="AK25:AK27"/>
    <mergeCell ref="AL25:AL27"/>
    <mergeCell ref="AM25:AM27"/>
    <mergeCell ref="AB25:AB27"/>
    <mergeCell ref="AC25:AC27"/>
    <mergeCell ref="AD25:AD27"/>
    <mergeCell ref="AE25:AE27"/>
    <mergeCell ref="AF25:AF27"/>
    <mergeCell ref="AG25:AG27"/>
    <mergeCell ref="S25:S27"/>
    <mergeCell ref="W25:W27"/>
    <mergeCell ref="X25:X27"/>
    <mergeCell ref="Y25:Y27"/>
    <mergeCell ref="Z25:Z27"/>
    <mergeCell ref="AA25:AA27"/>
    <mergeCell ref="T26:T27"/>
    <mergeCell ref="B25:C25"/>
    <mergeCell ref="E25:F25"/>
    <mergeCell ref="H25:I25"/>
    <mergeCell ref="O25:O27"/>
    <mergeCell ref="P25:P27"/>
    <mergeCell ref="R25:R27"/>
    <mergeCell ref="B27:C27"/>
    <mergeCell ref="E27:F27"/>
    <mergeCell ref="H27:I27"/>
    <mergeCell ref="B16:C16"/>
    <mergeCell ref="E16:F16"/>
    <mergeCell ref="H16:I16"/>
    <mergeCell ref="J16:J17"/>
    <mergeCell ref="K16:K17"/>
    <mergeCell ref="L16:L17"/>
    <mergeCell ref="J18:J24"/>
    <mergeCell ref="K18:K24"/>
    <mergeCell ref="L18:L24"/>
    <mergeCell ref="AL13:AL24"/>
    <mergeCell ref="AM13:AM24"/>
    <mergeCell ref="AN13:AN24"/>
    <mergeCell ref="AO13:AO24"/>
    <mergeCell ref="AP13:AP24"/>
    <mergeCell ref="AQ13:AQ24"/>
    <mergeCell ref="AF13:AF24"/>
    <mergeCell ref="AG13:AG24"/>
    <mergeCell ref="AH13:AH24"/>
    <mergeCell ref="AI13:AI24"/>
    <mergeCell ref="AJ13:AJ24"/>
    <mergeCell ref="AK13:AK24"/>
    <mergeCell ref="Z13:Z24"/>
    <mergeCell ref="AA13:AA24"/>
    <mergeCell ref="AB13:AB24"/>
    <mergeCell ref="AC13:AC24"/>
    <mergeCell ref="AD13:AD24"/>
    <mergeCell ref="AE13:AE24"/>
    <mergeCell ref="R13:R24"/>
    <mergeCell ref="S13:S24"/>
    <mergeCell ref="T13:T15"/>
    <mergeCell ref="W13:W24"/>
    <mergeCell ref="X13:X24"/>
    <mergeCell ref="Y13:Y24"/>
    <mergeCell ref="T18:T24"/>
    <mergeCell ref="U18:U24"/>
    <mergeCell ref="V18:V24"/>
    <mergeCell ref="T16:T17"/>
    <mergeCell ref="U16:U17"/>
    <mergeCell ref="V16:V17"/>
    <mergeCell ref="J13:J15"/>
    <mergeCell ref="K13:K15"/>
    <mergeCell ref="L13:L15"/>
    <mergeCell ref="M13:M15"/>
    <mergeCell ref="N13:N14"/>
    <mergeCell ref="O13:O24"/>
    <mergeCell ref="P13:P24"/>
    <mergeCell ref="Q13:Q15"/>
    <mergeCell ref="V7:V9"/>
    <mergeCell ref="P7:P9"/>
    <mergeCell ref="Q7:Q9"/>
    <mergeCell ref="R7:R9"/>
    <mergeCell ref="S7:S9"/>
    <mergeCell ref="T7:T9"/>
    <mergeCell ref="U7:U9"/>
    <mergeCell ref="J7:J9"/>
    <mergeCell ref="K7:K9"/>
    <mergeCell ref="M18:M24"/>
    <mergeCell ref="N18:N24"/>
    <mergeCell ref="Q18:Q24"/>
    <mergeCell ref="M16:M17"/>
    <mergeCell ref="N16:N17"/>
    <mergeCell ref="Q16:Q17"/>
    <mergeCell ref="L7:L9"/>
    <mergeCell ref="M7:M9"/>
    <mergeCell ref="N7:N9"/>
    <mergeCell ref="O7:O9"/>
    <mergeCell ref="A1:AO4"/>
    <mergeCell ref="A5:M6"/>
    <mergeCell ref="N5:AQ5"/>
    <mergeCell ref="Y6:AM6"/>
    <mergeCell ref="A7:A9"/>
    <mergeCell ref="B7:C9"/>
    <mergeCell ref="D7:D9"/>
    <mergeCell ref="E7:F9"/>
    <mergeCell ref="G7:G9"/>
    <mergeCell ref="H7:I9"/>
    <mergeCell ref="AN7:AN9"/>
    <mergeCell ref="AQ7:AQ9"/>
    <mergeCell ref="X7:X9"/>
    <mergeCell ref="Y7:Z7"/>
    <mergeCell ref="AA7:AD7"/>
    <mergeCell ref="AE7:AJ7"/>
    <mergeCell ref="AK7:AM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P111"/>
  <sheetViews>
    <sheetView showGridLines="0" zoomScale="60" zoomScaleNormal="60" zoomScalePageLayoutView="0" workbookViewId="0" topLeftCell="J1">
      <selection activeCell="A1" sqref="A1:AO4"/>
    </sheetView>
  </sheetViews>
  <sheetFormatPr defaultColWidth="11.421875" defaultRowHeight="15"/>
  <cols>
    <col min="1" max="1" width="15.421875" style="1850" hidden="1" customWidth="1"/>
    <col min="2" max="2" width="6.421875" style="1850" hidden="1" customWidth="1"/>
    <col min="3" max="3" width="13.57421875" style="1850" hidden="1" customWidth="1"/>
    <col min="4" max="4" width="15.57421875" style="1850" hidden="1" customWidth="1"/>
    <col min="5" max="5" width="6.421875" style="1850" hidden="1" customWidth="1"/>
    <col min="6" max="6" width="11.8515625" style="1850" hidden="1" customWidth="1"/>
    <col min="7" max="7" width="14.7109375" style="1850" hidden="1" customWidth="1"/>
    <col min="8" max="8" width="6.421875" style="1850" hidden="1" customWidth="1"/>
    <col min="9" max="9" width="18.8515625" style="1850" hidden="1" customWidth="1"/>
    <col min="10" max="10" width="15.8515625" style="1850" customWidth="1"/>
    <col min="11" max="11" width="37.421875" style="1850" customWidth="1"/>
    <col min="12" max="12" width="42.421875" style="1850" customWidth="1"/>
    <col min="13" max="13" width="23.28125" style="1850" customWidth="1"/>
    <col min="14" max="14" width="34.8515625" style="1850" customWidth="1"/>
    <col min="15" max="15" width="33.421875" style="1850" customWidth="1"/>
    <col min="16" max="16" width="30.8515625" style="1850" customWidth="1"/>
    <col min="17" max="17" width="15.140625" style="1850" customWidth="1"/>
    <col min="18" max="18" width="30.140625" style="1850" customWidth="1"/>
    <col min="19" max="19" width="42.8515625" style="1850" customWidth="1"/>
    <col min="20" max="20" width="46.28125" style="1850" customWidth="1"/>
    <col min="21" max="21" width="35.140625" style="1850" customWidth="1"/>
    <col min="22" max="22" width="28.421875" style="1923" customWidth="1"/>
    <col min="23" max="23" width="14.57421875" style="1850" customWidth="1"/>
    <col min="24" max="24" width="22.8515625" style="1850" customWidth="1"/>
    <col min="25" max="26" width="10.8515625" style="1850" customWidth="1"/>
    <col min="27" max="27" width="10.140625" style="1850" customWidth="1"/>
    <col min="28" max="28" width="9.00390625" style="1850" customWidth="1"/>
    <col min="29" max="29" width="10.421875" style="1850" customWidth="1"/>
    <col min="30" max="30" width="9.421875" style="1850" customWidth="1"/>
    <col min="31" max="31" width="7.8515625" style="1850" customWidth="1"/>
    <col min="32" max="32" width="8.7109375" style="1850" customWidth="1"/>
    <col min="33" max="36" width="7.8515625" style="1850" customWidth="1"/>
    <col min="37" max="39" width="9.00390625" style="1850" customWidth="1"/>
    <col min="40" max="40" width="10.421875" style="1850" customWidth="1"/>
    <col min="41" max="41" width="38.28125" style="1850" customWidth="1"/>
    <col min="42" max="42" width="24.421875" style="1850" customWidth="1"/>
    <col min="43" max="43" width="6.421875" style="1850" customWidth="1"/>
    <col min="44" max="55" width="14.8515625" style="1850" customWidth="1"/>
    <col min="56" max="16384" width="11.421875" style="1850" customWidth="1"/>
  </cols>
  <sheetData>
    <row r="1" spans="1:42" ht="18" customHeight="1">
      <c r="A1" s="2275" t="s">
        <v>2529</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276"/>
      <c r="AP1" s="1714" t="s">
        <v>2</v>
      </c>
    </row>
    <row r="2" spans="1:42" ht="18" customHeight="1">
      <c r="A2" s="2277"/>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2"/>
      <c r="AA2" s="2352"/>
      <c r="AB2" s="2352"/>
      <c r="AC2" s="2352"/>
      <c r="AD2" s="2352"/>
      <c r="AE2" s="2352"/>
      <c r="AF2" s="2352"/>
      <c r="AG2" s="2352"/>
      <c r="AH2" s="2352"/>
      <c r="AI2" s="2352"/>
      <c r="AJ2" s="2352"/>
      <c r="AK2" s="2352"/>
      <c r="AL2" s="2352"/>
      <c r="AM2" s="2352"/>
      <c r="AN2" s="2352"/>
      <c r="AO2" s="2352"/>
      <c r="AP2" s="1715">
        <v>6</v>
      </c>
    </row>
    <row r="3" spans="1:42" ht="18" customHeight="1">
      <c r="A3" s="2277"/>
      <c r="B3" s="2352"/>
      <c r="C3" s="2352"/>
      <c r="D3" s="2352"/>
      <c r="E3" s="2352"/>
      <c r="F3" s="2352"/>
      <c r="G3" s="2352"/>
      <c r="H3" s="2352"/>
      <c r="I3" s="2352"/>
      <c r="J3" s="2352"/>
      <c r="K3" s="2352"/>
      <c r="L3" s="2352"/>
      <c r="M3" s="2352"/>
      <c r="N3" s="2352"/>
      <c r="O3" s="2352"/>
      <c r="P3" s="2352"/>
      <c r="Q3" s="2352"/>
      <c r="R3" s="2352"/>
      <c r="S3" s="2352"/>
      <c r="T3" s="2352"/>
      <c r="U3" s="2352"/>
      <c r="V3" s="2352"/>
      <c r="W3" s="2352"/>
      <c r="X3" s="2352"/>
      <c r="Y3" s="2352"/>
      <c r="Z3" s="2352"/>
      <c r="AA3" s="2352"/>
      <c r="AB3" s="2352"/>
      <c r="AC3" s="2352"/>
      <c r="AD3" s="2352"/>
      <c r="AE3" s="2352"/>
      <c r="AF3" s="2352"/>
      <c r="AG3" s="2352"/>
      <c r="AH3" s="2352"/>
      <c r="AI3" s="2352"/>
      <c r="AJ3" s="2352"/>
      <c r="AK3" s="2352"/>
      <c r="AL3" s="2352"/>
      <c r="AM3" s="2352"/>
      <c r="AN3" s="2352"/>
      <c r="AO3" s="2352"/>
      <c r="AP3" s="1716" t="s">
        <v>6</v>
      </c>
    </row>
    <row r="4" spans="1:42" s="1851" customFormat="1" ht="18"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1717" t="s">
        <v>184</v>
      </c>
    </row>
    <row r="5" spans="1:42" ht="36" customHeight="1">
      <c r="A5" s="2353" t="s">
        <v>9</v>
      </c>
      <c r="B5" s="2285"/>
      <c r="C5" s="2285"/>
      <c r="D5" s="2285"/>
      <c r="E5" s="2285"/>
      <c r="F5" s="2285"/>
      <c r="G5" s="2285"/>
      <c r="H5" s="2285"/>
      <c r="I5" s="2285"/>
      <c r="J5" s="2285"/>
      <c r="K5" s="2285"/>
      <c r="L5" s="2285"/>
      <c r="M5" s="2285"/>
      <c r="N5" s="2354"/>
      <c r="O5" s="2354"/>
      <c r="P5" s="2354"/>
      <c r="Q5" s="2354"/>
      <c r="R5" s="2354"/>
      <c r="S5" s="2354"/>
      <c r="T5" s="2354"/>
      <c r="U5" s="2354"/>
      <c r="V5" s="2354"/>
      <c r="W5" s="2354"/>
      <c r="X5" s="2354"/>
      <c r="Y5" s="2354"/>
      <c r="Z5" s="2354"/>
      <c r="AA5" s="2354"/>
      <c r="AB5" s="2354"/>
      <c r="AC5" s="2354"/>
      <c r="AD5" s="2354"/>
      <c r="AE5" s="2354"/>
      <c r="AF5" s="2354"/>
      <c r="AG5" s="2354"/>
      <c r="AH5" s="2354"/>
      <c r="AI5" s="2354"/>
      <c r="AJ5" s="2354"/>
      <c r="AK5" s="2354"/>
      <c r="AL5" s="2354"/>
      <c r="AM5" s="2354"/>
      <c r="AN5" s="2354"/>
      <c r="AO5" s="2354"/>
      <c r="AP5" s="2355"/>
    </row>
    <row r="6" spans="1:42" ht="28.5" customHeight="1" thickBot="1">
      <c r="A6" s="2353"/>
      <c r="B6" s="2285"/>
      <c r="C6" s="2285"/>
      <c r="D6" s="2285"/>
      <c r="E6" s="2285"/>
      <c r="F6" s="2285"/>
      <c r="G6" s="2285"/>
      <c r="H6" s="2285"/>
      <c r="I6" s="2285"/>
      <c r="J6" s="2285"/>
      <c r="K6" s="2285"/>
      <c r="L6" s="2285"/>
      <c r="M6" s="2285"/>
      <c r="N6" s="2354"/>
      <c r="O6" s="2354"/>
      <c r="P6" s="2354"/>
      <c r="Q6" s="2354"/>
      <c r="R6" s="2354"/>
      <c r="S6" s="2354"/>
      <c r="T6" s="2354"/>
      <c r="U6" s="2354"/>
      <c r="V6" s="2354"/>
      <c r="W6" s="2354"/>
      <c r="X6" s="2356"/>
      <c r="Y6" s="250"/>
      <c r="Z6" s="250"/>
      <c r="AA6" s="250"/>
      <c r="AB6" s="250"/>
      <c r="AC6" s="250"/>
      <c r="AD6" s="250"/>
      <c r="AE6" s="250"/>
      <c r="AF6" s="250"/>
      <c r="AG6" s="250"/>
      <c r="AH6" s="250"/>
      <c r="AI6" s="250"/>
      <c r="AJ6" s="250"/>
      <c r="AK6" s="250"/>
      <c r="AL6" s="250"/>
      <c r="AM6" s="250"/>
      <c r="AN6" s="250"/>
      <c r="AO6" s="250"/>
      <c r="AP6" s="1852"/>
    </row>
    <row r="7" spans="1:42" s="1854" customFormat="1" ht="31.5" customHeight="1">
      <c r="A7" s="2357" t="s">
        <v>12</v>
      </c>
      <c r="B7" s="2358" t="s">
        <v>13</v>
      </c>
      <c r="C7" s="2358"/>
      <c r="D7" s="2358" t="s">
        <v>12</v>
      </c>
      <c r="E7" s="2358" t="s">
        <v>14</v>
      </c>
      <c r="F7" s="2358"/>
      <c r="G7" s="2358" t="s">
        <v>12</v>
      </c>
      <c r="H7" s="2358" t="s">
        <v>15</v>
      </c>
      <c r="I7" s="2358"/>
      <c r="J7" s="2358" t="s">
        <v>12</v>
      </c>
      <c r="K7" s="2358" t="s">
        <v>16</v>
      </c>
      <c r="L7" s="2358" t="s">
        <v>17</v>
      </c>
      <c r="M7" s="2364" t="s">
        <v>18</v>
      </c>
      <c r="N7" s="2358" t="s">
        <v>19</v>
      </c>
      <c r="O7" s="2271" t="s">
        <v>185</v>
      </c>
      <c r="P7" s="2358" t="s">
        <v>10</v>
      </c>
      <c r="Q7" s="2358" t="s">
        <v>21</v>
      </c>
      <c r="R7" s="2358" t="s">
        <v>22</v>
      </c>
      <c r="S7" s="2358" t="s">
        <v>23</v>
      </c>
      <c r="T7" s="2358" t="s">
        <v>24</v>
      </c>
      <c r="U7" s="2358" t="s">
        <v>25</v>
      </c>
      <c r="V7" s="2364" t="s">
        <v>22</v>
      </c>
      <c r="W7" s="2271" t="s">
        <v>12</v>
      </c>
      <c r="X7" s="2358" t="s">
        <v>26</v>
      </c>
      <c r="Y7" s="2366" t="s">
        <v>27</v>
      </c>
      <c r="Z7" s="2367"/>
      <c r="AA7" s="2359" t="s">
        <v>28</v>
      </c>
      <c r="AB7" s="2360"/>
      <c r="AC7" s="2360"/>
      <c r="AD7" s="2360"/>
      <c r="AE7" s="2368" t="s">
        <v>29</v>
      </c>
      <c r="AF7" s="2369"/>
      <c r="AG7" s="2369"/>
      <c r="AH7" s="2369"/>
      <c r="AI7" s="2369"/>
      <c r="AJ7" s="2369"/>
      <c r="AK7" s="2359" t="s">
        <v>30</v>
      </c>
      <c r="AL7" s="2360"/>
      <c r="AM7" s="2360"/>
      <c r="AN7" s="2361" t="s">
        <v>31</v>
      </c>
      <c r="AO7" s="1853"/>
      <c r="AP7" s="2363" t="s">
        <v>34</v>
      </c>
    </row>
    <row r="8" spans="1:42" s="1854" customFormat="1" ht="129.75" customHeight="1">
      <c r="A8" s="2357"/>
      <c r="B8" s="2358"/>
      <c r="C8" s="2358"/>
      <c r="D8" s="2358"/>
      <c r="E8" s="2358"/>
      <c r="F8" s="2358"/>
      <c r="G8" s="2358"/>
      <c r="H8" s="2358"/>
      <c r="I8" s="2358"/>
      <c r="J8" s="2358"/>
      <c r="K8" s="2358"/>
      <c r="L8" s="2358"/>
      <c r="M8" s="2365"/>
      <c r="N8" s="2358"/>
      <c r="O8" s="2272"/>
      <c r="P8" s="2358"/>
      <c r="Q8" s="2358"/>
      <c r="R8" s="2358"/>
      <c r="S8" s="2358"/>
      <c r="T8" s="2358"/>
      <c r="U8" s="2358"/>
      <c r="V8" s="2365"/>
      <c r="W8" s="2272"/>
      <c r="X8" s="2358"/>
      <c r="Y8" s="1653" t="s">
        <v>35</v>
      </c>
      <c r="Z8" s="1654" t="s">
        <v>36</v>
      </c>
      <c r="AA8" s="1653" t="s">
        <v>37</v>
      </c>
      <c r="AB8" s="1653" t="s">
        <v>137</v>
      </c>
      <c r="AC8" s="1653" t="s">
        <v>138</v>
      </c>
      <c r="AD8" s="1653" t="s">
        <v>139</v>
      </c>
      <c r="AE8" s="1653" t="s">
        <v>41</v>
      </c>
      <c r="AF8" s="1653" t="s">
        <v>42</v>
      </c>
      <c r="AG8" s="1653" t="s">
        <v>43</v>
      </c>
      <c r="AH8" s="1653" t="s">
        <v>44</v>
      </c>
      <c r="AI8" s="1653" t="s">
        <v>45</v>
      </c>
      <c r="AJ8" s="1653" t="s">
        <v>46</v>
      </c>
      <c r="AK8" s="1653" t="s">
        <v>47</v>
      </c>
      <c r="AL8" s="1653" t="s">
        <v>48</v>
      </c>
      <c r="AM8" s="1653" t="s">
        <v>49</v>
      </c>
      <c r="AN8" s="2362"/>
      <c r="AO8" s="2055" t="s">
        <v>624</v>
      </c>
      <c r="AP8" s="2363"/>
    </row>
    <row r="9" spans="1:42" ht="15.75">
      <c r="A9" s="1855">
        <v>1</v>
      </c>
      <c r="B9" s="254" t="s">
        <v>1707</v>
      </c>
      <c r="C9" s="158"/>
      <c r="D9" s="158"/>
      <c r="E9" s="158"/>
      <c r="F9" s="1856"/>
      <c r="G9" s="1856"/>
      <c r="H9" s="1856"/>
      <c r="I9" s="1856"/>
      <c r="J9" s="1856"/>
      <c r="K9" s="1856"/>
      <c r="L9" s="1856"/>
      <c r="M9" s="1856"/>
      <c r="N9" s="1856"/>
      <c r="O9" s="1856"/>
      <c r="P9" s="1856"/>
      <c r="Q9" s="1856"/>
      <c r="R9" s="1856"/>
      <c r="S9" s="1856"/>
      <c r="T9" s="1856"/>
      <c r="U9" s="1856"/>
      <c r="V9" s="1857"/>
      <c r="W9" s="1856"/>
      <c r="X9" s="1856"/>
      <c r="Y9" s="1856"/>
      <c r="Z9" s="1856"/>
      <c r="AA9" s="1856"/>
      <c r="AB9" s="1856"/>
      <c r="AC9" s="1856"/>
      <c r="AD9" s="1856"/>
      <c r="AE9" s="1856"/>
      <c r="AF9" s="1856"/>
      <c r="AG9" s="1856"/>
      <c r="AH9" s="1856"/>
      <c r="AI9" s="1856"/>
      <c r="AJ9" s="1856"/>
      <c r="AK9" s="1856"/>
      <c r="AL9" s="1856"/>
      <c r="AM9" s="1856"/>
      <c r="AN9" s="1856"/>
      <c r="AO9" s="1856"/>
      <c r="AP9" s="1858"/>
    </row>
    <row r="10" spans="1:42" ht="15.75">
      <c r="A10" s="2379"/>
      <c r="B10" s="2381"/>
      <c r="C10" s="2382"/>
      <c r="D10" s="1280">
        <v>1</v>
      </c>
      <c r="E10" s="273" t="s">
        <v>2281</v>
      </c>
      <c r="F10" s="1859"/>
      <c r="G10" s="1860"/>
      <c r="H10" s="1859"/>
      <c r="I10" s="1859"/>
      <c r="J10" s="1859"/>
      <c r="K10" s="1859"/>
      <c r="L10" s="1859"/>
      <c r="M10" s="1859"/>
      <c r="N10" s="1859"/>
      <c r="O10" s="1859"/>
      <c r="P10" s="1859"/>
      <c r="Q10" s="1859"/>
      <c r="R10" s="1859"/>
      <c r="S10" s="1859"/>
      <c r="T10" s="1859"/>
      <c r="U10" s="1859"/>
      <c r="V10" s="1861"/>
      <c r="W10" s="1859"/>
      <c r="X10" s="1859"/>
      <c r="Y10" s="1859"/>
      <c r="Z10" s="1859"/>
      <c r="AA10" s="1859"/>
      <c r="AB10" s="1859"/>
      <c r="AC10" s="1859"/>
      <c r="AD10" s="1859"/>
      <c r="AE10" s="1859"/>
      <c r="AF10" s="1859"/>
      <c r="AG10" s="1859"/>
      <c r="AH10" s="1859"/>
      <c r="AI10" s="1859"/>
      <c r="AJ10" s="1859"/>
      <c r="AK10" s="1859"/>
      <c r="AL10" s="1859"/>
      <c r="AM10" s="1859"/>
      <c r="AN10" s="1859"/>
      <c r="AO10" s="1859"/>
      <c r="AP10" s="1862"/>
    </row>
    <row r="11" spans="1:42" ht="15.75">
      <c r="A11" s="2380"/>
      <c r="B11" s="2333"/>
      <c r="C11" s="2339"/>
      <c r="D11" s="196"/>
      <c r="E11" s="2381"/>
      <c r="F11" s="2382"/>
      <c r="G11" s="1454">
        <v>2</v>
      </c>
      <c r="H11" s="190" t="s">
        <v>2282</v>
      </c>
      <c r="I11" s="1863"/>
      <c r="J11" s="1864"/>
      <c r="K11" s="1864"/>
      <c r="L11" s="1864"/>
      <c r="M11" s="1864"/>
      <c r="N11" s="1864"/>
      <c r="O11" s="1864"/>
      <c r="P11" s="1864"/>
      <c r="Q11" s="1864"/>
      <c r="R11" s="1864"/>
      <c r="S11" s="1864"/>
      <c r="T11" s="1864"/>
      <c r="U11" s="1864"/>
      <c r="V11" s="1865"/>
      <c r="W11" s="1864"/>
      <c r="X11" s="1864"/>
      <c r="Y11" s="1864"/>
      <c r="Z11" s="1864"/>
      <c r="AA11" s="1864"/>
      <c r="AB11" s="1864"/>
      <c r="AC11" s="1864"/>
      <c r="AD11" s="1864"/>
      <c r="AE11" s="1864"/>
      <c r="AF11" s="1864"/>
      <c r="AG11" s="1864"/>
      <c r="AH11" s="1864"/>
      <c r="AI11" s="1864"/>
      <c r="AJ11" s="1864"/>
      <c r="AK11" s="1864"/>
      <c r="AL11" s="1864"/>
      <c r="AM11" s="1864"/>
      <c r="AN11" s="1864"/>
      <c r="AO11" s="1864"/>
      <c r="AP11" s="1866"/>
    </row>
    <row r="12" spans="1:42" ht="15" customHeight="1">
      <c r="A12" s="193"/>
      <c r="B12" s="194"/>
      <c r="C12" s="194"/>
      <c r="D12" s="1867"/>
      <c r="E12" s="659"/>
      <c r="F12" s="659"/>
      <c r="G12" s="1868"/>
      <c r="H12" s="2370"/>
      <c r="I12" s="2371"/>
      <c r="J12" s="2372">
        <v>9</v>
      </c>
      <c r="K12" s="2375" t="s">
        <v>2283</v>
      </c>
      <c r="L12" s="2337" t="s">
        <v>2284</v>
      </c>
      <c r="M12" s="2299">
        <v>5</v>
      </c>
      <c r="N12" s="1869"/>
      <c r="O12" s="2378" t="s">
        <v>2285</v>
      </c>
      <c r="P12" s="2375" t="s">
        <v>2286</v>
      </c>
      <c r="Q12" s="2387">
        <v>1</v>
      </c>
      <c r="R12" s="2390">
        <f>SUM(V12:V19)</f>
        <v>1267157549</v>
      </c>
      <c r="S12" s="2375" t="s">
        <v>2287</v>
      </c>
      <c r="T12" s="2393" t="s">
        <v>2288</v>
      </c>
      <c r="U12" s="2337" t="s">
        <v>2289</v>
      </c>
      <c r="V12" s="2400">
        <f>1074750000+3800000+182015432+6592117</f>
        <v>1267157549</v>
      </c>
      <c r="W12" s="2403" t="s">
        <v>2130</v>
      </c>
      <c r="X12" s="2378" t="s">
        <v>2290</v>
      </c>
      <c r="Y12" s="2383">
        <v>292684</v>
      </c>
      <c r="Z12" s="2383">
        <v>282326</v>
      </c>
      <c r="AA12" s="2383">
        <v>135912</v>
      </c>
      <c r="AB12" s="2383">
        <v>45122</v>
      </c>
      <c r="AC12" s="2383">
        <v>307101</v>
      </c>
      <c r="AD12" s="2383">
        <v>86875</v>
      </c>
      <c r="AE12" s="2383">
        <v>2145</v>
      </c>
      <c r="AF12" s="2383">
        <v>12718</v>
      </c>
      <c r="AG12" s="2383">
        <v>26</v>
      </c>
      <c r="AH12" s="2383">
        <v>37</v>
      </c>
      <c r="AI12" s="2383">
        <v>0</v>
      </c>
      <c r="AJ12" s="2383">
        <v>0</v>
      </c>
      <c r="AK12" s="2383">
        <v>53164</v>
      </c>
      <c r="AL12" s="2383">
        <v>16982</v>
      </c>
      <c r="AM12" s="2383">
        <v>60016</v>
      </c>
      <c r="AN12" s="2383">
        <f>Y12+Z12</f>
        <v>575010</v>
      </c>
      <c r="AO12" s="2298" t="s">
        <v>2291</v>
      </c>
      <c r="AP12" s="2396" t="s">
        <v>2292</v>
      </c>
    </row>
    <row r="13" spans="1:42" ht="15" customHeight="1">
      <c r="A13" s="193"/>
      <c r="B13" s="2333"/>
      <c r="C13" s="2339"/>
      <c r="D13" s="1867"/>
      <c r="E13" s="2397"/>
      <c r="F13" s="2398"/>
      <c r="G13" s="1867"/>
      <c r="H13" s="2397"/>
      <c r="I13" s="2398"/>
      <c r="J13" s="2373"/>
      <c r="K13" s="2376"/>
      <c r="L13" s="2318"/>
      <c r="M13" s="2336"/>
      <c r="N13" s="2399" t="s">
        <v>2293</v>
      </c>
      <c r="O13" s="2373"/>
      <c r="P13" s="2376"/>
      <c r="Q13" s="2388"/>
      <c r="R13" s="2391"/>
      <c r="S13" s="2376"/>
      <c r="T13" s="2394"/>
      <c r="U13" s="2318"/>
      <c r="V13" s="2401"/>
      <c r="W13" s="2384"/>
      <c r="X13" s="2373"/>
      <c r="Y13" s="2383"/>
      <c r="Z13" s="2383"/>
      <c r="AA13" s="2383"/>
      <c r="AB13" s="2383"/>
      <c r="AC13" s="2383"/>
      <c r="AD13" s="2383"/>
      <c r="AE13" s="2383"/>
      <c r="AF13" s="2383"/>
      <c r="AG13" s="2383"/>
      <c r="AH13" s="2383"/>
      <c r="AI13" s="2383"/>
      <c r="AJ13" s="2383"/>
      <c r="AK13" s="2383"/>
      <c r="AL13" s="2383"/>
      <c r="AM13" s="2383"/>
      <c r="AN13" s="2383"/>
      <c r="AO13" s="2298"/>
      <c r="AP13" s="2396"/>
    </row>
    <row r="14" spans="1:42" ht="15" customHeight="1">
      <c r="A14" s="193"/>
      <c r="B14" s="194"/>
      <c r="C14" s="194"/>
      <c r="D14" s="1867"/>
      <c r="E14" s="659"/>
      <c r="F14" s="659"/>
      <c r="G14" s="1867"/>
      <c r="H14" s="659"/>
      <c r="I14" s="1870"/>
      <c r="J14" s="2373"/>
      <c r="K14" s="2376"/>
      <c r="L14" s="2318"/>
      <c r="M14" s="2336"/>
      <c r="N14" s="2399"/>
      <c r="O14" s="2373"/>
      <c r="P14" s="2376"/>
      <c r="Q14" s="2388"/>
      <c r="R14" s="2391"/>
      <c r="S14" s="2376"/>
      <c r="T14" s="2394"/>
      <c r="U14" s="2318"/>
      <c r="V14" s="2401"/>
      <c r="W14" s="2385">
        <v>27</v>
      </c>
      <c r="X14" s="2373" t="s">
        <v>2294</v>
      </c>
      <c r="Y14" s="2383"/>
      <c r="Z14" s="2383"/>
      <c r="AA14" s="2383"/>
      <c r="AB14" s="2383"/>
      <c r="AC14" s="2383"/>
      <c r="AD14" s="2383"/>
      <c r="AE14" s="2383"/>
      <c r="AF14" s="2383"/>
      <c r="AG14" s="2383"/>
      <c r="AH14" s="2383"/>
      <c r="AI14" s="2383"/>
      <c r="AJ14" s="2383"/>
      <c r="AK14" s="2383"/>
      <c r="AL14" s="2383"/>
      <c r="AM14" s="2383"/>
      <c r="AN14" s="2383"/>
      <c r="AO14" s="2298"/>
      <c r="AP14" s="2396"/>
    </row>
    <row r="15" spans="1:42" ht="15" customHeight="1">
      <c r="A15" s="193"/>
      <c r="B15" s="194"/>
      <c r="C15" s="194"/>
      <c r="D15" s="1867"/>
      <c r="E15" s="659"/>
      <c r="F15" s="659"/>
      <c r="G15" s="1867"/>
      <c r="H15" s="659"/>
      <c r="I15" s="1870"/>
      <c r="J15" s="2373"/>
      <c r="K15" s="2376"/>
      <c r="L15" s="2318"/>
      <c r="M15" s="2336"/>
      <c r="N15" s="2399" t="s">
        <v>2295</v>
      </c>
      <c r="O15" s="2373"/>
      <c r="P15" s="2376"/>
      <c r="Q15" s="2388"/>
      <c r="R15" s="2391"/>
      <c r="S15" s="2376"/>
      <c r="T15" s="2395"/>
      <c r="U15" s="2318"/>
      <c r="V15" s="2401"/>
      <c r="W15" s="2385"/>
      <c r="X15" s="2373"/>
      <c r="Y15" s="2383"/>
      <c r="Z15" s="2383"/>
      <c r="AA15" s="2383"/>
      <c r="AB15" s="2383"/>
      <c r="AC15" s="2383"/>
      <c r="AD15" s="2383"/>
      <c r="AE15" s="2383"/>
      <c r="AF15" s="2383"/>
      <c r="AG15" s="2383"/>
      <c r="AH15" s="2383"/>
      <c r="AI15" s="2383"/>
      <c r="AJ15" s="2383"/>
      <c r="AK15" s="2383"/>
      <c r="AL15" s="2383"/>
      <c r="AM15" s="2383"/>
      <c r="AN15" s="2383"/>
      <c r="AO15" s="2298"/>
      <c r="AP15" s="2396"/>
    </row>
    <row r="16" spans="1:42" ht="15" customHeight="1">
      <c r="A16" s="193"/>
      <c r="B16" s="194"/>
      <c r="C16" s="194"/>
      <c r="D16" s="1867"/>
      <c r="E16" s="659"/>
      <c r="F16" s="659"/>
      <c r="G16" s="1867"/>
      <c r="H16" s="659"/>
      <c r="I16" s="1870"/>
      <c r="J16" s="2373"/>
      <c r="K16" s="2376"/>
      <c r="L16" s="2318"/>
      <c r="M16" s="2336"/>
      <c r="N16" s="2399"/>
      <c r="O16" s="2373"/>
      <c r="P16" s="2376"/>
      <c r="Q16" s="2388"/>
      <c r="R16" s="2391"/>
      <c r="S16" s="2376"/>
      <c r="T16" s="2375" t="s">
        <v>2296</v>
      </c>
      <c r="U16" s="2318"/>
      <c r="V16" s="2401"/>
      <c r="W16" s="2384" t="s">
        <v>2297</v>
      </c>
      <c r="X16" s="2373" t="s">
        <v>2298</v>
      </c>
      <c r="Y16" s="2383"/>
      <c r="Z16" s="2383"/>
      <c r="AA16" s="2383"/>
      <c r="AB16" s="2383"/>
      <c r="AC16" s="2383"/>
      <c r="AD16" s="2383"/>
      <c r="AE16" s="2383"/>
      <c r="AF16" s="2383"/>
      <c r="AG16" s="2383"/>
      <c r="AH16" s="2383"/>
      <c r="AI16" s="2383"/>
      <c r="AJ16" s="2383"/>
      <c r="AK16" s="2383"/>
      <c r="AL16" s="2383"/>
      <c r="AM16" s="2383"/>
      <c r="AN16" s="2383"/>
      <c r="AO16" s="2298"/>
      <c r="AP16" s="2396"/>
    </row>
    <row r="17" spans="1:42" ht="15" customHeight="1">
      <c r="A17" s="193"/>
      <c r="B17" s="194"/>
      <c r="C17" s="194"/>
      <c r="D17" s="1867"/>
      <c r="E17" s="659"/>
      <c r="F17" s="659"/>
      <c r="G17" s="1867"/>
      <c r="H17" s="659"/>
      <c r="I17" s="1870"/>
      <c r="J17" s="2373"/>
      <c r="K17" s="2376"/>
      <c r="L17" s="2318"/>
      <c r="M17" s="2336"/>
      <c r="N17" s="1871" t="s">
        <v>2299</v>
      </c>
      <c r="O17" s="2373"/>
      <c r="P17" s="2376"/>
      <c r="Q17" s="2388"/>
      <c r="R17" s="2391"/>
      <c r="S17" s="2376"/>
      <c r="T17" s="2376"/>
      <c r="U17" s="2318"/>
      <c r="V17" s="2401"/>
      <c r="W17" s="2384"/>
      <c r="X17" s="2373"/>
      <c r="Y17" s="2383"/>
      <c r="Z17" s="2383"/>
      <c r="AA17" s="2383"/>
      <c r="AB17" s="2383"/>
      <c r="AC17" s="2383"/>
      <c r="AD17" s="2383"/>
      <c r="AE17" s="2383"/>
      <c r="AF17" s="2383"/>
      <c r="AG17" s="2383"/>
      <c r="AH17" s="2383"/>
      <c r="AI17" s="2383"/>
      <c r="AJ17" s="2383"/>
      <c r="AK17" s="2383"/>
      <c r="AL17" s="2383"/>
      <c r="AM17" s="2383"/>
      <c r="AN17" s="2383"/>
      <c r="AO17" s="2298"/>
      <c r="AP17" s="2396"/>
    </row>
    <row r="18" spans="1:42" ht="15" customHeight="1">
      <c r="A18" s="193"/>
      <c r="B18" s="2333"/>
      <c r="C18" s="2333"/>
      <c r="D18" s="1867"/>
      <c r="E18" s="2397"/>
      <c r="F18" s="2397"/>
      <c r="G18" s="1867"/>
      <c r="H18" s="2397"/>
      <c r="I18" s="2398"/>
      <c r="J18" s="2373"/>
      <c r="K18" s="2376"/>
      <c r="L18" s="2318"/>
      <c r="M18" s="2336"/>
      <c r="N18" s="1871" t="s">
        <v>2300</v>
      </c>
      <c r="O18" s="2373"/>
      <c r="P18" s="2376"/>
      <c r="Q18" s="2388"/>
      <c r="R18" s="2391"/>
      <c r="S18" s="2376"/>
      <c r="T18" s="2376"/>
      <c r="U18" s="2318"/>
      <c r="V18" s="2401"/>
      <c r="W18" s="2385">
        <v>90</v>
      </c>
      <c r="X18" s="2373" t="s">
        <v>2301</v>
      </c>
      <c r="Y18" s="2383"/>
      <c r="Z18" s="2383"/>
      <c r="AA18" s="2383"/>
      <c r="AB18" s="2383"/>
      <c r="AC18" s="2383"/>
      <c r="AD18" s="2383"/>
      <c r="AE18" s="2383"/>
      <c r="AF18" s="2383"/>
      <c r="AG18" s="2383"/>
      <c r="AH18" s="2383"/>
      <c r="AI18" s="2383"/>
      <c r="AJ18" s="2383"/>
      <c r="AK18" s="2383"/>
      <c r="AL18" s="2383"/>
      <c r="AM18" s="2383"/>
      <c r="AN18" s="2383"/>
      <c r="AO18" s="2298"/>
      <c r="AP18" s="2396"/>
    </row>
    <row r="19" spans="1:42" ht="16.5" customHeight="1">
      <c r="A19" s="193"/>
      <c r="B19" s="2333"/>
      <c r="C19" s="2333"/>
      <c r="D19" s="1867"/>
      <c r="E19" s="2397"/>
      <c r="F19" s="2397"/>
      <c r="G19" s="1867"/>
      <c r="H19" s="2397"/>
      <c r="I19" s="2398"/>
      <c r="J19" s="2374"/>
      <c r="K19" s="2377"/>
      <c r="L19" s="2319"/>
      <c r="M19" s="2334"/>
      <c r="N19" s="1872"/>
      <c r="O19" s="2374"/>
      <c r="P19" s="2377"/>
      <c r="Q19" s="2389"/>
      <c r="R19" s="2392"/>
      <c r="S19" s="2377"/>
      <c r="T19" s="2377"/>
      <c r="U19" s="2319"/>
      <c r="V19" s="2402"/>
      <c r="W19" s="2386"/>
      <c r="X19" s="2374"/>
      <c r="Y19" s="2383"/>
      <c r="Z19" s="2383"/>
      <c r="AA19" s="2383"/>
      <c r="AB19" s="2383"/>
      <c r="AC19" s="2383"/>
      <c r="AD19" s="2383"/>
      <c r="AE19" s="2383"/>
      <c r="AF19" s="2383"/>
      <c r="AG19" s="2383"/>
      <c r="AH19" s="2383"/>
      <c r="AI19" s="2383"/>
      <c r="AJ19" s="2383"/>
      <c r="AK19" s="2383"/>
      <c r="AL19" s="2383"/>
      <c r="AM19" s="2383"/>
      <c r="AN19" s="2383"/>
      <c r="AO19" s="2298"/>
      <c r="AP19" s="2396"/>
    </row>
    <row r="20" spans="1:42" ht="32.25" customHeight="1">
      <c r="A20" s="193"/>
      <c r="B20" s="194"/>
      <c r="C20" s="194"/>
      <c r="D20" s="1867"/>
      <c r="E20" s="659"/>
      <c r="F20" s="659"/>
      <c r="G20" s="1867"/>
      <c r="H20" s="2397"/>
      <c r="I20" s="2398"/>
      <c r="J20" s="2404">
        <v>9</v>
      </c>
      <c r="K20" s="2405" t="s">
        <v>2283</v>
      </c>
      <c r="L20" s="2337" t="s">
        <v>2284</v>
      </c>
      <c r="M20" s="2301">
        <v>5</v>
      </c>
      <c r="N20" s="1869"/>
      <c r="O20" s="2372" t="s">
        <v>2302</v>
      </c>
      <c r="P20" s="2405" t="s">
        <v>2303</v>
      </c>
      <c r="Q20" s="2409">
        <v>1</v>
      </c>
      <c r="R20" s="2410">
        <f>+V20+V24</f>
        <v>827033704</v>
      </c>
      <c r="S20" s="2405" t="s">
        <v>2304</v>
      </c>
      <c r="T20" s="2393" t="s">
        <v>2305</v>
      </c>
      <c r="U20" s="2411" t="s">
        <v>2289</v>
      </c>
      <c r="V20" s="2400">
        <f>646081112+54317072+126635520</f>
        <v>827033704</v>
      </c>
      <c r="W20" s="2414">
        <v>27</v>
      </c>
      <c r="X20" s="2406" t="s">
        <v>2290</v>
      </c>
      <c r="Y20" s="2383">
        <v>292684</v>
      </c>
      <c r="Z20" s="2383">
        <v>282326</v>
      </c>
      <c r="AA20" s="2383">
        <v>135912</v>
      </c>
      <c r="AB20" s="2383">
        <v>45122</v>
      </c>
      <c r="AC20" s="2383">
        <v>307101</v>
      </c>
      <c r="AD20" s="2383">
        <v>86875</v>
      </c>
      <c r="AE20" s="2383">
        <v>2145</v>
      </c>
      <c r="AF20" s="2383">
        <v>12718</v>
      </c>
      <c r="AG20" s="2383">
        <v>26</v>
      </c>
      <c r="AH20" s="2383">
        <v>37</v>
      </c>
      <c r="AI20" s="2383">
        <v>0</v>
      </c>
      <c r="AJ20" s="2383">
        <v>0</v>
      </c>
      <c r="AK20" s="2383">
        <v>53164</v>
      </c>
      <c r="AL20" s="2383">
        <v>16982</v>
      </c>
      <c r="AM20" s="2383">
        <v>60013</v>
      </c>
      <c r="AN20" s="2383">
        <f>Y20+Z20</f>
        <v>575010</v>
      </c>
      <c r="AO20" s="2298" t="s">
        <v>2291</v>
      </c>
      <c r="AP20" s="2396" t="s">
        <v>2292</v>
      </c>
    </row>
    <row r="21" spans="1:42" ht="32.25" customHeight="1">
      <c r="A21" s="193"/>
      <c r="B21" s="2333"/>
      <c r="C21" s="2333"/>
      <c r="D21" s="1867"/>
      <c r="E21" s="2397"/>
      <c r="F21" s="2397"/>
      <c r="G21" s="1867"/>
      <c r="H21" s="2397"/>
      <c r="I21" s="2398"/>
      <c r="J21" s="2404"/>
      <c r="K21" s="2405"/>
      <c r="L21" s="2318"/>
      <c r="M21" s="2301"/>
      <c r="N21" s="2399" t="s">
        <v>2306</v>
      </c>
      <c r="O21" s="2372"/>
      <c r="P21" s="2405"/>
      <c r="Q21" s="2409"/>
      <c r="R21" s="2410"/>
      <c r="S21" s="2405"/>
      <c r="T21" s="2394"/>
      <c r="U21" s="2412"/>
      <c r="V21" s="2401"/>
      <c r="W21" s="2385"/>
      <c r="X21" s="2407"/>
      <c r="Y21" s="2383"/>
      <c r="Z21" s="2383"/>
      <c r="AA21" s="2383"/>
      <c r="AB21" s="2383"/>
      <c r="AC21" s="2383"/>
      <c r="AD21" s="2383"/>
      <c r="AE21" s="2383"/>
      <c r="AF21" s="2383"/>
      <c r="AG21" s="2383"/>
      <c r="AH21" s="2383"/>
      <c r="AI21" s="2383"/>
      <c r="AJ21" s="2383"/>
      <c r="AK21" s="2383"/>
      <c r="AL21" s="2383"/>
      <c r="AM21" s="2383"/>
      <c r="AN21" s="2383"/>
      <c r="AO21" s="2298"/>
      <c r="AP21" s="2396"/>
    </row>
    <row r="22" spans="1:42" ht="32.25" customHeight="1">
      <c r="A22" s="193"/>
      <c r="B22" s="194"/>
      <c r="C22" s="194"/>
      <c r="D22" s="1867"/>
      <c r="E22" s="659"/>
      <c r="F22" s="659"/>
      <c r="G22" s="1867"/>
      <c r="H22" s="659"/>
      <c r="I22" s="1870"/>
      <c r="J22" s="2404"/>
      <c r="K22" s="2405"/>
      <c r="L22" s="2318"/>
      <c r="M22" s="2301"/>
      <c r="N22" s="2399"/>
      <c r="O22" s="2372"/>
      <c r="P22" s="2405"/>
      <c r="Q22" s="2409"/>
      <c r="R22" s="2410"/>
      <c r="S22" s="2405"/>
      <c r="T22" s="2394"/>
      <c r="U22" s="2412"/>
      <c r="V22" s="2401"/>
      <c r="W22" s="2385"/>
      <c r="X22" s="2407"/>
      <c r="Y22" s="2383"/>
      <c r="Z22" s="2383"/>
      <c r="AA22" s="2383"/>
      <c r="AB22" s="2383"/>
      <c r="AC22" s="2383"/>
      <c r="AD22" s="2383"/>
      <c r="AE22" s="2383"/>
      <c r="AF22" s="2383"/>
      <c r="AG22" s="2383"/>
      <c r="AH22" s="2383"/>
      <c r="AI22" s="2383"/>
      <c r="AJ22" s="2383"/>
      <c r="AK22" s="2383"/>
      <c r="AL22" s="2383"/>
      <c r="AM22" s="2383"/>
      <c r="AN22" s="2383"/>
      <c r="AO22" s="2298"/>
      <c r="AP22" s="2396"/>
    </row>
    <row r="23" spans="1:42" ht="32.25" customHeight="1">
      <c r="A23" s="193"/>
      <c r="B23" s="194"/>
      <c r="C23" s="194"/>
      <c r="D23" s="1867"/>
      <c r="E23" s="659"/>
      <c r="F23" s="659"/>
      <c r="G23" s="1867"/>
      <c r="H23" s="659"/>
      <c r="I23" s="1870"/>
      <c r="J23" s="2404"/>
      <c r="K23" s="2405"/>
      <c r="L23" s="2318"/>
      <c r="M23" s="2301"/>
      <c r="N23" s="2399"/>
      <c r="O23" s="2372"/>
      <c r="P23" s="2405"/>
      <c r="Q23" s="2409"/>
      <c r="R23" s="2410"/>
      <c r="S23" s="2405"/>
      <c r="T23" s="2395"/>
      <c r="U23" s="2412"/>
      <c r="V23" s="2401"/>
      <c r="W23" s="2385"/>
      <c r="X23" s="2407"/>
      <c r="Y23" s="2383"/>
      <c r="Z23" s="2383"/>
      <c r="AA23" s="2383"/>
      <c r="AB23" s="2383"/>
      <c r="AC23" s="2383"/>
      <c r="AD23" s="2383"/>
      <c r="AE23" s="2383"/>
      <c r="AF23" s="2383"/>
      <c r="AG23" s="2383"/>
      <c r="AH23" s="2383"/>
      <c r="AI23" s="2383"/>
      <c r="AJ23" s="2383"/>
      <c r="AK23" s="2383"/>
      <c r="AL23" s="2383"/>
      <c r="AM23" s="2383"/>
      <c r="AN23" s="2383"/>
      <c r="AO23" s="2298"/>
      <c r="AP23" s="2396"/>
    </row>
    <row r="24" spans="1:42" ht="15" customHeight="1">
      <c r="A24" s="193"/>
      <c r="B24" s="194"/>
      <c r="C24" s="194"/>
      <c r="D24" s="1867"/>
      <c r="E24" s="659"/>
      <c r="F24" s="659"/>
      <c r="G24" s="1867"/>
      <c r="H24" s="659"/>
      <c r="I24" s="1870"/>
      <c r="J24" s="2404"/>
      <c r="K24" s="2405"/>
      <c r="L24" s="2318"/>
      <c r="M24" s="2301"/>
      <c r="N24" s="2399" t="s">
        <v>2307</v>
      </c>
      <c r="O24" s="2372"/>
      <c r="P24" s="2405"/>
      <c r="Q24" s="2409"/>
      <c r="R24" s="2410"/>
      <c r="S24" s="2405"/>
      <c r="T24" s="2375" t="s">
        <v>2308</v>
      </c>
      <c r="U24" s="2412"/>
      <c r="V24" s="2401"/>
      <c r="W24" s="2385">
        <v>82</v>
      </c>
      <c r="X24" s="2407" t="s">
        <v>2309</v>
      </c>
      <c r="Y24" s="2383"/>
      <c r="Z24" s="2383"/>
      <c r="AA24" s="2383"/>
      <c r="AB24" s="2383"/>
      <c r="AC24" s="2383"/>
      <c r="AD24" s="2383"/>
      <c r="AE24" s="2383"/>
      <c r="AF24" s="2383"/>
      <c r="AG24" s="2383"/>
      <c r="AH24" s="2383"/>
      <c r="AI24" s="2383"/>
      <c r="AJ24" s="2383"/>
      <c r="AK24" s="2383"/>
      <c r="AL24" s="2383"/>
      <c r="AM24" s="2383"/>
      <c r="AN24" s="2383"/>
      <c r="AO24" s="2298"/>
      <c r="AP24" s="2396"/>
    </row>
    <row r="25" spans="1:42" ht="15" customHeight="1">
      <c r="A25" s="193"/>
      <c r="B25" s="194"/>
      <c r="C25" s="194"/>
      <c r="D25" s="1867"/>
      <c r="E25" s="659"/>
      <c r="F25" s="659"/>
      <c r="G25" s="1867"/>
      <c r="H25" s="659"/>
      <c r="I25" s="1870"/>
      <c r="J25" s="2404"/>
      <c r="K25" s="2405"/>
      <c r="L25" s="2318"/>
      <c r="M25" s="2301"/>
      <c r="N25" s="2399"/>
      <c r="O25" s="2372"/>
      <c r="P25" s="2405"/>
      <c r="Q25" s="2409"/>
      <c r="R25" s="2410"/>
      <c r="S25" s="2405"/>
      <c r="T25" s="2376"/>
      <c r="U25" s="2412"/>
      <c r="V25" s="2401"/>
      <c r="W25" s="2385"/>
      <c r="X25" s="2407"/>
      <c r="Y25" s="2383"/>
      <c r="Z25" s="2383"/>
      <c r="AA25" s="2383"/>
      <c r="AB25" s="2383"/>
      <c r="AC25" s="2383"/>
      <c r="AD25" s="2383"/>
      <c r="AE25" s="2383"/>
      <c r="AF25" s="2383"/>
      <c r="AG25" s="2383"/>
      <c r="AH25" s="2383"/>
      <c r="AI25" s="2383"/>
      <c r="AJ25" s="2383"/>
      <c r="AK25" s="2383"/>
      <c r="AL25" s="2383"/>
      <c r="AM25" s="2383"/>
      <c r="AN25" s="2383"/>
      <c r="AO25" s="2298"/>
      <c r="AP25" s="2396"/>
    </row>
    <row r="26" spans="1:42" ht="15" customHeight="1">
      <c r="A26" s="193"/>
      <c r="B26" s="2333"/>
      <c r="C26" s="2333"/>
      <c r="D26" s="1867"/>
      <c r="E26" s="2397"/>
      <c r="F26" s="2397"/>
      <c r="G26" s="1867"/>
      <c r="H26" s="2397"/>
      <c r="I26" s="2398"/>
      <c r="J26" s="2404"/>
      <c r="K26" s="2405"/>
      <c r="L26" s="2318"/>
      <c r="M26" s="2301"/>
      <c r="N26" s="1872"/>
      <c r="O26" s="2372"/>
      <c r="P26" s="2405"/>
      <c r="Q26" s="2409"/>
      <c r="R26" s="2410"/>
      <c r="S26" s="2405"/>
      <c r="T26" s="2376"/>
      <c r="U26" s="2412"/>
      <c r="V26" s="2401"/>
      <c r="W26" s="2385"/>
      <c r="X26" s="2407"/>
      <c r="Y26" s="2383"/>
      <c r="Z26" s="2383"/>
      <c r="AA26" s="2383"/>
      <c r="AB26" s="2383"/>
      <c r="AC26" s="2383"/>
      <c r="AD26" s="2383"/>
      <c r="AE26" s="2383"/>
      <c r="AF26" s="2383"/>
      <c r="AG26" s="2383"/>
      <c r="AH26" s="2383"/>
      <c r="AI26" s="2383"/>
      <c r="AJ26" s="2383"/>
      <c r="AK26" s="2383"/>
      <c r="AL26" s="2383"/>
      <c r="AM26" s="2383"/>
      <c r="AN26" s="2383"/>
      <c r="AO26" s="2298"/>
      <c r="AP26" s="2396"/>
    </row>
    <row r="27" spans="1:42" ht="15" customHeight="1">
      <c r="A27" s="193"/>
      <c r="B27" s="2333"/>
      <c r="C27" s="2333"/>
      <c r="D27" s="1867"/>
      <c r="E27" s="2397"/>
      <c r="F27" s="2397"/>
      <c r="G27" s="1867"/>
      <c r="H27" s="2397"/>
      <c r="I27" s="2398"/>
      <c r="J27" s="2404"/>
      <c r="K27" s="2405"/>
      <c r="L27" s="2319"/>
      <c r="M27" s="2301"/>
      <c r="N27" s="1873"/>
      <c r="O27" s="2372"/>
      <c r="P27" s="2405"/>
      <c r="Q27" s="2409"/>
      <c r="R27" s="2410"/>
      <c r="S27" s="2405"/>
      <c r="T27" s="2377"/>
      <c r="U27" s="2413"/>
      <c r="V27" s="2402"/>
      <c r="W27" s="2386"/>
      <c r="X27" s="2408"/>
      <c r="Y27" s="2383"/>
      <c r="Z27" s="2383"/>
      <c r="AA27" s="2383"/>
      <c r="AB27" s="2383"/>
      <c r="AC27" s="2383"/>
      <c r="AD27" s="2383"/>
      <c r="AE27" s="2383"/>
      <c r="AF27" s="2383"/>
      <c r="AG27" s="2383"/>
      <c r="AH27" s="2383"/>
      <c r="AI27" s="2383"/>
      <c r="AJ27" s="2383"/>
      <c r="AK27" s="2383"/>
      <c r="AL27" s="2383"/>
      <c r="AM27" s="2383"/>
      <c r="AN27" s="2383"/>
      <c r="AO27" s="2298"/>
      <c r="AP27" s="2396"/>
    </row>
    <row r="28" spans="1:42" ht="15" customHeight="1">
      <c r="A28" s="193"/>
      <c r="B28" s="194"/>
      <c r="C28" s="194"/>
      <c r="D28" s="1867"/>
      <c r="E28" s="659"/>
      <c r="F28" s="659"/>
      <c r="G28" s="1867"/>
      <c r="H28" s="2397"/>
      <c r="I28" s="2398"/>
      <c r="J28" s="2404">
        <v>10</v>
      </c>
      <c r="K28" s="2405" t="s">
        <v>2310</v>
      </c>
      <c r="L28" s="2337" t="s">
        <v>2311</v>
      </c>
      <c r="M28" s="2298">
        <v>5</v>
      </c>
      <c r="N28" s="2319" t="s">
        <v>2312</v>
      </c>
      <c r="O28" s="2404" t="s">
        <v>2313</v>
      </c>
      <c r="P28" s="2405" t="s">
        <v>2314</v>
      </c>
      <c r="Q28" s="2415">
        <f>SUM(V28)/R28</f>
        <v>1</v>
      </c>
      <c r="R28" s="2410">
        <f>+V28</f>
        <v>80000000</v>
      </c>
      <c r="S28" s="2405" t="s">
        <v>2315</v>
      </c>
      <c r="T28" s="2393" t="s">
        <v>2316</v>
      </c>
      <c r="U28" s="2337" t="s">
        <v>2317</v>
      </c>
      <c r="V28" s="2416">
        <v>80000000</v>
      </c>
      <c r="W28" s="2385">
        <v>27</v>
      </c>
      <c r="X28" s="2373" t="s">
        <v>2290</v>
      </c>
      <c r="Y28" s="2383">
        <v>292684</v>
      </c>
      <c r="Z28" s="2383">
        <v>282326</v>
      </c>
      <c r="AA28" s="2383">
        <v>135912</v>
      </c>
      <c r="AB28" s="2383">
        <v>45122</v>
      </c>
      <c r="AC28" s="2383">
        <v>307101</v>
      </c>
      <c r="AD28" s="2383">
        <v>86875</v>
      </c>
      <c r="AE28" s="2383">
        <v>2145</v>
      </c>
      <c r="AF28" s="2383">
        <v>12718</v>
      </c>
      <c r="AG28" s="2383">
        <v>26</v>
      </c>
      <c r="AH28" s="2383">
        <v>37</v>
      </c>
      <c r="AI28" s="2383">
        <v>0</v>
      </c>
      <c r="AJ28" s="2383">
        <v>0</v>
      </c>
      <c r="AK28" s="2383">
        <v>53164</v>
      </c>
      <c r="AL28" s="2383">
        <v>16982</v>
      </c>
      <c r="AM28" s="2383">
        <v>60010</v>
      </c>
      <c r="AN28" s="2383">
        <f>Y28+Z28</f>
        <v>575010</v>
      </c>
      <c r="AO28" s="2298" t="s">
        <v>2291</v>
      </c>
      <c r="AP28" s="2396" t="s">
        <v>2292</v>
      </c>
    </row>
    <row r="29" spans="1:42" ht="15" customHeight="1">
      <c r="A29" s="193"/>
      <c r="B29" s="2333"/>
      <c r="C29" s="2333"/>
      <c r="D29" s="1867"/>
      <c r="E29" s="2397"/>
      <c r="F29" s="2397"/>
      <c r="G29" s="1867"/>
      <c r="H29" s="2397"/>
      <c r="I29" s="2398"/>
      <c r="J29" s="2404"/>
      <c r="K29" s="2405"/>
      <c r="L29" s="2318"/>
      <c r="M29" s="2298"/>
      <c r="N29" s="2300"/>
      <c r="O29" s="2404"/>
      <c r="P29" s="2405"/>
      <c r="Q29" s="2415"/>
      <c r="R29" s="2410"/>
      <c r="S29" s="2405"/>
      <c r="T29" s="2394"/>
      <c r="U29" s="2318"/>
      <c r="V29" s="2416"/>
      <c r="W29" s="2385"/>
      <c r="X29" s="2373"/>
      <c r="Y29" s="2383"/>
      <c r="Z29" s="2383"/>
      <c r="AA29" s="2383"/>
      <c r="AB29" s="2383"/>
      <c r="AC29" s="2383"/>
      <c r="AD29" s="2383"/>
      <c r="AE29" s="2383"/>
      <c r="AF29" s="2383"/>
      <c r="AG29" s="2383"/>
      <c r="AH29" s="2383"/>
      <c r="AI29" s="2383"/>
      <c r="AJ29" s="2383"/>
      <c r="AK29" s="2383"/>
      <c r="AL29" s="2383"/>
      <c r="AM29" s="2383"/>
      <c r="AN29" s="2383"/>
      <c r="AO29" s="2298"/>
      <c r="AP29" s="2396"/>
    </row>
    <row r="30" spans="1:42" ht="15" customHeight="1">
      <c r="A30" s="193"/>
      <c r="B30" s="194"/>
      <c r="C30" s="194"/>
      <c r="D30" s="1867"/>
      <c r="E30" s="659"/>
      <c r="F30" s="659"/>
      <c r="G30" s="1867"/>
      <c r="H30" s="659"/>
      <c r="I30" s="1870"/>
      <c r="J30" s="2404"/>
      <c r="K30" s="2405"/>
      <c r="L30" s="2318"/>
      <c r="M30" s="2298"/>
      <c r="N30" s="2300"/>
      <c r="O30" s="2404"/>
      <c r="P30" s="2405"/>
      <c r="Q30" s="2415"/>
      <c r="R30" s="2410"/>
      <c r="S30" s="2405"/>
      <c r="T30" s="2394"/>
      <c r="U30" s="2318"/>
      <c r="V30" s="2416"/>
      <c r="W30" s="2385"/>
      <c r="X30" s="2373"/>
      <c r="Y30" s="2383"/>
      <c r="Z30" s="2383"/>
      <c r="AA30" s="2383"/>
      <c r="AB30" s="2383"/>
      <c r="AC30" s="2383"/>
      <c r="AD30" s="2383"/>
      <c r="AE30" s="2383"/>
      <c r="AF30" s="2383"/>
      <c r="AG30" s="2383"/>
      <c r="AH30" s="2383"/>
      <c r="AI30" s="2383"/>
      <c r="AJ30" s="2383"/>
      <c r="AK30" s="2383"/>
      <c r="AL30" s="2383"/>
      <c r="AM30" s="2383"/>
      <c r="AN30" s="2383"/>
      <c r="AO30" s="2298"/>
      <c r="AP30" s="2396"/>
    </row>
    <row r="31" spans="1:42" ht="15" customHeight="1">
      <c r="A31" s="193"/>
      <c r="B31" s="194"/>
      <c r="C31" s="194"/>
      <c r="D31" s="1867"/>
      <c r="E31" s="659"/>
      <c r="F31" s="659"/>
      <c r="G31" s="1867"/>
      <c r="H31" s="659"/>
      <c r="I31" s="1870"/>
      <c r="J31" s="2404"/>
      <c r="K31" s="2405"/>
      <c r="L31" s="2318"/>
      <c r="M31" s="2298"/>
      <c r="N31" s="2300"/>
      <c r="O31" s="2404"/>
      <c r="P31" s="2405"/>
      <c r="Q31" s="2415"/>
      <c r="R31" s="2410"/>
      <c r="S31" s="2405"/>
      <c r="T31" s="2395"/>
      <c r="U31" s="2318"/>
      <c r="V31" s="2416"/>
      <c r="W31" s="2385"/>
      <c r="X31" s="2373"/>
      <c r="Y31" s="2383"/>
      <c r="Z31" s="2383"/>
      <c r="AA31" s="2383"/>
      <c r="AB31" s="2383"/>
      <c r="AC31" s="2383"/>
      <c r="AD31" s="2383"/>
      <c r="AE31" s="2383"/>
      <c r="AF31" s="2383"/>
      <c r="AG31" s="2383"/>
      <c r="AH31" s="2383"/>
      <c r="AI31" s="2383"/>
      <c r="AJ31" s="2383"/>
      <c r="AK31" s="2383"/>
      <c r="AL31" s="2383"/>
      <c r="AM31" s="2383"/>
      <c r="AN31" s="2383"/>
      <c r="AO31" s="2298"/>
      <c r="AP31" s="2396"/>
    </row>
    <row r="32" spans="1:42" ht="15" customHeight="1">
      <c r="A32" s="193"/>
      <c r="B32" s="194"/>
      <c r="C32" s="194"/>
      <c r="D32" s="1867"/>
      <c r="E32" s="659"/>
      <c r="F32" s="659"/>
      <c r="G32" s="1867"/>
      <c r="H32" s="659"/>
      <c r="I32" s="1870"/>
      <c r="J32" s="2404"/>
      <c r="K32" s="2405"/>
      <c r="L32" s="2318"/>
      <c r="M32" s="2298"/>
      <c r="N32" s="2300"/>
      <c r="O32" s="2404"/>
      <c r="P32" s="2405"/>
      <c r="Q32" s="2415"/>
      <c r="R32" s="2410"/>
      <c r="S32" s="2405"/>
      <c r="T32" s="2405" t="s">
        <v>2318</v>
      </c>
      <c r="U32" s="2318"/>
      <c r="V32" s="2416"/>
      <c r="W32" s="2385"/>
      <c r="X32" s="2373"/>
      <c r="Y32" s="2383"/>
      <c r="Z32" s="2383"/>
      <c r="AA32" s="2383"/>
      <c r="AB32" s="2383"/>
      <c r="AC32" s="2383"/>
      <c r="AD32" s="2383"/>
      <c r="AE32" s="2383"/>
      <c r="AF32" s="2383"/>
      <c r="AG32" s="2383"/>
      <c r="AH32" s="2383"/>
      <c r="AI32" s="2383"/>
      <c r="AJ32" s="2383"/>
      <c r="AK32" s="2383"/>
      <c r="AL32" s="2383"/>
      <c r="AM32" s="2383"/>
      <c r="AN32" s="2383"/>
      <c r="AO32" s="2298"/>
      <c r="AP32" s="2396"/>
    </row>
    <row r="33" spans="1:42" ht="15" customHeight="1">
      <c r="A33" s="193"/>
      <c r="B33" s="194"/>
      <c r="C33" s="194"/>
      <c r="D33" s="1867"/>
      <c r="E33" s="659"/>
      <c r="F33" s="659"/>
      <c r="G33" s="1867"/>
      <c r="H33" s="659"/>
      <c r="I33" s="1870"/>
      <c r="J33" s="2404"/>
      <c r="K33" s="2405"/>
      <c r="L33" s="2318"/>
      <c r="M33" s="2298"/>
      <c r="N33" s="2300"/>
      <c r="O33" s="2404"/>
      <c r="P33" s="2405"/>
      <c r="Q33" s="2415"/>
      <c r="R33" s="2410"/>
      <c r="S33" s="2405"/>
      <c r="T33" s="2405"/>
      <c r="U33" s="2318"/>
      <c r="V33" s="2416"/>
      <c r="W33" s="2385"/>
      <c r="X33" s="2373"/>
      <c r="Y33" s="2383"/>
      <c r="Z33" s="2383"/>
      <c r="AA33" s="2383"/>
      <c r="AB33" s="2383"/>
      <c r="AC33" s="2383"/>
      <c r="AD33" s="2383"/>
      <c r="AE33" s="2383"/>
      <c r="AF33" s="2383"/>
      <c r="AG33" s="2383"/>
      <c r="AH33" s="2383"/>
      <c r="AI33" s="2383"/>
      <c r="AJ33" s="2383"/>
      <c r="AK33" s="2383"/>
      <c r="AL33" s="2383"/>
      <c r="AM33" s="2383"/>
      <c r="AN33" s="2383"/>
      <c r="AO33" s="2298"/>
      <c r="AP33" s="2396"/>
    </row>
    <row r="34" spans="1:42" ht="15" customHeight="1">
      <c r="A34" s="193"/>
      <c r="B34" s="2333"/>
      <c r="C34" s="2333"/>
      <c r="D34" s="1867"/>
      <c r="E34" s="2397"/>
      <c r="F34" s="2397"/>
      <c r="G34" s="1867"/>
      <c r="H34" s="2397"/>
      <c r="I34" s="2398"/>
      <c r="J34" s="2404"/>
      <c r="K34" s="2405"/>
      <c r="L34" s="2318"/>
      <c r="M34" s="2298"/>
      <c r="N34" s="2300"/>
      <c r="O34" s="2404"/>
      <c r="P34" s="2405"/>
      <c r="Q34" s="2415"/>
      <c r="R34" s="2410"/>
      <c r="S34" s="2405"/>
      <c r="T34" s="2405"/>
      <c r="U34" s="2318"/>
      <c r="V34" s="2416"/>
      <c r="W34" s="2385"/>
      <c r="X34" s="2373"/>
      <c r="Y34" s="2383"/>
      <c r="Z34" s="2383"/>
      <c r="AA34" s="2383"/>
      <c r="AB34" s="2383"/>
      <c r="AC34" s="2383"/>
      <c r="AD34" s="2383"/>
      <c r="AE34" s="2383"/>
      <c r="AF34" s="2383"/>
      <c r="AG34" s="2383"/>
      <c r="AH34" s="2383"/>
      <c r="AI34" s="2383"/>
      <c r="AJ34" s="2383"/>
      <c r="AK34" s="2383"/>
      <c r="AL34" s="2383"/>
      <c r="AM34" s="2383"/>
      <c r="AN34" s="2383"/>
      <c r="AO34" s="2298"/>
      <c r="AP34" s="2396"/>
    </row>
    <row r="35" spans="1:42" ht="15" customHeight="1">
      <c r="A35" s="193"/>
      <c r="B35" s="2333"/>
      <c r="C35" s="2333"/>
      <c r="D35" s="1867"/>
      <c r="E35" s="2397"/>
      <c r="F35" s="2397"/>
      <c r="G35" s="1867"/>
      <c r="H35" s="2397"/>
      <c r="I35" s="2398"/>
      <c r="J35" s="2404"/>
      <c r="K35" s="2405"/>
      <c r="L35" s="2319"/>
      <c r="M35" s="2298"/>
      <c r="N35" s="2300"/>
      <c r="O35" s="2404"/>
      <c r="P35" s="2405"/>
      <c r="Q35" s="2415"/>
      <c r="R35" s="2410"/>
      <c r="S35" s="2405"/>
      <c r="T35" s="2405"/>
      <c r="U35" s="2319"/>
      <c r="V35" s="2417"/>
      <c r="W35" s="2386"/>
      <c r="X35" s="2374"/>
      <c r="Y35" s="2383"/>
      <c r="Z35" s="2383"/>
      <c r="AA35" s="2383"/>
      <c r="AB35" s="2383"/>
      <c r="AC35" s="2383"/>
      <c r="AD35" s="2383"/>
      <c r="AE35" s="2383"/>
      <c r="AF35" s="2383"/>
      <c r="AG35" s="2383"/>
      <c r="AH35" s="2383"/>
      <c r="AI35" s="2383"/>
      <c r="AJ35" s="2383"/>
      <c r="AK35" s="2383"/>
      <c r="AL35" s="2383"/>
      <c r="AM35" s="2383"/>
      <c r="AN35" s="2383"/>
      <c r="AO35" s="2298"/>
      <c r="AP35" s="2396"/>
    </row>
    <row r="36" spans="1:42" ht="15" customHeight="1">
      <c r="A36" s="193"/>
      <c r="B36" s="194"/>
      <c r="C36" s="194"/>
      <c r="D36" s="1867"/>
      <c r="E36" s="659"/>
      <c r="F36" s="659"/>
      <c r="G36" s="1867"/>
      <c r="H36" s="2397"/>
      <c r="I36" s="2398"/>
      <c r="J36" s="2404">
        <v>11</v>
      </c>
      <c r="K36" s="2405" t="s">
        <v>2319</v>
      </c>
      <c r="L36" s="2337" t="s">
        <v>2320</v>
      </c>
      <c r="M36" s="2298">
        <v>1</v>
      </c>
      <c r="N36" s="2300" t="s">
        <v>2321</v>
      </c>
      <c r="O36" s="2404" t="s">
        <v>2322</v>
      </c>
      <c r="P36" s="2405" t="s">
        <v>2323</v>
      </c>
      <c r="Q36" s="2415">
        <f>SUM(V36)/R36</f>
        <v>1</v>
      </c>
      <c r="R36" s="2410">
        <f>+V36</f>
        <v>312000000</v>
      </c>
      <c r="S36" s="2405" t="s">
        <v>2324</v>
      </c>
      <c r="T36" s="2393" t="s">
        <v>2325</v>
      </c>
      <c r="U36" s="2337" t="s">
        <v>2326</v>
      </c>
      <c r="V36" s="2418">
        <v>312000000</v>
      </c>
      <c r="W36" s="2414">
        <v>27</v>
      </c>
      <c r="X36" s="2378" t="s">
        <v>2290</v>
      </c>
      <c r="Y36" s="2383">
        <v>292684</v>
      </c>
      <c r="Z36" s="2383">
        <v>282326</v>
      </c>
      <c r="AA36" s="2383">
        <v>135912</v>
      </c>
      <c r="AB36" s="2383">
        <v>45122</v>
      </c>
      <c r="AC36" s="2383">
        <v>307101</v>
      </c>
      <c r="AD36" s="2383">
        <v>86875</v>
      </c>
      <c r="AE36" s="2383">
        <v>2145</v>
      </c>
      <c r="AF36" s="2383">
        <v>12718</v>
      </c>
      <c r="AG36" s="2383">
        <v>26</v>
      </c>
      <c r="AH36" s="2383">
        <v>37</v>
      </c>
      <c r="AI36" s="2383">
        <v>0</v>
      </c>
      <c r="AJ36" s="2383">
        <v>0</v>
      </c>
      <c r="AK36" s="2383">
        <v>53164</v>
      </c>
      <c r="AL36" s="2383">
        <v>16982</v>
      </c>
      <c r="AM36" s="2383">
        <v>60007</v>
      </c>
      <c r="AN36" s="2383">
        <f>Y36+Z36</f>
        <v>575010</v>
      </c>
      <c r="AO36" s="2298" t="s">
        <v>2291</v>
      </c>
      <c r="AP36" s="2396" t="s">
        <v>2292</v>
      </c>
    </row>
    <row r="37" spans="1:42" ht="15" customHeight="1">
      <c r="A37" s="193"/>
      <c r="B37" s="2333"/>
      <c r="C37" s="2333"/>
      <c r="D37" s="1867"/>
      <c r="E37" s="2397"/>
      <c r="F37" s="2397"/>
      <c r="G37" s="1867"/>
      <c r="H37" s="2397"/>
      <c r="I37" s="2398"/>
      <c r="J37" s="2404"/>
      <c r="K37" s="2405"/>
      <c r="L37" s="2318"/>
      <c r="M37" s="2298"/>
      <c r="N37" s="2300"/>
      <c r="O37" s="2404"/>
      <c r="P37" s="2405"/>
      <c r="Q37" s="2415"/>
      <c r="R37" s="2410"/>
      <c r="S37" s="2405"/>
      <c r="T37" s="2394"/>
      <c r="U37" s="2318"/>
      <c r="V37" s="2416"/>
      <c r="W37" s="2385"/>
      <c r="X37" s="2373"/>
      <c r="Y37" s="2383"/>
      <c r="Z37" s="2383"/>
      <c r="AA37" s="2383"/>
      <c r="AB37" s="2383"/>
      <c r="AC37" s="2383"/>
      <c r="AD37" s="2383"/>
      <c r="AE37" s="2383"/>
      <c r="AF37" s="2383"/>
      <c r="AG37" s="2383"/>
      <c r="AH37" s="2383"/>
      <c r="AI37" s="2383"/>
      <c r="AJ37" s="2383"/>
      <c r="AK37" s="2383"/>
      <c r="AL37" s="2383"/>
      <c r="AM37" s="2383"/>
      <c r="AN37" s="2383"/>
      <c r="AO37" s="2298"/>
      <c r="AP37" s="2396"/>
    </row>
    <row r="38" spans="1:42" ht="15" customHeight="1">
      <c r="A38" s="193"/>
      <c r="B38" s="194"/>
      <c r="C38" s="194"/>
      <c r="D38" s="1867"/>
      <c r="E38" s="659"/>
      <c r="F38" s="659"/>
      <c r="G38" s="1867"/>
      <c r="H38" s="659"/>
      <c r="I38" s="1870"/>
      <c r="J38" s="2404"/>
      <c r="K38" s="2405"/>
      <c r="L38" s="2318"/>
      <c r="M38" s="2298"/>
      <c r="N38" s="2300"/>
      <c r="O38" s="2404"/>
      <c r="P38" s="2405"/>
      <c r="Q38" s="2415"/>
      <c r="R38" s="2410"/>
      <c r="S38" s="2405"/>
      <c r="T38" s="2394"/>
      <c r="U38" s="2318"/>
      <c r="V38" s="2416"/>
      <c r="W38" s="2385"/>
      <c r="X38" s="2373"/>
      <c r="Y38" s="2383"/>
      <c r="Z38" s="2383"/>
      <c r="AA38" s="2383"/>
      <c r="AB38" s="2383"/>
      <c r="AC38" s="2383"/>
      <c r="AD38" s="2383"/>
      <c r="AE38" s="2383"/>
      <c r="AF38" s="2383"/>
      <c r="AG38" s="2383"/>
      <c r="AH38" s="2383"/>
      <c r="AI38" s="2383"/>
      <c r="AJ38" s="2383"/>
      <c r="AK38" s="2383"/>
      <c r="AL38" s="2383"/>
      <c r="AM38" s="2383"/>
      <c r="AN38" s="2383"/>
      <c r="AO38" s="2298"/>
      <c r="AP38" s="2396"/>
    </row>
    <row r="39" spans="1:42" ht="15" customHeight="1">
      <c r="A39" s="193"/>
      <c r="B39" s="194"/>
      <c r="C39" s="194"/>
      <c r="D39" s="1867"/>
      <c r="E39" s="659"/>
      <c r="F39" s="659"/>
      <c r="G39" s="1867"/>
      <c r="H39" s="659"/>
      <c r="I39" s="1870"/>
      <c r="J39" s="2404"/>
      <c r="K39" s="2405"/>
      <c r="L39" s="2318"/>
      <c r="M39" s="2298"/>
      <c r="N39" s="2300"/>
      <c r="O39" s="2404"/>
      <c r="P39" s="2405"/>
      <c r="Q39" s="2415"/>
      <c r="R39" s="2410"/>
      <c r="S39" s="2405"/>
      <c r="T39" s="2394"/>
      <c r="U39" s="2318"/>
      <c r="V39" s="2416"/>
      <c r="W39" s="2385"/>
      <c r="X39" s="2373"/>
      <c r="Y39" s="2383"/>
      <c r="Z39" s="2383"/>
      <c r="AA39" s="2383"/>
      <c r="AB39" s="2383"/>
      <c r="AC39" s="2383"/>
      <c r="AD39" s="2383"/>
      <c r="AE39" s="2383"/>
      <c r="AF39" s="2383"/>
      <c r="AG39" s="2383"/>
      <c r="AH39" s="2383"/>
      <c r="AI39" s="2383"/>
      <c r="AJ39" s="2383"/>
      <c r="AK39" s="2383"/>
      <c r="AL39" s="2383"/>
      <c r="AM39" s="2383"/>
      <c r="AN39" s="2383"/>
      <c r="AO39" s="2298"/>
      <c r="AP39" s="2396"/>
    </row>
    <row r="40" spans="1:42" ht="15" customHeight="1">
      <c r="A40" s="193"/>
      <c r="B40" s="194"/>
      <c r="C40" s="194"/>
      <c r="D40" s="1867"/>
      <c r="E40" s="659"/>
      <c r="F40" s="659"/>
      <c r="G40" s="1867"/>
      <c r="H40" s="659"/>
      <c r="I40" s="1870"/>
      <c r="J40" s="2404"/>
      <c r="K40" s="2405"/>
      <c r="L40" s="2318"/>
      <c r="M40" s="2298"/>
      <c r="N40" s="2300"/>
      <c r="O40" s="2404"/>
      <c r="P40" s="2405"/>
      <c r="Q40" s="2415"/>
      <c r="R40" s="2410"/>
      <c r="S40" s="2405"/>
      <c r="T40" s="2394"/>
      <c r="U40" s="2318"/>
      <c r="V40" s="2416"/>
      <c r="W40" s="2385"/>
      <c r="X40" s="2373"/>
      <c r="Y40" s="2383"/>
      <c r="Z40" s="2383"/>
      <c r="AA40" s="2383"/>
      <c r="AB40" s="2383"/>
      <c r="AC40" s="2383"/>
      <c r="AD40" s="2383"/>
      <c r="AE40" s="2383"/>
      <c r="AF40" s="2383"/>
      <c r="AG40" s="2383"/>
      <c r="AH40" s="2383"/>
      <c r="AI40" s="2383"/>
      <c r="AJ40" s="2383"/>
      <c r="AK40" s="2383"/>
      <c r="AL40" s="2383"/>
      <c r="AM40" s="2383"/>
      <c r="AN40" s="2383"/>
      <c r="AO40" s="2298"/>
      <c r="AP40" s="2396"/>
    </row>
    <row r="41" spans="1:42" ht="15" customHeight="1">
      <c r="A41" s="193"/>
      <c r="B41" s="194"/>
      <c r="C41" s="194"/>
      <c r="D41" s="1867"/>
      <c r="E41" s="659"/>
      <c r="F41" s="659"/>
      <c r="G41" s="1867"/>
      <c r="H41" s="659"/>
      <c r="I41" s="1870"/>
      <c r="J41" s="2404"/>
      <c r="K41" s="2405"/>
      <c r="L41" s="2318"/>
      <c r="M41" s="2298"/>
      <c r="N41" s="2300"/>
      <c r="O41" s="2404"/>
      <c r="P41" s="2405"/>
      <c r="Q41" s="2415"/>
      <c r="R41" s="2410"/>
      <c r="S41" s="2405"/>
      <c r="T41" s="2394"/>
      <c r="U41" s="2318"/>
      <c r="V41" s="2416"/>
      <c r="W41" s="2385"/>
      <c r="X41" s="2373"/>
      <c r="Y41" s="2383"/>
      <c r="Z41" s="2383"/>
      <c r="AA41" s="2383"/>
      <c r="AB41" s="2383"/>
      <c r="AC41" s="2383"/>
      <c r="AD41" s="2383"/>
      <c r="AE41" s="2383"/>
      <c r="AF41" s="2383"/>
      <c r="AG41" s="2383"/>
      <c r="AH41" s="2383"/>
      <c r="AI41" s="2383"/>
      <c r="AJ41" s="2383"/>
      <c r="AK41" s="2383"/>
      <c r="AL41" s="2383"/>
      <c r="AM41" s="2383"/>
      <c r="AN41" s="2383"/>
      <c r="AO41" s="2298"/>
      <c r="AP41" s="2396"/>
    </row>
    <row r="42" spans="1:42" ht="15" customHeight="1">
      <c r="A42" s="193"/>
      <c r="B42" s="2333"/>
      <c r="C42" s="2333"/>
      <c r="D42" s="1867"/>
      <c r="E42" s="2397"/>
      <c r="F42" s="2397"/>
      <c r="G42" s="1867"/>
      <c r="H42" s="2397"/>
      <c r="I42" s="2398"/>
      <c r="J42" s="2404"/>
      <c r="K42" s="2405"/>
      <c r="L42" s="2318"/>
      <c r="M42" s="2298"/>
      <c r="N42" s="2300"/>
      <c r="O42" s="2404"/>
      <c r="P42" s="2405"/>
      <c r="Q42" s="2415"/>
      <c r="R42" s="2410"/>
      <c r="S42" s="2405"/>
      <c r="T42" s="2394"/>
      <c r="U42" s="2318"/>
      <c r="V42" s="2416"/>
      <c r="W42" s="2385"/>
      <c r="X42" s="2373"/>
      <c r="Y42" s="2383"/>
      <c r="Z42" s="2383"/>
      <c r="AA42" s="2383"/>
      <c r="AB42" s="2383"/>
      <c r="AC42" s="2383"/>
      <c r="AD42" s="2383"/>
      <c r="AE42" s="2383"/>
      <c r="AF42" s="2383"/>
      <c r="AG42" s="2383"/>
      <c r="AH42" s="2383"/>
      <c r="AI42" s="2383"/>
      <c r="AJ42" s="2383"/>
      <c r="AK42" s="2383"/>
      <c r="AL42" s="2383"/>
      <c r="AM42" s="2383"/>
      <c r="AN42" s="2383"/>
      <c r="AO42" s="2298"/>
      <c r="AP42" s="2396"/>
    </row>
    <row r="43" spans="1:42" ht="15" customHeight="1">
      <c r="A43" s="193"/>
      <c r="B43" s="2333"/>
      <c r="C43" s="2333"/>
      <c r="D43" s="1867"/>
      <c r="E43" s="2397"/>
      <c r="F43" s="2397"/>
      <c r="G43" s="1867"/>
      <c r="H43" s="2397"/>
      <c r="I43" s="2398"/>
      <c r="J43" s="2404"/>
      <c r="K43" s="2405"/>
      <c r="L43" s="2319"/>
      <c r="M43" s="2298"/>
      <c r="N43" s="2300"/>
      <c r="O43" s="2404"/>
      <c r="P43" s="2405"/>
      <c r="Q43" s="2415"/>
      <c r="R43" s="2410"/>
      <c r="S43" s="2405"/>
      <c r="T43" s="2395"/>
      <c r="U43" s="2319"/>
      <c r="V43" s="2417"/>
      <c r="W43" s="2386"/>
      <c r="X43" s="2374"/>
      <c r="Y43" s="2383"/>
      <c r="Z43" s="2383"/>
      <c r="AA43" s="2383"/>
      <c r="AB43" s="2383"/>
      <c r="AC43" s="2383"/>
      <c r="AD43" s="2383"/>
      <c r="AE43" s="2383"/>
      <c r="AF43" s="2383"/>
      <c r="AG43" s="2383"/>
      <c r="AH43" s="2383"/>
      <c r="AI43" s="2383"/>
      <c r="AJ43" s="2383"/>
      <c r="AK43" s="2383"/>
      <c r="AL43" s="2383"/>
      <c r="AM43" s="2383"/>
      <c r="AN43" s="2383"/>
      <c r="AO43" s="2298"/>
      <c r="AP43" s="2396"/>
    </row>
    <row r="44" spans="1:42" ht="15" customHeight="1">
      <c r="A44" s="193"/>
      <c r="B44" s="194"/>
      <c r="C44" s="194"/>
      <c r="D44" s="1867"/>
      <c r="E44" s="659"/>
      <c r="F44" s="659"/>
      <c r="G44" s="1867"/>
      <c r="H44" s="2397"/>
      <c r="I44" s="2398"/>
      <c r="J44" s="2378">
        <v>12</v>
      </c>
      <c r="K44" s="2375" t="s">
        <v>2327</v>
      </c>
      <c r="L44" s="2337" t="s">
        <v>2328</v>
      </c>
      <c r="M44" s="2299">
        <v>3</v>
      </c>
      <c r="N44" s="2337" t="s">
        <v>2329</v>
      </c>
      <c r="O44" s="2378" t="s">
        <v>2330</v>
      </c>
      <c r="P44" s="2375" t="s">
        <v>2331</v>
      </c>
      <c r="Q44" s="2419">
        <f>SUM(V44:V51)/R44</f>
        <v>1</v>
      </c>
      <c r="R44" s="2390">
        <f>+V44+V48</f>
        <v>1050000000</v>
      </c>
      <c r="S44" s="2375" t="s">
        <v>2332</v>
      </c>
      <c r="T44" s="2393" t="s">
        <v>2333</v>
      </c>
      <c r="U44" s="2337" t="s">
        <v>2334</v>
      </c>
      <c r="V44" s="2418">
        <v>320000000</v>
      </c>
      <c r="W44" s="2414">
        <v>27</v>
      </c>
      <c r="X44" s="2378" t="str">
        <f>+X28</f>
        <v>SGP Agua Potable y Saneamineto Básico</v>
      </c>
      <c r="Y44" s="2383">
        <v>292684</v>
      </c>
      <c r="Z44" s="2383">
        <v>282326</v>
      </c>
      <c r="AA44" s="2383">
        <v>135912</v>
      </c>
      <c r="AB44" s="2383">
        <v>45122</v>
      </c>
      <c r="AC44" s="2383">
        <v>307101</v>
      </c>
      <c r="AD44" s="2383">
        <v>86875</v>
      </c>
      <c r="AE44" s="2383">
        <v>2145</v>
      </c>
      <c r="AF44" s="2383">
        <v>12718</v>
      </c>
      <c r="AG44" s="2383">
        <v>26</v>
      </c>
      <c r="AH44" s="2383">
        <v>37</v>
      </c>
      <c r="AI44" s="2383">
        <v>0</v>
      </c>
      <c r="AJ44" s="2383">
        <v>0</v>
      </c>
      <c r="AK44" s="2383">
        <v>53164</v>
      </c>
      <c r="AL44" s="2383">
        <v>16982</v>
      </c>
      <c r="AM44" s="2383">
        <v>60004</v>
      </c>
      <c r="AN44" s="2383">
        <f>Y44+Z44</f>
        <v>575010</v>
      </c>
      <c r="AO44" s="2298" t="s">
        <v>2291</v>
      </c>
      <c r="AP44" s="2396" t="s">
        <v>2292</v>
      </c>
    </row>
    <row r="45" spans="1:42" ht="15" customHeight="1">
      <c r="A45" s="193"/>
      <c r="B45" s="2333"/>
      <c r="C45" s="2333"/>
      <c r="D45" s="1867"/>
      <c r="E45" s="2397"/>
      <c r="F45" s="2397"/>
      <c r="G45" s="1867"/>
      <c r="H45" s="2397"/>
      <c r="I45" s="2398"/>
      <c r="J45" s="2373"/>
      <c r="K45" s="2376"/>
      <c r="L45" s="2318"/>
      <c r="M45" s="2336"/>
      <c r="N45" s="2318"/>
      <c r="O45" s="2373"/>
      <c r="P45" s="2376"/>
      <c r="Q45" s="2420"/>
      <c r="R45" s="2391"/>
      <c r="S45" s="2376"/>
      <c r="T45" s="2394"/>
      <c r="U45" s="2318"/>
      <c r="V45" s="2416"/>
      <c r="W45" s="2385"/>
      <c r="X45" s="2373"/>
      <c r="Y45" s="2383"/>
      <c r="Z45" s="2383"/>
      <c r="AA45" s="2383"/>
      <c r="AB45" s="2383"/>
      <c r="AC45" s="2383"/>
      <c r="AD45" s="2383"/>
      <c r="AE45" s="2383"/>
      <c r="AF45" s="2383"/>
      <c r="AG45" s="2383"/>
      <c r="AH45" s="2383"/>
      <c r="AI45" s="2383"/>
      <c r="AJ45" s="2383"/>
      <c r="AK45" s="2383"/>
      <c r="AL45" s="2383"/>
      <c r="AM45" s="2383"/>
      <c r="AN45" s="2383"/>
      <c r="AO45" s="2298"/>
      <c r="AP45" s="2396"/>
    </row>
    <row r="46" spans="1:42" ht="15" customHeight="1">
      <c r="A46" s="193"/>
      <c r="B46" s="194"/>
      <c r="C46" s="194"/>
      <c r="D46" s="1867"/>
      <c r="E46" s="659"/>
      <c r="F46" s="659"/>
      <c r="G46" s="1867"/>
      <c r="H46" s="659"/>
      <c r="I46" s="1870"/>
      <c r="J46" s="2373"/>
      <c r="K46" s="2376"/>
      <c r="L46" s="2318"/>
      <c r="M46" s="2336"/>
      <c r="N46" s="2318"/>
      <c r="O46" s="2373"/>
      <c r="P46" s="2376"/>
      <c r="Q46" s="2420"/>
      <c r="R46" s="2391"/>
      <c r="S46" s="2376"/>
      <c r="T46" s="2394"/>
      <c r="U46" s="2318"/>
      <c r="V46" s="2416"/>
      <c r="W46" s="2385"/>
      <c r="X46" s="2373"/>
      <c r="Y46" s="2383"/>
      <c r="Z46" s="2383"/>
      <c r="AA46" s="2383"/>
      <c r="AB46" s="2383"/>
      <c r="AC46" s="2383"/>
      <c r="AD46" s="2383"/>
      <c r="AE46" s="2383"/>
      <c r="AF46" s="2383"/>
      <c r="AG46" s="2383"/>
      <c r="AH46" s="2383"/>
      <c r="AI46" s="2383"/>
      <c r="AJ46" s="2383"/>
      <c r="AK46" s="2383"/>
      <c r="AL46" s="2383"/>
      <c r="AM46" s="2383"/>
      <c r="AN46" s="2383"/>
      <c r="AO46" s="2298"/>
      <c r="AP46" s="2396"/>
    </row>
    <row r="47" spans="1:42" ht="15" customHeight="1">
      <c r="A47" s="193"/>
      <c r="B47" s="194"/>
      <c r="C47" s="194"/>
      <c r="D47" s="1867"/>
      <c r="E47" s="659"/>
      <c r="F47" s="659"/>
      <c r="G47" s="1867"/>
      <c r="H47" s="659"/>
      <c r="I47" s="1870"/>
      <c r="J47" s="2373"/>
      <c r="K47" s="2376"/>
      <c r="L47" s="2318"/>
      <c r="M47" s="2336"/>
      <c r="N47" s="2318"/>
      <c r="O47" s="2373"/>
      <c r="P47" s="2376"/>
      <c r="Q47" s="2420"/>
      <c r="R47" s="2391"/>
      <c r="S47" s="2376"/>
      <c r="T47" s="2395"/>
      <c r="U47" s="2319"/>
      <c r="V47" s="2417"/>
      <c r="W47" s="2385"/>
      <c r="X47" s="2373"/>
      <c r="Y47" s="2383"/>
      <c r="Z47" s="2383"/>
      <c r="AA47" s="2383"/>
      <c r="AB47" s="2383"/>
      <c r="AC47" s="2383"/>
      <c r="AD47" s="2383"/>
      <c r="AE47" s="2383"/>
      <c r="AF47" s="2383"/>
      <c r="AG47" s="2383"/>
      <c r="AH47" s="2383"/>
      <c r="AI47" s="2383"/>
      <c r="AJ47" s="2383"/>
      <c r="AK47" s="2383"/>
      <c r="AL47" s="2383"/>
      <c r="AM47" s="2383"/>
      <c r="AN47" s="2383"/>
      <c r="AO47" s="2298"/>
      <c r="AP47" s="2396"/>
    </row>
    <row r="48" spans="1:42" ht="15" customHeight="1">
      <c r="A48" s="193"/>
      <c r="B48" s="194"/>
      <c r="C48" s="194"/>
      <c r="D48" s="1867"/>
      <c r="E48" s="659"/>
      <c r="F48" s="659"/>
      <c r="G48" s="1867"/>
      <c r="H48" s="659"/>
      <c r="I48" s="1870"/>
      <c r="J48" s="2373"/>
      <c r="K48" s="2376"/>
      <c r="L48" s="2318"/>
      <c r="M48" s="2336"/>
      <c r="N48" s="2318"/>
      <c r="O48" s="2373"/>
      <c r="P48" s="2376"/>
      <c r="Q48" s="2420"/>
      <c r="R48" s="2391"/>
      <c r="S48" s="2376"/>
      <c r="T48" s="2405" t="s">
        <v>2335</v>
      </c>
      <c r="U48" s="2337" t="s">
        <v>2336</v>
      </c>
      <c r="V48" s="2418">
        <v>730000000</v>
      </c>
      <c r="W48" s="2385"/>
      <c r="X48" s="2373"/>
      <c r="Y48" s="2383"/>
      <c r="Z48" s="2383"/>
      <c r="AA48" s="2383"/>
      <c r="AB48" s="2383"/>
      <c r="AC48" s="2383"/>
      <c r="AD48" s="2383"/>
      <c r="AE48" s="2383"/>
      <c r="AF48" s="2383"/>
      <c r="AG48" s="2383"/>
      <c r="AH48" s="2383"/>
      <c r="AI48" s="2383"/>
      <c r="AJ48" s="2383"/>
      <c r="AK48" s="2383"/>
      <c r="AL48" s="2383"/>
      <c r="AM48" s="2383"/>
      <c r="AN48" s="2383"/>
      <c r="AO48" s="2298"/>
      <c r="AP48" s="2396"/>
    </row>
    <row r="49" spans="1:42" ht="15" customHeight="1">
      <c r="A49" s="193"/>
      <c r="B49" s="194"/>
      <c r="C49" s="194"/>
      <c r="D49" s="1867"/>
      <c r="E49" s="659"/>
      <c r="F49" s="659"/>
      <c r="G49" s="1867"/>
      <c r="H49" s="659"/>
      <c r="I49" s="1870"/>
      <c r="J49" s="2373"/>
      <c r="K49" s="2376"/>
      <c r="L49" s="2318"/>
      <c r="M49" s="2336"/>
      <c r="N49" s="2318"/>
      <c r="O49" s="2373"/>
      <c r="P49" s="2376"/>
      <c r="Q49" s="2420"/>
      <c r="R49" s="2391"/>
      <c r="S49" s="2376"/>
      <c r="T49" s="2405"/>
      <c r="U49" s="2318"/>
      <c r="V49" s="2416"/>
      <c r="W49" s="2385"/>
      <c r="X49" s="2373"/>
      <c r="Y49" s="2383"/>
      <c r="Z49" s="2383"/>
      <c r="AA49" s="2383"/>
      <c r="AB49" s="2383"/>
      <c r="AC49" s="2383"/>
      <c r="AD49" s="2383"/>
      <c r="AE49" s="2383"/>
      <c r="AF49" s="2383"/>
      <c r="AG49" s="2383"/>
      <c r="AH49" s="2383"/>
      <c r="AI49" s="2383"/>
      <c r="AJ49" s="2383"/>
      <c r="AK49" s="2383"/>
      <c r="AL49" s="2383"/>
      <c r="AM49" s="2383"/>
      <c r="AN49" s="2383"/>
      <c r="AO49" s="2298"/>
      <c r="AP49" s="2396"/>
    </row>
    <row r="50" spans="1:42" ht="15" customHeight="1">
      <c r="A50" s="193"/>
      <c r="B50" s="2333"/>
      <c r="C50" s="2333"/>
      <c r="D50" s="1867"/>
      <c r="E50" s="2397"/>
      <c r="F50" s="2397"/>
      <c r="G50" s="1867"/>
      <c r="H50" s="2397"/>
      <c r="I50" s="2398"/>
      <c r="J50" s="2373"/>
      <c r="K50" s="2376"/>
      <c r="L50" s="2318"/>
      <c r="M50" s="2336"/>
      <c r="N50" s="2318"/>
      <c r="O50" s="2373"/>
      <c r="P50" s="2376"/>
      <c r="Q50" s="2420"/>
      <c r="R50" s="2391"/>
      <c r="S50" s="2376"/>
      <c r="T50" s="2405"/>
      <c r="U50" s="2318"/>
      <c r="V50" s="2416"/>
      <c r="W50" s="2385"/>
      <c r="X50" s="2373"/>
      <c r="Y50" s="2383"/>
      <c r="Z50" s="2383"/>
      <c r="AA50" s="2383"/>
      <c r="AB50" s="2383"/>
      <c r="AC50" s="2383"/>
      <c r="AD50" s="2383"/>
      <c r="AE50" s="2383"/>
      <c r="AF50" s="2383"/>
      <c r="AG50" s="2383"/>
      <c r="AH50" s="2383"/>
      <c r="AI50" s="2383"/>
      <c r="AJ50" s="2383"/>
      <c r="AK50" s="2383"/>
      <c r="AL50" s="2383"/>
      <c r="AM50" s="2383"/>
      <c r="AN50" s="2383"/>
      <c r="AO50" s="2298"/>
      <c r="AP50" s="2396"/>
    </row>
    <row r="51" spans="1:42" ht="15" customHeight="1">
      <c r="A51" s="193"/>
      <c r="B51" s="2333"/>
      <c r="C51" s="2333"/>
      <c r="D51" s="1867"/>
      <c r="E51" s="2397"/>
      <c r="F51" s="2397"/>
      <c r="G51" s="1867"/>
      <c r="H51" s="2397"/>
      <c r="I51" s="2398"/>
      <c r="J51" s="2374"/>
      <c r="K51" s="2377"/>
      <c r="L51" s="2319"/>
      <c r="M51" s="2334"/>
      <c r="N51" s="2319"/>
      <c r="O51" s="2374"/>
      <c r="P51" s="2377"/>
      <c r="Q51" s="2421"/>
      <c r="R51" s="2392"/>
      <c r="S51" s="2377"/>
      <c r="T51" s="2405"/>
      <c r="U51" s="2319"/>
      <c r="V51" s="2417"/>
      <c r="W51" s="2386"/>
      <c r="X51" s="2374"/>
      <c r="Y51" s="2383"/>
      <c r="Z51" s="2383"/>
      <c r="AA51" s="2383"/>
      <c r="AB51" s="2383"/>
      <c r="AC51" s="2383"/>
      <c r="AD51" s="2383"/>
      <c r="AE51" s="2383"/>
      <c r="AF51" s="2383"/>
      <c r="AG51" s="2383"/>
      <c r="AH51" s="2383"/>
      <c r="AI51" s="2383"/>
      <c r="AJ51" s="2383"/>
      <c r="AK51" s="2383"/>
      <c r="AL51" s="2383"/>
      <c r="AM51" s="2383"/>
      <c r="AN51" s="2383"/>
      <c r="AO51" s="2298"/>
      <c r="AP51" s="2396"/>
    </row>
    <row r="52" spans="1:42" ht="40.5" customHeight="1">
      <c r="A52" s="193"/>
      <c r="B52" s="194"/>
      <c r="C52" s="194"/>
      <c r="D52" s="1867"/>
      <c r="E52" s="659"/>
      <c r="F52" s="659"/>
      <c r="G52" s="1867"/>
      <c r="H52" s="2397"/>
      <c r="I52" s="2398"/>
      <c r="J52" s="2378">
        <v>13</v>
      </c>
      <c r="K52" s="2375" t="s">
        <v>2337</v>
      </c>
      <c r="L52" s="2337" t="s">
        <v>2338</v>
      </c>
      <c r="M52" s="2299">
        <v>2</v>
      </c>
      <c r="N52" s="2337" t="s">
        <v>2339</v>
      </c>
      <c r="O52" s="2378" t="s">
        <v>2340</v>
      </c>
      <c r="P52" s="2375" t="s">
        <v>2341</v>
      </c>
      <c r="Q52" s="2419">
        <f>SUM(V52:V59)/R52</f>
        <v>1</v>
      </c>
      <c r="R52" s="2390">
        <f>+V52+V55+V57</f>
        <v>300000000</v>
      </c>
      <c r="S52" s="2375" t="s">
        <v>2342</v>
      </c>
      <c r="T52" s="2428" t="s">
        <v>2343</v>
      </c>
      <c r="U52" s="2337" t="s">
        <v>2344</v>
      </c>
      <c r="V52" s="2400">
        <v>100000000</v>
      </c>
      <c r="W52" s="2414">
        <v>27</v>
      </c>
      <c r="X52" s="2378" t="s">
        <v>2290</v>
      </c>
      <c r="Y52" s="2383">
        <v>292684</v>
      </c>
      <c r="Z52" s="2383">
        <v>282326</v>
      </c>
      <c r="AA52" s="2383">
        <v>135912</v>
      </c>
      <c r="AB52" s="2383">
        <v>45122</v>
      </c>
      <c r="AC52" s="2383">
        <v>307101</v>
      </c>
      <c r="AD52" s="2383">
        <v>86875</v>
      </c>
      <c r="AE52" s="2383">
        <v>2145</v>
      </c>
      <c r="AF52" s="2383">
        <v>12718</v>
      </c>
      <c r="AG52" s="2383">
        <v>26</v>
      </c>
      <c r="AH52" s="2383">
        <v>37</v>
      </c>
      <c r="AI52" s="2383">
        <v>0</v>
      </c>
      <c r="AJ52" s="2383">
        <v>0</v>
      </c>
      <c r="AK52" s="2383">
        <v>53164</v>
      </c>
      <c r="AL52" s="2383">
        <v>16982</v>
      </c>
      <c r="AM52" s="2383">
        <v>60001</v>
      </c>
      <c r="AN52" s="2383">
        <f>Y52+Z52</f>
        <v>575010</v>
      </c>
      <c r="AO52" s="2298" t="s">
        <v>2291</v>
      </c>
      <c r="AP52" s="2396" t="s">
        <v>2292</v>
      </c>
    </row>
    <row r="53" spans="1:42" ht="40.5" customHeight="1">
      <c r="A53" s="193"/>
      <c r="B53" s="2333"/>
      <c r="C53" s="2333"/>
      <c r="D53" s="1867"/>
      <c r="E53" s="2397"/>
      <c r="F53" s="2397"/>
      <c r="G53" s="1867"/>
      <c r="H53" s="2397"/>
      <c r="I53" s="2398"/>
      <c r="J53" s="2373"/>
      <c r="K53" s="2376"/>
      <c r="L53" s="2318"/>
      <c r="M53" s="2336"/>
      <c r="N53" s="2318"/>
      <c r="O53" s="2373"/>
      <c r="P53" s="2376"/>
      <c r="Q53" s="2420"/>
      <c r="R53" s="2391"/>
      <c r="S53" s="2376"/>
      <c r="T53" s="2429"/>
      <c r="U53" s="2318"/>
      <c r="V53" s="2401"/>
      <c r="W53" s="2385"/>
      <c r="X53" s="2373"/>
      <c r="Y53" s="2383"/>
      <c r="Z53" s="2383"/>
      <c r="AA53" s="2383"/>
      <c r="AB53" s="2383"/>
      <c r="AC53" s="2383"/>
      <c r="AD53" s="2383"/>
      <c r="AE53" s="2383"/>
      <c r="AF53" s="2383"/>
      <c r="AG53" s="2383"/>
      <c r="AH53" s="2383"/>
      <c r="AI53" s="2383"/>
      <c r="AJ53" s="2383"/>
      <c r="AK53" s="2383"/>
      <c r="AL53" s="2383"/>
      <c r="AM53" s="2383"/>
      <c r="AN53" s="2383"/>
      <c r="AO53" s="2298"/>
      <c r="AP53" s="2396"/>
    </row>
    <row r="54" spans="1:42" ht="40.5" customHeight="1">
      <c r="A54" s="193"/>
      <c r="B54" s="194"/>
      <c r="C54" s="194"/>
      <c r="D54" s="1867"/>
      <c r="E54" s="659"/>
      <c r="F54" s="659"/>
      <c r="G54" s="1867"/>
      <c r="H54" s="659"/>
      <c r="I54" s="1870"/>
      <c r="J54" s="2373"/>
      <c r="K54" s="2376"/>
      <c r="L54" s="2318"/>
      <c r="M54" s="2336"/>
      <c r="N54" s="2318"/>
      <c r="O54" s="2373"/>
      <c r="P54" s="2376"/>
      <c r="Q54" s="2420"/>
      <c r="R54" s="2391"/>
      <c r="S54" s="2376"/>
      <c r="T54" s="2429"/>
      <c r="U54" s="2319"/>
      <c r="V54" s="2402"/>
      <c r="W54" s="2385"/>
      <c r="X54" s="2373"/>
      <c r="Y54" s="2383"/>
      <c r="Z54" s="2383"/>
      <c r="AA54" s="2383"/>
      <c r="AB54" s="2383"/>
      <c r="AC54" s="2383"/>
      <c r="AD54" s="2383"/>
      <c r="AE54" s="2383"/>
      <c r="AF54" s="2383"/>
      <c r="AG54" s="2383"/>
      <c r="AH54" s="2383"/>
      <c r="AI54" s="2383"/>
      <c r="AJ54" s="2383"/>
      <c r="AK54" s="2383"/>
      <c r="AL54" s="2383"/>
      <c r="AM54" s="2383"/>
      <c r="AN54" s="2383"/>
      <c r="AO54" s="2298"/>
      <c r="AP54" s="2396"/>
    </row>
    <row r="55" spans="1:42" ht="40.5" customHeight="1">
      <c r="A55" s="193"/>
      <c r="B55" s="194"/>
      <c r="C55" s="194"/>
      <c r="D55" s="1867"/>
      <c r="E55" s="659"/>
      <c r="F55" s="659"/>
      <c r="G55" s="1867"/>
      <c r="H55" s="659"/>
      <c r="I55" s="1870"/>
      <c r="J55" s="2373"/>
      <c r="K55" s="2376"/>
      <c r="L55" s="2318"/>
      <c r="M55" s="2336"/>
      <c r="N55" s="2318"/>
      <c r="O55" s="2373"/>
      <c r="P55" s="2376"/>
      <c r="Q55" s="2420"/>
      <c r="R55" s="2391"/>
      <c r="S55" s="2376"/>
      <c r="T55" s="2429"/>
      <c r="U55" s="2300" t="s">
        <v>2345</v>
      </c>
      <c r="V55" s="2400">
        <v>100000000</v>
      </c>
      <c r="W55" s="2385"/>
      <c r="X55" s="2373"/>
      <c r="Y55" s="2383"/>
      <c r="Z55" s="2383"/>
      <c r="AA55" s="2383"/>
      <c r="AB55" s="2383"/>
      <c r="AC55" s="2383"/>
      <c r="AD55" s="2383"/>
      <c r="AE55" s="2383"/>
      <c r="AF55" s="2383"/>
      <c r="AG55" s="2383"/>
      <c r="AH55" s="2383"/>
      <c r="AI55" s="2383"/>
      <c r="AJ55" s="2383"/>
      <c r="AK55" s="2383"/>
      <c r="AL55" s="2383"/>
      <c r="AM55" s="2383"/>
      <c r="AN55" s="2383"/>
      <c r="AO55" s="2298"/>
      <c r="AP55" s="2396"/>
    </row>
    <row r="56" spans="1:42" ht="40.5" customHeight="1">
      <c r="A56" s="193"/>
      <c r="B56" s="194"/>
      <c r="C56" s="194"/>
      <c r="D56" s="1867"/>
      <c r="E56" s="659"/>
      <c r="F56" s="659"/>
      <c r="G56" s="1867"/>
      <c r="H56" s="659"/>
      <c r="I56" s="1870"/>
      <c r="J56" s="2373"/>
      <c r="K56" s="2376"/>
      <c r="L56" s="2318"/>
      <c r="M56" s="2336"/>
      <c r="N56" s="2318"/>
      <c r="O56" s="2373"/>
      <c r="P56" s="2376"/>
      <c r="Q56" s="2420"/>
      <c r="R56" s="2391"/>
      <c r="S56" s="2376"/>
      <c r="T56" s="2430"/>
      <c r="U56" s="2300"/>
      <c r="V56" s="2402"/>
      <c r="W56" s="2385"/>
      <c r="X56" s="2373"/>
      <c r="Y56" s="2383"/>
      <c r="Z56" s="2383"/>
      <c r="AA56" s="2383"/>
      <c r="AB56" s="2383"/>
      <c r="AC56" s="2383"/>
      <c r="AD56" s="2383"/>
      <c r="AE56" s="2383"/>
      <c r="AF56" s="2383"/>
      <c r="AG56" s="2383"/>
      <c r="AH56" s="2383"/>
      <c r="AI56" s="2383"/>
      <c r="AJ56" s="2383"/>
      <c r="AK56" s="2383"/>
      <c r="AL56" s="2383"/>
      <c r="AM56" s="2383"/>
      <c r="AN56" s="2383"/>
      <c r="AO56" s="2298"/>
      <c r="AP56" s="2396"/>
    </row>
    <row r="57" spans="1:42" ht="40.5" customHeight="1">
      <c r="A57" s="193"/>
      <c r="B57" s="194"/>
      <c r="C57" s="194"/>
      <c r="D57" s="1867"/>
      <c r="E57" s="659"/>
      <c r="F57" s="659"/>
      <c r="G57" s="1867"/>
      <c r="H57" s="659"/>
      <c r="I57" s="1870"/>
      <c r="J57" s="2373"/>
      <c r="K57" s="2376"/>
      <c r="L57" s="2318"/>
      <c r="M57" s="2336"/>
      <c r="N57" s="2318"/>
      <c r="O57" s="2373"/>
      <c r="P57" s="2376"/>
      <c r="Q57" s="2420"/>
      <c r="R57" s="2391"/>
      <c r="S57" s="2376"/>
      <c r="T57" s="2422" t="s">
        <v>2346</v>
      </c>
      <c r="U57" s="2337" t="s">
        <v>2347</v>
      </c>
      <c r="V57" s="2400">
        <v>100000000</v>
      </c>
      <c r="W57" s="2385"/>
      <c r="X57" s="2373"/>
      <c r="Y57" s="2383"/>
      <c r="Z57" s="2383"/>
      <c r="AA57" s="2383"/>
      <c r="AB57" s="2383"/>
      <c r="AC57" s="2383"/>
      <c r="AD57" s="2383"/>
      <c r="AE57" s="2383"/>
      <c r="AF57" s="2383"/>
      <c r="AG57" s="2383"/>
      <c r="AH57" s="2383"/>
      <c r="AI57" s="2383"/>
      <c r="AJ57" s="2383"/>
      <c r="AK57" s="2383"/>
      <c r="AL57" s="2383"/>
      <c r="AM57" s="2383"/>
      <c r="AN57" s="2383"/>
      <c r="AO57" s="2298"/>
      <c r="AP57" s="2396"/>
    </row>
    <row r="58" spans="1:42" ht="40.5" customHeight="1">
      <c r="A58" s="193"/>
      <c r="B58" s="2333"/>
      <c r="C58" s="2333"/>
      <c r="D58" s="1867"/>
      <c r="E58" s="2397"/>
      <c r="F58" s="2397"/>
      <c r="G58" s="1867"/>
      <c r="H58" s="2397"/>
      <c r="I58" s="2398"/>
      <c r="J58" s="2373"/>
      <c r="K58" s="2376"/>
      <c r="L58" s="2318"/>
      <c r="M58" s="2336"/>
      <c r="N58" s="2318"/>
      <c r="O58" s="2373"/>
      <c r="P58" s="2376"/>
      <c r="Q58" s="2420"/>
      <c r="R58" s="2391"/>
      <c r="S58" s="2376"/>
      <c r="T58" s="2423"/>
      <c r="U58" s="2318"/>
      <c r="V58" s="2401"/>
      <c r="W58" s="2385"/>
      <c r="X58" s="2373"/>
      <c r="Y58" s="2383"/>
      <c r="Z58" s="2383"/>
      <c r="AA58" s="2383"/>
      <c r="AB58" s="2383"/>
      <c r="AC58" s="2383"/>
      <c r="AD58" s="2383"/>
      <c r="AE58" s="2383"/>
      <c r="AF58" s="2383"/>
      <c r="AG58" s="2383"/>
      <c r="AH58" s="2383"/>
      <c r="AI58" s="2383"/>
      <c r="AJ58" s="2383"/>
      <c r="AK58" s="2383"/>
      <c r="AL58" s="2383"/>
      <c r="AM58" s="2383"/>
      <c r="AN58" s="2383"/>
      <c r="AO58" s="2298"/>
      <c r="AP58" s="2396"/>
    </row>
    <row r="59" spans="1:42" ht="40.5" customHeight="1">
      <c r="A59" s="1874"/>
      <c r="B59" s="2425"/>
      <c r="C59" s="2425"/>
      <c r="D59" s="1875"/>
      <c r="E59" s="2426"/>
      <c r="F59" s="2426"/>
      <c r="G59" s="1875"/>
      <c r="H59" s="2426"/>
      <c r="I59" s="2427"/>
      <c r="J59" s="2374"/>
      <c r="K59" s="2377"/>
      <c r="L59" s="2319"/>
      <c r="M59" s="2334"/>
      <c r="N59" s="2319"/>
      <c r="O59" s="2374"/>
      <c r="P59" s="2377"/>
      <c r="Q59" s="2421"/>
      <c r="R59" s="2392"/>
      <c r="S59" s="2377"/>
      <c r="T59" s="2424"/>
      <c r="U59" s="2319"/>
      <c r="V59" s="2402"/>
      <c r="W59" s="2386"/>
      <c r="X59" s="2374"/>
      <c r="Y59" s="2383"/>
      <c r="Z59" s="2383"/>
      <c r="AA59" s="2383"/>
      <c r="AB59" s="2383"/>
      <c r="AC59" s="2383"/>
      <c r="AD59" s="2383"/>
      <c r="AE59" s="2383"/>
      <c r="AF59" s="2383"/>
      <c r="AG59" s="2383"/>
      <c r="AH59" s="2383"/>
      <c r="AI59" s="2383"/>
      <c r="AJ59" s="2383"/>
      <c r="AK59" s="2383"/>
      <c r="AL59" s="2383"/>
      <c r="AM59" s="2383"/>
      <c r="AN59" s="2383"/>
      <c r="AO59" s="2298"/>
      <c r="AP59" s="2396"/>
    </row>
    <row r="60" spans="1:42" ht="15.75">
      <c r="A60" s="1876" t="s">
        <v>2348</v>
      </c>
      <c r="B60" s="1877" t="s">
        <v>2349</v>
      </c>
      <c r="C60" s="1877"/>
      <c r="D60" s="1878"/>
      <c r="E60" s="1878"/>
      <c r="F60" s="1878"/>
      <c r="G60" s="1879"/>
      <c r="H60" s="1879"/>
      <c r="I60" s="1879"/>
      <c r="J60" s="1880"/>
      <c r="K60" s="1879"/>
      <c r="L60" s="1879"/>
      <c r="M60" s="1879"/>
      <c r="N60" s="1377"/>
      <c r="O60" s="1879"/>
      <c r="P60" s="1879"/>
      <c r="Q60" s="1881"/>
      <c r="R60" s="1882"/>
      <c r="S60" s="1879"/>
      <c r="T60" s="1879"/>
      <c r="U60" s="1883"/>
      <c r="V60" s="1884"/>
      <c r="W60" s="1384"/>
      <c r="X60" s="1384"/>
      <c r="Y60" s="1384"/>
      <c r="Z60" s="1384"/>
      <c r="AA60" s="1384"/>
      <c r="AB60" s="1384"/>
      <c r="AC60" s="1384"/>
      <c r="AD60" s="1384"/>
      <c r="AE60" s="1384"/>
      <c r="AF60" s="1384"/>
      <c r="AG60" s="1384"/>
      <c r="AH60" s="1384"/>
      <c r="AI60" s="1384"/>
      <c r="AJ60" s="1384"/>
      <c r="AK60" s="1384"/>
      <c r="AL60" s="1885"/>
      <c r="AM60" s="1885"/>
      <c r="AN60" s="1886"/>
      <c r="AO60" s="1886"/>
      <c r="AP60" s="1887"/>
    </row>
    <row r="61" spans="1:42" ht="15.75">
      <c r="A61" s="2431" t="s">
        <v>1659</v>
      </c>
      <c r="B61" s="2432"/>
      <c r="C61" s="2432"/>
      <c r="D61" s="1888" t="s">
        <v>2350</v>
      </c>
      <c r="E61" s="2433" t="s">
        <v>2351</v>
      </c>
      <c r="F61" s="2433"/>
      <c r="G61" s="2433"/>
      <c r="H61" s="2433"/>
      <c r="I61" s="2433"/>
      <c r="J61" s="2433"/>
      <c r="K61" s="2433"/>
      <c r="L61" s="2433"/>
      <c r="M61" s="374"/>
      <c r="N61" s="380"/>
      <c r="O61" s="374"/>
      <c r="P61" s="374"/>
      <c r="Q61" s="1889"/>
      <c r="R61" s="1890"/>
      <c r="S61" s="374"/>
      <c r="T61" s="374"/>
      <c r="U61" s="1891"/>
      <c r="V61" s="1892"/>
      <c r="W61" s="373"/>
      <c r="X61" s="373"/>
      <c r="Y61" s="373"/>
      <c r="Z61" s="373"/>
      <c r="AA61" s="373"/>
      <c r="AB61" s="373"/>
      <c r="AC61" s="373"/>
      <c r="AD61" s="373"/>
      <c r="AE61" s="373"/>
      <c r="AF61" s="373"/>
      <c r="AG61" s="373"/>
      <c r="AH61" s="373"/>
      <c r="AI61" s="373"/>
      <c r="AJ61" s="373"/>
      <c r="AK61" s="373"/>
      <c r="AL61" s="1362"/>
      <c r="AM61" s="1362"/>
      <c r="AN61" s="1893"/>
      <c r="AO61" s="1893"/>
      <c r="AP61" s="1894"/>
    </row>
    <row r="62" spans="1:42" ht="15.75">
      <c r="A62" s="2431"/>
      <c r="B62" s="2432"/>
      <c r="C62" s="2432"/>
      <c r="D62" s="2434" t="s">
        <v>1659</v>
      </c>
      <c r="E62" s="2434"/>
      <c r="F62" s="2434"/>
      <c r="G62" s="1895" t="s">
        <v>2352</v>
      </c>
      <c r="H62" s="2194" t="s">
        <v>2353</v>
      </c>
      <c r="I62" s="2194"/>
      <c r="J62" s="2194"/>
      <c r="K62" s="2194"/>
      <c r="L62" s="2194"/>
      <c r="M62" s="2194"/>
      <c r="N62" s="395"/>
      <c r="O62" s="388"/>
      <c r="P62" s="388"/>
      <c r="Q62" s="1896"/>
      <c r="R62" s="1897"/>
      <c r="S62" s="388"/>
      <c r="T62" s="406"/>
      <c r="U62" s="1898"/>
      <c r="V62" s="1899"/>
      <c r="W62" s="387"/>
      <c r="X62" s="387"/>
      <c r="Y62" s="387"/>
      <c r="Z62" s="387"/>
      <c r="AA62" s="387"/>
      <c r="AB62" s="387"/>
      <c r="AC62" s="387"/>
      <c r="AD62" s="387"/>
      <c r="AE62" s="387"/>
      <c r="AF62" s="387"/>
      <c r="AG62" s="387"/>
      <c r="AH62" s="387"/>
      <c r="AI62" s="387"/>
      <c r="AJ62" s="387"/>
      <c r="AK62" s="387"/>
      <c r="AL62" s="1363"/>
      <c r="AM62" s="1363"/>
      <c r="AN62" s="1900"/>
      <c r="AO62" s="1900"/>
      <c r="AP62" s="399"/>
    </row>
    <row r="63" spans="1:42" ht="41.25" customHeight="1">
      <c r="A63" s="2431"/>
      <c r="B63" s="2432"/>
      <c r="C63" s="2432"/>
      <c r="D63" s="2434"/>
      <c r="E63" s="2434"/>
      <c r="F63" s="2434"/>
      <c r="G63" s="2435" t="s">
        <v>1659</v>
      </c>
      <c r="H63" s="2436"/>
      <c r="I63" s="2437"/>
      <c r="J63" s="2340">
        <v>54</v>
      </c>
      <c r="K63" s="2441" t="s">
        <v>2115</v>
      </c>
      <c r="L63" s="2441" t="s">
        <v>2116</v>
      </c>
      <c r="M63" s="2443">
        <v>130</v>
      </c>
      <c r="N63" s="743"/>
      <c r="O63" s="2443" t="s">
        <v>2354</v>
      </c>
      <c r="P63" s="2441" t="s">
        <v>2355</v>
      </c>
      <c r="Q63" s="2451">
        <f>SUM(V63:V67)/R63</f>
        <v>0.530386335089074</v>
      </c>
      <c r="R63" s="2453">
        <f>SUM(V63:V72)</f>
        <v>5644237695.9</v>
      </c>
      <c r="S63" s="2434" t="s">
        <v>2356</v>
      </c>
      <c r="T63" s="2455" t="s">
        <v>2357</v>
      </c>
      <c r="U63" s="77" t="s">
        <v>2358</v>
      </c>
      <c r="V63" s="926">
        <f>488925000+48803750</f>
        <v>537728750</v>
      </c>
      <c r="W63" s="2460">
        <v>23</v>
      </c>
      <c r="X63" s="2461" t="s">
        <v>2359</v>
      </c>
      <c r="Y63" s="2445">
        <v>292684</v>
      </c>
      <c r="Z63" s="2445">
        <v>282326</v>
      </c>
      <c r="AA63" s="2447" t="e">
        <f>#REF!</f>
        <v>#REF!</v>
      </c>
      <c r="AB63" s="2447">
        <v>45122</v>
      </c>
      <c r="AC63" s="2447">
        <v>307101</v>
      </c>
      <c r="AD63" s="2447">
        <v>86875</v>
      </c>
      <c r="AE63" s="2447">
        <v>2145</v>
      </c>
      <c r="AF63" s="2447">
        <v>12718</v>
      </c>
      <c r="AG63" s="2447">
        <v>26</v>
      </c>
      <c r="AH63" s="2447">
        <v>37</v>
      </c>
      <c r="AI63" s="2447">
        <v>0</v>
      </c>
      <c r="AJ63" s="2447">
        <v>0</v>
      </c>
      <c r="AK63" s="2447">
        <v>53164</v>
      </c>
      <c r="AL63" s="2447">
        <v>16982</v>
      </c>
      <c r="AM63" s="2447">
        <v>60013</v>
      </c>
      <c r="AN63" s="2447">
        <v>575010</v>
      </c>
      <c r="AO63" s="2456" t="s">
        <v>2360</v>
      </c>
      <c r="AP63" s="2458" t="s">
        <v>2361</v>
      </c>
    </row>
    <row r="64" spans="1:42" ht="23.25" customHeight="1">
      <c r="A64" s="2431"/>
      <c r="B64" s="2432"/>
      <c r="C64" s="2432"/>
      <c r="D64" s="2434"/>
      <c r="E64" s="2434"/>
      <c r="F64" s="2434"/>
      <c r="G64" s="2438"/>
      <c r="H64" s="2439"/>
      <c r="I64" s="2440"/>
      <c r="J64" s="2341"/>
      <c r="K64" s="2442"/>
      <c r="L64" s="2442"/>
      <c r="M64" s="2444"/>
      <c r="N64" s="1690"/>
      <c r="O64" s="2444"/>
      <c r="P64" s="2442"/>
      <c r="Q64" s="2452"/>
      <c r="R64" s="2454"/>
      <c r="S64" s="2434"/>
      <c r="T64" s="2455"/>
      <c r="U64" s="77" t="s">
        <v>2362</v>
      </c>
      <c r="V64" s="926">
        <f>25980000-6760000</f>
        <v>19220000</v>
      </c>
      <c r="W64" s="2450"/>
      <c r="X64" s="2449"/>
      <c r="Y64" s="2446"/>
      <c r="Z64" s="2446"/>
      <c r="AA64" s="2448"/>
      <c r="AB64" s="2448"/>
      <c r="AC64" s="2448"/>
      <c r="AD64" s="2448"/>
      <c r="AE64" s="2448"/>
      <c r="AF64" s="2448"/>
      <c r="AG64" s="2448"/>
      <c r="AH64" s="2448"/>
      <c r="AI64" s="2448"/>
      <c r="AJ64" s="2448"/>
      <c r="AK64" s="2448"/>
      <c r="AL64" s="2448"/>
      <c r="AM64" s="2448"/>
      <c r="AN64" s="2448"/>
      <c r="AO64" s="2457"/>
      <c r="AP64" s="2459"/>
    </row>
    <row r="65" spans="1:42" ht="23.25" customHeight="1">
      <c r="A65" s="2431"/>
      <c r="B65" s="2432"/>
      <c r="C65" s="2432"/>
      <c r="D65" s="2434"/>
      <c r="E65" s="2434"/>
      <c r="F65" s="2434"/>
      <c r="G65" s="2438"/>
      <c r="H65" s="2439"/>
      <c r="I65" s="2440"/>
      <c r="J65" s="2341"/>
      <c r="K65" s="2442"/>
      <c r="L65" s="2442"/>
      <c r="M65" s="2444"/>
      <c r="N65" s="1690"/>
      <c r="O65" s="2444"/>
      <c r="P65" s="2442"/>
      <c r="Q65" s="2452"/>
      <c r="R65" s="2454"/>
      <c r="S65" s="2434"/>
      <c r="T65" s="2455"/>
      <c r="U65" s="77" t="s">
        <v>2363</v>
      </c>
      <c r="V65" s="926">
        <f>188675000-19225000</f>
        <v>169450000</v>
      </c>
      <c r="W65" s="2450"/>
      <c r="X65" s="2449"/>
      <c r="Y65" s="2446"/>
      <c r="Z65" s="2446"/>
      <c r="AA65" s="2448"/>
      <c r="AB65" s="2448"/>
      <c r="AC65" s="2448"/>
      <c r="AD65" s="2448"/>
      <c r="AE65" s="2448"/>
      <c r="AF65" s="2448"/>
      <c r="AG65" s="2448"/>
      <c r="AH65" s="2448"/>
      <c r="AI65" s="2448"/>
      <c r="AJ65" s="2448"/>
      <c r="AK65" s="2448"/>
      <c r="AL65" s="2448"/>
      <c r="AM65" s="2448"/>
      <c r="AN65" s="2448"/>
      <c r="AO65" s="2457"/>
      <c r="AP65" s="2459"/>
    </row>
    <row r="66" spans="1:42" ht="23.25" customHeight="1">
      <c r="A66" s="2431"/>
      <c r="B66" s="2432"/>
      <c r="C66" s="2432"/>
      <c r="D66" s="2434"/>
      <c r="E66" s="2434"/>
      <c r="F66" s="2434"/>
      <c r="G66" s="2438"/>
      <c r="H66" s="2439"/>
      <c r="I66" s="2440"/>
      <c r="J66" s="2341"/>
      <c r="K66" s="2442"/>
      <c r="L66" s="2442"/>
      <c r="M66" s="2444"/>
      <c r="N66" s="2442" t="s">
        <v>2364</v>
      </c>
      <c r="O66" s="2444"/>
      <c r="P66" s="2442"/>
      <c r="Q66" s="2452"/>
      <c r="R66" s="2454"/>
      <c r="S66" s="2434"/>
      <c r="T66" s="2455"/>
      <c r="U66" s="77" t="s">
        <v>2365</v>
      </c>
      <c r="V66" s="926">
        <f>300000000-177266433-2247047.1</f>
        <v>120486519.9</v>
      </c>
      <c r="W66" s="2450"/>
      <c r="X66" s="2449"/>
      <c r="Y66" s="2446"/>
      <c r="Z66" s="2446"/>
      <c r="AA66" s="2448"/>
      <c r="AB66" s="2448"/>
      <c r="AC66" s="2448"/>
      <c r="AD66" s="2448"/>
      <c r="AE66" s="2448"/>
      <c r="AF66" s="2448"/>
      <c r="AG66" s="2448"/>
      <c r="AH66" s="2448"/>
      <c r="AI66" s="2448"/>
      <c r="AJ66" s="2448"/>
      <c r="AK66" s="2448"/>
      <c r="AL66" s="2448"/>
      <c r="AM66" s="2448"/>
      <c r="AN66" s="2448"/>
      <c r="AO66" s="2457"/>
      <c r="AP66" s="2459"/>
    </row>
    <row r="67" spans="1:42" ht="23.25" customHeight="1">
      <c r="A67" s="2431"/>
      <c r="B67" s="2432"/>
      <c r="C67" s="2432"/>
      <c r="D67" s="2434"/>
      <c r="E67" s="2434"/>
      <c r="F67" s="2434"/>
      <c r="G67" s="2438"/>
      <c r="H67" s="2439"/>
      <c r="I67" s="2440"/>
      <c r="J67" s="2341"/>
      <c r="K67" s="2442"/>
      <c r="L67" s="2442"/>
      <c r="M67" s="2444"/>
      <c r="N67" s="2442"/>
      <c r="O67" s="2444"/>
      <c r="P67" s="2442"/>
      <c r="Q67" s="2452"/>
      <c r="R67" s="2454"/>
      <c r="S67" s="2434"/>
      <c r="T67" s="2455"/>
      <c r="U67" s="77" t="s">
        <v>2366</v>
      </c>
      <c r="V67" s="926">
        <f>2992293593+154447683-1000000000</f>
        <v>2146741276</v>
      </c>
      <c r="W67" s="2450"/>
      <c r="X67" s="2449"/>
      <c r="Y67" s="2446"/>
      <c r="Z67" s="2446"/>
      <c r="AA67" s="2448"/>
      <c r="AB67" s="2448"/>
      <c r="AC67" s="2448"/>
      <c r="AD67" s="2448"/>
      <c r="AE67" s="2448"/>
      <c r="AF67" s="2448"/>
      <c r="AG67" s="2448"/>
      <c r="AH67" s="2448"/>
      <c r="AI67" s="2448"/>
      <c r="AJ67" s="2448"/>
      <c r="AK67" s="2448"/>
      <c r="AL67" s="2448"/>
      <c r="AM67" s="2448"/>
      <c r="AN67" s="2448"/>
      <c r="AO67" s="2457"/>
      <c r="AP67" s="2459"/>
    </row>
    <row r="68" spans="1:42" ht="34.5" customHeight="1">
      <c r="A68" s="2431"/>
      <c r="B68" s="2432"/>
      <c r="C68" s="2432"/>
      <c r="D68" s="2434"/>
      <c r="E68" s="2434"/>
      <c r="F68" s="2434"/>
      <c r="G68" s="2438"/>
      <c r="H68" s="2439"/>
      <c r="I68" s="2440"/>
      <c r="J68" s="2340">
        <v>55</v>
      </c>
      <c r="K68" s="2441" t="s">
        <v>2367</v>
      </c>
      <c r="L68" s="2441" t="s">
        <v>2368</v>
      </c>
      <c r="M68" s="2124">
        <v>12</v>
      </c>
      <c r="N68" s="1690" t="s">
        <v>2369</v>
      </c>
      <c r="O68" s="2444"/>
      <c r="P68" s="2442"/>
      <c r="Q68" s="2451">
        <f>SUM(V68:V71)/R63</f>
        <v>0.2974026326388329</v>
      </c>
      <c r="R68" s="2454"/>
      <c r="S68" s="2434"/>
      <c r="T68" s="2455" t="s">
        <v>2370</v>
      </c>
      <c r="U68" s="77" t="s">
        <v>2358</v>
      </c>
      <c r="V68" s="926">
        <f>543000000+110000000-65723542</f>
        <v>587276458</v>
      </c>
      <c r="W68" s="2450">
        <v>46</v>
      </c>
      <c r="X68" s="2449" t="s">
        <v>2371</v>
      </c>
      <c r="Y68" s="2446"/>
      <c r="Z68" s="2446"/>
      <c r="AA68" s="2448"/>
      <c r="AB68" s="2448"/>
      <c r="AC68" s="2448"/>
      <c r="AD68" s="2448"/>
      <c r="AE68" s="2448"/>
      <c r="AF68" s="2448"/>
      <c r="AG68" s="2448"/>
      <c r="AH68" s="2448"/>
      <c r="AI68" s="2448"/>
      <c r="AJ68" s="2448"/>
      <c r="AK68" s="2448"/>
      <c r="AL68" s="2448"/>
      <c r="AM68" s="2448"/>
      <c r="AN68" s="2448"/>
      <c r="AO68" s="2457"/>
      <c r="AP68" s="2459"/>
    </row>
    <row r="69" spans="1:42" ht="23.25" customHeight="1">
      <c r="A69" s="2431"/>
      <c r="B69" s="2432"/>
      <c r="C69" s="2432"/>
      <c r="D69" s="2434"/>
      <c r="E69" s="2434"/>
      <c r="F69" s="2434"/>
      <c r="G69" s="2438"/>
      <c r="H69" s="2439"/>
      <c r="I69" s="2440"/>
      <c r="J69" s="2341"/>
      <c r="K69" s="2442"/>
      <c r="L69" s="2442"/>
      <c r="M69" s="2125"/>
      <c r="N69" s="1690"/>
      <c r="O69" s="2444"/>
      <c r="P69" s="2442"/>
      <c r="Q69" s="2452"/>
      <c r="R69" s="2454"/>
      <c r="S69" s="2434"/>
      <c r="T69" s="2455"/>
      <c r="U69" s="77" t="s">
        <v>2372</v>
      </c>
      <c r="V69" s="926">
        <v>65900000</v>
      </c>
      <c r="W69" s="2450"/>
      <c r="X69" s="2449"/>
      <c r="Y69" s="2446"/>
      <c r="Z69" s="2446"/>
      <c r="AA69" s="2448"/>
      <c r="AB69" s="2448"/>
      <c r="AC69" s="2448"/>
      <c r="AD69" s="2448"/>
      <c r="AE69" s="2448"/>
      <c r="AF69" s="2448"/>
      <c r="AG69" s="2448"/>
      <c r="AH69" s="2448"/>
      <c r="AI69" s="2448"/>
      <c r="AJ69" s="2448"/>
      <c r="AK69" s="2448"/>
      <c r="AL69" s="2448"/>
      <c r="AM69" s="2448"/>
      <c r="AN69" s="2448"/>
      <c r="AO69" s="2457"/>
      <c r="AP69" s="2459"/>
    </row>
    <row r="70" spans="1:42" ht="23.25" customHeight="1">
      <c r="A70" s="2431"/>
      <c r="B70" s="2432"/>
      <c r="C70" s="2432"/>
      <c r="D70" s="2434"/>
      <c r="E70" s="2434"/>
      <c r="F70" s="2434"/>
      <c r="G70" s="2438"/>
      <c r="H70" s="2439"/>
      <c r="I70" s="2440"/>
      <c r="J70" s="2341"/>
      <c r="K70" s="2442"/>
      <c r="L70" s="2442"/>
      <c r="M70" s="2125"/>
      <c r="N70" s="1690"/>
      <c r="O70" s="2444"/>
      <c r="P70" s="2442"/>
      <c r="Q70" s="2452"/>
      <c r="R70" s="2454"/>
      <c r="S70" s="2434"/>
      <c r="T70" s="2455"/>
      <c r="U70" s="77" t="s">
        <v>2363</v>
      </c>
      <c r="V70" s="926">
        <f>621545000-31117986</f>
        <v>590427014</v>
      </c>
      <c r="W70" s="2450">
        <v>88</v>
      </c>
      <c r="X70" s="2449" t="s">
        <v>2373</v>
      </c>
      <c r="Y70" s="2446"/>
      <c r="Z70" s="2446"/>
      <c r="AA70" s="2448"/>
      <c r="AB70" s="2448"/>
      <c r="AC70" s="2448"/>
      <c r="AD70" s="2448"/>
      <c r="AE70" s="2448"/>
      <c r="AF70" s="2448"/>
      <c r="AG70" s="2448"/>
      <c r="AH70" s="2448"/>
      <c r="AI70" s="2448"/>
      <c r="AJ70" s="2448"/>
      <c r="AK70" s="2448"/>
      <c r="AL70" s="2448"/>
      <c r="AM70" s="2448"/>
      <c r="AN70" s="2448"/>
      <c r="AO70" s="2457"/>
      <c r="AP70" s="2459"/>
    </row>
    <row r="71" spans="1:42" ht="23.25" customHeight="1">
      <c r="A71" s="2431"/>
      <c r="B71" s="2432"/>
      <c r="C71" s="2432"/>
      <c r="D71" s="2434"/>
      <c r="E71" s="2434"/>
      <c r="F71" s="2434"/>
      <c r="G71" s="2438"/>
      <c r="H71" s="2439"/>
      <c r="I71" s="2440"/>
      <c r="J71" s="2341"/>
      <c r="K71" s="2442"/>
      <c r="L71" s="2442"/>
      <c r="M71" s="2125"/>
      <c r="N71" s="1690" t="s">
        <v>2374</v>
      </c>
      <c r="O71" s="2444"/>
      <c r="P71" s="2442"/>
      <c r="Q71" s="2452"/>
      <c r="R71" s="2454"/>
      <c r="S71" s="2434"/>
      <c r="T71" s="2455"/>
      <c r="U71" s="767" t="s">
        <v>2366</v>
      </c>
      <c r="V71" s="1124">
        <f>605461462-170453784</f>
        <v>435007678</v>
      </c>
      <c r="W71" s="2450"/>
      <c r="X71" s="2449"/>
      <c r="Y71" s="2446"/>
      <c r="Z71" s="2446"/>
      <c r="AA71" s="2448"/>
      <c r="AB71" s="2448"/>
      <c r="AC71" s="2448"/>
      <c r="AD71" s="2448"/>
      <c r="AE71" s="2448"/>
      <c r="AF71" s="2448"/>
      <c r="AG71" s="2448"/>
      <c r="AH71" s="2448"/>
      <c r="AI71" s="2448"/>
      <c r="AJ71" s="2448"/>
      <c r="AK71" s="2448"/>
      <c r="AL71" s="2448"/>
      <c r="AM71" s="2448"/>
      <c r="AN71" s="2448"/>
      <c r="AO71" s="2457"/>
      <c r="AP71" s="2459"/>
    </row>
    <row r="72" spans="1:42" ht="122.25" customHeight="1">
      <c r="A72" s="2431"/>
      <c r="B72" s="2432"/>
      <c r="C72" s="2432"/>
      <c r="D72" s="2434"/>
      <c r="E72" s="2434"/>
      <c r="F72" s="2434"/>
      <c r="G72" s="2438"/>
      <c r="H72" s="2439"/>
      <c r="I72" s="2440"/>
      <c r="J72" s="425">
        <v>56</v>
      </c>
      <c r="K72" s="743" t="s">
        <v>2375</v>
      </c>
      <c r="L72" s="743" t="s">
        <v>2376</v>
      </c>
      <c r="M72" s="90">
        <v>3</v>
      </c>
      <c r="N72" s="1690" t="s">
        <v>2377</v>
      </c>
      <c r="O72" s="2444"/>
      <c r="P72" s="2442"/>
      <c r="Q72" s="1901">
        <f>SUM(V72:V72)/R63</f>
        <v>0.17221103227209322</v>
      </c>
      <c r="R72" s="2454"/>
      <c r="S72" s="2434"/>
      <c r="T72" s="1902" t="s">
        <v>2378</v>
      </c>
      <c r="U72" s="77" t="s">
        <v>2379</v>
      </c>
      <c r="V72" s="926">
        <f>892000000+80000000</f>
        <v>972000000</v>
      </c>
      <c r="W72" s="194">
        <v>89</v>
      </c>
      <c r="X72" s="1903" t="s">
        <v>2380</v>
      </c>
      <c r="Y72" s="2446"/>
      <c r="Z72" s="2446"/>
      <c r="AA72" s="2448"/>
      <c r="AB72" s="2448"/>
      <c r="AC72" s="2448"/>
      <c r="AD72" s="2448"/>
      <c r="AE72" s="2448"/>
      <c r="AF72" s="2448"/>
      <c r="AG72" s="2448"/>
      <c r="AH72" s="2448"/>
      <c r="AI72" s="2448"/>
      <c r="AJ72" s="2448"/>
      <c r="AK72" s="2448"/>
      <c r="AL72" s="2448"/>
      <c r="AM72" s="2448"/>
      <c r="AN72" s="2448"/>
      <c r="AO72" s="2457"/>
      <c r="AP72" s="2459"/>
    </row>
    <row r="73" spans="1:42" ht="15.75">
      <c r="A73" s="1904"/>
      <c r="B73" s="1905"/>
      <c r="C73" s="1906"/>
      <c r="D73" s="2435"/>
      <c r="E73" s="2436"/>
      <c r="F73" s="2437"/>
      <c r="G73" s="1907" t="s">
        <v>2381</v>
      </c>
      <c r="H73" s="1669" t="s">
        <v>2382</v>
      </c>
      <c r="I73" s="387"/>
      <c r="J73" s="387"/>
      <c r="K73" s="387"/>
      <c r="L73" s="387"/>
      <c r="M73" s="395"/>
      <c r="N73" s="388"/>
      <c r="O73" s="395"/>
      <c r="P73" s="388"/>
      <c r="Q73" s="388"/>
      <c r="R73" s="1897"/>
      <c r="S73" s="388"/>
      <c r="T73" s="428"/>
      <c r="U73" s="1908"/>
      <c r="V73" s="1909"/>
      <c r="W73" s="1910"/>
      <c r="X73" s="1911"/>
      <c r="Y73" s="1910"/>
      <c r="Z73" s="389"/>
      <c r="AA73" s="389"/>
      <c r="AB73" s="389"/>
      <c r="AC73" s="389"/>
      <c r="AD73" s="389"/>
      <c r="AE73" s="389"/>
      <c r="AF73" s="389"/>
      <c r="AG73" s="389"/>
      <c r="AH73" s="389"/>
      <c r="AI73" s="389"/>
      <c r="AJ73" s="389"/>
      <c r="AK73" s="389"/>
      <c r="AL73" s="389"/>
      <c r="AM73" s="389"/>
      <c r="AN73" s="389"/>
      <c r="AO73" s="389"/>
      <c r="AP73" s="1912"/>
    </row>
    <row r="74" spans="1:42" ht="46.5" customHeight="1">
      <c r="A74" s="1904"/>
      <c r="B74" s="1365"/>
      <c r="C74" s="1366"/>
      <c r="D74" s="2438"/>
      <c r="E74" s="2462"/>
      <c r="F74" s="2440"/>
      <c r="G74" s="2435"/>
      <c r="H74" s="2436"/>
      <c r="I74" s="2437"/>
      <c r="J74" s="2124">
        <v>57</v>
      </c>
      <c r="K74" s="2441" t="s">
        <v>2132</v>
      </c>
      <c r="L74" s="2441" t="s">
        <v>2133</v>
      </c>
      <c r="M74" s="2443">
        <v>12</v>
      </c>
      <c r="N74" s="743"/>
      <c r="O74" s="2443" t="s">
        <v>2383</v>
      </c>
      <c r="P74" s="2441" t="s">
        <v>2384</v>
      </c>
      <c r="Q74" s="2470">
        <f>SUM(V74:V79)/R74</f>
        <v>0.43980246146561924</v>
      </c>
      <c r="R74" s="2213">
        <f>SUM(V74:V96)</f>
        <v>14724099827.5</v>
      </c>
      <c r="S74" s="2441" t="s">
        <v>2385</v>
      </c>
      <c r="T74" s="2435" t="s">
        <v>2386</v>
      </c>
      <c r="U74" s="410" t="s">
        <v>2358</v>
      </c>
      <c r="V74" s="926">
        <f>370500000+19500000-10000000-50000000-65000000</f>
        <v>265000000</v>
      </c>
      <c r="W74" s="1913"/>
      <c r="X74" s="1914"/>
      <c r="Y74" s="2124">
        <v>292684</v>
      </c>
      <c r="Z74" s="2468">
        <v>282326</v>
      </c>
      <c r="AA74" s="2468">
        <v>135912</v>
      </c>
      <c r="AB74" s="2468">
        <v>45122</v>
      </c>
      <c r="AC74" s="2468">
        <v>307101</v>
      </c>
      <c r="AD74" s="2468">
        <v>86875</v>
      </c>
      <c r="AE74" s="2468">
        <v>2145</v>
      </c>
      <c r="AF74" s="2468">
        <v>12718</v>
      </c>
      <c r="AG74" s="2468">
        <v>26</v>
      </c>
      <c r="AH74" s="2468">
        <v>37</v>
      </c>
      <c r="AI74" s="2468">
        <v>0</v>
      </c>
      <c r="AJ74" s="2468">
        <v>0</v>
      </c>
      <c r="AK74" s="2468">
        <v>53164</v>
      </c>
      <c r="AL74" s="2468">
        <v>16982</v>
      </c>
      <c r="AM74" s="2468">
        <v>60013</v>
      </c>
      <c r="AN74" s="2468">
        <v>575010</v>
      </c>
      <c r="AO74" s="2477" t="s">
        <v>2387</v>
      </c>
      <c r="AP74" s="2479" t="s">
        <v>2388</v>
      </c>
    </row>
    <row r="75" spans="1:42" ht="29.25" customHeight="1">
      <c r="A75" s="1904"/>
      <c r="B75" s="1365"/>
      <c r="C75" s="1366"/>
      <c r="D75" s="2438"/>
      <c r="E75" s="2462"/>
      <c r="F75" s="2440"/>
      <c r="G75" s="2438"/>
      <c r="H75" s="2462"/>
      <c r="I75" s="2440"/>
      <c r="J75" s="2125"/>
      <c r="K75" s="2442"/>
      <c r="L75" s="2442"/>
      <c r="M75" s="2444"/>
      <c r="N75" s="1690"/>
      <c r="O75" s="2444"/>
      <c r="P75" s="2442"/>
      <c r="Q75" s="2471"/>
      <c r="R75" s="2214"/>
      <c r="S75" s="2442"/>
      <c r="T75" s="2438"/>
      <c r="U75" s="410" t="s">
        <v>2372</v>
      </c>
      <c r="V75" s="926">
        <f>111630000-10140000-6760000-1900000</f>
        <v>92830000</v>
      </c>
      <c r="W75" s="1915"/>
      <c r="X75" s="1916"/>
      <c r="Y75" s="2125"/>
      <c r="Z75" s="2469"/>
      <c r="AA75" s="2469"/>
      <c r="AB75" s="2469"/>
      <c r="AC75" s="2469"/>
      <c r="AD75" s="2469"/>
      <c r="AE75" s="2469"/>
      <c r="AF75" s="2469"/>
      <c r="AG75" s="2469"/>
      <c r="AH75" s="2469"/>
      <c r="AI75" s="2469"/>
      <c r="AJ75" s="2469"/>
      <c r="AK75" s="2469"/>
      <c r="AL75" s="2469"/>
      <c r="AM75" s="2469"/>
      <c r="AN75" s="2469"/>
      <c r="AO75" s="2478"/>
      <c r="AP75" s="2480"/>
    </row>
    <row r="76" spans="1:42" ht="29.25" customHeight="1">
      <c r="A76" s="1904"/>
      <c r="B76" s="1365"/>
      <c r="C76" s="1366"/>
      <c r="D76" s="2438"/>
      <c r="E76" s="2462"/>
      <c r="F76" s="2440"/>
      <c r="G76" s="2438"/>
      <c r="H76" s="2462"/>
      <c r="I76" s="2440"/>
      <c r="J76" s="2125"/>
      <c r="K76" s="2442"/>
      <c r="L76" s="2442"/>
      <c r="M76" s="2444"/>
      <c r="N76" s="1690"/>
      <c r="O76" s="2444"/>
      <c r="P76" s="2442"/>
      <c r="Q76" s="2471"/>
      <c r="R76" s="2214"/>
      <c r="S76" s="2442"/>
      <c r="T76" s="2438"/>
      <c r="U76" s="410" t="s">
        <v>2363</v>
      </c>
      <c r="V76" s="926">
        <f>908325000-10925000-42500000+10500000</f>
        <v>865400000</v>
      </c>
      <c r="W76" s="1915"/>
      <c r="X76" s="1916"/>
      <c r="Y76" s="2125"/>
      <c r="Z76" s="2469"/>
      <c r="AA76" s="2469"/>
      <c r="AB76" s="2469"/>
      <c r="AC76" s="2469"/>
      <c r="AD76" s="2469"/>
      <c r="AE76" s="2469"/>
      <c r="AF76" s="2469"/>
      <c r="AG76" s="2469"/>
      <c r="AH76" s="2469"/>
      <c r="AI76" s="2469"/>
      <c r="AJ76" s="2469"/>
      <c r="AK76" s="2469"/>
      <c r="AL76" s="2469"/>
      <c r="AM76" s="2469"/>
      <c r="AN76" s="2469"/>
      <c r="AO76" s="2478"/>
      <c r="AP76" s="2480"/>
    </row>
    <row r="77" spans="1:42" ht="29.25" customHeight="1">
      <c r="A77" s="1904"/>
      <c r="B77" s="1365"/>
      <c r="C77" s="1366"/>
      <c r="D77" s="2438"/>
      <c r="E77" s="2462"/>
      <c r="F77" s="2440"/>
      <c r="G77" s="2438"/>
      <c r="H77" s="2462"/>
      <c r="I77" s="2440"/>
      <c r="J77" s="2125"/>
      <c r="K77" s="2442"/>
      <c r="L77" s="2442"/>
      <c r="M77" s="2444"/>
      <c r="N77" s="1690"/>
      <c r="O77" s="2444"/>
      <c r="P77" s="2442"/>
      <c r="Q77" s="2471"/>
      <c r="R77" s="2214"/>
      <c r="S77" s="2442"/>
      <c r="T77" s="2438"/>
      <c r="U77" s="410" t="s">
        <v>2389</v>
      </c>
      <c r="V77" s="926">
        <f>999624065+370375935+31600000+21500000</f>
        <v>1423100000</v>
      </c>
      <c r="W77" s="1915"/>
      <c r="X77" s="1916"/>
      <c r="Y77" s="2125"/>
      <c r="Z77" s="2469"/>
      <c r="AA77" s="2469"/>
      <c r="AB77" s="2469"/>
      <c r="AC77" s="2469"/>
      <c r="AD77" s="2469"/>
      <c r="AE77" s="2469"/>
      <c r="AF77" s="2469"/>
      <c r="AG77" s="2469"/>
      <c r="AH77" s="2469"/>
      <c r="AI77" s="2469"/>
      <c r="AJ77" s="2469"/>
      <c r="AK77" s="2469"/>
      <c r="AL77" s="2469"/>
      <c r="AM77" s="2469"/>
      <c r="AN77" s="2469"/>
      <c r="AO77" s="2478"/>
      <c r="AP77" s="2480"/>
    </row>
    <row r="78" spans="1:42" ht="29.25" customHeight="1">
      <c r="A78" s="1904"/>
      <c r="B78" s="1365"/>
      <c r="C78" s="1366"/>
      <c r="D78" s="2438"/>
      <c r="E78" s="2462"/>
      <c r="F78" s="2440"/>
      <c r="G78" s="2438"/>
      <c r="H78" s="2462"/>
      <c r="I78" s="2440"/>
      <c r="J78" s="2125"/>
      <c r="K78" s="2442"/>
      <c r="L78" s="2442"/>
      <c r="M78" s="2444"/>
      <c r="N78" s="1690"/>
      <c r="O78" s="2444"/>
      <c r="P78" s="2442"/>
      <c r="Q78" s="2471"/>
      <c r="R78" s="2214"/>
      <c r="S78" s="2442"/>
      <c r="T78" s="2438"/>
      <c r="U78" s="410" t="s">
        <v>2390</v>
      </c>
      <c r="V78" s="926">
        <f>84912000+55088000+9700000+20300000</f>
        <v>170000000</v>
      </c>
      <c r="W78" s="1915"/>
      <c r="X78" s="1916"/>
      <c r="Y78" s="2125"/>
      <c r="Z78" s="2469"/>
      <c r="AA78" s="2469"/>
      <c r="AB78" s="2469"/>
      <c r="AC78" s="2469"/>
      <c r="AD78" s="2469"/>
      <c r="AE78" s="2469"/>
      <c r="AF78" s="2469"/>
      <c r="AG78" s="2469"/>
      <c r="AH78" s="2469"/>
      <c r="AI78" s="2469"/>
      <c r="AJ78" s="2469"/>
      <c r="AK78" s="2469"/>
      <c r="AL78" s="2469"/>
      <c r="AM78" s="2469"/>
      <c r="AN78" s="2469"/>
      <c r="AO78" s="2478"/>
      <c r="AP78" s="2480"/>
    </row>
    <row r="79" spans="1:42" ht="29.25" customHeight="1">
      <c r="A79" s="1904"/>
      <c r="B79" s="1365"/>
      <c r="C79" s="1366"/>
      <c r="D79" s="2438"/>
      <c r="E79" s="2462"/>
      <c r="F79" s="2440"/>
      <c r="G79" s="2438"/>
      <c r="H79" s="2462"/>
      <c r="I79" s="2440"/>
      <c r="J79" s="2126"/>
      <c r="K79" s="2463"/>
      <c r="L79" s="2463"/>
      <c r="M79" s="2464"/>
      <c r="N79" s="1690"/>
      <c r="O79" s="2444"/>
      <c r="P79" s="2442"/>
      <c r="Q79" s="2472"/>
      <c r="R79" s="2214"/>
      <c r="S79" s="2442"/>
      <c r="T79" s="2438"/>
      <c r="U79" s="410" t="s">
        <v>2366</v>
      </c>
      <c r="V79" s="926">
        <f>4065704282-423898935+17960000-400000</f>
        <v>3659365347</v>
      </c>
      <c r="W79" s="1915"/>
      <c r="X79" s="1916"/>
      <c r="Y79" s="2125"/>
      <c r="Z79" s="2469"/>
      <c r="AA79" s="2469"/>
      <c r="AB79" s="2469"/>
      <c r="AC79" s="2469"/>
      <c r="AD79" s="2469"/>
      <c r="AE79" s="2469"/>
      <c r="AF79" s="2469"/>
      <c r="AG79" s="2469"/>
      <c r="AH79" s="2469"/>
      <c r="AI79" s="2469"/>
      <c r="AJ79" s="2469"/>
      <c r="AK79" s="2469"/>
      <c r="AL79" s="2469"/>
      <c r="AM79" s="2469"/>
      <c r="AN79" s="2469"/>
      <c r="AO79" s="2478"/>
      <c r="AP79" s="2480"/>
    </row>
    <row r="80" spans="1:42" ht="33.75" customHeight="1">
      <c r="A80" s="1904"/>
      <c r="B80" s="1365"/>
      <c r="C80" s="1366"/>
      <c r="D80" s="2438"/>
      <c r="E80" s="2462"/>
      <c r="F80" s="2440"/>
      <c r="G80" s="2438"/>
      <c r="H80" s="2462"/>
      <c r="I80" s="2440"/>
      <c r="J80" s="2124">
        <v>58</v>
      </c>
      <c r="K80" s="2124" t="s">
        <v>2391</v>
      </c>
      <c r="L80" s="2098" t="s">
        <v>2392</v>
      </c>
      <c r="M80" s="2124">
        <v>2</v>
      </c>
      <c r="N80" s="1690"/>
      <c r="O80" s="2444"/>
      <c r="P80" s="2442"/>
      <c r="Q80" s="2470">
        <f>SUM(V80:V81)/R74</f>
        <v>0.054208722118907406</v>
      </c>
      <c r="R80" s="2214"/>
      <c r="S80" s="2442"/>
      <c r="T80" s="2438"/>
      <c r="U80" s="410" t="s">
        <v>2393</v>
      </c>
      <c r="V80" s="926">
        <f>320000000+80000000</f>
        <v>400000000</v>
      </c>
      <c r="W80" s="1917"/>
      <c r="X80" s="1916"/>
      <c r="Y80" s="2125"/>
      <c r="Z80" s="2469"/>
      <c r="AA80" s="2469"/>
      <c r="AB80" s="2469"/>
      <c r="AC80" s="2469"/>
      <c r="AD80" s="2469"/>
      <c r="AE80" s="2469"/>
      <c r="AF80" s="2469"/>
      <c r="AG80" s="2469"/>
      <c r="AH80" s="2469"/>
      <c r="AI80" s="2469"/>
      <c r="AJ80" s="2469"/>
      <c r="AK80" s="2469"/>
      <c r="AL80" s="2469"/>
      <c r="AM80" s="2469"/>
      <c r="AN80" s="2469"/>
      <c r="AO80" s="2478"/>
      <c r="AP80" s="2480"/>
    </row>
    <row r="81" spans="1:42" ht="54" customHeight="1">
      <c r="A81" s="1904"/>
      <c r="B81" s="1365"/>
      <c r="C81" s="1366"/>
      <c r="D81" s="2438"/>
      <c r="E81" s="2462"/>
      <c r="F81" s="2440"/>
      <c r="G81" s="2438"/>
      <c r="H81" s="2462"/>
      <c r="I81" s="2440"/>
      <c r="J81" s="2126"/>
      <c r="K81" s="2126"/>
      <c r="L81" s="2099"/>
      <c r="M81" s="2126"/>
      <c r="N81" s="1690"/>
      <c r="O81" s="2444"/>
      <c r="P81" s="2442"/>
      <c r="Q81" s="2472"/>
      <c r="R81" s="2214"/>
      <c r="S81" s="2442"/>
      <c r="T81" s="2438"/>
      <c r="U81" s="410" t="s">
        <v>2389</v>
      </c>
      <c r="V81" s="926">
        <f>420000000-21825364</f>
        <v>398174636</v>
      </c>
      <c r="W81" s="1917"/>
      <c r="X81" s="1916"/>
      <c r="Y81" s="2125"/>
      <c r="Z81" s="2469"/>
      <c r="AA81" s="2469"/>
      <c r="AB81" s="2469"/>
      <c r="AC81" s="2469"/>
      <c r="AD81" s="2469"/>
      <c r="AE81" s="2469"/>
      <c r="AF81" s="2469"/>
      <c r="AG81" s="2469"/>
      <c r="AH81" s="2469"/>
      <c r="AI81" s="2469"/>
      <c r="AJ81" s="2469"/>
      <c r="AK81" s="2469"/>
      <c r="AL81" s="2469"/>
      <c r="AM81" s="2469"/>
      <c r="AN81" s="2469"/>
      <c r="AO81" s="2478"/>
      <c r="AP81" s="2480"/>
    </row>
    <row r="82" spans="1:42" ht="58.5" customHeight="1">
      <c r="A82" s="1904"/>
      <c r="B82" s="1365"/>
      <c r="C82" s="1366"/>
      <c r="D82" s="2438"/>
      <c r="E82" s="2462"/>
      <c r="F82" s="2440"/>
      <c r="G82" s="2438"/>
      <c r="H82" s="2462"/>
      <c r="I82" s="2440"/>
      <c r="J82" s="2340">
        <v>59</v>
      </c>
      <c r="K82" s="2098" t="s">
        <v>2126</v>
      </c>
      <c r="L82" s="2441" t="s">
        <v>2127</v>
      </c>
      <c r="M82" s="2124">
        <v>12</v>
      </c>
      <c r="N82" s="1690" t="s">
        <v>2394</v>
      </c>
      <c r="O82" s="2444"/>
      <c r="P82" s="2442"/>
      <c r="Q82" s="2470">
        <f>SUM(V82:V86)/R74</f>
        <v>0.238388937532487</v>
      </c>
      <c r="R82" s="2214"/>
      <c r="S82" s="2442"/>
      <c r="T82" s="2438"/>
      <c r="U82" s="2049" t="s">
        <v>2395</v>
      </c>
      <c r="V82" s="926">
        <f>67600000+30000000</f>
        <v>97600000</v>
      </c>
      <c r="W82" s="1918">
        <v>4</v>
      </c>
      <c r="X82" s="1919" t="s">
        <v>2396</v>
      </c>
      <c r="Y82" s="2125"/>
      <c r="Z82" s="2469"/>
      <c r="AA82" s="2469"/>
      <c r="AB82" s="2469"/>
      <c r="AC82" s="2469"/>
      <c r="AD82" s="2469"/>
      <c r="AE82" s="2469"/>
      <c r="AF82" s="2469"/>
      <c r="AG82" s="2469"/>
      <c r="AH82" s="2469"/>
      <c r="AI82" s="2469"/>
      <c r="AJ82" s="2469"/>
      <c r="AK82" s="2469"/>
      <c r="AL82" s="2469"/>
      <c r="AM82" s="2469"/>
      <c r="AN82" s="2469"/>
      <c r="AO82" s="2478"/>
      <c r="AP82" s="2480"/>
    </row>
    <row r="83" spans="1:42" ht="35.25" customHeight="1">
      <c r="A83" s="1904"/>
      <c r="B83" s="1365"/>
      <c r="C83" s="1366"/>
      <c r="D83" s="2438"/>
      <c r="E83" s="2462"/>
      <c r="F83" s="2440"/>
      <c r="G83" s="2438"/>
      <c r="H83" s="2462"/>
      <c r="I83" s="2440"/>
      <c r="J83" s="2341"/>
      <c r="K83" s="2127"/>
      <c r="L83" s="2442"/>
      <c r="M83" s="2125"/>
      <c r="N83" s="1690"/>
      <c r="O83" s="2444"/>
      <c r="P83" s="2442"/>
      <c r="Q83" s="2471"/>
      <c r="R83" s="2214"/>
      <c r="S83" s="2442"/>
      <c r="T83" s="2438"/>
      <c r="U83" s="410" t="s">
        <v>2362</v>
      </c>
      <c r="V83" s="926">
        <v>55700000</v>
      </c>
      <c r="W83" s="1917"/>
      <c r="X83" s="1919"/>
      <c r="Y83" s="2125"/>
      <c r="Z83" s="2469"/>
      <c r="AA83" s="2469"/>
      <c r="AB83" s="2469"/>
      <c r="AC83" s="2469"/>
      <c r="AD83" s="2469"/>
      <c r="AE83" s="2469"/>
      <c r="AF83" s="2469"/>
      <c r="AG83" s="2469"/>
      <c r="AH83" s="2469"/>
      <c r="AI83" s="2469"/>
      <c r="AJ83" s="2469"/>
      <c r="AK83" s="2469"/>
      <c r="AL83" s="2469"/>
      <c r="AM83" s="2469"/>
      <c r="AN83" s="2469"/>
      <c r="AO83" s="2478"/>
      <c r="AP83" s="2480"/>
    </row>
    <row r="84" spans="1:42" ht="42.75" customHeight="1">
      <c r="A84" s="1904"/>
      <c r="B84" s="1365"/>
      <c r="C84" s="1366"/>
      <c r="D84" s="2438"/>
      <c r="E84" s="2462"/>
      <c r="F84" s="2440"/>
      <c r="G84" s="2438"/>
      <c r="H84" s="2462"/>
      <c r="I84" s="2440"/>
      <c r="J84" s="2341"/>
      <c r="K84" s="2127"/>
      <c r="L84" s="2442"/>
      <c r="M84" s="2125"/>
      <c r="N84" s="1690" t="s">
        <v>2397</v>
      </c>
      <c r="O84" s="2444"/>
      <c r="P84" s="2442"/>
      <c r="Q84" s="2471"/>
      <c r="R84" s="2214"/>
      <c r="S84" s="2442"/>
      <c r="T84" s="2438"/>
      <c r="U84" s="410" t="s">
        <v>2363</v>
      </c>
      <c r="V84" s="926">
        <v>365197500</v>
      </c>
      <c r="W84" s="1918">
        <v>20</v>
      </c>
      <c r="X84" s="1919" t="s">
        <v>80</v>
      </c>
      <c r="Y84" s="2125"/>
      <c r="Z84" s="2469"/>
      <c r="AA84" s="2469"/>
      <c r="AB84" s="2469"/>
      <c r="AC84" s="2469"/>
      <c r="AD84" s="2469"/>
      <c r="AE84" s="2469"/>
      <c r="AF84" s="2469"/>
      <c r="AG84" s="2469"/>
      <c r="AH84" s="2469"/>
      <c r="AI84" s="2469"/>
      <c r="AJ84" s="2469"/>
      <c r="AK84" s="2469"/>
      <c r="AL84" s="2469"/>
      <c r="AM84" s="2469"/>
      <c r="AN84" s="2469"/>
      <c r="AO84" s="2478"/>
      <c r="AP84" s="2480"/>
    </row>
    <row r="85" spans="1:42" ht="21.75" customHeight="1">
      <c r="A85" s="1904"/>
      <c r="B85" s="1365"/>
      <c r="C85" s="1366"/>
      <c r="D85" s="2438"/>
      <c r="E85" s="2462"/>
      <c r="F85" s="2440"/>
      <c r="G85" s="2438"/>
      <c r="H85" s="2462"/>
      <c r="I85" s="2440"/>
      <c r="J85" s="2341"/>
      <c r="K85" s="2127"/>
      <c r="L85" s="2442"/>
      <c r="M85" s="2125"/>
      <c r="N85" s="1690"/>
      <c r="O85" s="2444"/>
      <c r="P85" s="2442"/>
      <c r="Q85" s="2471"/>
      <c r="R85" s="2214"/>
      <c r="S85" s="2442"/>
      <c r="T85" s="2438"/>
      <c r="U85" s="2050" t="s">
        <v>2389</v>
      </c>
      <c r="V85" s="926">
        <v>135000000</v>
      </c>
      <c r="W85" s="1918"/>
      <c r="X85" s="1919"/>
      <c r="Y85" s="2125"/>
      <c r="Z85" s="2469"/>
      <c r="AA85" s="2469"/>
      <c r="AB85" s="2469"/>
      <c r="AC85" s="2469"/>
      <c r="AD85" s="2469"/>
      <c r="AE85" s="2469"/>
      <c r="AF85" s="2469"/>
      <c r="AG85" s="2469"/>
      <c r="AH85" s="2469"/>
      <c r="AI85" s="2469"/>
      <c r="AJ85" s="2469"/>
      <c r="AK85" s="2469"/>
      <c r="AL85" s="2469"/>
      <c r="AM85" s="2469"/>
      <c r="AN85" s="2469"/>
      <c r="AO85" s="2478"/>
      <c r="AP85" s="2480"/>
    </row>
    <row r="86" spans="1:42" ht="26.25" customHeight="1">
      <c r="A86" s="1904"/>
      <c r="B86" s="1365"/>
      <c r="C86" s="1366"/>
      <c r="D86" s="2438"/>
      <c r="E86" s="2462"/>
      <c r="F86" s="2440"/>
      <c r="G86" s="2438"/>
      <c r="H86" s="2462"/>
      <c r="I86" s="2440"/>
      <c r="J86" s="2341"/>
      <c r="K86" s="2127"/>
      <c r="L86" s="2442"/>
      <c r="M86" s="2125"/>
      <c r="N86" s="1690"/>
      <c r="O86" s="2444"/>
      <c r="P86" s="2442"/>
      <c r="Q86" s="2471"/>
      <c r="R86" s="2214"/>
      <c r="S86" s="2442"/>
      <c r="T86" s="2438"/>
      <c r="U86" s="410" t="s">
        <v>2366</v>
      </c>
      <c r="V86" s="926">
        <f>2706565014+180000000-30000000</f>
        <v>2856565014</v>
      </c>
      <c r="W86" s="1917"/>
      <c r="X86" s="1919"/>
      <c r="Y86" s="2125"/>
      <c r="Z86" s="2469"/>
      <c r="AA86" s="2469"/>
      <c r="AB86" s="2469"/>
      <c r="AC86" s="2469"/>
      <c r="AD86" s="2469"/>
      <c r="AE86" s="2469"/>
      <c r="AF86" s="2469"/>
      <c r="AG86" s="2469"/>
      <c r="AH86" s="2469"/>
      <c r="AI86" s="2469"/>
      <c r="AJ86" s="2469"/>
      <c r="AK86" s="2469"/>
      <c r="AL86" s="2469"/>
      <c r="AM86" s="2469"/>
      <c r="AN86" s="2469"/>
      <c r="AO86" s="2478"/>
      <c r="AP86" s="2480"/>
    </row>
    <row r="87" spans="1:42" ht="15" customHeight="1">
      <c r="A87" s="1904"/>
      <c r="B87" s="1365"/>
      <c r="C87" s="1366"/>
      <c r="D87" s="2438"/>
      <c r="E87" s="2462"/>
      <c r="F87" s="2440"/>
      <c r="G87" s="2438"/>
      <c r="H87" s="2462"/>
      <c r="I87" s="2440"/>
      <c r="J87" s="2340">
        <v>60</v>
      </c>
      <c r="K87" s="2098" t="s">
        <v>2135</v>
      </c>
      <c r="L87" s="2441" t="s">
        <v>2398</v>
      </c>
      <c r="M87" s="2124">
        <v>12</v>
      </c>
      <c r="N87" s="1690" t="s">
        <v>2399</v>
      </c>
      <c r="O87" s="2444"/>
      <c r="P87" s="2442"/>
      <c r="Q87" s="2470">
        <f>SUM(V87:V90)/R74</f>
        <v>0.057835301069443255</v>
      </c>
      <c r="R87" s="2214"/>
      <c r="S87" s="2442"/>
      <c r="T87" s="2438"/>
      <c r="U87" s="2475" t="s">
        <v>2393</v>
      </c>
      <c r="V87" s="2476">
        <f>466000000-6864000-159136000-27817650</f>
        <v>272182350</v>
      </c>
      <c r="W87" s="1918">
        <v>46</v>
      </c>
      <c r="X87" s="1919" t="s">
        <v>2371</v>
      </c>
      <c r="Y87" s="2125"/>
      <c r="Z87" s="2469"/>
      <c r="AA87" s="2469"/>
      <c r="AB87" s="2469"/>
      <c r="AC87" s="2469"/>
      <c r="AD87" s="2469"/>
      <c r="AE87" s="2469"/>
      <c r="AF87" s="2469"/>
      <c r="AG87" s="2469"/>
      <c r="AH87" s="2469"/>
      <c r="AI87" s="2469"/>
      <c r="AJ87" s="2469"/>
      <c r="AK87" s="2469"/>
      <c r="AL87" s="2469"/>
      <c r="AM87" s="2469"/>
      <c r="AN87" s="2469"/>
      <c r="AO87" s="2478"/>
      <c r="AP87" s="2480"/>
    </row>
    <row r="88" spans="1:42" ht="15" customHeight="1">
      <c r="A88" s="1904"/>
      <c r="B88" s="1365"/>
      <c r="C88" s="1366"/>
      <c r="D88" s="2438"/>
      <c r="E88" s="2462"/>
      <c r="F88" s="2440"/>
      <c r="G88" s="2438"/>
      <c r="H88" s="2462"/>
      <c r="I88" s="2440"/>
      <c r="J88" s="2341"/>
      <c r="K88" s="2127"/>
      <c r="L88" s="2442"/>
      <c r="M88" s="2125"/>
      <c r="N88" s="1690"/>
      <c r="O88" s="2444"/>
      <c r="P88" s="2442"/>
      <c r="Q88" s="2471"/>
      <c r="R88" s="2214"/>
      <c r="S88" s="2442"/>
      <c r="T88" s="2438"/>
      <c r="U88" s="2475"/>
      <c r="V88" s="2476"/>
      <c r="W88" s="1918"/>
      <c r="X88" s="1916"/>
      <c r="Y88" s="2125"/>
      <c r="Z88" s="2469"/>
      <c r="AA88" s="2469"/>
      <c r="AB88" s="2469"/>
      <c r="AC88" s="2469"/>
      <c r="AD88" s="2469"/>
      <c r="AE88" s="2469"/>
      <c r="AF88" s="2469"/>
      <c r="AG88" s="2469"/>
      <c r="AH88" s="2469"/>
      <c r="AI88" s="2469"/>
      <c r="AJ88" s="2469"/>
      <c r="AK88" s="2469"/>
      <c r="AL88" s="2469"/>
      <c r="AM88" s="2469"/>
      <c r="AN88" s="2469"/>
      <c r="AO88" s="2478"/>
      <c r="AP88" s="2480"/>
    </row>
    <row r="89" spans="1:42" ht="30.75" customHeight="1">
      <c r="A89" s="1904"/>
      <c r="B89" s="1365"/>
      <c r="C89" s="1366"/>
      <c r="D89" s="2438"/>
      <c r="E89" s="2462"/>
      <c r="F89" s="2440"/>
      <c r="G89" s="2438"/>
      <c r="H89" s="2462"/>
      <c r="I89" s="2440"/>
      <c r="J89" s="2341"/>
      <c r="K89" s="2127"/>
      <c r="L89" s="2442"/>
      <c r="M89" s="2125"/>
      <c r="N89" s="1690"/>
      <c r="O89" s="2444"/>
      <c r="P89" s="2442"/>
      <c r="Q89" s="2471"/>
      <c r="R89" s="2214"/>
      <c r="S89" s="2442"/>
      <c r="T89" s="2438"/>
      <c r="U89" s="2049" t="s">
        <v>2363</v>
      </c>
      <c r="V89" s="926">
        <f>0+6864000+59136000-31900000</f>
        <v>34100000</v>
      </c>
      <c r="W89" s="1918"/>
      <c r="X89" s="1916"/>
      <c r="Y89" s="2125"/>
      <c r="Z89" s="2469"/>
      <c r="AA89" s="2469"/>
      <c r="AB89" s="2469"/>
      <c r="AC89" s="2469"/>
      <c r="AD89" s="2469"/>
      <c r="AE89" s="2469"/>
      <c r="AF89" s="2469"/>
      <c r="AG89" s="2469"/>
      <c r="AH89" s="2469"/>
      <c r="AI89" s="2469"/>
      <c r="AJ89" s="2469"/>
      <c r="AK89" s="2469"/>
      <c r="AL89" s="2469"/>
      <c r="AM89" s="2469"/>
      <c r="AN89" s="2469"/>
      <c r="AO89" s="2478"/>
      <c r="AP89" s="2480"/>
    </row>
    <row r="90" spans="1:42" ht="26.25" customHeight="1">
      <c r="A90" s="1904"/>
      <c r="B90" s="1365"/>
      <c r="C90" s="1366"/>
      <c r="D90" s="2438"/>
      <c r="E90" s="2462"/>
      <c r="F90" s="2440"/>
      <c r="G90" s="2438"/>
      <c r="H90" s="2462"/>
      <c r="I90" s="2440"/>
      <c r="J90" s="2341"/>
      <c r="K90" s="2127"/>
      <c r="L90" s="2442"/>
      <c r="M90" s="2125"/>
      <c r="N90" s="1690"/>
      <c r="O90" s="2444"/>
      <c r="P90" s="2442"/>
      <c r="Q90" s="2471"/>
      <c r="R90" s="2214"/>
      <c r="S90" s="2442"/>
      <c r="T90" s="2438"/>
      <c r="U90" s="2049" t="s">
        <v>2400</v>
      </c>
      <c r="V90" s="926">
        <v>545290396.5</v>
      </c>
      <c r="W90" s="1918"/>
      <c r="X90" s="1916"/>
      <c r="Y90" s="2125"/>
      <c r="Z90" s="2469"/>
      <c r="AA90" s="2469"/>
      <c r="AB90" s="2469"/>
      <c r="AC90" s="2469"/>
      <c r="AD90" s="2469"/>
      <c r="AE90" s="2469"/>
      <c r="AF90" s="2469"/>
      <c r="AG90" s="2469"/>
      <c r="AH90" s="2469"/>
      <c r="AI90" s="2469"/>
      <c r="AJ90" s="2469"/>
      <c r="AK90" s="2469"/>
      <c r="AL90" s="2469"/>
      <c r="AM90" s="2469"/>
      <c r="AN90" s="2469"/>
      <c r="AO90" s="2478"/>
      <c r="AP90" s="2480"/>
    </row>
    <row r="91" spans="1:42" ht="27" customHeight="1">
      <c r="A91" s="1904"/>
      <c r="B91" s="1365"/>
      <c r="C91" s="1366"/>
      <c r="D91" s="2438"/>
      <c r="E91" s="2462"/>
      <c r="F91" s="2440"/>
      <c r="G91" s="2438"/>
      <c r="H91" s="2462"/>
      <c r="I91" s="2440"/>
      <c r="J91" s="2465">
        <v>61</v>
      </c>
      <c r="K91" s="2441" t="s">
        <v>2401</v>
      </c>
      <c r="L91" s="2441" t="s">
        <v>2402</v>
      </c>
      <c r="M91" s="2124">
        <v>1</v>
      </c>
      <c r="N91" s="1690" t="s">
        <v>2403</v>
      </c>
      <c r="O91" s="2444"/>
      <c r="P91" s="2442"/>
      <c r="Q91" s="2470">
        <f>SUM(V91:V93)/R74</f>
        <v>0.10585330188328622</v>
      </c>
      <c r="R91" s="2214"/>
      <c r="S91" s="2442"/>
      <c r="T91" s="2438"/>
      <c r="U91" s="2475" t="s">
        <v>2393</v>
      </c>
      <c r="V91" s="2476">
        <v>900000000</v>
      </c>
      <c r="W91" s="2473">
        <v>82</v>
      </c>
      <c r="X91" s="2474" t="s">
        <v>2309</v>
      </c>
      <c r="Y91" s="2125"/>
      <c r="Z91" s="2469"/>
      <c r="AA91" s="2469"/>
      <c r="AB91" s="2469"/>
      <c r="AC91" s="2469"/>
      <c r="AD91" s="2469"/>
      <c r="AE91" s="2469"/>
      <c r="AF91" s="2469"/>
      <c r="AG91" s="2469"/>
      <c r="AH91" s="2469"/>
      <c r="AI91" s="2469"/>
      <c r="AJ91" s="2469"/>
      <c r="AK91" s="2469"/>
      <c r="AL91" s="2469"/>
      <c r="AM91" s="2469"/>
      <c r="AN91" s="2469"/>
      <c r="AO91" s="2478"/>
      <c r="AP91" s="2480"/>
    </row>
    <row r="92" spans="1:42" ht="27" customHeight="1">
      <c r="A92" s="1904"/>
      <c r="B92" s="1365"/>
      <c r="C92" s="1366"/>
      <c r="D92" s="2438"/>
      <c r="E92" s="2462"/>
      <c r="F92" s="2440"/>
      <c r="G92" s="2438"/>
      <c r="H92" s="2462"/>
      <c r="I92" s="2440"/>
      <c r="J92" s="2466"/>
      <c r="K92" s="2442"/>
      <c r="L92" s="2442"/>
      <c r="M92" s="2125"/>
      <c r="N92" s="1690"/>
      <c r="O92" s="2444"/>
      <c r="P92" s="2442"/>
      <c r="Q92" s="2471"/>
      <c r="R92" s="2214"/>
      <c r="S92" s="2442"/>
      <c r="T92" s="2438"/>
      <c r="U92" s="2475"/>
      <c r="V92" s="2476"/>
      <c r="W92" s="2473"/>
      <c r="X92" s="2474"/>
      <c r="Y92" s="2125"/>
      <c r="Z92" s="2469"/>
      <c r="AA92" s="2469"/>
      <c r="AB92" s="2469"/>
      <c r="AC92" s="2469"/>
      <c r="AD92" s="2469"/>
      <c r="AE92" s="2469"/>
      <c r="AF92" s="2469"/>
      <c r="AG92" s="2469"/>
      <c r="AH92" s="2469"/>
      <c r="AI92" s="2469"/>
      <c r="AJ92" s="2469"/>
      <c r="AK92" s="2469"/>
      <c r="AL92" s="2469"/>
      <c r="AM92" s="2469"/>
      <c r="AN92" s="2469"/>
      <c r="AO92" s="2478"/>
      <c r="AP92" s="2480"/>
    </row>
    <row r="93" spans="1:42" ht="72.75" customHeight="1">
      <c r="A93" s="1904"/>
      <c r="B93" s="1365"/>
      <c r="C93" s="1366"/>
      <c r="D93" s="2438"/>
      <c r="E93" s="2462"/>
      <c r="F93" s="2440"/>
      <c r="G93" s="2438"/>
      <c r="H93" s="2462"/>
      <c r="I93" s="2440"/>
      <c r="J93" s="2467"/>
      <c r="K93" s="2463"/>
      <c r="L93" s="2463"/>
      <c r="M93" s="2126"/>
      <c r="N93" s="1690" t="s">
        <v>2404</v>
      </c>
      <c r="O93" s="2444"/>
      <c r="P93" s="2442"/>
      <c r="Q93" s="2472"/>
      <c r="R93" s="2214"/>
      <c r="S93" s="2442"/>
      <c r="T93" s="2438"/>
      <c r="U93" s="2051" t="s">
        <v>2400</v>
      </c>
      <c r="V93" s="1008">
        <f>900000000-241405416</f>
        <v>658594584</v>
      </c>
      <c r="W93" s="1918">
        <v>88</v>
      </c>
      <c r="X93" s="1919" t="s">
        <v>2373</v>
      </c>
      <c r="Y93" s="2125"/>
      <c r="Z93" s="2469"/>
      <c r="AA93" s="2469"/>
      <c r="AB93" s="2469"/>
      <c r="AC93" s="2469"/>
      <c r="AD93" s="2469"/>
      <c r="AE93" s="2469"/>
      <c r="AF93" s="2469"/>
      <c r="AG93" s="2469"/>
      <c r="AH93" s="2469"/>
      <c r="AI93" s="2469"/>
      <c r="AJ93" s="2469"/>
      <c r="AK93" s="2469"/>
      <c r="AL93" s="2469"/>
      <c r="AM93" s="2469"/>
      <c r="AN93" s="2469"/>
      <c r="AO93" s="2478"/>
      <c r="AP93" s="2480"/>
    </row>
    <row r="94" spans="1:42" ht="39" customHeight="1">
      <c r="A94" s="1904"/>
      <c r="B94" s="1365"/>
      <c r="C94" s="1366"/>
      <c r="D94" s="2438"/>
      <c r="E94" s="2462"/>
      <c r="F94" s="2440"/>
      <c r="G94" s="2438"/>
      <c r="H94" s="2462"/>
      <c r="I94" s="2440"/>
      <c r="J94" s="2465">
        <v>62</v>
      </c>
      <c r="K94" s="2441" t="s">
        <v>2405</v>
      </c>
      <c r="L94" s="2441" t="s">
        <v>2406</v>
      </c>
      <c r="M94" s="2443">
        <v>2</v>
      </c>
      <c r="N94" s="1690"/>
      <c r="O94" s="2444"/>
      <c r="P94" s="2442"/>
      <c r="Q94" s="2470">
        <f>SUM(V94:V95)/R74</f>
        <v>0.10187379993162438</v>
      </c>
      <c r="R94" s="2214"/>
      <c r="S94" s="2442"/>
      <c r="T94" s="2438"/>
      <c r="U94" s="410" t="s">
        <v>2400</v>
      </c>
      <c r="V94" s="926">
        <f>1200000000+44000000+100000000</f>
        <v>1344000000</v>
      </c>
      <c r="W94" s="1917"/>
      <c r="X94" s="1916"/>
      <c r="Y94" s="2125"/>
      <c r="Z94" s="2469"/>
      <c r="AA94" s="2469"/>
      <c r="AB94" s="2469"/>
      <c r="AC94" s="2469"/>
      <c r="AD94" s="2469"/>
      <c r="AE94" s="2469"/>
      <c r="AF94" s="2469"/>
      <c r="AG94" s="2469"/>
      <c r="AH94" s="2469"/>
      <c r="AI94" s="2469"/>
      <c r="AJ94" s="2469"/>
      <c r="AK94" s="2469"/>
      <c r="AL94" s="2469"/>
      <c r="AM94" s="2469"/>
      <c r="AN94" s="2469"/>
      <c r="AO94" s="2478"/>
      <c r="AP94" s="2480"/>
    </row>
    <row r="95" spans="1:42" ht="85.5" customHeight="1">
      <c r="A95" s="1904"/>
      <c r="B95" s="1365"/>
      <c r="C95" s="1366"/>
      <c r="D95" s="2438"/>
      <c r="E95" s="2462"/>
      <c r="F95" s="2440"/>
      <c r="G95" s="2438"/>
      <c r="H95" s="2462"/>
      <c r="I95" s="2440"/>
      <c r="J95" s="2466"/>
      <c r="K95" s="2442"/>
      <c r="L95" s="2442"/>
      <c r="M95" s="2444"/>
      <c r="N95" s="1690"/>
      <c r="O95" s="2444"/>
      <c r="P95" s="2442"/>
      <c r="Q95" s="2471"/>
      <c r="R95" s="2214"/>
      <c r="S95" s="2442"/>
      <c r="T95" s="2438"/>
      <c r="U95" s="410" t="s">
        <v>2390</v>
      </c>
      <c r="V95" s="926">
        <f>300000000-144000000</f>
        <v>156000000</v>
      </c>
      <c r="W95" s="1917"/>
      <c r="X95" s="1916"/>
      <c r="Y95" s="2125"/>
      <c r="Z95" s="2469"/>
      <c r="AA95" s="2469"/>
      <c r="AB95" s="2469"/>
      <c r="AC95" s="2469"/>
      <c r="AD95" s="2469"/>
      <c r="AE95" s="2469"/>
      <c r="AF95" s="2469"/>
      <c r="AG95" s="2469"/>
      <c r="AH95" s="2469"/>
      <c r="AI95" s="2469"/>
      <c r="AJ95" s="2469"/>
      <c r="AK95" s="2469"/>
      <c r="AL95" s="2469"/>
      <c r="AM95" s="2469"/>
      <c r="AN95" s="2469"/>
      <c r="AO95" s="2478"/>
      <c r="AP95" s="2480"/>
    </row>
    <row r="96" spans="1:42" ht="95.25" customHeight="1">
      <c r="A96" s="1904"/>
      <c r="B96" s="1365"/>
      <c r="C96" s="1366"/>
      <c r="D96" s="2438"/>
      <c r="E96" s="2462"/>
      <c r="F96" s="2440"/>
      <c r="G96" s="2438"/>
      <c r="H96" s="2462"/>
      <c r="I96" s="2440"/>
      <c r="J96" s="1171">
        <v>64</v>
      </c>
      <c r="K96" s="91" t="s">
        <v>2407</v>
      </c>
      <c r="L96" s="743" t="s">
        <v>2408</v>
      </c>
      <c r="M96" s="414">
        <v>2</v>
      </c>
      <c r="N96" s="1690"/>
      <c r="O96" s="2444"/>
      <c r="P96" s="2442"/>
      <c r="Q96" s="1920">
        <f>SUM(V96:V96)/R74</f>
        <v>0.0020374759986324874</v>
      </c>
      <c r="R96" s="2214"/>
      <c r="S96" s="2442"/>
      <c r="T96" s="2438"/>
      <c r="U96" s="410" t="s">
        <v>2358</v>
      </c>
      <c r="V96" s="926">
        <f>14361000+15639000</f>
        <v>30000000</v>
      </c>
      <c r="W96" s="2052"/>
      <c r="X96" s="2053"/>
      <c r="Y96" s="2125"/>
      <c r="Z96" s="2469"/>
      <c r="AA96" s="2469"/>
      <c r="AB96" s="2469"/>
      <c r="AC96" s="2469"/>
      <c r="AD96" s="2469"/>
      <c r="AE96" s="2469"/>
      <c r="AF96" s="2469"/>
      <c r="AG96" s="2469"/>
      <c r="AH96" s="2469"/>
      <c r="AI96" s="2469"/>
      <c r="AJ96" s="2469"/>
      <c r="AK96" s="2469"/>
      <c r="AL96" s="2469"/>
      <c r="AM96" s="2469"/>
      <c r="AN96" s="2469"/>
      <c r="AO96" s="2478"/>
      <c r="AP96" s="2480"/>
    </row>
    <row r="97" spans="1:42" ht="12" customHeight="1">
      <c r="A97" s="2431"/>
      <c r="B97" s="2432"/>
      <c r="C97" s="2432"/>
      <c r="D97" s="2432"/>
      <c r="E97" s="2432"/>
      <c r="F97" s="2432"/>
      <c r="G97" s="2432"/>
      <c r="H97" s="2432"/>
      <c r="I97" s="2432"/>
      <c r="J97" s="2432">
        <v>59</v>
      </c>
      <c r="K97" s="2098" t="s">
        <v>2409</v>
      </c>
      <c r="L97" s="2443" t="s">
        <v>2410</v>
      </c>
      <c r="M97" s="2443" t="s">
        <v>2411</v>
      </c>
      <c r="N97" s="2443" t="s">
        <v>2412</v>
      </c>
      <c r="O97" s="2443" t="s">
        <v>2413</v>
      </c>
      <c r="P97" s="2441" t="s">
        <v>2414</v>
      </c>
      <c r="Q97" s="2451">
        <v>1</v>
      </c>
      <c r="R97" s="2453">
        <f>V97</f>
        <v>1223780635</v>
      </c>
      <c r="S97" s="2443" t="s">
        <v>2415</v>
      </c>
      <c r="T97" s="2435" t="s">
        <v>2416</v>
      </c>
      <c r="U97" s="2434" t="s">
        <v>2414</v>
      </c>
      <c r="V97" s="2476">
        <f>611890318+611890317</f>
        <v>1223780635</v>
      </c>
      <c r="W97" s="2473">
        <v>149</v>
      </c>
      <c r="X97" s="2474" t="s">
        <v>2417</v>
      </c>
      <c r="Y97" s="2124">
        <v>12668</v>
      </c>
      <c r="Z97" s="2124">
        <v>12704</v>
      </c>
      <c r="AA97" s="2124">
        <v>7596</v>
      </c>
      <c r="AB97" s="2124">
        <v>1582</v>
      </c>
      <c r="AC97" s="2124">
        <v>13190</v>
      </c>
      <c r="AD97" s="2124">
        <v>1890</v>
      </c>
      <c r="AE97" s="2124">
        <v>142</v>
      </c>
      <c r="AF97" s="2124">
        <v>64</v>
      </c>
      <c r="AG97" s="2468">
        <v>0</v>
      </c>
      <c r="AH97" s="2468">
        <v>0</v>
      </c>
      <c r="AI97" s="2468">
        <v>0</v>
      </c>
      <c r="AJ97" s="2468">
        <v>0</v>
      </c>
      <c r="AK97" s="2468">
        <v>908</v>
      </c>
      <c r="AL97" s="2468">
        <v>0</v>
      </c>
      <c r="AM97" s="2468">
        <v>0</v>
      </c>
      <c r="AN97" s="2468">
        <v>575010</v>
      </c>
      <c r="AO97" s="2477" t="s">
        <v>2418</v>
      </c>
      <c r="AP97" s="2479" t="s">
        <v>2361</v>
      </c>
    </row>
    <row r="98" spans="1:42" ht="12" customHeight="1">
      <c r="A98" s="2431"/>
      <c r="B98" s="2432"/>
      <c r="C98" s="2432"/>
      <c r="D98" s="2432"/>
      <c r="E98" s="2432"/>
      <c r="F98" s="2432"/>
      <c r="G98" s="2432"/>
      <c r="H98" s="2432"/>
      <c r="I98" s="2432"/>
      <c r="J98" s="2432"/>
      <c r="K98" s="2127"/>
      <c r="L98" s="2444"/>
      <c r="M98" s="2444"/>
      <c r="N98" s="2444"/>
      <c r="O98" s="2444"/>
      <c r="P98" s="2442"/>
      <c r="Q98" s="2452"/>
      <c r="R98" s="2454"/>
      <c r="S98" s="2444"/>
      <c r="T98" s="2438"/>
      <c r="U98" s="2434"/>
      <c r="V98" s="2476"/>
      <c r="W98" s="2473"/>
      <c r="X98" s="2474"/>
      <c r="Y98" s="2125"/>
      <c r="Z98" s="2125"/>
      <c r="AA98" s="2125"/>
      <c r="AB98" s="2125"/>
      <c r="AC98" s="2125"/>
      <c r="AD98" s="2125"/>
      <c r="AE98" s="2125"/>
      <c r="AF98" s="2125"/>
      <c r="AG98" s="2469"/>
      <c r="AH98" s="2469"/>
      <c r="AI98" s="2469"/>
      <c r="AJ98" s="2469"/>
      <c r="AK98" s="2469"/>
      <c r="AL98" s="2469"/>
      <c r="AM98" s="2469"/>
      <c r="AN98" s="2469"/>
      <c r="AO98" s="2478"/>
      <c r="AP98" s="2480"/>
    </row>
    <row r="99" spans="1:42" ht="12" customHeight="1">
      <c r="A99" s="2431"/>
      <c r="B99" s="2432"/>
      <c r="C99" s="2432"/>
      <c r="D99" s="2432"/>
      <c r="E99" s="2432"/>
      <c r="F99" s="2432"/>
      <c r="G99" s="2432"/>
      <c r="H99" s="2432"/>
      <c r="I99" s="2432"/>
      <c r="J99" s="2432"/>
      <c r="K99" s="2127"/>
      <c r="L99" s="2444"/>
      <c r="M99" s="2444"/>
      <c r="N99" s="2444"/>
      <c r="O99" s="2444"/>
      <c r="P99" s="2442"/>
      <c r="Q99" s="2452"/>
      <c r="R99" s="2454"/>
      <c r="S99" s="2444"/>
      <c r="T99" s="2438"/>
      <c r="U99" s="2434"/>
      <c r="V99" s="2476"/>
      <c r="W99" s="2473"/>
      <c r="X99" s="2474"/>
      <c r="Y99" s="2125"/>
      <c r="Z99" s="2125"/>
      <c r="AA99" s="2125"/>
      <c r="AB99" s="2125"/>
      <c r="AC99" s="2125"/>
      <c r="AD99" s="2125"/>
      <c r="AE99" s="2125"/>
      <c r="AF99" s="2125"/>
      <c r="AG99" s="2469"/>
      <c r="AH99" s="2469"/>
      <c r="AI99" s="2469"/>
      <c r="AJ99" s="2469"/>
      <c r="AK99" s="2469"/>
      <c r="AL99" s="2469"/>
      <c r="AM99" s="2469"/>
      <c r="AN99" s="2469"/>
      <c r="AO99" s="2478"/>
      <c r="AP99" s="2480"/>
    </row>
    <row r="100" spans="1:42" ht="81.75" customHeight="1" thickBot="1">
      <c r="A100" s="2431"/>
      <c r="B100" s="2432"/>
      <c r="C100" s="2432"/>
      <c r="D100" s="2432"/>
      <c r="E100" s="2432"/>
      <c r="F100" s="2432"/>
      <c r="G100" s="2432"/>
      <c r="H100" s="2432"/>
      <c r="I100" s="2432"/>
      <c r="J100" s="2432">
        <v>59</v>
      </c>
      <c r="K100" s="2099"/>
      <c r="L100" s="2464"/>
      <c r="M100" s="2464"/>
      <c r="N100" s="2464"/>
      <c r="O100" s="2464"/>
      <c r="P100" s="2463"/>
      <c r="Q100" s="2481"/>
      <c r="R100" s="2482"/>
      <c r="S100" s="2444"/>
      <c r="T100" s="2438"/>
      <c r="U100" s="2441"/>
      <c r="V100" s="2485"/>
      <c r="W100" s="2473"/>
      <c r="X100" s="2474"/>
      <c r="Y100" s="2125"/>
      <c r="Z100" s="2125"/>
      <c r="AA100" s="2125"/>
      <c r="AB100" s="2125"/>
      <c r="AC100" s="2125"/>
      <c r="AD100" s="2125"/>
      <c r="AE100" s="2125"/>
      <c r="AF100" s="2125"/>
      <c r="AG100" s="2469"/>
      <c r="AH100" s="2469"/>
      <c r="AI100" s="2469"/>
      <c r="AJ100" s="2469"/>
      <c r="AK100" s="2469"/>
      <c r="AL100" s="2469"/>
      <c r="AM100" s="2469"/>
      <c r="AN100" s="2469"/>
      <c r="AO100" s="2486"/>
      <c r="AP100" s="2487"/>
    </row>
    <row r="101" spans="1:42" s="1922" customFormat="1" ht="22.5" customHeight="1" thickBot="1">
      <c r="A101" s="317"/>
      <c r="B101" s="318"/>
      <c r="C101" s="318"/>
      <c r="D101" s="318"/>
      <c r="E101" s="1921"/>
      <c r="F101" s="319"/>
      <c r="G101" s="2483" t="s">
        <v>225</v>
      </c>
      <c r="H101" s="2483"/>
      <c r="I101" s="2483"/>
      <c r="J101" s="2483"/>
      <c r="K101" s="2483"/>
      <c r="L101" s="2483"/>
      <c r="M101" s="2483"/>
      <c r="N101" s="2483"/>
      <c r="O101" s="2483"/>
      <c r="P101" s="2483"/>
      <c r="Q101" s="2484"/>
      <c r="R101" s="320">
        <f>+R97+R74+R63+R52+R44+R36+R28+R20+R12</f>
        <v>25428309411.4</v>
      </c>
      <c r="S101" s="317"/>
      <c r="T101" s="318"/>
      <c r="U101" s="321"/>
      <c r="V101" s="320">
        <f>SUM(V12:V100)</f>
        <v>25428309411.4</v>
      </c>
      <c r="W101" s="323"/>
      <c r="X101" s="324"/>
      <c r="Y101" s="324"/>
      <c r="Z101" s="324"/>
      <c r="AA101" s="324"/>
      <c r="AB101" s="324"/>
      <c r="AC101" s="324"/>
      <c r="AD101" s="324"/>
      <c r="AE101" s="324"/>
      <c r="AF101" s="324"/>
      <c r="AG101" s="324"/>
      <c r="AH101" s="324"/>
      <c r="AI101" s="324"/>
      <c r="AJ101" s="324"/>
      <c r="AK101" s="324"/>
      <c r="AL101" s="324"/>
      <c r="AM101" s="324"/>
      <c r="AN101" s="2054"/>
      <c r="AO101" s="317"/>
      <c r="AP101" s="327"/>
    </row>
    <row r="106" ht="12">
      <c r="P106" s="1850" t="s">
        <v>2419</v>
      </c>
    </row>
    <row r="110" spans="7:11" ht="15.75">
      <c r="G110" s="1924" t="s">
        <v>2420</v>
      </c>
      <c r="H110" s="1924"/>
      <c r="I110" s="1924"/>
      <c r="J110" s="1924"/>
      <c r="K110" s="345"/>
    </row>
    <row r="111" spans="7:11" ht="15.75">
      <c r="G111" s="345" t="s">
        <v>2421</v>
      </c>
      <c r="H111" s="1373"/>
      <c r="I111" s="1373"/>
      <c r="J111" s="1373"/>
      <c r="K111" s="345"/>
    </row>
  </sheetData>
  <sheetProtection password="CBEB" sheet="1" objects="1" scenarios="1"/>
  <mergeCells count="457">
    <mergeCell ref="AM97:AM100"/>
    <mergeCell ref="AN97:AN100"/>
    <mergeCell ref="AO97:AO100"/>
    <mergeCell ref="AP97:AP100"/>
    <mergeCell ref="AE97:AE100"/>
    <mergeCell ref="AF97:AF100"/>
    <mergeCell ref="AG97:AG100"/>
    <mergeCell ref="AH97:AH100"/>
    <mergeCell ref="AI97:AI100"/>
    <mergeCell ref="AJ97:AJ100"/>
    <mergeCell ref="A97:C100"/>
    <mergeCell ref="D97:F100"/>
    <mergeCell ref="G97:I100"/>
    <mergeCell ref="J97:J100"/>
    <mergeCell ref="K97:K100"/>
    <mergeCell ref="L97:L100"/>
    <mergeCell ref="G101:Q101"/>
    <mergeCell ref="AK97:AK100"/>
    <mergeCell ref="AL97:AL100"/>
    <mergeCell ref="Y97:Y100"/>
    <mergeCell ref="Z97:Z100"/>
    <mergeCell ref="AA97:AA100"/>
    <mergeCell ref="AB97:AB100"/>
    <mergeCell ref="AC97:AC100"/>
    <mergeCell ref="AD97:AD100"/>
    <mergeCell ref="S97:S100"/>
    <mergeCell ref="T97:T100"/>
    <mergeCell ref="U97:U100"/>
    <mergeCell ref="V97:V100"/>
    <mergeCell ref="W97:W100"/>
    <mergeCell ref="L91:L93"/>
    <mergeCell ref="M91:M93"/>
    <mergeCell ref="Q91:Q93"/>
    <mergeCell ref="U91:U92"/>
    <mergeCell ref="V91:V92"/>
    <mergeCell ref="X97:X100"/>
    <mergeCell ref="M97:M100"/>
    <mergeCell ref="N97:N100"/>
    <mergeCell ref="O97:O100"/>
    <mergeCell ref="P97:P100"/>
    <mergeCell ref="Q97:Q100"/>
    <mergeCell ref="R97:R100"/>
    <mergeCell ref="AK74:AK96"/>
    <mergeCell ref="AL74:AL96"/>
    <mergeCell ref="AM74:AM96"/>
    <mergeCell ref="AN74:AN96"/>
    <mergeCell ref="AO74:AO96"/>
    <mergeCell ref="AP74:AP96"/>
    <mergeCell ref="AE74:AE96"/>
    <mergeCell ref="AF74:AF96"/>
    <mergeCell ref="AG74:AG96"/>
    <mergeCell ref="AH74:AH96"/>
    <mergeCell ref="AI74:AI96"/>
    <mergeCell ref="AJ74:AJ96"/>
    <mergeCell ref="Y74:Y96"/>
    <mergeCell ref="Z74:Z96"/>
    <mergeCell ref="AA74:AA96"/>
    <mergeCell ref="AB74:AB96"/>
    <mergeCell ref="AC74:AC96"/>
    <mergeCell ref="AD74:AD96"/>
    <mergeCell ref="O74:O96"/>
    <mergeCell ref="P74:P96"/>
    <mergeCell ref="Q74:Q79"/>
    <mergeCell ref="R74:R96"/>
    <mergeCell ref="S74:S96"/>
    <mergeCell ref="T74:T96"/>
    <mergeCell ref="Q80:Q81"/>
    <mergeCell ref="Q82:Q86"/>
    <mergeCell ref="Q87:Q90"/>
    <mergeCell ref="W91:W92"/>
    <mergeCell ref="X91:X92"/>
    <mergeCell ref="Q94:Q95"/>
    <mergeCell ref="U87:U88"/>
    <mergeCell ref="V87:V88"/>
    <mergeCell ref="D73:F96"/>
    <mergeCell ref="G74:I96"/>
    <mergeCell ref="J74:J79"/>
    <mergeCell ref="K74:K79"/>
    <mergeCell ref="L74:L79"/>
    <mergeCell ref="M74:M79"/>
    <mergeCell ref="J80:J81"/>
    <mergeCell ref="K80:K81"/>
    <mergeCell ref="L80:L81"/>
    <mergeCell ref="M80:M81"/>
    <mergeCell ref="J82:J86"/>
    <mergeCell ref="K82:K86"/>
    <mergeCell ref="L82:L86"/>
    <mergeCell ref="M82:M86"/>
    <mergeCell ref="J87:J90"/>
    <mergeCell ref="K87:K90"/>
    <mergeCell ref="L87:L90"/>
    <mergeCell ref="M87:M90"/>
    <mergeCell ref="J94:J95"/>
    <mergeCell ref="K94:K95"/>
    <mergeCell ref="L94:L95"/>
    <mergeCell ref="M94:M95"/>
    <mergeCell ref="J91:J93"/>
    <mergeCell ref="K91:K93"/>
    <mergeCell ref="AO63:AO72"/>
    <mergeCell ref="AP63:AP72"/>
    <mergeCell ref="N66:N67"/>
    <mergeCell ref="J68:J71"/>
    <mergeCell ref="K68:K71"/>
    <mergeCell ref="L68:L71"/>
    <mergeCell ref="M68:M71"/>
    <mergeCell ref="Q68:Q71"/>
    <mergeCell ref="T68:T71"/>
    <mergeCell ref="W68:W69"/>
    <mergeCell ref="AI63:AI72"/>
    <mergeCell ref="AJ63:AJ72"/>
    <mergeCell ref="AK63:AK72"/>
    <mergeCell ref="AL63:AL72"/>
    <mergeCell ref="AM63:AM72"/>
    <mergeCell ref="AN63:AN72"/>
    <mergeCell ref="AC63:AC72"/>
    <mergeCell ref="AD63:AD72"/>
    <mergeCell ref="AE63:AE72"/>
    <mergeCell ref="AF63:AF72"/>
    <mergeCell ref="AG63:AG72"/>
    <mergeCell ref="AH63:AH72"/>
    <mergeCell ref="W63:W67"/>
    <mergeCell ref="X63:X67"/>
    <mergeCell ref="Y63:Y72"/>
    <mergeCell ref="Z63:Z72"/>
    <mergeCell ref="AA63:AA72"/>
    <mergeCell ref="AB63:AB72"/>
    <mergeCell ref="X68:X69"/>
    <mergeCell ref="W70:W71"/>
    <mergeCell ref="X70:X71"/>
    <mergeCell ref="O63:O72"/>
    <mergeCell ref="P63:P72"/>
    <mergeCell ref="Q63:Q67"/>
    <mergeCell ref="R63:R72"/>
    <mergeCell ref="S63:S72"/>
    <mergeCell ref="T63:T67"/>
    <mergeCell ref="A61:C72"/>
    <mergeCell ref="E61:L61"/>
    <mergeCell ref="D62:F72"/>
    <mergeCell ref="H62:M62"/>
    <mergeCell ref="G63:I72"/>
    <mergeCell ref="J63:J67"/>
    <mergeCell ref="K63:K67"/>
    <mergeCell ref="L63:L67"/>
    <mergeCell ref="M63:M67"/>
    <mergeCell ref="B58:C58"/>
    <mergeCell ref="E58:F58"/>
    <mergeCell ref="H58:I58"/>
    <mergeCell ref="B59:C59"/>
    <mergeCell ref="E59:F59"/>
    <mergeCell ref="H59:I59"/>
    <mergeCell ref="AM52:AM59"/>
    <mergeCell ref="AN52:AN59"/>
    <mergeCell ref="AO52:AO59"/>
    <mergeCell ref="Z52:Z59"/>
    <mergeCell ref="U57:U59"/>
    <mergeCell ref="V57:V59"/>
    <mergeCell ref="O52:O59"/>
    <mergeCell ref="P52:P59"/>
    <mergeCell ref="Q52:Q59"/>
    <mergeCell ref="R52:R59"/>
    <mergeCell ref="S52:S59"/>
    <mergeCell ref="T52:T56"/>
    <mergeCell ref="H52:I52"/>
    <mergeCell ref="J52:J59"/>
    <mergeCell ref="K52:K59"/>
    <mergeCell ref="L52:L59"/>
    <mergeCell ref="M52:M59"/>
    <mergeCell ref="N52:N59"/>
    <mergeCell ref="AP52:AP59"/>
    <mergeCell ref="B53:C53"/>
    <mergeCell ref="E53:F53"/>
    <mergeCell ref="H53:I53"/>
    <mergeCell ref="U55:U56"/>
    <mergeCell ref="V55:V56"/>
    <mergeCell ref="T57:T59"/>
    <mergeCell ref="AG52:AG59"/>
    <mergeCell ref="AH52:AH59"/>
    <mergeCell ref="AI52:AI59"/>
    <mergeCell ref="AJ52:AJ59"/>
    <mergeCell ref="AK52:AK59"/>
    <mergeCell ref="AL52:AL59"/>
    <mergeCell ref="AA52:AA59"/>
    <mergeCell ref="AB52:AB59"/>
    <mergeCell ref="AC52:AC59"/>
    <mergeCell ref="AD52:AD59"/>
    <mergeCell ref="AE52:AE59"/>
    <mergeCell ref="AF52:AF59"/>
    <mergeCell ref="U52:U54"/>
    <mergeCell ref="V52:V54"/>
    <mergeCell ref="W52:W59"/>
    <mergeCell ref="X52:X59"/>
    <mergeCell ref="Y52:Y59"/>
    <mergeCell ref="B50:C50"/>
    <mergeCell ref="E50:F50"/>
    <mergeCell ref="H50:I50"/>
    <mergeCell ref="B51:C51"/>
    <mergeCell ref="E51:F51"/>
    <mergeCell ref="H51:I51"/>
    <mergeCell ref="AM44:AM51"/>
    <mergeCell ref="AN44:AN51"/>
    <mergeCell ref="AO44:AO51"/>
    <mergeCell ref="Z44:Z51"/>
    <mergeCell ref="O44:O51"/>
    <mergeCell ref="P44:P51"/>
    <mergeCell ref="Q44:Q51"/>
    <mergeCell ref="R44:R51"/>
    <mergeCell ref="S44:S51"/>
    <mergeCell ref="T44:T47"/>
    <mergeCell ref="H44:I44"/>
    <mergeCell ref="J44:J51"/>
    <mergeCell ref="K44:K51"/>
    <mergeCell ref="L44:L51"/>
    <mergeCell ref="M44:M51"/>
    <mergeCell ref="N44:N51"/>
    <mergeCell ref="AP44:AP51"/>
    <mergeCell ref="B45:C45"/>
    <mergeCell ref="E45:F45"/>
    <mergeCell ref="H45:I45"/>
    <mergeCell ref="T48:T51"/>
    <mergeCell ref="U48:U51"/>
    <mergeCell ref="V48:V51"/>
    <mergeCell ref="AG44:AG51"/>
    <mergeCell ref="AH44:AH51"/>
    <mergeCell ref="AI44:AI51"/>
    <mergeCell ref="AJ44:AJ51"/>
    <mergeCell ref="AK44:AK51"/>
    <mergeCell ref="AL44:AL51"/>
    <mergeCell ref="AA44:AA51"/>
    <mergeCell ref="AB44:AB51"/>
    <mergeCell ref="AC44:AC51"/>
    <mergeCell ref="AD44:AD51"/>
    <mergeCell ref="AE44:AE51"/>
    <mergeCell ref="AF44:AF51"/>
    <mergeCell ref="U44:U47"/>
    <mergeCell ref="V44:V47"/>
    <mergeCell ref="W44:W51"/>
    <mergeCell ref="X44:X51"/>
    <mergeCell ref="Y44:Y51"/>
    <mergeCell ref="AP36:AP43"/>
    <mergeCell ref="B37:C37"/>
    <mergeCell ref="E37:F37"/>
    <mergeCell ref="H37:I37"/>
    <mergeCell ref="B42:C42"/>
    <mergeCell ref="E42:F42"/>
    <mergeCell ref="H42:I42"/>
    <mergeCell ref="B43:C43"/>
    <mergeCell ref="E43:F43"/>
    <mergeCell ref="H43:I43"/>
    <mergeCell ref="AJ36:AJ43"/>
    <mergeCell ref="AK36:AK43"/>
    <mergeCell ref="AL36:AL43"/>
    <mergeCell ref="AM36:AM43"/>
    <mergeCell ref="AN36:AN43"/>
    <mergeCell ref="AO36:AO43"/>
    <mergeCell ref="AD36:AD43"/>
    <mergeCell ref="AE36:AE43"/>
    <mergeCell ref="AF36:AF43"/>
    <mergeCell ref="AG36:AG43"/>
    <mergeCell ref="AH36:AH43"/>
    <mergeCell ref="AI36:AI43"/>
    <mergeCell ref="X36:X43"/>
    <mergeCell ref="Y36:Y43"/>
    <mergeCell ref="Z36:Z43"/>
    <mergeCell ref="AA36:AA43"/>
    <mergeCell ref="AB36:AB43"/>
    <mergeCell ref="AC36:AC43"/>
    <mergeCell ref="R36:R43"/>
    <mergeCell ref="S36:S43"/>
    <mergeCell ref="T36:T43"/>
    <mergeCell ref="U36:U43"/>
    <mergeCell ref="V36:V43"/>
    <mergeCell ref="W36:W43"/>
    <mergeCell ref="L36:L43"/>
    <mergeCell ref="M36:M43"/>
    <mergeCell ref="N36:N43"/>
    <mergeCell ref="O36:O43"/>
    <mergeCell ref="P36:P43"/>
    <mergeCell ref="Q36:Q43"/>
    <mergeCell ref="B35:C35"/>
    <mergeCell ref="E35:F35"/>
    <mergeCell ref="H35:I35"/>
    <mergeCell ref="H36:I36"/>
    <mergeCell ref="J36:J43"/>
    <mergeCell ref="K36:K43"/>
    <mergeCell ref="AM28:AM35"/>
    <mergeCell ref="AN28:AN35"/>
    <mergeCell ref="AO28:AO35"/>
    <mergeCell ref="AP28:AP35"/>
    <mergeCell ref="B29:C29"/>
    <mergeCell ref="E29:F29"/>
    <mergeCell ref="H29:I29"/>
    <mergeCell ref="T32:T35"/>
    <mergeCell ref="B34:C34"/>
    <mergeCell ref="E34:F34"/>
    <mergeCell ref="AG28:AG35"/>
    <mergeCell ref="AH28:AH35"/>
    <mergeCell ref="AI28:AI35"/>
    <mergeCell ref="AJ28:AJ35"/>
    <mergeCell ref="AK28:AK35"/>
    <mergeCell ref="AL28:AL35"/>
    <mergeCell ref="AA28:AA35"/>
    <mergeCell ref="AB28:AB35"/>
    <mergeCell ref="AC28:AC35"/>
    <mergeCell ref="AD28:AD35"/>
    <mergeCell ref="AE28:AE35"/>
    <mergeCell ref="AF28:AF35"/>
    <mergeCell ref="U28:U35"/>
    <mergeCell ref="V28:V35"/>
    <mergeCell ref="W28:W35"/>
    <mergeCell ref="X28:X35"/>
    <mergeCell ref="Y28:Y35"/>
    <mergeCell ref="Z28:Z35"/>
    <mergeCell ref="O28:O35"/>
    <mergeCell ref="P28:P35"/>
    <mergeCell ref="Q28:Q35"/>
    <mergeCell ref="R28:R35"/>
    <mergeCell ref="S28:S35"/>
    <mergeCell ref="T28:T31"/>
    <mergeCell ref="H28:I28"/>
    <mergeCell ref="J28:J35"/>
    <mergeCell ref="K28:K35"/>
    <mergeCell ref="L28:L35"/>
    <mergeCell ref="M28:M35"/>
    <mergeCell ref="N28:N35"/>
    <mergeCell ref="H34:I34"/>
    <mergeCell ref="B26:C26"/>
    <mergeCell ref="E26:F26"/>
    <mergeCell ref="H26:I26"/>
    <mergeCell ref="B27:C27"/>
    <mergeCell ref="E27:F27"/>
    <mergeCell ref="H27:I27"/>
    <mergeCell ref="AN20:AN27"/>
    <mergeCell ref="AO20:AO27"/>
    <mergeCell ref="AP20:AP27"/>
    <mergeCell ref="B21:C21"/>
    <mergeCell ref="E21:F21"/>
    <mergeCell ref="H21:I21"/>
    <mergeCell ref="N21:N23"/>
    <mergeCell ref="N24:N25"/>
    <mergeCell ref="T24:T27"/>
    <mergeCell ref="W24:W27"/>
    <mergeCell ref="AH20:AH27"/>
    <mergeCell ref="AI20:AI27"/>
    <mergeCell ref="AJ20:AJ27"/>
    <mergeCell ref="AK20:AK27"/>
    <mergeCell ref="AL20:AL27"/>
    <mergeCell ref="AM20:AM27"/>
    <mergeCell ref="AB20:AB27"/>
    <mergeCell ref="AC20:AC27"/>
    <mergeCell ref="AD20:AD27"/>
    <mergeCell ref="AE20:AE27"/>
    <mergeCell ref="AF20:AF27"/>
    <mergeCell ref="AG20:AG27"/>
    <mergeCell ref="V20:V27"/>
    <mergeCell ref="W20:W23"/>
    <mergeCell ref="X20:X23"/>
    <mergeCell ref="Y20:Y27"/>
    <mergeCell ref="Z20:Z27"/>
    <mergeCell ref="AA20:AA27"/>
    <mergeCell ref="X24:X27"/>
    <mergeCell ref="P20:P27"/>
    <mergeCell ref="Q20:Q27"/>
    <mergeCell ref="R20:R27"/>
    <mergeCell ref="S20:S27"/>
    <mergeCell ref="T20:T23"/>
    <mergeCell ref="U20:U27"/>
    <mergeCell ref="H20:I20"/>
    <mergeCell ref="J20:J27"/>
    <mergeCell ref="K20:K27"/>
    <mergeCell ref="L20:L27"/>
    <mergeCell ref="M20:M27"/>
    <mergeCell ref="O20:O27"/>
    <mergeCell ref="B18:C18"/>
    <mergeCell ref="E18:F18"/>
    <mergeCell ref="H18:I18"/>
    <mergeCell ref="B19:C19"/>
    <mergeCell ref="E19:F19"/>
    <mergeCell ref="H19:I19"/>
    <mergeCell ref="AN12:AN19"/>
    <mergeCell ref="AO12:AO19"/>
    <mergeCell ref="AP12:AP19"/>
    <mergeCell ref="B13:C13"/>
    <mergeCell ref="E13:F13"/>
    <mergeCell ref="H13:I13"/>
    <mergeCell ref="N13:N14"/>
    <mergeCell ref="W14:W15"/>
    <mergeCell ref="X14:X15"/>
    <mergeCell ref="N15:N16"/>
    <mergeCell ref="AH12:AH19"/>
    <mergeCell ref="AI12:AI19"/>
    <mergeCell ref="AJ12:AJ19"/>
    <mergeCell ref="AK12:AK19"/>
    <mergeCell ref="AL12:AL19"/>
    <mergeCell ref="AM12:AM19"/>
    <mergeCell ref="AB12:AB19"/>
    <mergeCell ref="AC12:AC19"/>
    <mergeCell ref="AD12:AD19"/>
    <mergeCell ref="AE12:AE19"/>
    <mergeCell ref="AF12:AF19"/>
    <mergeCell ref="AG12:AG19"/>
    <mergeCell ref="V12:V19"/>
    <mergeCell ref="W12:W13"/>
    <mergeCell ref="A10:A11"/>
    <mergeCell ref="B10:C11"/>
    <mergeCell ref="E11:F11"/>
    <mergeCell ref="X12:X13"/>
    <mergeCell ref="Y12:Y19"/>
    <mergeCell ref="Z12:Z19"/>
    <mergeCell ref="AA12:AA19"/>
    <mergeCell ref="W16:W17"/>
    <mergeCell ref="X16:X17"/>
    <mergeCell ref="W18:W19"/>
    <mergeCell ref="X18:X19"/>
    <mergeCell ref="P12:P19"/>
    <mergeCell ref="Q12:Q19"/>
    <mergeCell ref="R12:R19"/>
    <mergeCell ref="S12:S19"/>
    <mergeCell ref="T12:T15"/>
    <mergeCell ref="U12:U19"/>
    <mergeCell ref="T16:T19"/>
    <mergeCell ref="U7:U8"/>
    <mergeCell ref="H12:I12"/>
    <mergeCell ref="J12:J19"/>
    <mergeCell ref="K12:K19"/>
    <mergeCell ref="L12:L19"/>
    <mergeCell ref="M12:M19"/>
    <mergeCell ref="O12:O19"/>
    <mergeCell ref="J7:J8"/>
    <mergeCell ref="K7:K8"/>
    <mergeCell ref="L7:L8"/>
    <mergeCell ref="M7:M8"/>
    <mergeCell ref="N7:N8"/>
    <mergeCell ref="O7:O8"/>
    <mergeCell ref="A1:AO4"/>
    <mergeCell ref="A5:M6"/>
    <mergeCell ref="N5:AP5"/>
    <mergeCell ref="N6:X6"/>
    <mergeCell ref="A7:A8"/>
    <mergeCell ref="B7:C8"/>
    <mergeCell ref="D7:D8"/>
    <mergeCell ref="E7:F8"/>
    <mergeCell ref="G7:G8"/>
    <mergeCell ref="H7:I8"/>
    <mergeCell ref="AK7:AM7"/>
    <mergeCell ref="AN7:AN8"/>
    <mergeCell ref="AP7:AP8"/>
    <mergeCell ref="V7:V8"/>
    <mergeCell ref="W7:W8"/>
    <mergeCell ref="X7:X8"/>
    <mergeCell ref="Y7:Z7"/>
    <mergeCell ref="AA7:AD7"/>
    <mergeCell ref="AE7:AJ7"/>
    <mergeCell ref="P7:P8"/>
    <mergeCell ref="Q7:Q8"/>
    <mergeCell ref="R7:R8"/>
    <mergeCell ref="S7:S8"/>
    <mergeCell ref="T7:T8"/>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BK169"/>
  <sheetViews>
    <sheetView showGridLines="0" zoomScale="60" zoomScaleNormal="60" zoomScalePageLayoutView="0" workbookViewId="0" topLeftCell="A1">
      <selection activeCell="A1" sqref="A1:AO4"/>
    </sheetView>
  </sheetViews>
  <sheetFormatPr defaultColWidth="11.421875" defaultRowHeight="27" customHeight="1"/>
  <cols>
    <col min="1" max="1" width="13.140625" style="227" customWidth="1"/>
    <col min="2" max="2" width="4.00390625" style="131" customWidth="1"/>
    <col min="3" max="3" width="15.140625" style="131" customWidth="1"/>
    <col min="4" max="4" width="14.7109375" style="131" customWidth="1"/>
    <col min="5" max="5" width="10.00390625" style="131" customWidth="1"/>
    <col min="6" max="6" width="8.8515625" style="131" customWidth="1"/>
    <col min="7" max="7" width="14.28125" style="131" customWidth="1"/>
    <col min="8" max="8" width="8.57421875" style="131" customWidth="1"/>
    <col min="9" max="9" width="16.8515625" style="131" customWidth="1"/>
    <col min="10" max="10" width="18.140625" style="131" customWidth="1"/>
    <col min="11" max="11" width="26.140625" style="659" customWidth="1"/>
    <col min="12" max="12" width="17.7109375" style="224" customWidth="1"/>
    <col min="13" max="13" width="22.28125" style="130" customWidth="1"/>
    <col min="14" max="14" width="36.8515625" style="224" customWidth="1"/>
    <col min="15" max="15" width="29.421875" style="238" customWidth="1"/>
    <col min="16" max="16" width="18.421875" style="235" customWidth="1"/>
    <col min="17" max="17" width="15.00390625" style="239" customWidth="1"/>
    <col min="18" max="18" width="29.8515625" style="661" customWidth="1"/>
    <col min="19" max="19" width="21.28125" style="235" customWidth="1"/>
    <col min="20" max="20" width="22.28125" style="235" customWidth="1"/>
    <col min="21" max="21" width="30.00390625" style="659" customWidth="1"/>
    <col min="22" max="22" width="27.140625" style="662" customWidth="1"/>
    <col min="23" max="23" width="13.8515625" style="234" customWidth="1"/>
    <col min="24" max="24" width="21.8515625" style="663" customWidth="1"/>
    <col min="25" max="25" width="11.140625" style="131" customWidth="1"/>
    <col min="26" max="26" width="9.421875" style="131" customWidth="1"/>
    <col min="27" max="27" width="13.140625" style="131" customWidth="1"/>
    <col min="28" max="28" width="11.8515625" style="131" customWidth="1"/>
    <col min="29" max="29" width="13.00390625" style="131" customWidth="1"/>
    <col min="30" max="30" width="13.7109375" style="131" customWidth="1"/>
    <col min="31" max="31" width="13.421875" style="131" customWidth="1"/>
    <col min="32" max="32" width="12.00390625" style="131" customWidth="1"/>
    <col min="33" max="33" width="9.421875" style="131" customWidth="1"/>
    <col min="34" max="34" width="8.140625" style="131" customWidth="1"/>
    <col min="35" max="35" width="9.421875" style="131" customWidth="1"/>
    <col min="36" max="36" width="9.140625" style="131" customWidth="1"/>
    <col min="37" max="37" width="8.7109375" style="131" customWidth="1"/>
    <col min="38" max="38" width="9.57421875" style="131" customWidth="1"/>
    <col min="39" max="39" width="9.00390625" style="131" customWidth="1"/>
    <col min="40" max="40" width="11.7109375" style="131" customWidth="1"/>
    <col min="41" max="41" width="13.7109375" style="236" customWidth="1"/>
    <col min="42" max="42" width="13.7109375" style="237" customWidth="1"/>
    <col min="43" max="43" width="24.28125" style="664" customWidth="1"/>
    <col min="44" max="16384" width="11.421875" style="131" customWidth="1"/>
  </cols>
  <sheetData>
    <row r="1" spans="1:63" ht="16.5" customHeight="1">
      <c r="A1" s="2275" t="s">
        <v>351</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488"/>
      <c r="AP1" s="1" t="s">
        <v>1</v>
      </c>
      <c r="AQ1" s="1" t="s">
        <v>2</v>
      </c>
      <c r="AR1" s="130"/>
      <c r="AS1" s="130"/>
      <c r="AT1" s="130"/>
      <c r="AU1" s="130"/>
      <c r="AV1" s="130"/>
      <c r="AW1" s="130"/>
      <c r="AX1" s="130"/>
      <c r="AY1" s="130"/>
      <c r="AZ1" s="130"/>
      <c r="BA1" s="130"/>
      <c r="BB1" s="130"/>
      <c r="BC1" s="130"/>
      <c r="BD1" s="130"/>
      <c r="BE1" s="130"/>
      <c r="BF1" s="130"/>
      <c r="BG1" s="130"/>
      <c r="BH1" s="130"/>
      <c r="BI1" s="130"/>
      <c r="BJ1" s="130"/>
      <c r="BK1" s="130"/>
    </row>
    <row r="2" spans="1:63" ht="16.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489"/>
      <c r="AP2" s="3" t="s">
        <v>3</v>
      </c>
      <c r="AQ2" s="4" t="s">
        <v>4</v>
      </c>
      <c r="AR2" s="130"/>
      <c r="AS2" s="130"/>
      <c r="AT2" s="130"/>
      <c r="AU2" s="130"/>
      <c r="AV2" s="130"/>
      <c r="AW2" s="130"/>
      <c r="AX2" s="130"/>
      <c r="AY2" s="130"/>
      <c r="AZ2" s="130"/>
      <c r="BA2" s="130"/>
      <c r="BB2" s="130"/>
      <c r="BC2" s="130"/>
      <c r="BD2" s="130"/>
      <c r="BE2" s="130"/>
      <c r="BF2" s="130"/>
      <c r="BG2" s="130"/>
      <c r="BH2" s="130"/>
      <c r="BI2" s="130"/>
      <c r="BJ2" s="130"/>
      <c r="BK2" s="130"/>
    </row>
    <row r="3" spans="1:63" ht="16.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489"/>
      <c r="AP3" s="1" t="s">
        <v>5</v>
      </c>
      <c r="AQ3" s="5" t="s">
        <v>6</v>
      </c>
      <c r="AR3" s="130"/>
      <c r="AS3" s="130"/>
      <c r="AT3" s="130"/>
      <c r="AU3" s="130"/>
      <c r="AV3" s="130"/>
      <c r="AW3" s="130"/>
      <c r="AX3" s="130"/>
      <c r="AY3" s="130"/>
      <c r="AZ3" s="130"/>
      <c r="BA3" s="130"/>
      <c r="BB3" s="130"/>
      <c r="BC3" s="130"/>
      <c r="BD3" s="130"/>
      <c r="BE3" s="130"/>
      <c r="BF3" s="130"/>
      <c r="BG3" s="130"/>
      <c r="BH3" s="130"/>
      <c r="BI3" s="130"/>
      <c r="BJ3" s="130"/>
      <c r="BK3" s="130"/>
    </row>
    <row r="4" spans="1:63" ht="16.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490"/>
      <c r="AP4" s="1" t="s">
        <v>7</v>
      </c>
      <c r="AQ4" s="6" t="s">
        <v>8</v>
      </c>
      <c r="AR4" s="130"/>
      <c r="AS4" s="130"/>
      <c r="AT4" s="130"/>
      <c r="AU4" s="130"/>
      <c r="AV4" s="130"/>
      <c r="AW4" s="130"/>
      <c r="AX4" s="130"/>
      <c r="AY4" s="130"/>
      <c r="AZ4" s="130"/>
      <c r="BA4" s="130"/>
      <c r="BB4" s="130"/>
      <c r="BC4" s="130"/>
      <c r="BD4" s="130"/>
      <c r="BE4" s="130"/>
      <c r="BF4" s="130"/>
      <c r="BG4" s="130"/>
      <c r="BH4" s="130"/>
      <c r="BI4" s="130"/>
      <c r="BJ4" s="130"/>
      <c r="BK4" s="130"/>
    </row>
    <row r="5" spans="1:63" ht="18" customHeight="1">
      <c r="A5" s="2281" t="s">
        <v>9</v>
      </c>
      <c r="B5" s="2282"/>
      <c r="C5" s="2282"/>
      <c r="D5" s="2282"/>
      <c r="E5" s="2282"/>
      <c r="F5" s="2282"/>
      <c r="G5" s="2282"/>
      <c r="H5" s="2282"/>
      <c r="I5" s="2282"/>
      <c r="J5" s="2282"/>
      <c r="K5" s="2282"/>
      <c r="L5" s="2282"/>
      <c r="M5" s="2282"/>
      <c r="N5" s="2285" t="s">
        <v>10</v>
      </c>
      <c r="O5" s="2285"/>
      <c r="P5" s="2285"/>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5"/>
      <c r="AR5" s="130"/>
      <c r="AS5" s="130"/>
      <c r="AT5" s="130"/>
      <c r="AU5" s="130"/>
      <c r="AV5" s="130"/>
      <c r="AW5" s="130"/>
      <c r="AX5" s="130"/>
      <c r="AY5" s="130"/>
      <c r="AZ5" s="130"/>
      <c r="BA5" s="130"/>
      <c r="BB5" s="130"/>
      <c r="BC5" s="130"/>
      <c r="BD5" s="130"/>
      <c r="BE5" s="130"/>
      <c r="BF5" s="130"/>
      <c r="BG5" s="130"/>
      <c r="BH5" s="130"/>
      <c r="BI5" s="130"/>
      <c r="BJ5" s="130"/>
      <c r="BK5" s="130"/>
    </row>
    <row r="6" spans="1:63" ht="18.75" customHeight="1">
      <c r="A6" s="2283"/>
      <c r="B6" s="2284"/>
      <c r="C6" s="2284"/>
      <c r="D6" s="2284"/>
      <c r="E6" s="2284"/>
      <c r="F6" s="2284"/>
      <c r="G6" s="2284"/>
      <c r="H6" s="2284"/>
      <c r="I6" s="2284"/>
      <c r="J6" s="2284"/>
      <c r="K6" s="2284"/>
      <c r="L6" s="2284"/>
      <c r="M6" s="2284"/>
      <c r="N6" s="469"/>
      <c r="O6" s="470"/>
      <c r="P6" s="138"/>
      <c r="Q6" s="142"/>
      <c r="R6" s="142"/>
      <c r="S6" s="138"/>
      <c r="T6" s="138"/>
      <c r="U6" s="471"/>
      <c r="V6" s="472"/>
      <c r="W6" s="142"/>
      <c r="X6" s="139"/>
      <c r="Y6" s="2287" t="s">
        <v>11</v>
      </c>
      <c r="Z6" s="2284"/>
      <c r="AA6" s="2284"/>
      <c r="AB6" s="2284"/>
      <c r="AC6" s="2284"/>
      <c r="AD6" s="2284"/>
      <c r="AE6" s="2284"/>
      <c r="AF6" s="2284"/>
      <c r="AG6" s="2284"/>
      <c r="AH6" s="2284"/>
      <c r="AI6" s="2284"/>
      <c r="AJ6" s="2284"/>
      <c r="AK6" s="2284"/>
      <c r="AL6" s="2284"/>
      <c r="AM6" s="2288"/>
      <c r="AN6" s="139"/>
      <c r="AO6" s="142"/>
      <c r="AP6" s="142"/>
      <c r="AQ6" s="473"/>
      <c r="AR6" s="130"/>
      <c r="AS6" s="130"/>
      <c r="AT6" s="130"/>
      <c r="AU6" s="130"/>
      <c r="AV6" s="130"/>
      <c r="AW6" s="130"/>
      <c r="AX6" s="130"/>
      <c r="AY6" s="130"/>
      <c r="AZ6" s="130"/>
      <c r="BA6" s="130"/>
      <c r="BB6" s="130"/>
      <c r="BC6" s="130"/>
      <c r="BD6" s="130"/>
      <c r="BE6" s="130"/>
      <c r="BF6" s="130"/>
      <c r="BG6" s="130"/>
      <c r="BH6" s="130"/>
      <c r="BI6" s="130"/>
      <c r="BJ6" s="130"/>
      <c r="BK6" s="130"/>
    </row>
    <row r="7" spans="1:63" ht="18.75" customHeight="1">
      <c r="A7" s="474"/>
      <c r="B7" s="139"/>
      <c r="C7" s="139"/>
      <c r="D7" s="139"/>
      <c r="E7" s="139"/>
      <c r="F7" s="139"/>
      <c r="G7" s="139"/>
      <c r="H7" s="139"/>
      <c r="I7" s="139"/>
      <c r="J7" s="139"/>
      <c r="K7" s="471"/>
      <c r="L7" s="139"/>
      <c r="M7" s="139"/>
      <c r="N7" s="469"/>
      <c r="O7" s="470"/>
      <c r="P7" s="138"/>
      <c r="Q7" s="142"/>
      <c r="R7" s="142"/>
      <c r="S7" s="138"/>
      <c r="T7" s="138"/>
      <c r="U7" s="471"/>
      <c r="V7" s="472"/>
      <c r="W7" s="142"/>
      <c r="X7" s="139"/>
      <c r="Y7" s="475"/>
      <c r="Z7" s="139"/>
      <c r="AA7" s="139"/>
      <c r="AB7" s="139"/>
      <c r="AC7" s="139"/>
      <c r="AD7" s="139"/>
      <c r="AE7" s="139"/>
      <c r="AF7" s="139"/>
      <c r="AG7" s="139"/>
      <c r="AH7" s="139"/>
      <c r="AI7" s="139"/>
      <c r="AJ7" s="139"/>
      <c r="AK7" s="139"/>
      <c r="AL7" s="139"/>
      <c r="AM7" s="476"/>
      <c r="AN7" s="139"/>
      <c r="AO7" s="477"/>
      <c r="AP7" s="477"/>
      <c r="AQ7" s="473"/>
      <c r="AR7" s="130"/>
      <c r="AS7" s="130"/>
      <c r="AT7" s="130"/>
      <c r="AU7" s="130"/>
      <c r="AV7" s="130"/>
      <c r="AW7" s="130"/>
      <c r="AX7" s="130"/>
      <c r="AY7" s="130"/>
      <c r="AZ7" s="130"/>
      <c r="BA7" s="130"/>
      <c r="BB7" s="130"/>
      <c r="BC7" s="130"/>
      <c r="BD7" s="130"/>
      <c r="BE7" s="130"/>
      <c r="BF7" s="130"/>
      <c r="BG7" s="130"/>
      <c r="BH7" s="130"/>
      <c r="BI7" s="130"/>
      <c r="BJ7" s="130"/>
      <c r="BK7" s="130"/>
    </row>
    <row r="8" spans="1:63" s="334" customFormat="1" ht="54" customHeight="1">
      <c r="A8" s="2491" t="s">
        <v>12</v>
      </c>
      <c r="B8" s="2358" t="s">
        <v>13</v>
      </c>
      <c r="C8" s="2358"/>
      <c r="D8" s="2358" t="s">
        <v>12</v>
      </c>
      <c r="E8" s="2358" t="s">
        <v>14</v>
      </c>
      <c r="F8" s="2358"/>
      <c r="G8" s="2358" t="s">
        <v>12</v>
      </c>
      <c r="H8" s="2358" t="s">
        <v>15</v>
      </c>
      <c r="I8" s="2358"/>
      <c r="J8" s="2358" t="s">
        <v>12</v>
      </c>
      <c r="K8" s="2358" t="s">
        <v>16</v>
      </c>
      <c r="L8" s="2358" t="s">
        <v>17</v>
      </c>
      <c r="M8" s="2271" t="s">
        <v>18</v>
      </c>
      <c r="N8" s="2358" t="s">
        <v>19</v>
      </c>
      <c r="O8" s="2358" t="s">
        <v>20</v>
      </c>
      <c r="P8" s="2358" t="s">
        <v>10</v>
      </c>
      <c r="Q8" s="2533" t="s">
        <v>21</v>
      </c>
      <c r="R8" s="2534" t="s">
        <v>22</v>
      </c>
      <c r="S8" s="2358" t="s">
        <v>23</v>
      </c>
      <c r="T8" s="2358" t="s">
        <v>24</v>
      </c>
      <c r="U8" s="2358" t="s">
        <v>25</v>
      </c>
      <c r="V8" s="2305" t="s">
        <v>22</v>
      </c>
      <c r="W8" s="2529" t="s">
        <v>12</v>
      </c>
      <c r="X8" s="2358" t="s">
        <v>26</v>
      </c>
      <c r="Y8" s="2530" t="s">
        <v>27</v>
      </c>
      <c r="Z8" s="2530"/>
      <c r="AA8" s="2531" t="s">
        <v>28</v>
      </c>
      <c r="AB8" s="2531"/>
      <c r="AC8" s="2531"/>
      <c r="AD8" s="2531"/>
      <c r="AE8" s="2532" t="s">
        <v>29</v>
      </c>
      <c r="AF8" s="2532"/>
      <c r="AG8" s="2532"/>
      <c r="AH8" s="2532"/>
      <c r="AI8" s="2532"/>
      <c r="AJ8" s="2532"/>
      <c r="AK8" s="2531" t="s">
        <v>30</v>
      </c>
      <c r="AL8" s="2531"/>
      <c r="AM8" s="2531"/>
      <c r="AN8" s="478" t="s">
        <v>31</v>
      </c>
      <c r="AO8" s="2504" t="s">
        <v>32</v>
      </c>
      <c r="AP8" s="2504" t="s">
        <v>33</v>
      </c>
      <c r="AQ8" s="2506" t="s">
        <v>34</v>
      </c>
      <c r="AR8" s="479"/>
      <c r="AS8" s="479"/>
      <c r="AT8" s="479"/>
      <c r="AU8" s="479"/>
      <c r="AV8" s="479"/>
      <c r="AW8" s="479"/>
      <c r="AX8" s="479"/>
      <c r="AY8" s="479"/>
      <c r="AZ8" s="479"/>
      <c r="BA8" s="479"/>
      <c r="BB8" s="479"/>
      <c r="BC8" s="479"/>
      <c r="BD8" s="479"/>
      <c r="BE8" s="479"/>
      <c r="BF8" s="479"/>
      <c r="BG8" s="479"/>
      <c r="BH8" s="479"/>
      <c r="BI8" s="479"/>
      <c r="BJ8" s="479"/>
      <c r="BK8" s="479"/>
    </row>
    <row r="9" spans="1:63" s="334" customFormat="1" ht="72.75" customHeight="1">
      <c r="A9" s="2491"/>
      <c r="B9" s="2358"/>
      <c r="C9" s="2358"/>
      <c r="D9" s="2358"/>
      <c r="E9" s="2358"/>
      <c r="F9" s="2358"/>
      <c r="G9" s="2358"/>
      <c r="H9" s="2358"/>
      <c r="I9" s="2358"/>
      <c r="J9" s="2358"/>
      <c r="K9" s="2358"/>
      <c r="L9" s="2358"/>
      <c r="M9" s="2272"/>
      <c r="N9" s="2358"/>
      <c r="O9" s="2358"/>
      <c r="P9" s="2358"/>
      <c r="Q9" s="2533"/>
      <c r="R9" s="2534"/>
      <c r="S9" s="2358"/>
      <c r="T9" s="2358"/>
      <c r="U9" s="2358"/>
      <c r="V9" s="2306"/>
      <c r="W9" s="2529"/>
      <c r="X9" s="2358"/>
      <c r="Y9" s="251" t="s">
        <v>35</v>
      </c>
      <c r="Z9" s="251" t="s">
        <v>36</v>
      </c>
      <c r="AA9" s="251" t="s">
        <v>37</v>
      </c>
      <c r="AB9" s="251" t="s">
        <v>137</v>
      </c>
      <c r="AC9" s="251" t="s">
        <v>352</v>
      </c>
      <c r="AD9" s="251" t="s">
        <v>139</v>
      </c>
      <c r="AE9" s="251" t="s">
        <v>41</v>
      </c>
      <c r="AF9" s="251" t="s">
        <v>42</v>
      </c>
      <c r="AG9" s="251" t="s">
        <v>43</v>
      </c>
      <c r="AH9" s="251" t="s">
        <v>44</v>
      </c>
      <c r="AI9" s="251" t="s">
        <v>45</v>
      </c>
      <c r="AJ9" s="251" t="s">
        <v>46</v>
      </c>
      <c r="AK9" s="251" t="s">
        <v>47</v>
      </c>
      <c r="AL9" s="251" t="s">
        <v>48</v>
      </c>
      <c r="AM9" s="251" t="s">
        <v>49</v>
      </c>
      <c r="AN9" s="251" t="s">
        <v>31</v>
      </c>
      <c r="AO9" s="2505"/>
      <c r="AP9" s="2505"/>
      <c r="AQ9" s="2506"/>
      <c r="AR9" s="479"/>
      <c r="AS9" s="479"/>
      <c r="AT9" s="479"/>
      <c r="AU9" s="479"/>
      <c r="AV9" s="479"/>
      <c r="AW9" s="479"/>
      <c r="AX9" s="479"/>
      <c r="AY9" s="479"/>
      <c r="AZ9" s="479"/>
      <c r="BA9" s="479"/>
      <c r="BB9" s="479"/>
      <c r="BC9" s="479"/>
      <c r="BD9" s="479"/>
      <c r="BE9" s="479"/>
      <c r="BF9" s="479"/>
      <c r="BG9" s="479"/>
      <c r="BH9" s="479"/>
      <c r="BI9" s="479"/>
      <c r="BJ9" s="479"/>
      <c r="BK9" s="479"/>
    </row>
    <row r="10" spans="1:63" s="334" customFormat="1" ht="32.25" customHeight="1">
      <c r="A10" s="2491"/>
      <c r="B10" s="2358"/>
      <c r="C10" s="2358"/>
      <c r="D10" s="2358"/>
      <c r="E10" s="2358"/>
      <c r="F10" s="2358"/>
      <c r="G10" s="2358"/>
      <c r="H10" s="2358"/>
      <c r="I10" s="2358"/>
      <c r="J10" s="2358"/>
      <c r="K10" s="2358"/>
      <c r="L10" s="2358"/>
      <c r="M10" s="2273"/>
      <c r="N10" s="2358"/>
      <c r="O10" s="2358"/>
      <c r="P10" s="2358"/>
      <c r="Q10" s="2533"/>
      <c r="R10" s="2534"/>
      <c r="S10" s="2358"/>
      <c r="T10" s="2358"/>
      <c r="U10" s="2358"/>
      <c r="V10" s="2307"/>
      <c r="W10" s="2529"/>
      <c r="X10" s="2358"/>
      <c r="Y10" s="480" t="s">
        <v>353</v>
      </c>
      <c r="Z10" s="480" t="s">
        <v>353</v>
      </c>
      <c r="AA10" s="480" t="s">
        <v>353</v>
      </c>
      <c r="AB10" s="480" t="s">
        <v>353</v>
      </c>
      <c r="AC10" s="480" t="s">
        <v>353</v>
      </c>
      <c r="AD10" s="480" t="s">
        <v>353</v>
      </c>
      <c r="AE10" s="480" t="s">
        <v>353</v>
      </c>
      <c r="AF10" s="480" t="s">
        <v>353</v>
      </c>
      <c r="AG10" s="480" t="s">
        <v>353</v>
      </c>
      <c r="AH10" s="480" t="s">
        <v>353</v>
      </c>
      <c r="AI10" s="480" t="s">
        <v>353</v>
      </c>
      <c r="AJ10" s="480" t="s">
        <v>353</v>
      </c>
      <c r="AK10" s="480" t="s">
        <v>353</v>
      </c>
      <c r="AL10" s="480" t="s">
        <v>353</v>
      </c>
      <c r="AM10" s="480" t="s">
        <v>353</v>
      </c>
      <c r="AN10" s="480" t="s">
        <v>353</v>
      </c>
      <c r="AO10" s="153" t="s">
        <v>50</v>
      </c>
      <c r="AP10" s="153" t="s">
        <v>353</v>
      </c>
      <c r="AQ10" s="2506"/>
      <c r="AR10" s="479"/>
      <c r="AS10" s="479"/>
      <c r="AT10" s="479"/>
      <c r="AU10" s="479"/>
      <c r="AV10" s="479"/>
      <c r="AW10" s="479"/>
      <c r="AX10" s="479"/>
      <c r="AY10" s="479"/>
      <c r="AZ10" s="479"/>
      <c r="BA10" s="479"/>
      <c r="BB10" s="479"/>
      <c r="BC10" s="479"/>
      <c r="BD10" s="479"/>
      <c r="BE10" s="479"/>
      <c r="BF10" s="479"/>
      <c r="BG10" s="479"/>
      <c r="BH10" s="479"/>
      <c r="BI10" s="479"/>
      <c r="BJ10" s="479"/>
      <c r="BK10" s="479"/>
    </row>
    <row r="11" spans="1:43" ht="15.75">
      <c r="A11" s="156">
        <v>4</v>
      </c>
      <c r="B11" s="157" t="s">
        <v>354</v>
      </c>
      <c r="C11" s="157"/>
      <c r="D11" s="254"/>
      <c r="E11" s="254"/>
      <c r="F11" s="254"/>
      <c r="G11" s="254"/>
      <c r="H11" s="254"/>
      <c r="I11" s="254"/>
      <c r="J11" s="481"/>
      <c r="K11" s="482"/>
      <c r="L11" s="255"/>
      <c r="M11" s="254"/>
      <c r="N11" s="483"/>
      <c r="O11" s="481"/>
      <c r="P11" s="255"/>
      <c r="Q11" s="484"/>
      <c r="R11" s="485"/>
      <c r="S11" s="255"/>
      <c r="T11" s="482"/>
      <c r="U11" s="482"/>
      <c r="V11" s="486"/>
      <c r="W11" s="487"/>
      <c r="X11" s="256"/>
      <c r="Y11" s="254"/>
      <c r="Z11" s="254"/>
      <c r="AA11" s="254"/>
      <c r="AB11" s="254"/>
      <c r="AC11" s="254"/>
      <c r="AD11" s="254"/>
      <c r="AE11" s="254"/>
      <c r="AF11" s="254"/>
      <c r="AG11" s="254"/>
      <c r="AH11" s="254"/>
      <c r="AI11" s="254"/>
      <c r="AJ11" s="254"/>
      <c r="AK11" s="488"/>
      <c r="AL11" s="488"/>
      <c r="AM11" s="255"/>
      <c r="AN11" s="255"/>
      <c r="AO11" s="255"/>
      <c r="AP11" s="255"/>
      <c r="AQ11" s="489"/>
    </row>
    <row r="12" spans="1:43" s="130" customFormat="1" ht="15.75">
      <c r="A12" s="2507"/>
      <c r="B12" s="2509"/>
      <c r="C12" s="2510"/>
      <c r="D12" s="490">
        <v>23</v>
      </c>
      <c r="E12" s="301" t="s">
        <v>355</v>
      </c>
      <c r="F12" s="301"/>
      <c r="G12" s="266"/>
      <c r="H12" s="266"/>
      <c r="I12" s="266"/>
      <c r="J12" s="491"/>
      <c r="K12" s="492"/>
      <c r="L12" s="267"/>
      <c r="M12" s="266"/>
      <c r="N12" s="493"/>
      <c r="O12" s="491"/>
      <c r="P12" s="267"/>
      <c r="Q12" s="494"/>
      <c r="R12" s="495"/>
      <c r="S12" s="267"/>
      <c r="T12" s="492"/>
      <c r="U12" s="492"/>
      <c r="V12" s="496"/>
      <c r="W12" s="497"/>
      <c r="X12" s="268"/>
      <c r="Y12" s="266"/>
      <c r="Z12" s="266"/>
      <c r="AA12" s="266"/>
      <c r="AB12" s="266"/>
      <c r="AC12" s="266"/>
      <c r="AD12" s="266"/>
      <c r="AE12" s="266"/>
      <c r="AF12" s="266"/>
      <c r="AG12" s="266"/>
      <c r="AH12" s="266"/>
      <c r="AI12" s="266"/>
      <c r="AJ12" s="266"/>
      <c r="AK12" s="498"/>
      <c r="AL12" s="498"/>
      <c r="AM12" s="267"/>
      <c r="AN12" s="267"/>
      <c r="AO12" s="267"/>
      <c r="AP12" s="267"/>
      <c r="AQ12" s="499"/>
    </row>
    <row r="13" spans="1:43" s="130" customFormat="1" ht="15.75">
      <c r="A13" s="2508"/>
      <c r="B13" s="2511"/>
      <c r="C13" s="2512"/>
      <c r="D13" s="2513"/>
      <c r="E13" s="2514"/>
      <c r="F13" s="2515"/>
      <c r="G13" s="500">
        <v>75</v>
      </c>
      <c r="H13" s="182" t="s">
        <v>356</v>
      </c>
      <c r="I13" s="182"/>
      <c r="J13" s="501"/>
      <c r="K13" s="502"/>
      <c r="L13" s="183"/>
      <c r="M13" s="190"/>
      <c r="N13" s="503"/>
      <c r="O13" s="504"/>
      <c r="P13" s="505"/>
      <c r="Q13" s="506"/>
      <c r="R13" s="507"/>
      <c r="S13" s="183"/>
      <c r="T13" s="502"/>
      <c r="U13" s="502"/>
      <c r="V13" s="508"/>
      <c r="W13" s="509"/>
      <c r="X13" s="184"/>
      <c r="Y13" s="190"/>
      <c r="Z13" s="190"/>
      <c r="AA13" s="190"/>
      <c r="AB13" s="190"/>
      <c r="AC13" s="190"/>
      <c r="AD13" s="190"/>
      <c r="AE13" s="190"/>
      <c r="AF13" s="190"/>
      <c r="AG13" s="190"/>
      <c r="AH13" s="190"/>
      <c r="AI13" s="190"/>
      <c r="AJ13" s="190"/>
      <c r="AK13" s="191"/>
      <c r="AL13" s="191"/>
      <c r="AM13" s="183"/>
      <c r="AN13" s="183"/>
      <c r="AO13" s="183"/>
      <c r="AP13" s="183"/>
      <c r="AQ13" s="510"/>
    </row>
    <row r="14" spans="1:43" ht="148.5" customHeight="1">
      <c r="A14" s="2508"/>
      <c r="B14" s="2511"/>
      <c r="C14" s="2512"/>
      <c r="D14" s="2516"/>
      <c r="E14" s="2517"/>
      <c r="F14" s="2518"/>
      <c r="G14" s="130"/>
      <c r="H14" s="511"/>
      <c r="I14" s="512"/>
      <c r="J14" s="513">
        <v>214</v>
      </c>
      <c r="K14" s="514" t="s">
        <v>357</v>
      </c>
      <c r="L14" s="515" t="s">
        <v>358</v>
      </c>
      <c r="M14" s="516">
        <v>3</v>
      </c>
      <c r="N14" s="517"/>
      <c r="O14" s="2522" t="s">
        <v>359</v>
      </c>
      <c r="P14" s="2524" t="s">
        <v>360</v>
      </c>
      <c r="Q14" s="518">
        <f>(V14)/R14</f>
        <v>0.009080351903340928</v>
      </c>
      <c r="R14" s="2526">
        <f>V14+V15+V16+V17+V18+V19+V20+V21+V22+V23+V24+V25+V26+V27+V28+V29+V30+V31+V32+V33+V34</f>
        <v>5506394524.38</v>
      </c>
      <c r="S14" s="2540" t="s">
        <v>361</v>
      </c>
      <c r="T14" s="2540" t="s">
        <v>362</v>
      </c>
      <c r="U14" s="514" t="s">
        <v>363</v>
      </c>
      <c r="V14" s="519">
        <v>50000000</v>
      </c>
      <c r="W14" s="2492" t="s">
        <v>364</v>
      </c>
      <c r="X14" s="2495" t="s">
        <v>365</v>
      </c>
      <c r="Y14" s="2498">
        <v>292684</v>
      </c>
      <c r="Z14" s="2501">
        <v>282326</v>
      </c>
      <c r="AA14" s="2498">
        <v>135912</v>
      </c>
      <c r="AB14" s="2498">
        <v>45122</v>
      </c>
      <c r="AC14" s="2498">
        <v>307101</v>
      </c>
      <c r="AD14" s="2498">
        <v>86875</v>
      </c>
      <c r="AE14" s="2498">
        <v>2145</v>
      </c>
      <c r="AF14" s="2498">
        <v>12718</v>
      </c>
      <c r="AG14" s="2498">
        <v>26</v>
      </c>
      <c r="AH14" s="2498">
        <v>37</v>
      </c>
      <c r="AI14" s="2498"/>
      <c r="AJ14" s="2498"/>
      <c r="AK14" s="2498">
        <v>53164</v>
      </c>
      <c r="AL14" s="2498">
        <v>16982</v>
      </c>
      <c r="AM14" s="2498">
        <v>60013</v>
      </c>
      <c r="AN14" s="2498">
        <f>SUM(AA14,AB14,AC14,AD14)</f>
        <v>575010</v>
      </c>
      <c r="AO14" s="2535">
        <v>43174</v>
      </c>
      <c r="AP14" s="2535">
        <v>43454</v>
      </c>
      <c r="AQ14" s="2300" t="s">
        <v>366</v>
      </c>
    </row>
    <row r="15" spans="1:43" ht="115.5" customHeight="1">
      <c r="A15" s="2508"/>
      <c r="B15" s="2511"/>
      <c r="C15" s="2512"/>
      <c r="D15" s="2516"/>
      <c r="E15" s="2517"/>
      <c r="F15" s="2518"/>
      <c r="G15" s="130"/>
      <c r="H15" s="520"/>
      <c r="I15" s="521"/>
      <c r="J15" s="513">
        <v>215</v>
      </c>
      <c r="K15" s="514" t="s">
        <v>367</v>
      </c>
      <c r="L15" s="515" t="s">
        <v>368</v>
      </c>
      <c r="M15" s="522">
        <v>3</v>
      </c>
      <c r="N15" s="523"/>
      <c r="O15" s="2523"/>
      <c r="P15" s="2525"/>
      <c r="Q15" s="524">
        <f>(V15)/R14</f>
        <v>0.0127124926646773</v>
      </c>
      <c r="R15" s="2527"/>
      <c r="S15" s="2540"/>
      <c r="T15" s="2540"/>
      <c r="U15" s="514" t="s">
        <v>369</v>
      </c>
      <c r="V15" s="519">
        <v>70000000</v>
      </c>
      <c r="W15" s="2493"/>
      <c r="X15" s="2496"/>
      <c r="Y15" s="2499"/>
      <c r="Z15" s="2502"/>
      <c r="AA15" s="2499"/>
      <c r="AB15" s="2499"/>
      <c r="AC15" s="2499"/>
      <c r="AD15" s="2499"/>
      <c r="AE15" s="2499"/>
      <c r="AF15" s="2499"/>
      <c r="AG15" s="2499"/>
      <c r="AH15" s="2499"/>
      <c r="AI15" s="2499"/>
      <c r="AJ15" s="2499"/>
      <c r="AK15" s="2499"/>
      <c r="AL15" s="2499"/>
      <c r="AM15" s="2499"/>
      <c r="AN15" s="2499"/>
      <c r="AO15" s="2536"/>
      <c r="AP15" s="2536"/>
      <c r="AQ15" s="2538"/>
    </row>
    <row r="16" spans="1:43" ht="95.25" customHeight="1">
      <c r="A16" s="2508"/>
      <c r="B16" s="2511"/>
      <c r="C16" s="2512"/>
      <c r="D16" s="2516"/>
      <c r="E16" s="2517"/>
      <c r="F16" s="2518"/>
      <c r="G16" s="130"/>
      <c r="H16" s="520"/>
      <c r="I16" s="521"/>
      <c r="J16" s="2539">
        <v>216</v>
      </c>
      <c r="K16" s="2540" t="s">
        <v>370</v>
      </c>
      <c r="L16" s="2541" t="s">
        <v>371</v>
      </c>
      <c r="M16" s="2542">
        <v>2</v>
      </c>
      <c r="N16" s="523"/>
      <c r="O16" s="2523"/>
      <c r="P16" s="2525"/>
      <c r="Q16" s="2543">
        <f>(V16+V17+V18)/R14</f>
        <v>0.14256152488245258</v>
      </c>
      <c r="R16" s="2527"/>
      <c r="S16" s="2540"/>
      <c r="T16" s="2540"/>
      <c r="U16" s="525" t="s">
        <v>372</v>
      </c>
      <c r="V16" s="526">
        <v>20000000</v>
      </c>
      <c r="W16" s="2493"/>
      <c r="X16" s="2496"/>
      <c r="Y16" s="2499"/>
      <c r="Z16" s="2502"/>
      <c r="AA16" s="2499"/>
      <c r="AB16" s="2499"/>
      <c r="AC16" s="2499"/>
      <c r="AD16" s="2499"/>
      <c r="AE16" s="2499"/>
      <c r="AF16" s="2499"/>
      <c r="AG16" s="2499"/>
      <c r="AH16" s="2499"/>
      <c r="AI16" s="2499"/>
      <c r="AJ16" s="2499"/>
      <c r="AK16" s="2499"/>
      <c r="AL16" s="2499"/>
      <c r="AM16" s="2499"/>
      <c r="AN16" s="2499"/>
      <c r="AO16" s="2536"/>
      <c r="AP16" s="2536"/>
      <c r="AQ16" s="2538"/>
    </row>
    <row r="17" spans="1:43" ht="65.25" customHeight="1">
      <c r="A17" s="2508"/>
      <c r="B17" s="2511"/>
      <c r="C17" s="2512"/>
      <c r="D17" s="2516"/>
      <c r="E17" s="2517"/>
      <c r="F17" s="2518"/>
      <c r="G17" s="130"/>
      <c r="H17" s="520"/>
      <c r="I17" s="521"/>
      <c r="J17" s="2539"/>
      <c r="K17" s="2540"/>
      <c r="L17" s="2541"/>
      <c r="M17" s="2542"/>
      <c r="N17" s="523"/>
      <c r="O17" s="2523"/>
      <c r="P17" s="2525"/>
      <c r="Q17" s="2543"/>
      <c r="R17" s="2527"/>
      <c r="S17" s="2540"/>
      <c r="T17" s="2540"/>
      <c r="U17" s="525" t="s">
        <v>373</v>
      </c>
      <c r="V17" s="526">
        <f>80000000+635000000</f>
        <v>715000000</v>
      </c>
      <c r="W17" s="2493"/>
      <c r="X17" s="2496"/>
      <c r="Y17" s="2499"/>
      <c r="Z17" s="2502"/>
      <c r="AA17" s="2499"/>
      <c r="AB17" s="2499"/>
      <c r="AC17" s="2499"/>
      <c r="AD17" s="2499"/>
      <c r="AE17" s="2499"/>
      <c r="AF17" s="2499"/>
      <c r="AG17" s="2499"/>
      <c r="AH17" s="2499"/>
      <c r="AI17" s="2499"/>
      <c r="AJ17" s="2499"/>
      <c r="AK17" s="2499"/>
      <c r="AL17" s="2499"/>
      <c r="AM17" s="2499"/>
      <c r="AN17" s="2499"/>
      <c r="AO17" s="2536"/>
      <c r="AP17" s="2536"/>
      <c r="AQ17" s="2538"/>
    </row>
    <row r="18" spans="1:43" ht="55.5" customHeight="1">
      <c r="A18" s="2508"/>
      <c r="B18" s="2511"/>
      <c r="C18" s="2512"/>
      <c r="D18" s="2516"/>
      <c r="E18" s="2517"/>
      <c r="F18" s="2518"/>
      <c r="G18" s="130"/>
      <c r="H18" s="520"/>
      <c r="I18" s="521"/>
      <c r="J18" s="2539"/>
      <c r="K18" s="2540"/>
      <c r="L18" s="2541"/>
      <c r="M18" s="2542"/>
      <c r="N18" s="523"/>
      <c r="O18" s="2523"/>
      <c r="P18" s="2525"/>
      <c r="Q18" s="2543"/>
      <c r="R18" s="2527"/>
      <c r="S18" s="2540"/>
      <c r="T18" s="2540"/>
      <c r="U18" s="525" t="s">
        <v>374</v>
      </c>
      <c r="V18" s="526">
        <v>50000000</v>
      </c>
      <c r="W18" s="2493"/>
      <c r="X18" s="2496"/>
      <c r="Y18" s="2499"/>
      <c r="Z18" s="2502"/>
      <c r="AA18" s="2499"/>
      <c r="AB18" s="2499"/>
      <c r="AC18" s="2499"/>
      <c r="AD18" s="2499"/>
      <c r="AE18" s="2499"/>
      <c r="AF18" s="2499"/>
      <c r="AG18" s="2499"/>
      <c r="AH18" s="2499"/>
      <c r="AI18" s="2499"/>
      <c r="AJ18" s="2499"/>
      <c r="AK18" s="2499"/>
      <c r="AL18" s="2499"/>
      <c r="AM18" s="2499"/>
      <c r="AN18" s="2499"/>
      <c r="AO18" s="2536"/>
      <c r="AP18" s="2536"/>
      <c r="AQ18" s="2538"/>
    </row>
    <row r="19" spans="1:43" ht="48.75" customHeight="1">
      <c r="A19" s="2508"/>
      <c r="B19" s="2511"/>
      <c r="C19" s="2512"/>
      <c r="D19" s="2516"/>
      <c r="E19" s="2517"/>
      <c r="F19" s="2518"/>
      <c r="G19" s="130"/>
      <c r="H19" s="520"/>
      <c r="I19" s="521"/>
      <c r="J19" s="2495">
        <v>217</v>
      </c>
      <c r="K19" s="2544" t="s">
        <v>375</v>
      </c>
      <c r="L19" s="2547" t="s">
        <v>376</v>
      </c>
      <c r="M19" s="2550">
        <v>5</v>
      </c>
      <c r="N19" s="527"/>
      <c r="O19" s="2523"/>
      <c r="P19" s="2525"/>
      <c r="Q19" s="2451">
        <f>(V19+V20+V21+V22+V23+V24+V25+V26+V27+V28+V29+V30+V31+V32)/R14</f>
        <v>0.7884278006521563</v>
      </c>
      <c r="R19" s="2527"/>
      <c r="S19" s="2540"/>
      <c r="T19" s="2540"/>
      <c r="U19" s="525" t="s">
        <v>377</v>
      </c>
      <c r="V19" s="528">
        <f>(1130600000+960000000)-400000000</f>
        <v>1690600000</v>
      </c>
      <c r="W19" s="2493"/>
      <c r="X19" s="2496"/>
      <c r="Y19" s="2499"/>
      <c r="Z19" s="2502"/>
      <c r="AA19" s="2499"/>
      <c r="AB19" s="2499"/>
      <c r="AC19" s="2499"/>
      <c r="AD19" s="2499"/>
      <c r="AE19" s="2499"/>
      <c r="AF19" s="2499"/>
      <c r="AG19" s="2499"/>
      <c r="AH19" s="2499"/>
      <c r="AI19" s="2499"/>
      <c r="AJ19" s="2499"/>
      <c r="AK19" s="2499"/>
      <c r="AL19" s="2499"/>
      <c r="AM19" s="2499"/>
      <c r="AN19" s="2499"/>
      <c r="AO19" s="2536"/>
      <c r="AP19" s="2536"/>
      <c r="AQ19" s="2538"/>
    </row>
    <row r="20" spans="1:43" ht="57.75" customHeight="1">
      <c r="A20" s="2508"/>
      <c r="B20" s="2511"/>
      <c r="C20" s="2512"/>
      <c r="D20" s="2516"/>
      <c r="E20" s="2517"/>
      <c r="F20" s="2518"/>
      <c r="G20" s="130"/>
      <c r="H20" s="520"/>
      <c r="I20" s="521"/>
      <c r="J20" s="2496"/>
      <c r="K20" s="2545"/>
      <c r="L20" s="2548"/>
      <c r="M20" s="2551"/>
      <c r="N20" s="527"/>
      <c r="O20" s="2523"/>
      <c r="P20" s="2525"/>
      <c r="Q20" s="2452"/>
      <c r="R20" s="2527"/>
      <c r="S20" s="2540"/>
      <c r="T20" s="2540"/>
      <c r="U20" s="525" t="s">
        <v>378</v>
      </c>
      <c r="V20" s="528">
        <f>300000000+450000000</f>
        <v>750000000</v>
      </c>
      <c r="W20" s="2493"/>
      <c r="X20" s="2496"/>
      <c r="Y20" s="2499"/>
      <c r="Z20" s="2502"/>
      <c r="AA20" s="2499"/>
      <c r="AB20" s="2499"/>
      <c r="AC20" s="2499"/>
      <c r="AD20" s="2499"/>
      <c r="AE20" s="2499"/>
      <c r="AF20" s="2499"/>
      <c r="AG20" s="2499"/>
      <c r="AH20" s="2499"/>
      <c r="AI20" s="2499"/>
      <c r="AJ20" s="2499"/>
      <c r="AK20" s="2499"/>
      <c r="AL20" s="2499"/>
      <c r="AM20" s="2499"/>
      <c r="AN20" s="2499"/>
      <c r="AO20" s="2536"/>
      <c r="AP20" s="2536"/>
      <c r="AQ20" s="2538"/>
    </row>
    <row r="21" spans="1:43" ht="28.5" customHeight="1">
      <c r="A21" s="2508"/>
      <c r="B21" s="2511"/>
      <c r="C21" s="2512"/>
      <c r="D21" s="2516"/>
      <c r="E21" s="2517"/>
      <c r="F21" s="2518"/>
      <c r="G21" s="130"/>
      <c r="H21" s="520"/>
      <c r="I21" s="521"/>
      <c r="J21" s="2496"/>
      <c r="K21" s="2545"/>
      <c r="L21" s="2548"/>
      <c r="M21" s="2551"/>
      <c r="N21" s="527"/>
      <c r="O21" s="2523"/>
      <c r="P21" s="2525"/>
      <c r="Q21" s="2452"/>
      <c r="R21" s="2527"/>
      <c r="S21" s="2540"/>
      <c r="T21" s="2540"/>
      <c r="U21" s="525" t="s">
        <v>379</v>
      </c>
      <c r="V21" s="528">
        <f>80000000+45000000</f>
        <v>125000000</v>
      </c>
      <c r="W21" s="2493"/>
      <c r="X21" s="2496"/>
      <c r="Y21" s="2499"/>
      <c r="Z21" s="2502"/>
      <c r="AA21" s="2499"/>
      <c r="AB21" s="2499"/>
      <c r="AC21" s="2499"/>
      <c r="AD21" s="2499"/>
      <c r="AE21" s="2499"/>
      <c r="AF21" s="2499"/>
      <c r="AG21" s="2499"/>
      <c r="AH21" s="2499"/>
      <c r="AI21" s="2499"/>
      <c r="AJ21" s="2499"/>
      <c r="AK21" s="2499"/>
      <c r="AL21" s="2499"/>
      <c r="AM21" s="2499"/>
      <c r="AN21" s="2499"/>
      <c r="AO21" s="2536"/>
      <c r="AP21" s="2536"/>
      <c r="AQ21" s="2538"/>
    </row>
    <row r="22" spans="1:43" ht="54" customHeight="1">
      <c r="A22" s="2508"/>
      <c r="B22" s="2511"/>
      <c r="C22" s="2512"/>
      <c r="D22" s="2516"/>
      <c r="E22" s="2517"/>
      <c r="F22" s="2518"/>
      <c r="G22" s="130"/>
      <c r="H22" s="520"/>
      <c r="I22" s="521"/>
      <c r="J22" s="2496"/>
      <c r="K22" s="2545"/>
      <c r="L22" s="2548"/>
      <c r="M22" s="2551"/>
      <c r="N22" s="527"/>
      <c r="O22" s="2523"/>
      <c r="P22" s="2525"/>
      <c r="Q22" s="2452"/>
      <c r="R22" s="2527"/>
      <c r="S22" s="2540"/>
      <c r="T22" s="2540"/>
      <c r="U22" s="525" t="s">
        <v>380</v>
      </c>
      <c r="V22" s="528">
        <v>2000000</v>
      </c>
      <c r="W22" s="2493"/>
      <c r="X22" s="2496"/>
      <c r="Y22" s="2499"/>
      <c r="Z22" s="2502"/>
      <c r="AA22" s="2499"/>
      <c r="AB22" s="2499"/>
      <c r="AC22" s="2499"/>
      <c r="AD22" s="2499"/>
      <c r="AE22" s="2499"/>
      <c r="AF22" s="2499"/>
      <c r="AG22" s="2499"/>
      <c r="AH22" s="2499"/>
      <c r="AI22" s="2499"/>
      <c r="AJ22" s="2499"/>
      <c r="AK22" s="2499"/>
      <c r="AL22" s="2499"/>
      <c r="AM22" s="2499"/>
      <c r="AN22" s="2499"/>
      <c r="AO22" s="2536"/>
      <c r="AP22" s="2536"/>
      <c r="AQ22" s="2538"/>
    </row>
    <row r="23" spans="1:43" ht="60.75" customHeight="1">
      <c r="A23" s="2508"/>
      <c r="B23" s="2511"/>
      <c r="C23" s="2512"/>
      <c r="D23" s="2516"/>
      <c r="E23" s="2517"/>
      <c r="F23" s="2518"/>
      <c r="G23" s="130"/>
      <c r="H23" s="520"/>
      <c r="I23" s="521"/>
      <c r="J23" s="2496"/>
      <c r="K23" s="2545"/>
      <c r="L23" s="2548"/>
      <c r="M23" s="2551"/>
      <c r="N23" s="527" t="s">
        <v>381</v>
      </c>
      <c r="O23" s="2523"/>
      <c r="P23" s="2525"/>
      <c r="Q23" s="2452"/>
      <c r="R23" s="2527"/>
      <c r="S23" s="2540"/>
      <c r="T23" s="2540"/>
      <c r="U23" s="525" t="s">
        <v>382</v>
      </c>
      <c r="V23" s="528">
        <f>40000000+864000000</f>
        <v>904000000</v>
      </c>
      <c r="W23" s="2493"/>
      <c r="X23" s="2496"/>
      <c r="Y23" s="2499"/>
      <c r="Z23" s="2502"/>
      <c r="AA23" s="2499"/>
      <c r="AB23" s="2499"/>
      <c r="AC23" s="2499"/>
      <c r="AD23" s="2499"/>
      <c r="AE23" s="2499"/>
      <c r="AF23" s="2499"/>
      <c r="AG23" s="2499"/>
      <c r="AH23" s="2499"/>
      <c r="AI23" s="2499"/>
      <c r="AJ23" s="2499"/>
      <c r="AK23" s="2499"/>
      <c r="AL23" s="2499"/>
      <c r="AM23" s="2499"/>
      <c r="AN23" s="2499"/>
      <c r="AO23" s="2536"/>
      <c r="AP23" s="2536"/>
      <c r="AQ23" s="2538"/>
    </row>
    <row r="24" spans="1:43" ht="35.25" customHeight="1">
      <c r="A24" s="2508"/>
      <c r="B24" s="2511"/>
      <c r="C24" s="2512"/>
      <c r="D24" s="2516"/>
      <c r="E24" s="2517"/>
      <c r="F24" s="2518"/>
      <c r="G24" s="130"/>
      <c r="H24" s="520"/>
      <c r="I24" s="521"/>
      <c r="J24" s="2496"/>
      <c r="K24" s="2545"/>
      <c r="L24" s="2548"/>
      <c r="M24" s="2551"/>
      <c r="N24" s="523"/>
      <c r="O24" s="2523"/>
      <c r="P24" s="2525"/>
      <c r="Q24" s="2452"/>
      <c r="R24" s="2527"/>
      <c r="S24" s="2540"/>
      <c r="T24" s="2540"/>
      <c r="U24" s="525" t="s">
        <v>383</v>
      </c>
      <c r="V24" s="528">
        <f>90000000+10000000</f>
        <v>100000000</v>
      </c>
      <c r="W24" s="2493"/>
      <c r="X24" s="2496"/>
      <c r="Y24" s="2499"/>
      <c r="Z24" s="2502"/>
      <c r="AA24" s="2499"/>
      <c r="AB24" s="2499"/>
      <c r="AC24" s="2499"/>
      <c r="AD24" s="2499"/>
      <c r="AE24" s="2499"/>
      <c r="AF24" s="2499"/>
      <c r="AG24" s="2499"/>
      <c r="AH24" s="2499"/>
      <c r="AI24" s="2499"/>
      <c r="AJ24" s="2499"/>
      <c r="AK24" s="2499"/>
      <c r="AL24" s="2499"/>
      <c r="AM24" s="2499"/>
      <c r="AN24" s="2499"/>
      <c r="AO24" s="2536"/>
      <c r="AP24" s="2536"/>
      <c r="AQ24" s="2538"/>
    </row>
    <row r="25" spans="1:43" ht="36" customHeight="1">
      <c r="A25" s="2508"/>
      <c r="B25" s="2511"/>
      <c r="C25" s="2512"/>
      <c r="D25" s="2516"/>
      <c r="E25" s="2517"/>
      <c r="F25" s="2518"/>
      <c r="G25" s="130"/>
      <c r="H25" s="520"/>
      <c r="I25" s="521"/>
      <c r="J25" s="2496"/>
      <c r="K25" s="2545"/>
      <c r="L25" s="2548"/>
      <c r="M25" s="2551"/>
      <c r="N25" s="527" t="s">
        <v>384</v>
      </c>
      <c r="O25" s="2523"/>
      <c r="P25" s="2525"/>
      <c r="Q25" s="2452"/>
      <c r="R25" s="2527"/>
      <c r="S25" s="2540"/>
      <c r="T25" s="2540"/>
      <c r="U25" s="525" t="s">
        <v>385</v>
      </c>
      <c r="V25" s="528">
        <v>80000000</v>
      </c>
      <c r="W25" s="2493"/>
      <c r="X25" s="2496"/>
      <c r="Y25" s="2499"/>
      <c r="Z25" s="2502"/>
      <c r="AA25" s="2499"/>
      <c r="AB25" s="2499"/>
      <c r="AC25" s="2499"/>
      <c r="AD25" s="2499"/>
      <c r="AE25" s="2499"/>
      <c r="AF25" s="2499"/>
      <c r="AG25" s="2499"/>
      <c r="AH25" s="2499"/>
      <c r="AI25" s="2499"/>
      <c r="AJ25" s="2499"/>
      <c r="AK25" s="2499"/>
      <c r="AL25" s="2499"/>
      <c r="AM25" s="2499"/>
      <c r="AN25" s="2499"/>
      <c r="AO25" s="2536"/>
      <c r="AP25" s="2536"/>
      <c r="AQ25" s="2538"/>
    </row>
    <row r="26" spans="1:43" ht="141" customHeight="1">
      <c r="A26" s="2508"/>
      <c r="B26" s="2511"/>
      <c r="C26" s="2512"/>
      <c r="D26" s="2516"/>
      <c r="E26" s="2517"/>
      <c r="F26" s="2518"/>
      <c r="G26" s="130"/>
      <c r="H26" s="520"/>
      <c r="I26" s="521"/>
      <c r="J26" s="2496"/>
      <c r="K26" s="2545"/>
      <c r="L26" s="2548"/>
      <c r="M26" s="2551"/>
      <c r="N26" s="523" t="s">
        <v>386</v>
      </c>
      <c r="O26" s="2523"/>
      <c r="P26" s="2525"/>
      <c r="Q26" s="2452"/>
      <c r="R26" s="2527"/>
      <c r="S26" s="2540"/>
      <c r="T26" s="2540"/>
      <c r="U26" s="529" t="s">
        <v>387</v>
      </c>
      <c r="V26" s="528">
        <v>191000000</v>
      </c>
      <c r="W26" s="2493"/>
      <c r="X26" s="2496"/>
      <c r="Y26" s="2499"/>
      <c r="Z26" s="2502"/>
      <c r="AA26" s="2499"/>
      <c r="AB26" s="2499"/>
      <c r="AC26" s="2499"/>
      <c r="AD26" s="2499"/>
      <c r="AE26" s="2499"/>
      <c r="AF26" s="2499"/>
      <c r="AG26" s="2499"/>
      <c r="AH26" s="2499"/>
      <c r="AI26" s="2499"/>
      <c r="AJ26" s="2499"/>
      <c r="AK26" s="2499"/>
      <c r="AL26" s="2499"/>
      <c r="AM26" s="2499"/>
      <c r="AN26" s="2499"/>
      <c r="AO26" s="2536"/>
      <c r="AP26" s="2536"/>
      <c r="AQ26" s="2538"/>
    </row>
    <row r="27" spans="1:43" ht="75" customHeight="1">
      <c r="A27" s="2508"/>
      <c r="B27" s="2511"/>
      <c r="C27" s="2512"/>
      <c r="D27" s="2516"/>
      <c r="E27" s="2517"/>
      <c r="F27" s="2518"/>
      <c r="G27" s="130"/>
      <c r="H27" s="520"/>
      <c r="I27" s="521"/>
      <c r="J27" s="2496"/>
      <c r="K27" s="2545"/>
      <c r="L27" s="2548"/>
      <c r="M27" s="2551"/>
      <c r="N27" s="527"/>
      <c r="O27" s="2523"/>
      <c r="P27" s="2525"/>
      <c r="Q27" s="2452"/>
      <c r="R27" s="2527"/>
      <c r="S27" s="2540"/>
      <c r="T27" s="2540"/>
      <c r="U27" s="525" t="s">
        <v>388</v>
      </c>
      <c r="V27" s="528">
        <v>198000000</v>
      </c>
      <c r="W27" s="2493"/>
      <c r="X27" s="2496"/>
      <c r="Y27" s="2499"/>
      <c r="Z27" s="2502"/>
      <c r="AA27" s="2499"/>
      <c r="AB27" s="2499"/>
      <c r="AC27" s="2499"/>
      <c r="AD27" s="2499"/>
      <c r="AE27" s="2499"/>
      <c r="AF27" s="2499"/>
      <c r="AG27" s="2499"/>
      <c r="AH27" s="2499"/>
      <c r="AI27" s="2499"/>
      <c r="AJ27" s="2499"/>
      <c r="AK27" s="2499"/>
      <c r="AL27" s="2499"/>
      <c r="AM27" s="2499"/>
      <c r="AN27" s="2499"/>
      <c r="AO27" s="2536"/>
      <c r="AP27" s="2536"/>
      <c r="AQ27" s="2538"/>
    </row>
    <row r="28" spans="1:43" ht="67.5" customHeight="1">
      <c r="A28" s="2508"/>
      <c r="B28" s="2511"/>
      <c r="C28" s="2512"/>
      <c r="D28" s="2516"/>
      <c r="E28" s="2517"/>
      <c r="F28" s="2518"/>
      <c r="G28" s="130"/>
      <c r="H28" s="520"/>
      <c r="I28" s="521"/>
      <c r="J28" s="2496"/>
      <c r="K28" s="2545"/>
      <c r="L28" s="2548"/>
      <c r="M28" s="2551"/>
      <c r="N28" s="527"/>
      <c r="O28" s="2523"/>
      <c r="P28" s="2525"/>
      <c r="Q28" s="2452"/>
      <c r="R28" s="2527"/>
      <c r="S28" s="2540"/>
      <c r="T28" s="2540"/>
      <c r="U28" s="525" t="s">
        <v>389</v>
      </c>
      <c r="V28" s="528">
        <f>188012980-40000000</f>
        <v>148012980</v>
      </c>
      <c r="W28" s="2493"/>
      <c r="X28" s="2496"/>
      <c r="Y28" s="2499"/>
      <c r="Z28" s="2502"/>
      <c r="AA28" s="2499"/>
      <c r="AB28" s="2499"/>
      <c r="AC28" s="2499"/>
      <c r="AD28" s="2499"/>
      <c r="AE28" s="2499"/>
      <c r="AF28" s="2499"/>
      <c r="AG28" s="2499"/>
      <c r="AH28" s="2499"/>
      <c r="AI28" s="2499"/>
      <c r="AJ28" s="2499"/>
      <c r="AK28" s="2499"/>
      <c r="AL28" s="2499"/>
      <c r="AM28" s="2499"/>
      <c r="AN28" s="2499"/>
      <c r="AO28" s="2536"/>
      <c r="AP28" s="2536"/>
      <c r="AQ28" s="2538"/>
    </row>
    <row r="29" spans="1:43" ht="96" customHeight="1">
      <c r="A29" s="2508"/>
      <c r="B29" s="2511"/>
      <c r="C29" s="2512"/>
      <c r="D29" s="2516"/>
      <c r="E29" s="2517"/>
      <c r="F29" s="2518"/>
      <c r="G29" s="130"/>
      <c r="H29" s="520"/>
      <c r="I29" s="521"/>
      <c r="J29" s="2496"/>
      <c r="K29" s="2545"/>
      <c r="L29" s="2548"/>
      <c r="M29" s="2551"/>
      <c r="N29" s="523"/>
      <c r="O29" s="2523"/>
      <c r="P29" s="2525"/>
      <c r="Q29" s="2452"/>
      <c r="R29" s="2527"/>
      <c r="S29" s="2540"/>
      <c r="T29" s="2540"/>
      <c r="U29" s="525" t="s">
        <v>390</v>
      </c>
      <c r="V29" s="528">
        <f>28800000+17182532.38+17340000</f>
        <v>63322532.379999995</v>
      </c>
      <c r="W29" s="2493"/>
      <c r="X29" s="2496"/>
      <c r="Y29" s="2499"/>
      <c r="Z29" s="2502"/>
      <c r="AA29" s="2499"/>
      <c r="AB29" s="2499"/>
      <c r="AC29" s="2499"/>
      <c r="AD29" s="2499"/>
      <c r="AE29" s="2499"/>
      <c r="AF29" s="2499"/>
      <c r="AG29" s="2499"/>
      <c r="AH29" s="2499"/>
      <c r="AI29" s="2499"/>
      <c r="AJ29" s="2499"/>
      <c r="AK29" s="2499"/>
      <c r="AL29" s="2499"/>
      <c r="AM29" s="2499"/>
      <c r="AN29" s="2499"/>
      <c r="AO29" s="2536"/>
      <c r="AP29" s="2536"/>
      <c r="AQ29" s="2538"/>
    </row>
    <row r="30" spans="1:43" ht="71.25" customHeight="1">
      <c r="A30" s="2508"/>
      <c r="B30" s="2511"/>
      <c r="C30" s="2512"/>
      <c r="D30" s="2516"/>
      <c r="E30" s="2517"/>
      <c r="F30" s="2518"/>
      <c r="G30" s="130"/>
      <c r="H30" s="520"/>
      <c r="I30" s="521"/>
      <c r="J30" s="2496"/>
      <c r="K30" s="2545"/>
      <c r="L30" s="2548"/>
      <c r="M30" s="2551"/>
      <c r="N30" s="523"/>
      <c r="O30" s="2523"/>
      <c r="P30" s="2525"/>
      <c r="Q30" s="2452"/>
      <c r="R30" s="2527"/>
      <c r="S30" s="2540"/>
      <c r="T30" s="2540"/>
      <c r="U30" s="525" t="s">
        <v>391</v>
      </c>
      <c r="V30" s="528">
        <f>6000000+14300000</f>
        <v>20300000</v>
      </c>
      <c r="W30" s="2493"/>
      <c r="X30" s="2496"/>
      <c r="Y30" s="2499"/>
      <c r="Z30" s="2502"/>
      <c r="AA30" s="2499"/>
      <c r="AB30" s="2499"/>
      <c r="AC30" s="2499"/>
      <c r="AD30" s="2499"/>
      <c r="AE30" s="2499"/>
      <c r="AF30" s="2499"/>
      <c r="AG30" s="2499"/>
      <c r="AH30" s="2499"/>
      <c r="AI30" s="2499"/>
      <c r="AJ30" s="2499"/>
      <c r="AK30" s="2499"/>
      <c r="AL30" s="2499"/>
      <c r="AM30" s="2499"/>
      <c r="AN30" s="2499"/>
      <c r="AO30" s="2536"/>
      <c r="AP30" s="2536"/>
      <c r="AQ30" s="2538"/>
    </row>
    <row r="31" spans="1:43" ht="90.75" customHeight="1">
      <c r="A31" s="2508"/>
      <c r="B31" s="2511"/>
      <c r="C31" s="2512"/>
      <c r="D31" s="2516"/>
      <c r="E31" s="2517"/>
      <c r="F31" s="2518"/>
      <c r="G31" s="130"/>
      <c r="H31" s="520"/>
      <c r="I31" s="521"/>
      <c r="J31" s="2496"/>
      <c r="K31" s="2545"/>
      <c r="L31" s="2548"/>
      <c r="M31" s="2551"/>
      <c r="N31" s="523"/>
      <c r="O31" s="2523"/>
      <c r="P31" s="2525"/>
      <c r="Q31" s="2452"/>
      <c r="R31" s="2527"/>
      <c r="S31" s="2540"/>
      <c r="T31" s="2540"/>
      <c r="U31" s="289" t="s">
        <v>392</v>
      </c>
      <c r="V31" s="528">
        <f>6000000+32340000-17340000</f>
        <v>21000000</v>
      </c>
      <c r="W31" s="2493"/>
      <c r="X31" s="2496"/>
      <c r="Y31" s="2499"/>
      <c r="Z31" s="2502"/>
      <c r="AA31" s="2499"/>
      <c r="AB31" s="2499"/>
      <c r="AC31" s="2499"/>
      <c r="AD31" s="2499"/>
      <c r="AE31" s="2499"/>
      <c r="AF31" s="2499"/>
      <c r="AG31" s="2499"/>
      <c r="AH31" s="2499"/>
      <c r="AI31" s="2499"/>
      <c r="AJ31" s="2499"/>
      <c r="AK31" s="2499"/>
      <c r="AL31" s="2499"/>
      <c r="AM31" s="2499"/>
      <c r="AN31" s="2499"/>
      <c r="AO31" s="2536"/>
      <c r="AP31" s="2536"/>
      <c r="AQ31" s="2538"/>
    </row>
    <row r="32" spans="1:43" ht="121.5" customHeight="1">
      <c r="A32" s="2508"/>
      <c r="B32" s="2511"/>
      <c r="C32" s="2512"/>
      <c r="D32" s="2516"/>
      <c r="E32" s="2517"/>
      <c r="F32" s="2518"/>
      <c r="G32" s="130"/>
      <c r="H32" s="520"/>
      <c r="I32" s="521"/>
      <c r="J32" s="2497"/>
      <c r="K32" s="2546"/>
      <c r="L32" s="2549"/>
      <c r="M32" s="2552"/>
      <c r="N32" s="523"/>
      <c r="O32" s="2523"/>
      <c r="P32" s="2525"/>
      <c r="Q32" s="2481"/>
      <c r="R32" s="2527"/>
      <c r="S32" s="2540"/>
      <c r="T32" s="2540"/>
      <c r="U32" s="289" t="s">
        <v>393</v>
      </c>
      <c r="V32" s="528">
        <f>0+8159012+40000000</f>
        <v>48159012</v>
      </c>
      <c r="W32" s="2493"/>
      <c r="X32" s="2496"/>
      <c r="Y32" s="2499"/>
      <c r="Z32" s="2502"/>
      <c r="AA32" s="2499"/>
      <c r="AB32" s="2499"/>
      <c r="AC32" s="2499"/>
      <c r="AD32" s="2499"/>
      <c r="AE32" s="2499"/>
      <c r="AF32" s="2499"/>
      <c r="AG32" s="2499"/>
      <c r="AH32" s="2499"/>
      <c r="AI32" s="2499"/>
      <c r="AJ32" s="2499"/>
      <c r="AK32" s="2499"/>
      <c r="AL32" s="2499"/>
      <c r="AM32" s="2499"/>
      <c r="AN32" s="2499"/>
      <c r="AO32" s="2536"/>
      <c r="AP32" s="2536"/>
      <c r="AQ32" s="2538"/>
    </row>
    <row r="33" spans="1:44" ht="68.25" customHeight="1">
      <c r="A33" s="2508"/>
      <c r="B33" s="2511"/>
      <c r="C33" s="2512"/>
      <c r="D33" s="2516"/>
      <c r="E33" s="2517"/>
      <c r="F33" s="2518"/>
      <c r="G33" s="130"/>
      <c r="H33" s="520"/>
      <c r="I33" s="521"/>
      <c r="J33" s="2539">
        <v>218</v>
      </c>
      <c r="K33" s="2540" t="s">
        <v>394</v>
      </c>
      <c r="L33" s="2541" t="s">
        <v>395</v>
      </c>
      <c r="M33" s="2553">
        <v>3</v>
      </c>
      <c r="N33" s="523"/>
      <c r="O33" s="2523"/>
      <c r="P33" s="2525"/>
      <c r="Q33" s="2543">
        <f>(V33+V34)/R14</f>
        <v>0.047217829897372825</v>
      </c>
      <c r="R33" s="2527"/>
      <c r="S33" s="2540"/>
      <c r="T33" s="2540"/>
      <c r="U33" s="514" t="s">
        <v>396</v>
      </c>
      <c r="V33" s="530">
        <v>251000000</v>
      </c>
      <c r="W33" s="2493"/>
      <c r="X33" s="2496"/>
      <c r="Y33" s="2499"/>
      <c r="Z33" s="2502"/>
      <c r="AA33" s="2499"/>
      <c r="AB33" s="2499"/>
      <c r="AC33" s="2499"/>
      <c r="AD33" s="2499"/>
      <c r="AE33" s="2499"/>
      <c r="AF33" s="2499"/>
      <c r="AG33" s="2499"/>
      <c r="AH33" s="2499"/>
      <c r="AI33" s="2499"/>
      <c r="AJ33" s="2499"/>
      <c r="AK33" s="2499"/>
      <c r="AL33" s="2499"/>
      <c r="AM33" s="2499"/>
      <c r="AN33" s="2499"/>
      <c r="AO33" s="2536"/>
      <c r="AP33" s="2536"/>
      <c r="AQ33" s="2538"/>
      <c r="AR33" s="531"/>
    </row>
    <row r="34" spans="1:43" ht="90" customHeight="1">
      <c r="A34" s="2508"/>
      <c r="B34" s="2511"/>
      <c r="C34" s="2512"/>
      <c r="D34" s="2516"/>
      <c r="E34" s="2517"/>
      <c r="F34" s="2518"/>
      <c r="G34" s="130"/>
      <c r="H34" s="532"/>
      <c r="I34" s="533"/>
      <c r="J34" s="2539"/>
      <c r="K34" s="2540"/>
      <c r="L34" s="2541"/>
      <c r="M34" s="2553"/>
      <c r="N34" s="523"/>
      <c r="O34" s="2523"/>
      <c r="P34" s="2525"/>
      <c r="Q34" s="2543"/>
      <c r="R34" s="2528"/>
      <c r="S34" s="2540"/>
      <c r="T34" s="2540"/>
      <c r="U34" s="525" t="s">
        <v>397</v>
      </c>
      <c r="V34" s="530">
        <v>9000000</v>
      </c>
      <c r="W34" s="2494"/>
      <c r="X34" s="2497"/>
      <c r="Y34" s="2500"/>
      <c r="Z34" s="2503"/>
      <c r="AA34" s="2500"/>
      <c r="AB34" s="2500"/>
      <c r="AC34" s="2500"/>
      <c r="AD34" s="2500"/>
      <c r="AE34" s="2500"/>
      <c r="AF34" s="2500"/>
      <c r="AG34" s="2500"/>
      <c r="AH34" s="2500"/>
      <c r="AI34" s="2500"/>
      <c r="AJ34" s="2500"/>
      <c r="AK34" s="2500"/>
      <c r="AL34" s="2500"/>
      <c r="AM34" s="2500"/>
      <c r="AN34" s="2500"/>
      <c r="AO34" s="2537"/>
      <c r="AP34" s="2537"/>
      <c r="AQ34" s="2538"/>
    </row>
    <row r="35" spans="1:43" s="130" customFormat="1" ht="15.75">
      <c r="A35" s="2508"/>
      <c r="B35" s="2511"/>
      <c r="C35" s="2512"/>
      <c r="D35" s="2516"/>
      <c r="E35" s="2517"/>
      <c r="F35" s="2518"/>
      <c r="G35" s="500">
        <v>76</v>
      </c>
      <c r="H35" s="182" t="s">
        <v>398</v>
      </c>
      <c r="I35" s="182"/>
      <c r="J35" s="534"/>
      <c r="K35" s="535"/>
      <c r="L35" s="536"/>
      <c r="M35" s="537"/>
      <c r="N35" s="503"/>
      <c r="O35" s="504"/>
      <c r="P35" s="505"/>
      <c r="Q35" s="538"/>
      <c r="R35" s="539"/>
      <c r="S35" s="540"/>
      <c r="T35" s="541"/>
      <c r="U35" s="541"/>
      <c r="V35" s="542"/>
      <c r="W35" s="543"/>
      <c r="X35" s="544"/>
      <c r="Y35" s="182"/>
      <c r="Z35" s="182"/>
      <c r="AA35" s="182"/>
      <c r="AB35" s="182"/>
      <c r="AC35" s="182"/>
      <c r="AD35" s="182"/>
      <c r="AE35" s="182"/>
      <c r="AF35" s="182"/>
      <c r="AG35" s="182"/>
      <c r="AH35" s="182"/>
      <c r="AI35" s="182"/>
      <c r="AJ35" s="182"/>
      <c r="AK35" s="545"/>
      <c r="AL35" s="545"/>
      <c r="AM35" s="545"/>
      <c r="AN35" s="545"/>
      <c r="AO35" s="546"/>
      <c r="AP35" s="546"/>
      <c r="AQ35" s="547"/>
    </row>
    <row r="36" spans="1:43" ht="161.25" customHeight="1">
      <c r="A36" s="2508"/>
      <c r="B36" s="2511"/>
      <c r="C36" s="2512"/>
      <c r="D36" s="2516"/>
      <c r="E36" s="2517"/>
      <c r="F36" s="2518"/>
      <c r="H36" s="548"/>
      <c r="I36" s="549"/>
      <c r="J36" s="550">
        <v>219</v>
      </c>
      <c r="K36" s="515" t="s">
        <v>399</v>
      </c>
      <c r="L36" s="515" t="s">
        <v>400</v>
      </c>
      <c r="M36" s="551">
        <v>11</v>
      </c>
      <c r="N36" s="552"/>
      <c r="O36" s="2522" t="s">
        <v>401</v>
      </c>
      <c r="P36" s="2568" t="s">
        <v>402</v>
      </c>
      <c r="Q36" s="553">
        <f>(V36)/R36</f>
        <v>0.3660629099204825</v>
      </c>
      <c r="R36" s="2570">
        <f>SUM(V36:V47)</f>
        <v>1398561488</v>
      </c>
      <c r="S36" s="2541" t="s">
        <v>403</v>
      </c>
      <c r="T36" s="2541" t="s">
        <v>404</v>
      </c>
      <c r="U36" s="554" t="s">
        <v>405</v>
      </c>
      <c r="V36" s="555">
        <f>250000000+250000000+11961488</f>
        <v>511961488</v>
      </c>
      <c r="W36" s="2573" t="s">
        <v>406</v>
      </c>
      <c r="X36" s="2547" t="s">
        <v>407</v>
      </c>
      <c r="Y36" s="2561">
        <v>5173</v>
      </c>
      <c r="Z36" s="2561">
        <v>5075</v>
      </c>
      <c r="AA36" s="2561">
        <v>2519</v>
      </c>
      <c r="AB36" s="2561">
        <v>507</v>
      </c>
      <c r="AC36" s="2561">
        <v>5801</v>
      </c>
      <c r="AD36" s="2561">
        <v>1421</v>
      </c>
      <c r="AE36" s="2561"/>
      <c r="AF36" s="2561"/>
      <c r="AG36" s="2561"/>
      <c r="AH36" s="2561"/>
      <c r="AI36" s="2561"/>
      <c r="AJ36" s="2561"/>
      <c r="AK36" s="2561"/>
      <c r="AL36" s="2561"/>
      <c r="AM36" s="2561"/>
      <c r="AN36" s="2561">
        <v>10248</v>
      </c>
      <c r="AO36" s="2564">
        <v>43110</v>
      </c>
      <c r="AP36" s="2535">
        <v>43454</v>
      </c>
      <c r="AQ36" s="2554" t="s">
        <v>366</v>
      </c>
    </row>
    <row r="37" spans="1:43" ht="54" customHeight="1">
      <c r="A37" s="2508"/>
      <c r="B37" s="2511"/>
      <c r="C37" s="2512"/>
      <c r="D37" s="2516"/>
      <c r="E37" s="2517"/>
      <c r="F37" s="2518"/>
      <c r="H37" s="556"/>
      <c r="I37" s="557"/>
      <c r="J37" s="2556">
        <v>220</v>
      </c>
      <c r="K37" s="2541" t="s">
        <v>408</v>
      </c>
      <c r="L37" s="2541" t="s">
        <v>409</v>
      </c>
      <c r="M37" s="2557">
        <v>12</v>
      </c>
      <c r="N37" s="558"/>
      <c r="O37" s="2523"/>
      <c r="P37" s="2569"/>
      <c r="Q37" s="2558">
        <f>(V37+V39+V40+V41+V42)/R36</f>
        <v>0.5863167311811464</v>
      </c>
      <c r="R37" s="2571"/>
      <c r="S37" s="2541"/>
      <c r="T37" s="2541"/>
      <c r="U37" s="2559" t="s">
        <v>410</v>
      </c>
      <c r="V37" s="2560">
        <f>157000000+120000000</f>
        <v>277000000</v>
      </c>
      <c r="W37" s="2574"/>
      <c r="X37" s="2548"/>
      <c r="Y37" s="2562"/>
      <c r="Z37" s="2562"/>
      <c r="AA37" s="2562"/>
      <c r="AB37" s="2562"/>
      <c r="AC37" s="2562"/>
      <c r="AD37" s="2562"/>
      <c r="AE37" s="2562"/>
      <c r="AF37" s="2562"/>
      <c r="AG37" s="2562"/>
      <c r="AH37" s="2562"/>
      <c r="AI37" s="2562"/>
      <c r="AJ37" s="2562"/>
      <c r="AK37" s="2562"/>
      <c r="AL37" s="2562"/>
      <c r="AM37" s="2562"/>
      <c r="AN37" s="2562"/>
      <c r="AO37" s="2565"/>
      <c r="AP37" s="2536"/>
      <c r="AQ37" s="2457"/>
    </row>
    <row r="38" spans="1:43" ht="35.25" customHeight="1">
      <c r="A38" s="2508"/>
      <c r="B38" s="2511"/>
      <c r="C38" s="2512"/>
      <c r="D38" s="2516"/>
      <c r="E38" s="2517"/>
      <c r="F38" s="2518"/>
      <c r="H38" s="556"/>
      <c r="I38" s="557"/>
      <c r="J38" s="2556"/>
      <c r="K38" s="2541"/>
      <c r="L38" s="2541"/>
      <c r="M38" s="2557"/>
      <c r="N38" s="558"/>
      <c r="O38" s="2523"/>
      <c r="P38" s="2569"/>
      <c r="Q38" s="2558"/>
      <c r="R38" s="2571"/>
      <c r="S38" s="2541"/>
      <c r="T38" s="2541"/>
      <c r="U38" s="2559"/>
      <c r="V38" s="2560"/>
      <c r="W38" s="2574"/>
      <c r="X38" s="2548"/>
      <c r="Y38" s="2562"/>
      <c r="Z38" s="2562"/>
      <c r="AA38" s="2562"/>
      <c r="AB38" s="2562"/>
      <c r="AC38" s="2562"/>
      <c r="AD38" s="2562"/>
      <c r="AE38" s="2562"/>
      <c r="AF38" s="2562"/>
      <c r="AG38" s="2562"/>
      <c r="AH38" s="2562"/>
      <c r="AI38" s="2562"/>
      <c r="AJ38" s="2562"/>
      <c r="AK38" s="2562"/>
      <c r="AL38" s="2562"/>
      <c r="AM38" s="2562"/>
      <c r="AN38" s="2562"/>
      <c r="AO38" s="2565"/>
      <c r="AP38" s="2536"/>
      <c r="AQ38" s="2457"/>
    </row>
    <row r="39" spans="1:43" ht="118.5" customHeight="1">
      <c r="A39" s="2508"/>
      <c r="B39" s="2511"/>
      <c r="C39" s="2512"/>
      <c r="D39" s="2516"/>
      <c r="E39" s="2517"/>
      <c r="F39" s="2518"/>
      <c r="H39" s="556"/>
      <c r="I39" s="557"/>
      <c r="J39" s="2556"/>
      <c r="K39" s="2541"/>
      <c r="L39" s="2541"/>
      <c r="M39" s="2557"/>
      <c r="N39" s="552" t="s">
        <v>411</v>
      </c>
      <c r="O39" s="2523"/>
      <c r="P39" s="2569"/>
      <c r="Q39" s="2558"/>
      <c r="R39" s="2571"/>
      <c r="S39" s="2541"/>
      <c r="T39" s="2541"/>
      <c r="U39" s="554" t="s">
        <v>412</v>
      </c>
      <c r="V39" s="559">
        <f>138000000+125000000</f>
        <v>263000000</v>
      </c>
      <c r="W39" s="2574"/>
      <c r="X39" s="2548"/>
      <c r="Y39" s="2562"/>
      <c r="Z39" s="2562"/>
      <c r="AA39" s="2562"/>
      <c r="AB39" s="2562"/>
      <c r="AC39" s="2562"/>
      <c r="AD39" s="2562"/>
      <c r="AE39" s="2562"/>
      <c r="AF39" s="2562"/>
      <c r="AG39" s="2562"/>
      <c r="AH39" s="2562"/>
      <c r="AI39" s="2562"/>
      <c r="AJ39" s="2562"/>
      <c r="AK39" s="2562"/>
      <c r="AL39" s="2562"/>
      <c r="AM39" s="2562"/>
      <c r="AN39" s="2562"/>
      <c r="AO39" s="2565"/>
      <c r="AP39" s="2536"/>
      <c r="AQ39" s="2457"/>
    </row>
    <row r="40" spans="1:43" ht="87.75" customHeight="1">
      <c r="A40" s="2508"/>
      <c r="B40" s="2511"/>
      <c r="C40" s="2512"/>
      <c r="D40" s="2516"/>
      <c r="E40" s="2517"/>
      <c r="F40" s="2518"/>
      <c r="H40" s="556"/>
      <c r="I40" s="557"/>
      <c r="J40" s="2556"/>
      <c r="K40" s="2541"/>
      <c r="L40" s="2541"/>
      <c r="M40" s="2557"/>
      <c r="N40" s="558" t="s">
        <v>413</v>
      </c>
      <c r="O40" s="2523"/>
      <c r="P40" s="2569"/>
      <c r="Q40" s="2558"/>
      <c r="R40" s="2571"/>
      <c r="S40" s="2541"/>
      <c r="T40" s="2541"/>
      <c r="U40" s="554" t="s">
        <v>414</v>
      </c>
      <c r="V40" s="559">
        <f>120000000+85000000</f>
        <v>205000000</v>
      </c>
      <c r="W40" s="2574"/>
      <c r="X40" s="2548"/>
      <c r="Y40" s="2562"/>
      <c r="Z40" s="2562"/>
      <c r="AA40" s="2562"/>
      <c r="AB40" s="2562"/>
      <c r="AC40" s="2562"/>
      <c r="AD40" s="2562"/>
      <c r="AE40" s="2562"/>
      <c r="AF40" s="2562"/>
      <c r="AG40" s="2562"/>
      <c r="AH40" s="2562"/>
      <c r="AI40" s="2562"/>
      <c r="AJ40" s="2562"/>
      <c r="AK40" s="2562"/>
      <c r="AL40" s="2562"/>
      <c r="AM40" s="2562"/>
      <c r="AN40" s="2562"/>
      <c r="AO40" s="2565"/>
      <c r="AP40" s="2536"/>
      <c r="AQ40" s="2457"/>
    </row>
    <row r="41" spans="1:43" ht="59.25" customHeight="1">
      <c r="A41" s="2508"/>
      <c r="B41" s="2511"/>
      <c r="C41" s="2512"/>
      <c r="D41" s="2516"/>
      <c r="E41" s="2517"/>
      <c r="F41" s="2518"/>
      <c r="H41" s="556"/>
      <c r="I41" s="557"/>
      <c r="J41" s="2556"/>
      <c r="K41" s="2541"/>
      <c r="L41" s="2541"/>
      <c r="M41" s="2557"/>
      <c r="N41" s="558"/>
      <c r="O41" s="2523"/>
      <c r="P41" s="2569"/>
      <c r="Q41" s="2558"/>
      <c r="R41" s="2571"/>
      <c r="S41" s="2541"/>
      <c r="T41" s="2541"/>
      <c r="U41" s="554" t="s">
        <v>415</v>
      </c>
      <c r="V41" s="560">
        <v>15000000</v>
      </c>
      <c r="W41" s="2574"/>
      <c r="X41" s="2548"/>
      <c r="Y41" s="2562"/>
      <c r="Z41" s="2562"/>
      <c r="AA41" s="2562"/>
      <c r="AB41" s="2562"/>
      <c r="AC41" s="2562"/>
      <c r="AD41" s="2562"/>
      <c r="AE41" s="2562"/>
      <c r="AF41" s="2562"/>
      <c r="AG41" s="2562"/>
      <c r="AH41" s="2562"/>
      <c r="AI41" s="2562"/>
      <c r="AJ41" s="2562"/>
      <c r="AK41" s="2562"/>
      <c r="AL41" s="2562"/>
      <c r="AM41" s="2562"/>
      <c r="AN41" s="2562"/>
      <c r="AO41" s="2565"/>
      <c r="AP41" s="2536"/>
      <c r="AQ41" s="2457"/>
    </row>
    <row r="42" spans="1:43" ht="100.5" customHeight="1">
      <c r="A42" s="2508"/>
      <c r="B42" s="2511"/>
      <c r="C42" s="2512"/>
      <c r="D42" s="2516"/>
      <c r="E42" s="2517"/>
      <c r="F42" s="2518"/>
      <c r="H42" s="556"/>
      <c r="I42" s="557"/>
      <c r="J42" s="2556"/>
      <c r="K42" s="2541"/>
      <c r="L42" s="2541"/>
      <c r="M42" s="2557"/>
      <c r="N42" s="558" t="s">
        <v>416</v>
      </c>
      <c r="O42" s="2523"/>
      <c r="P42" s="2569"/>
      <c r="Q42" s="2558"/>
      <c r="R42" s="2571"/>
      <c r="S42" s="2541"/>
      <c r="T42" s="2541"/>
      <c r="U42" s="561" t="s">
        <v>417</v>
      </c>
      <c r="V42" s="562">
        <f>0+60000000</f>
        <v>60000000</v>
      </c>
      <c r="W42" s="2574"/>
      <c r="X42" s="2548"/>
      <c r="Y42" s="2562"/>
      <c r="Z42" s="2562"/>
      <c r="AA42" s="2562"/>
      <c r="AB42" s="2562"/>
      <c r="AC42" s="2562"/>
      <c r="AD42" s="2562"/>
      <c r="AE42" s="2562"/>
      <c r="AF42" s="2562"/>
      <c r="AG42" s="2562"/>
      <c r="AH42" s="2562"/>
      <c r="AI42" s="2562"/>
      <c r="AJ42" s="2562"/>
      <c r="AK42" s="2562"/>
      <c r="AL42" s="2562"/>
      <c r="AM42" s="2562"/>
      <c r="AN42" s="2562"/>
      <c r="AO42" s="2565"/>
      <c r="AP42" s="2536"/>
      <c r="AQ42" s="2457"/>
    </row>
    <row r="43" spans="1:43" ht="70.5" customHeight="1">
      <c r="A43" s="2508"/>
      <c r="B43" s="2511"/>
      <c r="C43" s="2512"/>
      <c r="D43" s="2516"/>
      <c r="E43" s="2517"/>
      <c r="F43" s="2518"/>
      <c r="H43" s="556"/>
      <c r="I43" s="557"/>
      <c r="J43" s="2556">
        <v>221</v>
      </c>
      <c r="K43" s="2541" t="s">
        <v>418</v>
      </c>
      <c r="L43" s="2541" t="s">
        <v>419</v>
      </c>
      <c r="M43" s="2557">
        <v>1</v>
      </c>
      <c r="N43" s="552"/>
      <c r="O43" s="2523"/>
      <c r="P43" s="2569"/>
      <c r="Q43" s="2558">
        <f>(V43+V45)/R36</f>
        <v>0.022380138641426683</v>
      </c>
      <c r="R43" s="2571"/>
      <c r="S43" s="2541"/>
      <c r="T43" s="2541"/>
      <c r="U43" s="2559" t="s">
        <v>420</v>
      </c>
      <c r="V43" s="2579">
        <v>24300000</v>
      </c>
      <c r="W43" s="2574"/>
      <c r="X43" s="2548"/>
      <c r="Y43" s="2562"/>
      <c r="Z43" s="2562"/>
      <c r="AA43" s="2562"/>
      <c r="AB43" s="2562"/>
      <c r="AC43" s="2562"/>
      <c r="AD43" s="2562"/>
      <c r="AE43" s="2562"/>
      <c r="AF43" s="2562"/>
      <c r="AG43" s="2562"/>
      <c r="AH43" s="2562"/>
      <c r="AI43" s="2562"/>
      <c r="AJ43" s="2562"/>
      <c r="AK43" s="2562"/>
      <c r="AL43" s="2562"/>
      <c r="AM43" s="2562"/>
      <c r="AN43" s="2562"/>
      <c r="AO43" s="2565"/>
      <c r="AP43" s="2536"/>
      <c r="AQ43" s="2457"/>
    </row>
    <row r="44" spans="1:43" ht="48" customHeight="1">
      <c r="A44" s="2508"/>
      <c r="B44" s="2511"/>
      <c r="C44" s="2512"/>
      <c r="D44" s="2516"/>
      <c r="E44" s="2517"/>
      <c r="F44" s="2518"/>
      <c r="H44" s="556"/>
      <c r="I44" s="557"/>
      <c r="J44" s="2556"/>
      <c r="K44" s="2541"/>
      <c r="L44" s="2541"/>
      <c r="M44" s="2557"/>
      <c r="N44" s="552"/>
      <c r="O44" s="2523"/>
      <c r="P44" s="2569"/>
      <c r="Q44" s="2558"/>
      <c r="R44" s="2571"/>
      <c r="S44" s="2541"/>
      <c r="T44" s="2541"/>
      <c r="U44" s="2559"/>
      <c r="V44" s="2580"/>
      <c r="W44" s="2574"/>
      <c r="X44" s="2548"/>
      <c r="Y44" s="2562"/>
      <c r="Z44" s="2562"/>
      <c r="AA44" s="2562"/>
      <c r="AB44" s="2562"/>
      <c r="AC44" s="2562"/>
      <c r="AD44" s="2562"/>
      <c r="AE44" s="2562"/>
      <c r="AF44" s="2562"/>
      <c r="AG44" s="2562"/>
      <c r="AH44" s="2562"/>
      <c r="AI44" s="2562"/>
      <c r="AJ44" s="2562"/>
      <c r="AK44" s="2562"/>
      <c r="AL44" s="2562"/>
      <c r="AM44" s="2562"/>
      <c r="AN44" s="2562"/>
      <c r="AO44" s="2565"/>
      <c r="AP44" s="2536"/>
      <c r="AQ44" s="2457"/>
    </row>
    <row r="45" spans="1:43" ht="54.75" customHeight="1">
      <c r="A45" s="2508"/>
      <c r="B45" s="2511"/>
      <c r="C45" s="2512"/>
      <c r="D45" s="2516"/>
      <c r="E45" s="2517"/>
      <c r="F45" s="2518"/>
      <c r="H45" s="556"/>
      <c r="I45" s="557"/>
      <c r="J45" s="2556"/>
      <c r="K45" s="2541"/>
      <c r="L45" s="2541"/>
      <c r="M45" s="2557"/>
      <c r="N45" s="552"/>
      <c r="O45" s="2523"/>
      <c r="P45" s="2569"/>
      <c r="Q45" s="2558"/>
      <c r="R45" s="2571"/>
      <c r="S45" s="2541"/>
      <c r="T45" s="2541"/>
      <c r="U45" s="2559" t="s">
        <v>421</v>
      </c>
      <c r="V45" s="2581">
        <v>7000000</v>
      </c>
      <c r="W45" s="2574"/>
      <c r="X45" s="2548"/>
      <c r="Y45" s="2562"/>
      <c r="Z45" s="2562"/>
      <c r="AA45" s="2562"/>
      <c r="AB45" s="2562"/>
      <c r="AC45" s="2562"/>
      <c r="AD45" s="2562"/>
      <c r="AE45" s="2562"/>
      <c r="AF45" s="2562"/>
      <c r="AG45" s="2562"/>
      <c r="AH45" s="2562"/>
      <c r="AI45" s="2562"/>
      <c r="AJ45" s="2562"/>
      <c r="AK45" s="2562"/>
      <c r="AL45" s="2562"/>
      <c r="AM45" s="2562"/>
      <c r="AN45" s="2562"/>
      <c r="AO45" s="2565"/>
      <c r="AP45" s="2536"/>
      <c r="AQ45" s="2457"/>
    </row>
    <row r="46" spans="1:43" ht="26.25" customHeight="1">
      <c r="A46" s="2508"/>
      <c r="B46" s="2511"/>
      <c r="C46" s="2512"/>
      <c r="D46" s="2516"/>
      <c r="E46" s="2517"/>
      <c r="F46" s="2518"/>
      <c r="H46" s="556"/>
      <c r="I46" s="557"/>
      <c r="J46" s="2556"/>
      <c r="K46" s="2541"/>
      <c r="L46" s="2541"/>
      <c r="M46" s="2557"/>
      <c r="N46" s="552"/>
      <c r="O46" s="2567"/>
      <c r="P46" s="2569"/>
      <c r="Q46" s="2558"/>
      <c r="R46" s="2571"/>
      <c r="S46" s="2541"/>
      <c r="T46" s="2541"/>
      <c r="U46" s="2559"/>
      <c r="V46" s="2580"/>
      <c r="W46" s="2574"/>
      <c r="X46" s="2548"/>
      <c r="Y46" s="2562"/>
      <c r="Z46" s="2562"/>
      <c r="AA46" s="2562"/>
      <c r="AB46" s="2562"/>
      <c r="AC46" s="2562"/>
      <c r="AD46" s="2562"/>
      <c r="AE46" s="2562"/>
      <c r="AF46" s="2562"/>
      <c r="AG46" s="2562"/>
      <c r="AH46" s="2562"/>
      <c r="AI46" s="2562"/>
      <c r="AJ46" s="2562"/>
      <c r="AK46" s="2562"/>
      <c r="AL46" s="2562"/>
      <c r="AM46" s="2562"/>
      <c r="AN46" s="2562"/>
      <c r="AO46" s="2565"/>
      <c r="AP46" s="2536"/>
      <c r="AQ46" s="2457"/>
    </row>
    <row r="47" spans="1:43" ht="102.75" customHeight="1">
      <c r="A47" s="2508"/>
      <c r="B47" s="2511"/>
      <c r="C47" s="2512"/>
      <c r="D47" s="2519"/>
      <c r="E47" s="2520"/>
      <c r="F47" s="2521"/>
      <c r="H47" s="563"/>
      <c r="I47" s="564"/>
      <c r="J47" s="550">
        <v>222</v>
      </c>
      <c r="K47" s="515" t="s">
        <v>422</v>
      </c>
      <c r="L47" s="515" t="s">
        <v>423</v>
      </c>
      <c r="M47" s="551">
        <v>1</v>
      </c>
      <c r="N47" s="552"/>
      <c r="O47" s="2567"/>
      <c r="P47" s="2569"/>
      <c r="Q47" s="553">
        <f>(V47)/R36</f>
        <v>0.02524022025694447</v>
      </c>
      <c r="R47" s="2572"/>
      <c r="S47" s="2541"/>
      <c r="T47" s="2541"/>
      <c r="U47" s="515" t="s">
        <v>424</v>
      </c>
      <c r="V47" s="565">
        <v>35300000</v>
      </c>
      <c r="W47" s="2575"/>
      <c r="X47" s="2549"/>
      <c r="Y47" s="2563"/>
      <c r="Z47" s="2563"/>
      <c r="AA47" s="2563"/>
      <c r="AB47" s="2563"/>
      <c r="AC47" s="2563"/>
      <c r="AD47" s="2563"/>
      <c r="AE47" s="2563"/>
      <c r="AF47" s="2563"/>
      <c r="AG47" s="2563"/>
      <c r="AH47" s="2563"/>
      <c r="AI47" s="2563"/>
      <c r="AJ47" s="2563"/>
      <c r="AK47" s="2563"/>
      <c r="AL47" s="2563"/>
      <c r="AM47" s="2563"/>
      <c r="AN47" s="2563"/>
      <c r="AO47" s="2566"/>
      <c r="AP47" s="2537"/>
      <c r="AQ47" s="2555"/>
    </row>
    <row r="48" spans="1:43" s="130" customFormat="1" ht="15.75">
      <c r="A48" s="2508"/>
      <c r="B48" s="2511"/>
      <c r="C48" s="2512"/>
      <c r="D48" s="490">
        <v>24</v>
      </c>
      <c r="E48" s="301" t="s">
        <v>425</v>
      </c>
      <c r="F48" s="301"/>
      <c r="G48" s="266"/>
      <c r="H48" s="266"/>
      <c r="I48" s="266"/>
      <c r="J48" s="566"/>
      <c r="K48" s="567"/>
      <c r="L48" s="173"/>
      <c r="M48" s="273"/>
      <c r="N48" s="493"/>
      <c r="O48" s="491"/>
      <c r="P48" s="267"/>
      <c r="Q48" s="568"/>
      <c r="R48" s="569"/>
      <c r="S48" s="570"/>
      <c r="T48" s="571"/>
      <c r="U48" s="571"/>
      <c r="V48" s="572"/>
      <c r="W48" s="573"/>
      <c r="X48" s="573"/>
      <c r="Y48" s="497"/>
      <c r="Z48" s="497"/>
      <c r="AA48" s="497"/>
      <c r="AB48" s="497"/>
      <c r="AC48" s="497"/>
      <c r="AD48" s="497"/>
      <c r="AE48" s="497"/>
      <c r="AF48" s="497"/>
      <c r="AG48" s="497"/>
      <c r="AH48" s="497"/>
      <c r="AI48" s="497"/>
      <c r="AJ48" s="497"/>
      <c r="AK48" s="497"/>
      <c r="AL48" s="498"/>
      <c r="AM48" s="267"/>
      <c r="AN48" s="267"/>
      <c r="AO48" s="268"/>
      <c r="AP48" s="268"/>
      <c r="AQ48" s="499"/>
    </row>
    <row r="49" spans="1:43" s="130" customFormat="1" ht="15.75">
      <c r="A49" s="2508"/>
      <c r="B49" s="2511"/>
      <c r="C49" s="2512"/>
      <c r="D49" s="2509"/>
      <c r="E49" s="2587"/>
      <c r="F49" s="2510"/>
      <c r="G49" s="500">
        <v>78</v>
      </c>
      <c r="H49" s="182" t="s">
        <v>426</v>
      </c>
      <c r="I49" s="182"/>
      <c r="J49" s="501"/>
      <c r="K49" s="502"/>
      <c r="L49" s="183"/>
      <c r="M49" s="190"/>
      <c r="N49" s="503"/>
      <c r="O49" s="504"/>
      <c r="P49" s="505"/>
      <c r="Q49" s="506"/>
      <c r="R49" s="574"/>
      <c r="S49" s="183"/>
      <c r="T49" s="502"/>
      <c r="U49" s="502"/>
      <c r="V49" s="575"/>
      <c r="W49" s="509"/>
      <c r="X49" s="509"/>
      <c r="Y49" s="576"/>
      <c r="Z49" s="576"/>
      <c r="AA49" s="576"/>
      <c r="AB49" s="576"/>
      <c r="AC49" s="576"/>
      <c r="AD49" s="576"/>
      <c r="AE49" s="576"/>
      <c r="AF49" s="576"/>
      <c r="AG49" s="576"/>
      <c r="AH49" s="576"/>
      <c r="AI49" s="576"/>
      <c r="AJ49" s="576"/>
      <c r="AK49" s="576"/>
      <c r="AL49" s="576"/>
      <c r="AM49" s="576"/>
      <c r="AN49" s="576"/>
      <c r="AO49" s="576"/>
      <c r="AP49" s="576"/>
      <c r="AQ49" s="577"/>
    </row>
    <row r="50" spans="1:43" ht="98.25" customHeight="1">
      <c r="A50" s="2508"/>
      <c r="B50" s="2511"/>
      <c r="C50" s="2512"/>
      <c r="D50" s="2511"/>
      <c r="E50" s="2588"/>
      <c r="F50" s="2512"/>
      <c r="G50" s="548"/>
      <c r="H50" s="578"/>
      <c r="I50" s="579"/>
      <c r="J50" s="2592">
        <v>226</v>
      </c>
      <c r="K50" s="2541" t="s">
        <v>427</v>
      </c>
      <c r="L50" s="2541" t="s">
        <v>428</v>
      </c>
      <c r="M50" s="2557">
        <v>12</v>
      </c>
      <c r="N50" s="2576" t="s">
        <v>429</v>
      </c>
      <c r="O50" s="2523" t="s">
        <v>430</v>
      </c>
      <c r="P50" s="2569" t="s">
        <v>431</v>
      </c>
      <c r="Q50" s="2409">
        <f>(V50+V51+V52+V53+V54+V55+V56+V57+V58+V59+V60+V61+V62+V64)/R50</f>
        <v>0.42084168336673344</v>
      </c>
      <c r="R50" s="2570">
        <f>SUM(V50:V81)</f>
        <v>499000000</v>
      </c>
      <c r="S50" s="2541" t="s">
        <v>432</v>
      </c>
      <c r="T50" s="2541" t="s">
        <v>433</v>
      </c>
      <c r="U50" s="2582" t="s">
        <v>434</v>
      </c>
      <c r="V50" s="559">
        <v>17000000</v>
      </c>
      <c r="W50" s="2613" t="s">
        <v>435</v>
      </c>
      <c r="X50" s="2614" t="s">
        <v>436</v>
      </c>
      <c r="Y50" s="2618">
        <v>2386</v>
      </c>
      <c r="Z50" s="2605">
        <v>2323</v>
      </c>
      <c r="AA50" s="2605">
        <v>363</v>
      </c>
      <c r="AB50" s="2605">
        <v>1406</v>
      </c>
      <c r="AC50" s="2605">
        <v>1388</v>
      </c>
      <c r="AD50" s="2605">
        <v>1552</v>
      </c>
      <c r="AE50" s="2605">
        <v>112</v>
      </c>
      <c r="AF50" s="2605">
        <v>141</v>
      </c>
      <c r="AG50" s="2605"/>
      <c r="AH50" s="2605"/>
      <c r="AI50" s="2605"/>
      <c r="AJ50" s="2605"/>
      <c r="AK50" s="2609">
        <f>SUM(AA50,AB50,AC50,AD50)</f>
        <v>4709</v>
      </c>
      <c r="AL50" s="2605"/>
      <c r="AM50" s="2605"/>
      <c r="AN50" s="2605">
        <v>4709</v>
      </c>
      <c r="AO50" s="2564">
        <v>43110</v>
      </c>
      <c r="AP50" s="2564">
        <v>43454</v>
      </c>
      <c r="AQ50" s="2604" t="s">
        <v>366</v>
      </c>
    </row>
    <row r="51" spans="1:43" ht="50.25" customHeight="1">
      <c r="A51" s="2508"/>
      <c r="B51" s="2511"/>
      <c r="C51" s="2512"/>
      <c r="D51" s="2511"/>
      <c r="E51" s="2588"/>
      <c r="F51" s="2512"/>
      <c r="G51" s="556"/>
      <c r="H51" s="580"/>
      <c r="I51" s="581"/>
      <c r="J51" s="2592"/>
      <c r="K51" s="2541"/>
      <c r="L51" s="2541"/>
      <c r="M51" s="2557"/>
      <c r="N51" s="2576"/>
      <c r="O51" s="2523"/>
      <c r="P51" s="2569"/>
      <c r="Q51" s="2409"/>
      <c r="R51" s="2571"/>
      <c r="S51" s="2541"/>
      <c r="T51" s="2541"/>
      <c r="U51" s="2555"/>
      <c r="V51" s="559">
        <v>10000000</v>
      </c>
      <c r="W51" s="2613"/>
      <c r="X51" s="2615"/>
      <c r="Y51" s="2619"/>
      <c r="Z51" s="2606"/>
      <c r="AA51" s="2606"/>
      <c r="AB51" s="2606"/>
      <c r="AC51" s="2606"/>
      <c r="AD51" s="2606"/>
      <c r="AE51" s="2606"/>
      <c r="AF51" s="2606"/>
      <c r="AG51" s="2606"/>
      <c r="AH51" s="2606"/>
      <c r="AI51" s="2606"/>
      <c r="AJ51" s="2606"/>
      <c r="AK51" s="2610"/>
      <c r="AL51" s="2606"/>
      <c r="AM51" s="2606"/>
      <c r="AN51" s="2606"/>
      <c r="AO51" s="2565"/>
      <c r="AP51" s="2565"/>
      <c r="AQ51" s="2604"/>
    </row>
    <row r="52" spans="1:43" ht="45.75" customHeight="1">
      <c r="A52" s="2508"/>
      <c r="B52" s="2511"/>
      <c r="C52" s="2512"/>
      <c r="D52" s="2511"/>
      <c r="E52" s="2588"/>
      <c r="F52" s="2512"/>
      <c r="G52" s="580"/>
      <c r="H52" s="580"/>
      <c r="I52" s="581"/>
      <c r="J52" s="2592"/>
      <c r="K52" s="2541"/>
      <c r="L52" s="2541"/>
      <c r="M52" s="2557"/>
      <c r="N52" s="2576"/>
      <c r="O52" s="2523"/>
      <c r="P52" s="2569"/>
      <c r="Q52" s="2409"/>
      <c r="R52" s="2571"/>
      <c r="S52" s="2541"/>
      <c r="T52" s="2541"/>
      <c r="U52" s="2582" t="s">
        <v>437</v>
      </c>
      <c r="V52" s="559">
        <v>10000000</v>
      </c>
      <c r="W52" s="2613"/>
      <c r="X52" s="2615"/>
      <c r="Y52" s="2620"/>
      <c r="Z52" s="2607"/>
      <c r="AA52" s="2607"/>
      <c r="AB52" s="2607"/>
      <c r="AC52" s="2607"/>
      <c r="AD52" s="2607"/>
      <c r="AE52" s="2607"/>
      <c r="AF52" s="2607"/>
      <c r="AG52" s="2607"/>
      <c r="AH52" s="2607"/>
      <c r="AI52" s="2607"/>
      <c r="AJ52" s="2607"/>
      <c r="AK52" s="2611"/>
      <c r="AL52" s="2607"/>
      <c r="AM52" s="2607"/>
      <c r="AN52" s="2607"/>
      <c r="AO52" s="2565"/>
      <c r="AP52" s="2565"/>
      <c r="AQ52" s="2538"/>
    </row>
    <row r="53" spans="1:43" ht="63.75" customHeight="1">
      <c r="A53" s="2508"/>
      <c r="B53" s="2511"/>
      <c r="C53" s="2512"/>
      <c r="D53" s="2511"/>
      <c r="E53" s="2588"/>
      <c r="F53" s="2512"/>
      <c r="G53" s="580"/>
      <c r="H53" s="580"/>
      <c r="I53" s="581"/>
      <c r="J53" s="2592"/>
      <c r="K53" s="2541"/>
      <c r="L53" s="2541"/>
      <c r="M53" s="2557"/>
      <c r="N53" s="2576"/>
      <c r="O53" s="2523"/>
      <c r="P53" s="2569"/>
      <c r="Q53" s="2409"/>
      <c r="R53" s="2571"/>
      <c r="S53" s="2541"/>
      <c r="T53" s="2541"/>
      <c r="U53" s="2583"/>
      <c r="V53" s="559">
        <v>2500000</v>
      </c>
      <c r="W53" s="2613"/>
      <c r="X53" s="2615"/>
      <c r="Y53" s="2620"/>
      <c r="Z53" s="2607"/>
      <c r="AA53" s="2607"/>
      <c r="AB53" s="2607"/>
      <c r="AC53" s="2607"/>
      <c r="AD53" s="2607"/>
      <c r="AE53" s="2607"/>
      <c r="AF53" s="2607"/>
      <c r="AG53" s="2607"/>
      <c r="AH53" s="2607"/>
      <c r="AI53" s="2607"/>
      <c r="AJ53" s="2607"/>
      <c r="AK53" s="2611"/>
      <c r="AL53" s="2607"/>
      <c r="AM53" s="2607"/>
      <c r="AN53" s="2607"/>
      <c r="AO53" s="2565"/>
      <c r="AP53" s="2565"/>
      <c r="AQ53" s="2538"/>
    </row>
    <row r="54" spans="1:43" ht="50.25" customHeight="1">
      <c r="A54" s="2508"/>
      <c r="B54" s="2511"/>
      <c r="C54" s="2512"/>
      <c r="D54" s="2511"/>
      <c r="E54" s="2588"/>
      <c r="F54" s="2512"/>
      <c r="G54" s="580"/>
      <c r="H54" s="580"/>
      <c r="I54" s="581"/>
      <c r="J54" s="2592"/>
      <c r="K54" s="2541"/>
      <c r="L54" s="2541"/>
      <c r="M54" s="2557"/>
      <c r="N54" s="2576"/>
      <c r="O54" s="2523"/>
      <c r="P54" s="2569"/>
      <c r="Q54" s="2409"/>
      <c r="R54" s="2571"/>
      <c r="S54" s="2541"/>
      <c r="T54" s="2541"/>
      <c r="U54" s="2582" t="s">
        <v>438</v>
      </c>
      <c r="V54" s="559">
        <v>15000000</v>
      </c>
      <c r="W54" s="2613"/>
      <c r="X54" s="2615"/>
      <c r="Y54" s="2620"/>
      <c r="Z54" s="2607"/>
      <c r="AA54" s="2607"/>
      <c r="AB54" s="2607"/>
      <c r="AC54" s="2607"/>
      <c r="AD54" s="2607"/>
      <c r="AE54" s="2607"/>
      <c r="AF54" s="2607"/>
      <c r="AG54" s="2607"/>
      <c r="AH54" s="2607"/>
      <c r="AI54" s="2607"/>
      <c r="AJ54" s="2607"/>
      <c r="AK54" s="2611"/>
      <c r="AL54" s="2607"/>
      <c r="AM54" s="2607"/>
      <c r="AN54" s="2607"/>
      <c r="AO54" s="2565"/>
      <c r="AP54" s="2565"/>
      <c r="AQ54" s="2538"/>
    </row>
    <row r="55" spans="1:43" ht="41.25" customHeight="1">
      <c r="A55" s="2508"/>
      <c r="B55" s="2511"/>
      <c r="C55" s="2512"/>
      <c r="D55" s="2511"/>
      <c r="E55" s="2588"/>
      <c r="F55" s="2512"/>
      <c r="G55" s="580"/>
      <c r="H55" s="580"/>
      <c r="I55" s="581"/>
      <c r="J55" s="2592"/>
      <c r="K55" s="2541"/>
      <c r="L55" s="2541"/>
      <c r="M55" s="2557"/>
      <c r="N55" s="2576"/>
      <c r="O55" s="2523"/>
      <c r="P55" s="2569"/>
      <c r="Q55" s="2409"/>
      <c r="R55" s="2571"/>
      <c r="S55" s="2541"/>
      <c r="T55" s="2541"/>
      <c r="U55" s="2583"/>
      <c r="V55" s="559">
        <v>2500000</v>
      </c>
      <c r="W55" s="2613"/>
      <c r="X55" s="2615"/>
      <c r="Y55" s="2620"/>
      <c r="Z55" s="2607"/>
      <c r="AA55" s="2607"/>
      <c r="AB55" s="2607"/>
      <c r="AC55" s="2607"/>
      <c r="AD55" s="2607"/>
      <c r="AE55" s="2607"/>
      <c r="AF55" s="2607"/>
      <c r="AG55" s="2607"/>
      <c r="AH55" s="2607"/>
      <c r="AI55" s="2607"/>
      <c r="AJ55" s="2607"/>
      <c r="AK55" s="2611"/>
      <c r="AL55" s="2607"/>
      <c r="AM55" s="2607"/>
      <c r="AN55" s="2607"/>
      <c r="AO55" s="2565"/>
      <c r="AP55" s="2565"/>
      <c r="AQ55" s="2538"/>
    </row>
    <row r="56" spans="1:43" ht="90.75" customHeight="1">
      <c r="A56" s="2508"/>
      <c r="B56" s="2511"/>
      <c r="C56" s="2512"/>
      <c r="D56" s="2511"/>
      <c r="E56" s="2588"/>
      <c r="F56" s="2512"/>
      <c r="G56" s="580"/>
      <c r="H56" s="580"/>
      <c r="I56" s="581"/>
      <c r="J56" s="2592"/>
      <c r="K56" s="2541"/>
      <c r="L56" s="2541"/>
      <c r="M56" s="2557"/>
      <c r="N56" s="2576"/>
      <c r="O56" s="2523"/>
      <c r="P56" s="2569"/>
      <c r="Q56" s="2409"/>
      <c r="R56" s="2571"/>
      <c r="S56" s="2541"/>
      <c r="T56" s="2541"/>
      <c r="U56" s="2582" t="s">
        <v>439</v>
      </c>
      <c r="V56" s="559">
        <v>16000000</v>
      </c>
      <c r="W56" s="2613"/>
      <c r="X56" s="2615"/>
      <c r="Y56" s="2620"/>
      <c r="Z56" s="2607"/>
      <c r="AA56" s="2607"/>
      <c r="AB56" s="2607"/>
      <c r="AC56" s="2607"/>
      <c r="AD56" s="2607"/>
      <c r="AE56" s="2607"/>
      <c r="AF56" s="2607"/>
      <c r="AG56" s="2607"/>
      <c r="AH56" s="2607"/>
      <c r="AI56" s="2607"/>
      <c r="AJ56" s="2607"/>
      <c r="AK56" s="2611"/>
      <c r="AL56" s="2607"/>
      <c r="AM56" s="2607"/>
      <c r="AN56" s="2607"/>
      <c r="AO56" s="2565"/>
      <c r="AP56" s="2565"/>
      <c r="AQ56" s="2538"/>
    </row>
    <row r="57" spans="1:43" ht="94.5" customHeight="1">
      <c r="A57" s="2508"/>
      <c r="B57" s="2511"/>
      <c r="C57" s="2512"/>
      <c r="D57" s="2511"/>
      <c r="E57" s="2588"/>
      <c r="F57" s="2512"/>
      <c r="G57" s="580"/>
      <c r="H57" s="580"/>
      <c r="I57" s="581"/>
      <c r="J57" s="2592"/>
      <c r="K57" s="2541"/>
      <c r="L57" s="2541"/>
      <c r="M57" s="2557"/>
      <c r="N57" s="2576"/>
      <c r="O57" s="2523"/>
      <c r="P57" s="2569"/>
      <c r="Q57" s="2409"/>
      <c r="R57" s="2571"/>
      <c r="S57" s="2541"/>
      <c r="T57" s="2541"/>
      <c r="U57" s="2583"/>
      <c r="V57" s="559">
        <v>2500000</v>
      </c>
      <c r="W57" s="2613"/>
      <c r="X57" s="2615"/>
      <c r="Y57" s="2620"/>
      <c r="Z57" s="2607"/>
      <c r="AA57" s="2607"/>
      <c r="AB57" s="2607"/>
      <c r="AC57" s="2607"/>
      <c r="AD57" s="2607"/>
      <c r="AE57" s="2607"/>
      <c r="AF57" s="2607"/>
      <c r="AG57" s="2607"/>
      <c r="AH57" s="2607"/>
      <c r="AI57" s="2607"/>
      <c r="AJ57" s="2607"/>
      <c r="AK57" s="2611"/>
      <c r="AL57" s="2607"/>
      <c r="AM57" s="2607"/>
      <c r="AN57" s="2607"/>
      <c r="AO57" s="2565"/>
      <c r="AP57" s="2565"/>
      <c r="AQ57" s="2538"/>
    </row>
    <row r="58" spans="1:43" ht="72.75" customHeight="1">
      <c r="A58" s="2508"/>
      <c r="B58" s="2511"/>
      <c r="C58" s="2512"/>
      <c r="D58" s="2511"/>
      <c r="E58" s="2588"/>
      <c r="F58" s="2512"/>
      <c r="G58" s="580"/>
      <c r="H58" s="580"/>
      <c r="I58" s="581"/>
      <c r="J58" s="2592"/>
      <c r="K58" s="2541"/>
      <c r="L58" s="2541"/>
      <c r="M58" s="2557"/>
      <c r="N58" s="2576"/>
      <c r="O58" s="2523"/>
      <c r="P58" s="2569"/>
      <c r="Q58" s="2409"/>
      <c r="R58" s="2571"/>
      <c r="S58" s="2541"/>
      <c r="T58" s="2541"/>
      <c r="U58" s="2582" t="s">
        <v>440</v>
      </c>
      <c r="V58" s="559">
        <v>20000000</v>
      </c>
      <c r="W58" s="2613"/>
      <c r="X58" s="2615"/>
      <c r="Y58" s="2620"/>
      <c r="Z58" s="2607"/>
      <c r="AA58" s="2607"/>
      <c r="AB58" s="2607"/>
      <c r="AC58" s="2607"/>
      <c r="AD58" s="2607"/>
      <c r="AE58" s="2607"/>
      <c r="AF58" s="2607"/>
      <c r="AG58" s="2607"/>
      <c r="AH58" s="2607"/>
      <c r="AI58" s="2607"/>
      <c r="AJ58" s="2607"/>
      <c r="AK58" s="2611"/>
      <c r="AL58" s="2607"/>
      <c r="AM58" s="2607"/>
      <c r="AN58" s="2607"/>
      <c r="AO58" s="2565"/>
      <c r="AP58" s="2565"/>
      <c r="AQ58" s="2538"/>
    </row>
    <row r="59" spans="1:43" ht="47.25" customHeight="1">
      <c r="A59" s="2508"/>
      <c r="B59" s="2511"/>
      <c r="C59" s="2512"/>
      <c r="D59" s="2511"/>
      <c r="E59" s="2588"/>
      <c r="F59" s="2512"/>
      <c r="G59" s="580"/>
      <c r="H59" s="580"/>
      <c r="I59" s="581"/>
      <c r="J59" s="2592"/>
      <c r="K59" s="2541"/>
      <c r="L59" s="2541"/>
      <c r="M59" s="2557"/>
      <c r="N59" s="2576"/>
      <c r="O59" s="2523"/>
      <c r="P59" s="2569"/>
      <c r="Q59" s="2409"/>
      <c r="R59" s="2571"/>
      <c r="S59" s="2541"/>
      <c r="T59" s="2541"/>
      <c r="U59" s="2583"/>
      <c r="V59" s="559">
        <v>1250000</v>
      </c>
      <c r="W59" s="2613"/>
      <c r="X59" s="2615"/>
      <c r="Y59" s="2620"/>
      <c r="Z59" s="2607"/>
      <c r="AA59" s="2607"/>
      <c r="AB59" s="2607"/>
      <c r="AC59" s="2607"/>
      <c r="AD59" s="2607"/>
      <c r="AE59" s="2607"/>
      <c r="AF59" s="2607"/>
      <c r="AG59" s="2607"/>
      <c r="AH59" s="2607"/>
      <c r="AI59" s="2607"/>
      <c r="AJ59" s="2607"/>
      <c r="AK59" s="2611"/>
      <c r="AL59" s="2607"/>
      <c r="AM59" s="2607"/>
      <c r="AN59" s="2607"/>
      <c r="AO59" s="2565"/>
      <c r="AP59" s="2565"/>
      <c r="AQ59" s="2538"/>
    </row>
    <row r="60" spans="1:43" ht="60.75" customHeight="1">
      <c r="A60" s="2508"/>
      <c r="B60" s="2511"/>
      <c r="C60" s="2512"/>
      <c r="D60" s="2511"/>
      <c r="E60" s="2588"/>
      <c r="F60" s="2512"/>
      <c r="G60" s="580"/>
      <c r="H60" s="580"/>
      <c r="I60" s="581"/>
      <c r="J60" s="2592"/>
      <c r="K60" s="2541"/>
      <c r="L60" s="2541"/>
      <c r="M60" s="2557"/>
      <c r="N60" s="2576"/>
      <c r="O60" s="2523"/>
      <c r="P60" s="2569"/>
      <c r="Q60" s="2409"/>
      <c r="R60" s="2571"/>
      <c r="S60" s="2541"/>
      <c r="T60" s="2541"/>
      <c r="U60" s="2582" t="s">
        <v>441</v>
      </c>
      <c r="V60" s="559">
        <v>15000000</v>
      </c>
      <c r="W60" s="2613"/>
      <c r="X60" s="2615"/>
      <c r="Y60" s="2620"/>
      <c r="Z60" s="2607"/>
      <c r="AA60" s="2607"/>
      <c r="AB60" s="2607"/>
      <c r="AC60" s="2607"/>
      <c r="AD60" s="2607"/>
      <c r="AE60" s="2607"/>
      <c r="AF60" s="2607"/>
      <c r="AG60" s="2607"/>
      <c r="AH60" s="2607"/>
      <c r="AI60" s="2607"/>
      <c r="AJ60" s="2607"/>
      <c r="AK60" s="2611"/>
      <c r="AL60" s="2607"/>
      <c r="AM60" s="2607"/>
      <c r="AN60" s="2607"/>
      <c r="AO60" s="2565"/>
      <c r="AP60" s="2565"/>
      <c r="AQ60" s="2538"/>
    </row>
    <row r="61" spans="1:43" ht="69" customHeight="1">
      <c r="A61" s="2508"/>
      <c r="B61" s="2511"/>
      <c r="C61" s="2512"/>
      <c r="D61" s="2511"/>
      <c r="E61" s="2588"/>
      <c r="F61" s="2512"/>
      <c r="G61" s="580"/>
      <c r="H61" s="580"/>
      <c r="I61" s="581"/>
      <c r="J61" s="2592"/>
      <c r="K61" s="2541"/>
      <c r="L61" s="2541"/>
      <c r="M61" s="2557"/>
      <c r="N61" s="2576"/>
      <c r="O61" s="2523"/>
      <c r="P61" s="2569"/>
      <c r="Q61" s="2409"/>
      <c r="R61" s="2571"/>
      <c r="S61" s="2541"/>
      <c r="T61" s="2541"/>
      <c r="U61" s="2583"/>
      <c r="V61" s="559">
        <v>1250000</v>
      </c>
      <c r="W61" s="2613"/>
      <c r="X61" s="2615"/>
      <c r="Y61" s="2620"/>
      <c r="Z61" s="2607"/>
      <c r="AA61" s="2607"/>
      <c r="AB61" s="2607"/>
      <c r="AC61" s="2607"/>
      <c r="AD61" s="2607"/>
      <c r="AE61" s="2607"/>
      <c r="AF61" s="2607"/>
      <c r="AG61" s="2607"/>
      <c r="AH61" s="2607"/>
      <c r="AI61" s="2607"/>
      <c r="AJ61" s="2607"/>
      <c r="AK61" s="2611"/>
      <c r="AL61" s="2607"/>
      <c r="AM61" s="2607"/>
      <c r="AN61" s="2607"/>
      <c r="AO61" s="2565"/>
      <c r="AP61" s="2565"/>
      <c r="AQ61" s="2538"/>
    </row>
    <row r="62" spans="1:43" ht="33.75" customHeight="1">
      <c r="A62" s="2508"/>
      <c r="B62" s="2511"/>
      <c r="C62" s="2512"/>
      <c r="D62" s="2511"/>
      <c r="E62" s="2588"/>
      <c r="F62" s="2512"/>
      <c r="G62" s="580"/>
      <c r="H62" s="580"/>
      <c r="I62" s="581"/>
      <c r="J62" s="2592"/>
      <c r="K62" s="2541"/>
      <c r="L62" s="2541"/>
      <c r="M62" s="2557"/>
      <c r="N62" s="2576"/>
      <c r="O62" s="2523"/>
      <c r="P62" s="2569"/>
      <c r="Q62" s="2409"/>
      <c r="R62" s="2571"/>
      <c r="S62" s="2541"/>
      <c r="T62" s="2541"/>
      <c r="U62" s="2582" t="s">
        <v>442</v>
      </c>
      <c r="V62" s="2622">
        <v>82000000</v>
      </c>
      <c r="W62" s="2613"/>
      <c r="X62" s="2615"/>
      <c r="Y62" s="2620"/>
      <c r="Z62" s="2607"/>
      <c r="AA62" s="2607"/>
      <c r="AB62" s="2607"/>
      <c r="AC62" s="2607"/>
      <c r="AD62" s="2607"/>
      <c r="AE62" s="2607"/>
      <c r="AF62" s="2607"/>
      <c r="AG62" s="2607"/>
      <c r="AH62" s="2607"/>
      <c r="AI62" s="2607"/>
      <c r="AJ62" s="2607"/>
      <c r="AK62" s="2611"/>
      <c r="AL62" s="2607"/>
      <c r="AM62" s="2607"/>
      <c r="AN62" s="2607"/>
      <c r="AO62" s="2565"/>
      <c r="AP62" s="2565"/>
      <c r="AQ62" s="2538"/>
    </row>
    <row r="63" spans="1:43" ht="33.75" customHeight="1">
      <c r="A63" s="2508"/>
      <c r="B63" s="2511"/>
      <c r="C63" s="2512"/>
      <c r="D63" s="2511"/>
      <c r="E63" s="2588"/>
      <c r="F63" s="2512"/>
      <c r="G63" s="580"/>
      <c r="H63" s="580"/>
      <c r="I63" s="581"/>
      <c r="J63" s="2592"/>
      <c r="K63" s="2541"/>
      <c r="L63" s="2541"/>
      <c r="M63" s="2557"/>
      <c r="N63" s="2576"/>
      <c r="O63" s="2523"/>
      <c r="P63" s="2569"/>
      <c r="Q63" s="2409"/>
      <c r="R63" s="2571"/>
      <c r="S63" s="2541"/>
      <c r="T63" s="2541"/>
      <c r="U63" s="2583"/>
      <c r="V63" s="2623"/>
      <c r="W63" s="2613"/>
      <c r="X63" s="2615"/>
      <c r="Y63" s="2620"/>
      <c r="Z63" s="2607"/>
      <c r="AA63" s="2607"/>
      <c r="AB63" s="2607"/>
      <c r="AC63" s="2607"/>
      <c r="AD63" s="2607"/>
      <c r="AE63" s="2607"/>
      <c r="AF63" s="2607"/>
      <c r="AG63" s="2607"/>
      <c r="AH63" s="2607"/>
      <c r="AI63" s="2607"/>
      <c r="AJ63" s="2607"/>
      <c r="AK63" s="2611"/>
      <c r="AL63" s="2607"/>
      <c r="AM63" s="2607"/>
      <c r="AN63" s="2607"/>
      <c r="AO63" s="2565"/>
      <c r="AP63" s="2565"/>
      <c r="AQ63" s="2538"/>
    </row>
    <row r="64" spans="1:43" ht="40.5" customHeight="1">
      <c r="A64" s="2508"/>
      <c r="B64" s="2511"/>
      <c r="C64" s="2512"/>
      <c r="D64" s="2511"/>
      <c r="E64" s="2588"/>
      <c r="F64" s="2512"/>
      <c r="G64" s="580"/>
      <c r="H64" s="580"/>
      <c r="I64" s="581"/>
      <c r="J64" s="2592"/>
      <c r="K64" s="2541"/>
      <c r="L64" s="2541"/>
      <c r="M64" s="2557"/>
      <c r="N64" s="2576"/>
      <c r="O64" s="2523"/>
      <c r="P64" s="2569"/>
      <c r="Q64" s="2409"/>
      <c r="R64" s="2571"/>
      <c r="S64" s="2541"/>
      <c r="T64" s="2541"/>
      <c r="U64" s="554" t="s">
        <v>443</v>
      </c>
      <c r="V64" s="559">
        <v>15000000</v>
      </c>
      <c r="W64" s="2613"/>
      <c r="X64" s="2615"/>
      <c r="Y64" s="2620"/>
      <c r="Z64" s="2607"/>
      <c r="AA64" s="2607"/>
      <c r="AB64" s="2607"/>
      <c r="AC64" s="2607"/>
      <c r="AD64" s="2607"/>
      <c r="AE64" s="2607"/>
      <c r="AF64" s="2607"/>
      <c r="AG64" s="2607"/>
      <c r="AH64" s="2607"/>
      <c r="AI64" s="2607"/>
      <c r="AJ64" s="2607"/>
      <c r="AK64" s="2611"/>
      <c r="AL64" s="2607"/>
      <c r="AM64" s="2607"/>
      <c r="AN64" s="2607"/>
      <c r="AO64" s="2565"/>
      <c r="AP64" s="2565"/>
      <c r="AQ64" s="2538"/>
    </row>
    <row r="65" spans="1:43" ht="74.25" customHeight="1">
      <c r="A65" s="2508"/>
      <c r="B65" s="2511"/>
      <c r="C65" s="2512"/>
      <c r="D65" s="2511"/>
      <c r="E65" s="2588"/>
      <c r="F65" s="2512"/>
      <c r="G65" s="580"/>
      <c r="H65" s="580"/>
      <c r="I65" s="581"/>
      <c r="J65" s="2594">
        <v>227</v>
      </c>
      <c r="K65" s="2541" t="s">
        <v>444</v>
      </c>
      <c r="L65" s="2541" t="s">
        <v>445</v>
      </c>
      <c r="M65" s="2557">
        <v>12</v>
      </c>
      <c r="N65" s="2576"/>
      <c r="O65" s="2523"/>
      <c r="P65" s="2569"/>
      <c r="Q65" s="2409">
        <f>(V65+V66+V67)/R50</f>
        <v>0.3807615230460922</v>
      </c>
      <c r="R65" s="2571"/>
      <c r="S65" s="2541"/>
      <c r="T65" s="2541"/>
      <c r="U65" s="554" t="s">
        <v>446</v>
      </c>
      <c r="V65" s="559">
        <v>10000000</v>
      </c>
      <c r="W65" s="2613"/>
      <c r="X65" s="2615"/>
      <c r="Y65" s="2620"/>
      <c r="Z65" s="2607"/>
      <c r="AA65" s="2607"/>
      <c r="AB65" s="2607"/>
      <c r="AC65" s="2607"/>
      <c r="AD65" s="2607"/>
      <c r="AE65" s="2607"/>
      <c r="AF65" s="2607"/>
      <c r="AG65" s="2607"/>
      <c r="AH65" s="2607"/>
      <c r="AI65" s="2607"/>
      <c r="AJ65" s="2607"/>
      <c r="AK65" s="2611"/>
      <c r="AL65" s="2607"/>
      <c r="AM65" s="2607"/>
      <c r="AN65" s="2607"/>
      <c r="AO65" s="2565"/>
      <c r="AP65" s="2565"/>
      <c r="AQ65" s="2538"/>
    </row>
    <row r="66" spans="1:43" ht="84" customHeight="1">
      <c r="A66" s="2508"/>
      <c r="B66" s="2511"/>
      <c r="C66" s="2512"/>
      <c r="D66" s="2511"/>
      <c r="E66" s="2588"/>
      <c r="F66" s="2512"/>
      <c r="G66" s="580"/>
      <c r="H66" s="580"/>
      <c r="I66" s="581"/>
      <c r="J66" s="2594"/>
      <c r="K66" s="2541"/>
      <c r="L66" s="2541"/>
      <c r="M66" s="2557"/>
      <c r="N66" s="2576"/>
      <c r="O66" s="2523"/>
      <c r="P66" s="2569"/>
      <c r="Q66" s="2409"/>
      <c r="R66" s="2571"/>
      <c r="S66" s="2541"/>
      <c r="T66" s="2541"/>
      <c r="U66" s="554" t="s">
        <v>447</v>
      </c>
      <c r="V66" s="559">
        <v>80000000</v>
      </c>
      <c r="W66" s="2613"/>
      <c r="X66" s="2615"/>
      <c r="Y66" s="2620"/>
      <c r="Z66" s="2607"/>
      <c r="AA66" s="2607"/>
      <c r="AB66" s="2607"/>
      <c r="AC66" s="2607"/>
      <c r="AD66" s="2607"/>
      <c r="AE66" s="2607"/>
      <c r="AF66" s="2607"/>
      <c r="AG66" s="2607"/>
      <c r="AH66" s="2607"/>
      <c r="AI66" s="2607"/>
      <c r="AJ66" s="2607"/>
      <c r="AK66" s="2611"/>
      <c r="AL66" s="2607"/>
      <c r="AM66" s="2607"/>
      <c r="AN66" s="2607"/>
      <c r="AO66" s="2565"/>
      <c r="AP66" s="2565"/>
      <c r="AQ66" s="2538"/>
    </row>
    <row r="67" spans="1:43" ht="103.5" customHeight="1">
      <c r="A67" s="2508"/>
      <c r="B67" s="2511"/>
      <c r="C67" s="2512"/>
      <c r="D67" s="2511"/>
      <c r="E67" s="2588"/>
      <c r="F67" s="2512"/>
      <c r="G67" s="580"/>
      <c r="H67" s="580"/>
      <c r="I67" s="581"/>
      <c r="J67" s="2594"/>
      <c r="K67" s="2595"/>
      <c r="L67" s="2541"/>
      <c r="M67" s="2557"/>
      <c r="N67" s="2576"/>
      <c r="O67" s="2523"/>
      <c r="P67" s="2569"/>
      <c r="Q67" s="2409"/>
      <c r="R67" s="2571"/>
      <c r="S67" s="2541"/>
      <c r="T67" s="2541"/>
      <c r="U67" s="582" t="s">
        <v>448</v>
      </c>
      <c r="V67" s="559">
        <v>100000000</v>
      </c>
      <c r="W67" s="2613"/>
      <c r="X67" s="2615"/>
      <c r="Y67" s="2620"/>
      <c r="Z67" s="2607"/>
      <c r="AA67" s="2607"/>
      <c r="AB67" s="2607"/>
      <c r="AC67" s="2607"/>
      <c r="AD67" s="2607"/>
      <c r="AE67" s="2607"/>
      <c r="AF67" s="2607"/>
      <c r="AG67" s="2607"/>
      <c r="AH67" s="2607"/>
      <c r="AI67" s="2607"/>
      <c r="AJ67" s="2607"/>
      <c r="AK67" s="2611"/>
      <c r="AL67" s="2607"/>
      <c r="AM67" s="2607"/>
      <c r="AN67" s="2607"/>
      <c r="AO67" s="2565"/>
      <c r="AP67" s="2565"/>
      <c r="AQ67" s="2538"/>
    </row>
    <row r="68" spans="1:43" ht="52.5" customHeight="1">
      <c r="A68" s="2508"/>
      <c r="B68" s="2511"/>
      <c r="C68" s="2512"/>
      <c r="D68" s="2511"/>
      <c r="E68" s="2588"/>
      <c r="F68" s="2512"/>
      <c r="G68" s="580"/>
      <c r="H68" s="580"/>
      <c r="I68" s="581"/>
      <c r="J68" s="2597">
        <v>228</v>
      </c>
      <c r="K68" s="2541" t="s">
        <v>449</v>
      </c>
      <c r="L68" s="2599" t="s">
        <v>450</v>
      </c>
      <c r="M68" s="2557">
        <v>2</v>
      </c>
      <c r="N68" s="2576"/>
      <c r="O68" s="2523"/>
      <c r="P68" s="2569"/>
      <c r="Q68" s="2409">
        <f>(V68+V69+V71+V72+V73+V74)/R50</f>
        <v>0.07014028056112225</v>
      </c>
      <c r="R68" s="2571"/>
      <c r="S68" s="2541"/>
      <c r="T68" s="2541"/>
      <c r="U68" s="554" t="s">
        <v>451</v>
      </c>
      <c r="V68" s="559">
        <v>6400000</v>
      </c>
      <c r="W68" s="2613"/>
      <c r="X68" s="2615"/>
      <c r="Y68" s="2620"/>
      <c r="Z68" s="2607"/>
      <c r="AA68" s="2607"/>
      <c r="AB68" s="2607"/>
      <c r="AC68" s="2607"/>
      <c r="AD68" s="2607"/>
      <c r="AE68" s="2607"/>
      <c r="AF68" s="2607"/>
      <c r="AG68" s="2607"/>
      <c r="AH68" s="2607"/>
      <c r="AI68" s="2607"/>
      <c r="AJ68" s="2607"/>
      <c r="AK68" s="2611"/>
      <c r="AL68" s="2607"/>
      <c r="AM68" s="2607"/>
      <c r="AN68" s="2607"/>
      <c r="AO68" s="2565"/>
      <c r="AP68" s="2565"/>
      <c r="AQ68" s="2538"/>
    </row>
    <row r="69" spans="1:43" ht="30" customHeight="1">
      <c r="A69" s="2508"/>
      <c r="B69" s="2511"/>
      <c r="C69" s="2512"/>
      <c r="D69" s="2511"/>
      <c r="E69" s="2588"/>
      <c r="F69" s="2512"/>
      <c r="G69" s="580"/>
      <c r="H69" s="580"/>
      <c r="I69" s="581"/>
      <c r="J69" s="2597"/>
      <c r="K69" s="2541"/>
      <c r="L69" s="2599"/>
      <c r="M69" s="2557"/>
      <c r="N69" s="2576"/>
      <c r="O69" s="2523"/>
      <c r="P69" s="2569"/>
      <c r="Q69" s="2409"/>
      <c r="R69" s="2571"/>
      <c r="S69" s="2541"/>
      <c r="T69" s="2541"/>
      <c r="U69" s="2582" t="s">
        <v>452</v>
      </c>
      <c r="V69" s="2622">
        <v>16200000</v>
      </c>
      <c r="W69" s="2613"/>
      <c r="X69" s="2615"/>
      <c r="Y69" s="2620"/>
      <c r="Z69" s="2607"/>
      <c r="AA69" s="2607"/>
      <c r="AB69" s="2607"/>
      <c r="AC69" s="2607"/>
      <c r="AD69" s="2607"/>
      <c r="AE69" s="2607"/>
      <c r="AF69" s="2607"/>
      <c r="AG69" s="2607"/>
      <c r="AH69" s="2607"/>
      <c r="AI69" s="2607"/>
      <c r="AJ69" s="2607"/>
      <c r="AK69" s="2611"/>
      <c r="AL69" s="2607"/>
      <c r="AM69" s="2607"/>
      <c r="AN69" s="2607"/>
      <c r="AO69" s="2565"/>
      <c r="AP69" s="2565"/>
      <c r="AQ69" s="2538"/>
    </row>
    <row r="70" spans="1:43" ht="30" customHeight="1">
      <c r="A70" s="2508"/>
      <c r="B70" s="2511"/>
      <c r="C70" s="2512"/>
      <c r="D70" s="2511"/>
      <c r="E70" s="2588"/>
      <c r="F70" s="2512"/>
      <c r="G70" s="580"/>
      <c r="H70" s="580"/>
      <c r="I70" s="581"/>
      <c r="J70" s="2597"/>
      <c r="K70" s="2541"/>
      <c r="L70" s="2599"/>
      <c r="M70" s="2557"/>
      <c r="N70" s="2576"/>
      <c r="O70" s="2523"/>
      <c r="P70" s="2569"/>
      <c r="Q70" s="2409"/>
      <c r="R70" s="2571"/>
      <c r="S70" s="2541"/>
      <c r="T70" s="2541"/>
      <c r="U70" s="2583"/>
      <c r="V70" s="2623"/>
      <c r="W70" s="2613"/>
      <c r="X70" s="2615"/>
      <c r="Y70" s="2620"/>
      <c r="Z70" s="2607"/>
      <c r="AA70" s="2607"/>
      <c r="AB70" s="2607"/>
      <c r="AC70" s="2607"/>
      <c r="AD70" s="2607"/>
      <c r="AE70" s="2607"/>
      <c r="AF70" s="2607"/>
      <c r="AG70" s="2607"/>
      <c r="AH70" s="2607"/>
      <c r="AI70" s="2607"/>
      <c r="AJ70" s="2607"/>
      <c r="AK70" s="2611"/>
      <c r="AL70" s="2607"/>
      <c r="AM70" s="2607"/>
      <c r="AN70" s="2607"/>
      <c r="AO70" s="2565"/>
      <c r="AP70" s="2565"/>
      <c r="AQ70" s="2538"/>
    </row>
    <row r="71" spans="1:43" ht="46.5" customHeight="1">
      <c r="A71" s="2508"/>
      <c r="B71" s="2511"/>
      <c r="C71" s="2512"/>
      <c r="D71" s="2511"/>
      <c r="E71" s="2588"/>
      <c r="F71" s="2512"/>
      <c r="G71" s="580"/>
      <c r="H71" s="580"/>
      <c r="I71" s="581"/>
      <c r="J71" s="2597"/>
      <c r="K71" s="2541"/>
      <c r="L71" s="2599"/>
      <c r="M71" s="2557"/>
      <c r="N71" s="2576"/>
      <c r="O71" s="2523"/>
      <c r="P71" s="2569"/>
      <c r="Q71" s="2409"/>
      <c r="R71" s="2571"/>
      <c r="S71" s="2541"/>
      <c r="T71" s="2541"/>
      <c r="U71" s="554" t="s">
        <v>453</v>
      </c>
      <c r="V71" s="559">
        <v>7500000</v>
      </c>
      <c r="W71" s="2613"/>
      <c r="X71" s="2615"/>
      <c r="Y71" s="2620"/>
      <c r="Z71" s="2607"/>
      <c r="AA71" s="2607"/>
      <c r="AB71" s="2607"/>
      <c r="AC71" s="2607"/>
      <c r="AD71" s="2607"/>
      <c r="AE71" s="2607"/>
      <c r="AF71" s="2607"/>
      <c r="AG71" s="2607"/>
      <c r="AH71" s="2607"/>
      <c r="AI71" s="2607"/>
      <c r="AJ71" s="2607"/>
      <c r="AK71" s="2611"/>
      <c r="AL71" s="2607"/>
      <c r="AM71" s="2607"/>
      <c r="AN71" s="2607"/>
      <c r="AO71" s="2565"/>
      <c r="AP71" s="2565"/>
      <c r="AQ71" s="2538"/>
    </row>
    <row r="72" spans="1:43" ht="99.75" customHeight="1">
      <c r="A72" s="2508"/>
      <c r="B72" s="2511"/>
      <c r="C72" s="2512"/>
      <c r="D72" s="2511"/>
      <c r="E72" s="2588"/>
      <c r="F72" s="2512"/>
      <c r="G72" s="580"/>
      <c r="H72" s="580"/>
      <c r="I72" s="581"/>
      <c r="J72" s="2597"/>
      <c r="K72" s="2541"/>
      <c r="L72" s="2599"/>
      <c r="M72" s="2557"/>
      <c r="N72" s="2576"/>
      <c r="O72" s="2523"/>
      <c r="P72" s="2569"/>
      <c r="Q72" s="2409"/>
      <c r="R72" s="2571"/>
      <c r="S72" s="2541"/>
      <c r="T72" s="2541"/>
      <c r="U72" s="554" t="s">
        <v>454</v>
      </c>
      <c r="V72" s="559">
        <v>1600000</v>
      </c>
      <c r="W72" s="2613"/>
      <c r="X72" s="2615"/>
      <c r="Y72" s="2620"/>
      <c r="Z72" s="2607"/>
      <c r="AA72" s="2607"/>
      <c r="AB72" s="2607"/>
      <c r="AC72" s="2607"/>
      <c r="AD72" s="2607"/>
      <c r="AE72" s="2607"/>
      <c r="AF72" s="2607"/>
      <c r="AG72" s="2607"/>
      <c r="AH72" s="2607"/>
      <c r="AI72" s="2607"/>
      <c r="AJ72" s="2607"/>
      <c r="AK72" s="2611"/>
      <c r="AL72" s="2607"/>
      <c r="AM72" s="2607"/>
      <c r="AN72" s="2607"/>
      <c r="AO72" s="2565"/>
      <c r="AP72" s="2565"/>
      <c r="AQ72" s="2538"/>
    </row>
    <row r="73" spans="1:43" ht="130.5" customHeight="1">
      <c r="A73" s="2508"/>
      <c r="B73" s="2511"/>
      <c r="C73" s="2512"/>
      <c r="D73" s="2511"/>
      <c r="E73" s="2588"/>
      <c r="F73" s="2512"/>
      <c r="G73" s="580"/>
      <c r="H73" s="580"/>
      <c r="I73" s="581"/>
      <c r="J73" s="2598"/>
      <c r="K73" s="2538"/>
      <c r="L73" s="2600"/>
      <c r="M73" s="2383"/>
      <c r="N73" s="2576"/>
      <c r="O73" s="2523"/>
      <c r="P73" s="2569"/>
      <c r="Q73" s="2584"/>
      <c r="R73" s="2571"/>
      <c r="S73" s="2541"/>
      <c r="T73" s="2541"/>
      <c r="U73" s="554" t="s">
        <v>455</v>
      </c>
      <c r="V73" s="559">
        <v>900000</v>
      </c>
      <c r="W73" s="2613"/>
      <c r="X73" s="2615"/>
      <c r="Y73" s="2620"/>
      <c r="Z73" s="2607"/>
      <c r="AA73" s="2607"/>
      <c r="AB73" s="2607"/>
      <c r="AC73" s="2607"/>
      <c r="AD73" s="2607"/>
      <c r="AE73" s="2607"/>
      <c r="AF73" s="2607"/>
      <c r="AG73" s="2607"/>
      <c r="AH73" s="2607"/>
      <c r="AI73" s="2607"/>
      <c r="AJ73" s="2607"/>
      <c r="AK73" s="2611"/>
      <c r="AL73" s="2607"/>
      <c r="AM73" s="2607"/>
      <c r="AN73" s="2607"/>
      <c r="AO73" s="2565"/>
      <c r="AP73" s="2565"/>
      <c r="AQ73" s="2538"/>
    </row>
    <row r="74" spans="1:43" ht="39" customHeight="1">
      <c r="A74" s="2508"/>
      <c r="B74" s="2511"/>
      <c r="C74" s="2512"/>
      <c r="D74" s="2511"/>
      <c r="E74" s="2588"/>
      <c r="F74" s="2512"/>
      <c r="G74" s="580"/>
      <c r="H74" s="580"/>
      <c r="I74" s="581"/>
      <c r="J74" s="2598"/>
      <c r="K74" s="2538"/>
      <c r="L74" s="2600"/>
      <c r="M74" s="2383"/>
      <c r="N74" s="2576"/>
      <c r="O74" s="2523"/>
      <c r="P74" s="2569"/>
      <c r="Q74" s="2584"/>
      <c r="R74" s="2571"/>
      <c r="S74" s="2541"/>
      <c r="T74" s="2541"/>
      <c r="U74" s="554" t="s">
        <v>456</v>
      </c>
      <c r="V74" s="559">
        <v>2400000</v>
      </c>
      <c r="W74" s="2613"/>
      <c r="X74" s="2615"/>
      <c r="Y74" s="2620"/>
      <c r="Z74" s="2607"/>
      <c r="AA74" s="2607"/>
      <c r="AB74" s="2607"/>
      <c r="AC74" s="2607"/>
      <c r="AD74" s="2607"/>
      <c r="AE74" s="2607"/>
      <c r="AF74" s="2607"/>
      <c r="AG74" s="2607"/>
      <c r="AH74" s="2607"/>
      <c r="AI74" s="2607"/>
      <c r="AJ74" s="2607"/>
      <c r="AK74" s="2611"/>
      <c r="AL74" s="2607"/>
      <c r="AM74" s="2607"/>
      <c r="AN74" s="2607"/>
      <c r="AO74" s="2565"/>
      <c r="AP74" s="2565"/>
      <c r="AQ74" s="2538"/>
    </row>
    <row r="75" spans="1:43" ht="70.5" customHeight="1">
      <c r="A75" s="2508"/>
      <c r="B75" s="2511"/>
      <c r="C75" s="2512"/>
      <c r="D75" s="2511"/>
      <c r="E75" s="2588"/>
      <c r="F75" s="2512"/>
      <c r="G75" s="580"/>
      <c r="H75" s="580"/>
      <c r="I75" s="581"/>
      <c r="J75" s="2594">
        <v>229</v>
      </c>
      <c r="K75" s="2596" t="s">
        <v>457</v>
      </c>
      <c r="L75" s="2541" t="s">
        <v>458</v>
      </c>
      <c r="M75" s="2557">
        <v>13</v>
      </c>
      <c r="N75" s="2576"/>
      <c r="O75" s="2523"/>
      <c r="P75" s="2569"/>
      <c r="Q75" s="2409">
        <f>(V75+V76+V77)/R50</f>
        <v>0.07515030060120241</v>
      </c>
      <c r="R75" s="2571"/>
      <c r="S75" s="2541"/>
      <c r="T75" s="2541"/>
      <c r="U75" s="2582" t="s">
        <v>459</v>
      </c>
      <c r="V75" s="559">
        <v>5400000</v>
      </c>
      <c r="W75" s="2613"/>
      <c r="X75" s="2615"/>
      <c r="Y75" s="2620"/>
      <c r="Z75" s="2607"/>
      <c r="AA75" s="2607"/>
      <c r="AB75" s="2607"/>
      <c r="AC75" s="2607"/>
      <c r="AD75" s="2607"/>
      <c r="AE75" s="2607"/>
      <c r="AF75" s="2607"/>
      <c r="AG75" s="2607"/>
      <c r="AH75" s="2607"/>
      <c r="AI75" s="2607"/>
      <c r="AJ75" s="2607"/>
      <c r="AK75" s="2611"/>
      <c r="AL75" s="2607"/>
      <c r="AM75" s="2607"/>
      <c r="AN75" s="2607"/>
      <c r="AO75" s="2565"/>
      <c r="AP75" s="2565"/>
      <c r="AQ75" s="2538"/>
    </row>
    <row r="76" spans="1:43" ht="70.5" customHeight="1">
      <c r="A76" s="2508"/>
      <c r="B76" s="2511"/>
      <c r="C76" s="2512"/>
      <c r="D76" s="2511"/>
      <c r="E76" s="2588"/>
      <c r="F76" s="2512"/>
      <c r="G76" s="580"/>
      <c r="H76" s="580"/>
      <c r="I76" s="581"/>
      <c r="J76" s="2594"/>
      <c r="K76" s="2541"/>
      <c r="L76" s="2541"/>
      <c r="M76" s="2557"/>
      <c r="N76" s="2576"/>
      <c r="O76" s="2523"/>
      <c r="P76" s="2569"/>
      <c r="Q76" s="2409"/>
      <c r="R76" s="2571"/>
      <c r="S76" s="2541"/>
      <c r="T76" s="2541"/>
      <c r="U76" s="2583"/>
      <c r="V76" s="559">
        <v>2500000</v>
      </c>
      <c r="W76" s="2613"/>
      <c r="X76" s="2615"/>
      <c r="Y76" s="2620"/>
      <c r="Z76" s="2607"/>
      <c r="AA76" s="2607"/>
      <c r="AB76" s="2607"/>
      <c r="AC76" s="2607"/>
      <c r="AD76" s="2607"/>
      <c r="AE76" s="2607"/>
      <c r="AF76" s="2607"/>
      <c r="AG76" s="2607"/>
      <c r="AH76" s="2607"/>
      <c r="AI76" s="2607"/>
      <c r="AJ76" s="2607"/>
      <c r="AK76" s="2611"/>
      <c r="AL76" s="2607"/>
      <c r="AM76" s="2607"/>
      <c r="AN76" s="2607"/>
      <c r="AO76" s="2565"/>
      <c r="AP76" s="2565"/>
      <c r="AQ76" s="2538"/>
    </row>
    <row r="77" spans="1:43" ht="105" customHeight="1">
      <c r="A77" s="2508"/>
      <c r="B77" s="2511"/>
      <c r="C77" s="2512"/>
      <c r="D77" s="2511"/>
      <c r="E77" s="2588"/>
      <c r="F77" s="2512"/>
      <c r="G77" s="580"/>
      <c r="H77" s="580"/>
      <c r="I77" s="581"/>
      <c r="J77" s="2594"/>
      <c r="K77" s="2541"/>
      <c r="L77" s="2541"/>
      <c r="M77" s="2557"/>
      <c r="N77" s="2576"/>
      <c r="O77" s="2523"/>
      <c r="P77" s="2569"/>
      <c r="Q77" s="2409"/>
      <c r="R77" s="2571"/>
      <c r="S77" s="2541"/>
      <c r="T77" s="2541"/>
      <c r="U77" s="554" t="s">
        <v>460</v>
      </c>
      <c r="V77" s="559">
        <v>29600000</v>
      </c>
      <c r="W77" s="2613"/>
      <c r="X77" s="2615"/>
      <c r="Y77" s="2620"/>
      <c r="Z77" s="2607"/>
      <c r="AA77" s="2607"/>
      <c r="AB77" s="2607"/>
      <c r="AC77" s="2607"/>
      <c r="AD77" s="2607"/>
      <c r="AE77" s="2607"/>
      <c r="AF77" s="2607"/>
      <c r="AG77" s="2607"/>
      <c r="AH77" s="2607"/>
      <c r="AI77" s="2607"/>
      <c r="AJ77" s="2607"/>
      <c r="AK77" s="2611"/>
      <c r="AL77" s="2607"/>
      <c r="AM77" s="2607"/>
      <c r="AN77" s="2607"/>
      <c r="AO77" s="2565"/>
      <c r="AP77" s="2565"/>
      <c r="AQ77" s="2538"/>
    </row>
    <row r="78" spans="1:43" ht="45.75" customHeight="1">
      <c r="A78" s="2508"/>
      <c r="B78" s="2511"/>
      <c r="C78" s="2512"/>
      <c r="D78" s="2511"/>
      <c r="E78" s="2588"/>
      <c r="F78" s="2512"/>
      <c r="G78" s="580"/>
      <c r="H78" s="580"/>
      <c r="I78" s="581"/>
      <c r="J78" s="2594">
        <v>230</v>
      </c>
      <c r="K78" s="2541" t="s">
        <v>461</v>
      </c>
      <c r="L78" s="2541" t="s">
        <v>462</v>
      </c>
      <c r="M78" s="2557">
        <v>1</v>
      </c>
      <c r="N78" s="2576"/>
      <c r="O78" s="2523"/>
      <c r="P78" s="2569"/>
      <c r="Q78" s="2409">
        <f>(V78+V79+V80+V81)/R50</f>
        <v>0.0531062124248497</v>
      </c>
      <c r="R78" s="2571"/>
      <c r="S78" s="2541"/>
      <c r="T78" s="2541"/>
      <c r="U78" s="2582" t="s">
        <v>463</v>
      </c>
      <c r="V78" s="559">
        <v>7500000</v>
      </c>
      <c r="W78" s="2613"/>
      <c r="X78" s="2615"/>
      <c r="Y78" s="2620"/>
      <c r="Z78" s="2607"/>
      <c r="AA78" s="2607"/>
      <c r="AB78" s="2607"/>
      <c r="AC78" s="2607"/>
      <c r="AD78" s="2607"/>
      <c r="AE78" s="2607"/>
      <c r="AF78" s="2607"/>
      <c r="AG78" s="2607"/>
      <c r="AH78" s="2607"/>
      <c r="AI78" s="2607"/>
      <c r="AJ78" s="2607"/>
      <c r="AK78" s="2611"/>
      <c r="AL78" s="2607"/>
      <c r="AM78" s="2607"/>
      <c r="AN78" s="2607"/>
      <c r="AO78" s="2565"/>
      <c r="AP78" s="2565"/>
      <c r="AQ78" s="2538"/>
    </row>
    <row r="79" spans="1:43" ht="46.5" customHeight="1">
      <c r="A79" s="2508"/>
      <c r="B79" s="2511"/>
      <c r="C79" s="2512"/>
      <c r="D79" s="2511"/>
      <c r="E79" s="2588"/>
      <c r="F79" s="2512"/>
      <c r="G79" s="580"/>
      <c r="H79" s="580"/>
      <c r="I79" s="581"/>
      <c r="J79" s="2594"/>
      <c r="K79" s="2541"/>
      <c r="L79" s="2541"/>
      <c r="M79" s="2557"/>
      <c r="N79" s="2576"/>
      <c r="O79" s="2523"/>
      <c r="P79" s="2569"/>
      <c r="Q79" s="2409"/>
      <c r="R79" s="2571"/>
      <c r="S79" s="2541"/>
      <c r="T79" s="2541"/>
      <c r="U79" s="2583"/>
      <c r="V79" s="559">
        <v>2500000</v>
      </c>
      <c r="W79" s="2613"/>
      <c r="X79" s="2615"/>
      <c r="Y79" s="2620"/>
      <c r="Z79" s="2607"/>
      <c r="AA79" s="2607"/>
      <c r="AB79" s="2607"/>
      <c r="AC79" s="2607"/>
      <c r="AD79" s="2607"/>
      <c r="AE79" s="2607"/>
      <c r="AF79" s="2607"/>
      <c r="AG79" s="2607"/>
      <c r="AH79" s="2607"/>
      <c r="AI79" s="2607"/>
      <c r="AJ79" s="2607"/>
      <c r="AK79" s="2611"/>
      <c r="AL79" s="2607"/>
      <c r="AM79" s="2607"/>
      <c r="AN79" s="2607"/>
      <c r="AO79" s="2565"/>
      <c r="AP79" s="2565"/>
      <c r="AQ79" s="2538"/>
    </row>
    <row r="80" spans="1:43" ht="54.75" customHeight="1">
      <c r="A80" s="2508"/>
      <c r="B80" s="2511"/>
      <c r="C80" s="2512"/>
      <c r="D80" s="2511"/>
      <c r="E80" s="2588"/>
      <c r="F80" s="2512"/>
      <c r="G80" s="580"/>
      <c r="H80" s="580"/>
      <c r="I80" s="581"/>
      <c r="J80" s="2594"/>
      <c r="K80" s="2541"/>
      <c r="L80" s="2541"/>
      <c r="M80" s="2557"/>
      <c r="N80" s="2576"/>
      <c r="O80" s="2523"/>
      <c r="P80" s="2569"/>
      <c r="Q80" s="2409"/>
      <c r="R80" s="2571"/>
      <c r="S80" s="2541"/>
      <c r="T80" s="2541"/>
      <c r="U80" s="554" t="s">
        <v>464</v>
      </c>
      <c r="V80" s="559">
        <v>12500000</v>
      </c>
      <c r="W80" s="2613"/>
      <c r="X80" s="2615"/>
      <c r="Y80" s="2620"/>
      <c r="Z80" s="2607"/>
      <c r="AA80" s="2607"/>
      <c r="AB80" s="2607"/>
      <c r="AC80" s="2607"/>
      <c r="AD80" s="2607"/>
      <c r="AE80" s="2607"/>
      <c r="AF80" s="2607"/>
      <c r="AG80" s="2607"/>
      <c r="AH80" s="2607"/>
      <c r="AI80" s="2607"/>
      <c r="AJ80" s="2607"/>
      <c r="AK80" s="2611"/>
      <c r="AL80" s="2607"/>
      <c r="AM80" s="2607"/>
      <c r="AN80" s="2607"/>
      <c r="AO80" s="2565"/>
      <c r="AP80" s="2565"/>
      <c r="AQ80" s="2538"/>
    </row>
    <row r="81" spans="1:43" ht="37.5" customHeight="1">
      <c r="A81" s="2508"/>
      <c r="B81" s="2511"/>
      <c r="C81" s="2512"/>
      <c r="D81" s="2511"/>
      <c r="E81" s="2588"/>
      <c r="F81" s="2512"/>
      <c r="G81" s="583"/>
      <c r="H81" s="583"/>
      <c r="I81" s="584"/>
      <c r="J81" s="2594"/>
      <c r="K81" s="2541"/>
      <c r="L81" s="2541"/>
      <c r="M81" s="2557"/>
      <c r="N81" s="2593"/>
      <c r="O81" s="2585"/>
      <c r="P81" s="2586"/>
      <c r="Q81" s="2409"/>
      <c r="R81" s="2572"/>
      <c r="S81" s="2541"/>
      <c r="T81" s="2541"/>
      <c r="U81" s="554" t="s">
        <v>456</v>
      </c>
      <c r="V81" s="559">
        <v>4000000</v>
      </c>
      <c r="W81" s="2613"/>
      <c r="X81" s="2615"/>
      <c r="Y81" s="2621"/>
      <c r="Z81" s="2608"/>
      <c r="AA81" s="2608"/>
      <c r="AB81" s="2608"/>
      <c r="AC81" s="2608"/>
      <c r="AD81" s="2608"/>
      <c r="AE81" s="2608"/>
      <c r="AF81" s="2608"/>
      <c r="AG81" s="2608"/>
      <c r="AH81" s="2608"/>
      <c r="AI81" s="2608"/>
      <c r="AJ81" s="2608"/>
      <c r="AK81" s="2612"/>
      <c r="AL81" s="2608"/>
      <c r="AM81" s="2608"/>
      <c r="AN81" s="2608"/>
      <c r="AO81" s="2566"/>
      <c r="AP81" s="2566"/>
      <c r="AQ81" s="2538"/>
    </row>
    <row r="82" spans="1:43" ht="15.75">
      <c r="A82" s="2508"/>
      <c r="B82" s="2511"/>
      <c r="C82" s="2512"/>
      <c r="D82" s="2511"/>
      <c r="E82" s="2588"/>
      <c r="F82" s="2512"/>
      <c r="G82" s="585">
        <v>79</v>
      </c>
      <c r="H82" s="586" t="s">
        <v>465</v>
      </c>
      <c r="I82" s="586"/>
      <c r="J82" s="220"/>
      <c r="K82" s="587"/>
      <c r="L82" s="588"/>
      <c r="M82" s="328"/>
      <c r="N82" s="589"/>
      <c r="O82" s="470"/>
      <c r="P82" s="590"/>
      <c r="Q82" s="591"/>
      <c r="R82" s="592"/>
      <c r="S82" s="593"/>
      <c r="T82" s="594"/>
      <c r="U82" s="594"/>
      <c r="V82" s="595"/>
      <c r="W82" s="596"/>
      <c r="X82" s="596"/>
      <c r="Y82" s="597"/>
      <c r="Z82" s="597"/>
      <c r="AA82" s="597"/>
      <c r="AB82" s="597"/>
      <c r="AC82" s="597"/>
      <c r="AD82" s="597"/>
      <c r="AE82" s="597"/>
      <c r="AF82" s="597"/>
      <c r="AG82" s="597"/>
      <c r="AH82" s="597"/>
      <c r="AI82" s="597"/>
      <c r="AJ82" s="597"/>
      <c r="AK82" s="597"/>
      <c r="AL82" s="597"/>
      <c r="AM82" s="597"/>
      <c r="AN82" s="597"/>
      <c r="AO82" s="597"/>
      <c r="AP82" s="597"/>
      <c r="AQ82" s="598"/>
    </row>
    <row r="83" spans="1:43" ht="81" customHeight="1">
      <c r="A83" s="2508"/>
      <c r="B83" s="2511"/>
      <c r="C83" s="2512"/>
      <c r="D83" s="2511"/>
      <c r="E83" s="2588"/>
      <c r="F83" s="2512"/>
      <c r="H83" s="548"/>
      <c r="I83" s="549"/>
      <c r="J83" s="2601">
        <v>231</v>
      </c>
      <c r="K83" s="2595" t="s">
        <v>466</v>
      </c>
      <c r="L83" s="2547" t="s">
        <v>467</v>
      </c>
      <c r="M83" s="2550">
        <v>1</v>
      </c>
      <c r="N83" s="2576" t="s">
        <v>468</v>
      </c>
      <c r="O83" s="2632" t="s">
        <v>469</v>
      </c>
      <c r="P83" s="2568" t="s">
        <v>470</v>
      </c>
      <c r="Q83" s="2624">
        <f>(V83+V84)/R83</f>
        <v>0.13942307692307693</v>
      </c>
      <c r="R83" s="2626">
        <f>V83+V84+V85+V86+V87+V88+V89+V90+V91</f>
        <v>52000000</v>
      </c>
      <c r="S83" s="2541" t="s">
        <v>471</v>
      </c>
      <c r="T83" s="2541" t="s">
        <v>472</v>
      </c>
      <c r="U83" s="582" t="s">
        <v>473</v>
      </c>
      <c r="V83" s="599">
        <v>3750000</v>
      </c>
      <c r="W83" s="2629" t="s">
        <v>474</v>
      </c>
      <c r="X83" s="2547" t="s">
        <v>475</v>
      </c>
      <c r="Y83" s="2616">
        <v>1657</v>
      </c>
      <c r="Z83" s="2616">
        <v>1599</v>
      </c>
      <c r="AA83" s="2616">
        <v>367</v>
      </c>
      <c r="AB83" s="2616">
        <v>571</v>
      </c>
      <c r="AC83" s="2616">
        <v>1852</v>
      </c>
      <c r="AD83" s="2616">
        <v>466</v>
      </c>
      <c r="AE83" s="2634">
        <v>466</v>
      </c>
      <c r="AF83" s="2616"/>
      <c r="AG83" s="2616"/>
      <c r="AH83" s="2616"/>
      <c r="AI83" s="2616"/>
      <c r="AJ83" s="2616"/>
      <c r="AK83" s="2616"/>
      <c r="AL83" s="2616"/>
      <c r="AM83" s="2616"/>
      <c r="AN83" s="2616">
        <f>SUM(AA83,AB83,AC83,AD83)</f>
        <v>3256</v>
      </c>
      <c r="AO83" s="2564">
        <v>43110</v>
      </c>
      <c r="AP83" s="2564">
        <v>43454</v>
      </c>
      <c r="AQ83" s="2604" t="s">
        <v>476</v>
      </c>
    </row>
    <row r="84" spans="1:43" ht="90" customHeight="1">
      <c r="A84" s="2508"/>
      <c r="B84" s="2511"/>
      <c r="C84" s="2512"/>
      <c r="D84" s="2511"/>
      <c r="E84" s="2588"/>
      <c r="F84" s="2512"/>
      <c r="H84" s="556"/>
      <c r="I84" s="557"/>
      <c r="J84" s="2602"/>
      <c r="K84" s="2603"/>
      <c r="L84" s="2548"/>
      <c r="M84" s="2551"/>
      <c r="N84" s="2577"/>
      <c r="O84" s="2567"/>
      <c r="P84" s="2569"/>
      <c r="Q84" s="2625"/>
      <c r="R84" s="2627"/>
      <c r="S84" s="2541"/>
      <c r="T84" s="2541"/>
      <c r="U84" s="582" t="s">
        <v>477</v>
      </c>
      <c r="V84" s="599">
        <v>3500000</v>
      </c>
      <c r="W84" s="2630"/>
      <c r="X84" s="2636"/>
      <c r="Y84" s="2617"/>
      <c r="Z84" s="2617"/>
      <c r="AA84" s="2617"/>
      <c r="AB84" s="2617"/>
      <c r="AC84" s="2617"/>
      <c r="AD84" s="2617"/>
      <c r="AE84" s="2635"/>
      <c r="AF84" s="2617"/>
      <c r="AG84" s="2617"/>
      <c r="AH84" s="2617"/>
      <c r="AI84" s="2617"/>
      <c r="AJ84" s="2617"/>
      <c r="AK84" s="2617"/>
      <c r="AL84" s="2617"/>
      <c r="AM84" s="2617"/>
      <c r="AN84" s="2617"/>
      <c r="AO84" s="2565"/>
      <c r="AP84" s="2565"/>
      <c r="AQ84" s="2538"/>
    </row>
    <row r="85" spans="1:43" ht="39.75" customHeight="1">
      <c r="A85" s="2508"/>
      <c r="B85" s="2511"/>
      <c r="C85" s="2512"/>
      <c r="D85" s="2511"/>
      <c r="E85" s="2588"/>
      <c r="F85" s="2512"/>
      <c r="H85" s="556"/>
      <c r="I85" s="557"/>
      <c r="J85" s="2592">
        <v>232</v>
      </c>
      <c r="K85" s="2541" t="s">
        <v>478</v>
      </c>
      <c r="L85" s="2541" t="s">
        <v>479</v>
      </c>
      <c r="M85" s="2553">
        <v>12</v>
      </c>
      <c r="N85" s="2577"/>
      <c r="O85" s="2567"/>
      <c r="P85" s="2569"/>
      <c r="Q85" s="2624">
        <f>(V85+V86+V87+V88)/R83</f>
        <v>0.4576923076923077</v>
      </c>
      <c r="R85" s="2627"/>
      <c r="S85" s="2541"/>
      <c r="T85" s="2541"/>
      <c r="U85" s="582" t="s">
        <v>480</v>
      </c>
      <c r="V85" s="599">
        <v>11000000</v>
      </c>
      <c r="W85" s="2630"/>
      <c r="X85" s="2636"/>
      <c r="Y85" s="2617"/>
      <c r="Z85" s="2617"/>
      <c r="AA85" s="2617"/>
      <c r="AB85" s="2617"/>
      <c r="AC85" s="2617"/>
      <c r="AD85" s="2617"/>
      <c r="AE85" s="2635"/>
      <c r="AF85" s="2617"/>
      <c r="AG85" s="2617"/>
      <c r="AH85" s="2617"/>
      <c r="AI85" s="2617"/>
      <c r="AJ85" s="2617"/>
      <c r="AK85" s="2617"/>
      <c r="AL85" s="2617"/>
      <c r="AM85" s="2617"/>
      <c r="AN85" s="2617"/>
      <c r="AO85" s="2565"/>
      <c r="AP85" s="2565"/>
      <c r="AQ85" s="2538"/>
    </row>
    <row r="86" spans="1:43" ht="126" customHeight="1">
      <c r="A86" s="2508"/>
      <c r="B86" s="2511"/>
      <c r="C86" s="2512"/>
      <c r="D86" s="2511"/>
      <c r="E86" s="2588"/>
      <c r="F86" s="2512"/>
      <c r="H86" s="556"/>
      <c r="I86" s="557"/>
      <c r="J86" s="2592"/>
      <c r="K86" s="2541"/>
      <c r="L86" s="2541"/>
      <c r="M86" s="2553"/>
      <c r="N86" s="2577"/>
      <c r="O86" s="2567"/>
      <c r="P86" s="2569"/>
      <c r="Q86" s="2625"/>
      <c r="R86" s="2627"/>
      <c r="S86" s="2541"/>
      <c r="T86" s="2541"/>
      <c r="U86" s="582" t="s">
        <v>481</v>
      </c>
      <c r="V86" s="599">
        <v>11250000</v>
      </c>
      <c r="W86" s="2630"/>
      <c r="X86" s="2636"/>
      <c r="Y86" s="2617"/>
      <c r="Z86" s="2617"/>
      <c r="AA86" s="2617"/>
      <c r="AB86" s="2617"/>
      <c r="AC86" s="2617"/>
      <c r="AD86" s="2617"/>
      <c r="AE86" s="2635"/>
      <c r="AF86" s="2617"/>
      <c r="AG86" s="2617"/>
      <c r="AH86" s="2617"/>
      <c r="AI86" s="2617"/>
      <c r="AJ86" s="2617"/>
      <c r="AK86" s="2617"/>
      <c r="AL86" s="2617"/>
      <c r="AM86" s="2617"/>
      <c r="AN86" s="2617"/>
      <c r="AO86" s="2565"/>
      <c r="AP86" s="2565"/>
      <c r="AQ86" s="2538"/>
    </row>
    <row r="87" spans="1:43" ht="33.75" customHeight="1">
      <c r="A87" s="2508"/>
      <c r="B87" s="2511"/>
      <c r="C87" s="2512"/>
      <c r="D87" s="2511"/>
      <c r="E87" s="2588"/>
      <c r="F87" s="2512"/>
      <c r="H87" s="556"/>
      <c r="I87" s="557"/>
      <c r="J87" s="2592"/>
      <c r="K87" s="2541"/>
      <c r="L87" s="2541"/>
      <c r="M87" s="2553"/>
      <c r="N87" s="2577"/>
      <c r="O87" s="2567"/>
      <c r="P87" s="2569"/>
      <c r="Q87" s="2625"/>
      <c r="R87" s="2627"/>
      <c r="S87" s="2541"/>
      <c r="T87" s="2541"/>
      <c r="U87" s="554" t="s">
        <v>456</v>
      </c>
      <c r="V87" s="599">
        <v>500000</v>
      </c>
      <c r="W87" s="2630"/>
      <c r="X87" s="2636"/>
      <c r="Y87" s="2617"/>
      <c r="Z87" s="2617"/>
      <c r="AA87" s="2617"/>
      <c r="AB87" s="2617"/>
      <c r="AC87" s="2617"/>
      <c r="AD87" s="2617"/>
      <c r="AE87" s="2635"/>
      <c r="AF87" s="2617"/>
      <c r="AG87" s="2617"/>
      <c r="AH87" s="2617"/>
      <c r="AI87" s="2617"/>
      <c r="AJ87" s="2617"/>
      <c r="AK87" s="2617"/>
      <c r="AL87" s="2617"/>
      <c r="AM87" s="2617"/>
      <c r="AN87" s="2617"/>
      <c r="AO87" s="2565"/>
      <c r="AP87" s="2565"/>
      <c r="AQ87" s="2538"/>
    </row>
    <row r="88" spans="1:43" ht="45" customHeight="1">
      <c r="A88" s="2508"/>
      <c r="B88" s="2511"/>
      <c r="C88" s="2512"/>
      <c r="D88" s="2511"/>
      <c r="E88" s="2588"/>
      <c r="F88" s="2512"/>
      <c r="H88" s="556"/>
      <c r="I88" s="557"/>
      <c r="J88" s="2601"/>
      <c r="K88" s="2595"/>
      <c r="L88" s="2541"/>
      <c r="M88" s="2553"/>
      <c r="N88" s="2577"/>
      <c r="O88" s="2567"/>
      <c r="P88" s="2569"/>
      <c r="Q88" s="2633"/>
      <c r="R88" s="2627"/>
      <c r="S88" s="2541"/>
      <c r="T88" s="2541"/>
      <c r="U88" s="554" t="s">
        <v>482</v>
      </c>
      <c r="V88" s="599">
        <v>1050000</v>
      </c>
      <c r="W88" s="2630"/>
      <c r="X88" s="2636"/>
      <c r="Y88" s="2617"/>
      <c r="Z88" s="2617"/>
      <c r="AA88" s="2617"/>
      <c r="AB88" s="2617"/>
      <c r="AC88" s="2617"/>
      <c r="AD88" s="2617"/>
      <c r="AE88" s="2635"/>
      <c r="AF88" s="2617"/>
      <c r="AG88" s="2617"/>
      <c r="AH88" s="2617"/>
      <c r="AI88" s="2617"/>
      <c r="AJ88" s="2617"/>
      <c r="AK88" s="2617"/>
      <c r="AL88" s="2617"/>
      <c r="AM88" s="2617"/>
      <c r="AN88" s="2617"/>
      <c r="AO88" s="2565"/>
      <c r="AP88" s="2565"/>
      <c r="AQ88" s="2538"/>
    </row>
    <row r="89" spans="1:43" ht="99" customHeight="1">
      <c r="A89" s="2508"/>
      <c r="B89" s="2511"/>
      <c r="C89" s="2512"/>
      <c r="D89" s="2511"/>
      <c r="E89" s="2588"/>
      <c r="F89" s="2512"/>
      <c r="H89" s="556"/>
      <c r="J89" s="2592">
        <v>233</v>
      </c>
      <c r="K89" s="2614" t="s">
        <v>483</v>
      </c>
      <c r="L89" s="2599" t="s">
        <v>484</v>
      </c>
      <c r="M89" s="2553">
        <v>1</v>
      </c>
      <c r="N89" s="2577"/>
      <c r="O89" s="2567"/>
      <c r="P89" s="2569"/>
      <c r="Q89" s="2631">
        <f>(V89+V90+V91)/R83</f>
        <v>0.4028846153846154</v>
      </c>
      <c r="R89" s="2627"/>
      <c r="S89" s="2541"/>
      <c r="T89" s="2541"/>
      <c r="U89" s="582" t="s">
        <v>485</v>
      </c>
      <c r="V89" s="599">
        <v>10700000</v>
      </c>
      <c r="W89" s="2630"/>
      <c r="X89" s="2636"/>
      <c r="Y89" s="2617"/>
      <c r="Z89" s="2617"/>
      <c r="AA89" s="2617"/>
      <c r="AB89" s="2617"/>
      <c r="AC89" s="2617"/>
      <c r="AD89" s="2617"/>
      <c r="AE89" s="2635"/>
      <c r="AF89" s="2617"/>
      <c r="AG89" s="2617"/>
      <c r="AH89" s="2617"/>
      <c r="AI89" s="2617"/>
      <c r="AJ89" s="2617"/>
      <c r="AK89" s="2617"/>
      <c r="AL89" s="2617"/>
      <c r="AM89" s="2617"/>
      <c r="AN89" s="2617"/>
      <c r="AO89" s="2565"/>
      <c r="AP89" s="2565"/>
      <c r="AQ89" s="2538"/>
    </row>
    <row r="90" spans="1:43" ht="75" customHeight="1">
      <c r="A90" s="2508"/>
      <c r="B90" s="2511"/>
      <c r="C90" s="2512"/>
      <c r="D90" s="2511"/>
      <c r="E90" s="2588"/>
      <c r="F90" s="2512"/>
      <c r="H90" s="556"/>
      <c r="J90" s="2592"/>
      <c r="K90" s="2614"/>
      <c r="L90" s="2599"/>
      <c r="M90" s="2553"/>
      <c r="N90" s="2577"/>
      <c r="O90" s="2567"/>
      <c r="P90" s="2569"/>
      <c r="Q90" s="2631"/>
      <c r="R90" s="2627"/>
      <c r="S90" s="2541"/>
      <c r="T90" s="2541"/>
      <c r="U90" s="582" t="s">
        <v>486</v>
      </c>
      <c r="V90" s="599">
        <v>4250000</v>
      </c>
      <c r="W90" s="2630"/>
      <c r="X90" s="2636"/>
      <c r="Y90" s="2617"/>
      <c r="Z90" s="2617"/>
      <c r="AA90" s="2617"/>
      <c r="AB90" s="2617"/>
      <c r="AC90" s="2617"/>
      <c r="AD90" s="2617"/>
      <c r="AE90" s="2635"/>
      <c r="AF90" s="2617"/>
      <c r="AG90" s="2617"/>
      <c r="AH90" s="2617"/>
      <c r="AI90" s="2617"/>
      <c r="AJ90" s="2617"/>
      <c r="AK90" s="2617"/>
      <c r="AL90" s="2617"/>
      <c r="AM90" s="2617"/>
      <c r="AN90" s="2617"/>
      <c r="AO90" s="2565"/>
      <c r="AP90" s="2565"/>
      <c r="AQ90" s="2538"/>
    </row>
    <row r="91" spans="1:43" ht="51" customHeight="1">
      <c r="A91" s="2508"/>
      <c r="B91" s="2511"/>
      <c r="C91" s="2512"/>
      <c r="D91" s="2511"/>
      <c r="E91" s="2588"/>
      <c r="F91" s="2512"/>
      <c r="H91" s="556"/>
      <c r="J91" s="2592"/>
      <c r="K91" s="2614"/>
      <c r="L91" s="2599"/>
      <c r="M91" s="2553"/>
      <c r="N91" s="2577"/>
      <c r="O91" s="2567"/>
      <c r="P91" s="2569"/>
      <c r="Q91" s="2631"/>
      <c r="R91" s="2628"/>
      <c r="S91" s="2541"/>
      <c r="T91" s="2541"/>
      <c r="U91" s="554" t="s">
        <v>487</v>
      </c>
      <c r="V91" s="599">
        <v>6000000</v>
      </c>
      <c r="W91" s="2630"/>
      <c r="X91" s="2636"/>
      <c r="Y91" s="2617"/>
      <c r="Z91" s="2617"/>
      <c r="AA91" s="2617"/>
      <c r="AB91" s="2617"/>
      <c r="AC91" s="2617"/>
      <c r="AD91" s="2617"/>
      <c r="AE91" s="2635"/>
      <c r="AF91" s="2617"/>
      <c r="AG91" s="2617"/>
      <c r="AH91" s="2617"/>
      <c r="AI91" s="2617"/>
      <c r="AJ91" s="2617"/>
      <c r="AK91" s="2617"/>
      <c r="AL91" s="2617"/>
      <c r="AM91" s="2617"/>
      <c r="AN91" s="2617"/>
      <c r="AO91" s="2565"/>
      <c r="AP91" s="2565"/>
      <c r="AQ91" s="2538"/>
    </row>
    <row r="92" spans="1:43" ht="15.75">
      <c r="A92" s="2508"/>
      <c r="B92" s="2511"/>
      <c r="C92" s="2512"/>
      <c r="D92" s="2511"/>
      <c r="E92" s="2588"/>
      <c r="F92" s="2512"/>
      <c r="G92" s="585">
        <v>80</v>
      </c>
      <c r="H92" s="586" t="s">
        <v>488</v>
      </c>
      <c r="I92" s="586"/>
      <c r="J92" s="220"/>
      <c r="K92" s="587"/>
      <c r="L92" s="588"/>
      <c r="M92" s="328"/>
      <c r="N92" s="589"/>
      <c r="O92" s="600"/>
      <c r="P92" s="601"/>
      <c r="Q92" s="591"/>
      <c r="R92" s="592"/>
      <c r="S92" s="593"/>
      <c r="T92" s="594"/>
      <c r="U92" s="594"/>
      <c r="V92" s="595"/>
      <c r="W92" s="597"/>
      <c r="X92" s="597"/>
      <c r="Y92" s="586"/>
      <c r="Z92" s="586"/>
      <c r="AA92" s="586"/>
      <c r="AB92" s="586"/>
      <c r="AC92" s="586"/>
      <c r="AD92" s="586"/>
      <c r="AE92" s="586"/>
      <c r="AF92" s="586"/>
      <c r="AG92" s="586"/>
      <c r="AH92" s="586"/>
      <c r="AI92" s="586"/>
      <c r="AJ92" s="586"/>
      <c r="AK92" s="602"/>
      <c r="AL92" s="602"/>
      <c r="AM92" s="602"/>
      <c r="AN92" s="602"/>
      <c r="AO92" s="603"/>
      <c r="AP92" s="603"/>
      <c r="AQ92" s="604"/>
    </row>
    <row r="93" spans="1:43" ht="63.75" customHeight="1">
      <c r="A93" s="2508"/>
      <c r="B93" s="2511"/>
      <c r="C93" s="2512"/>
      <c r="D93" s="2511"/>
      <c r="E93" s="2588"/>
      <c r="F93" s="2512"/>
      <c r="H93" s="548"/>
      <c r="I93" s="549"/>
      <c r="J93" s="2578">
        <v>234</v>
      </c>
      <c r="K93" s="2540" t="s">
        <v>489</v>
      </c>
      <c r="L93" s="2540" t="s">
        <v>490</v>
      </c>
      <c r="M93" s="2542">
        <v>2</v>
      </c>
      <c r="N93" s="2576" t="s">
        <v>491</v>
      </c>
      <c r="O93" s="2638" t="s">
        <v>492</v>
      </c>
      <c r="P93" s="2541" t="s">
        <v>493</v>
      </c>
      <c r="Q93" s="2631">
        <f>(V93+V95)/R93</f>
        <v>0.20555555555555555</v>
      </c>
      <c r="R93" s="2644">
        <f>V93+V95+V97+V98+V100+V101+V102+V103+V105</f>
        <v>63000000</v>
      </c>
      <c r="S93" s="2599" t="s">
        <v>494</v>
      </c>
      <c r="T93" s="2541" t="s">
        <v>495</v>
      </c>
      <c r="U93" s="2582" t="s">
        <v>496</v>
      </c>
      <c r="V93" s="2645">
        <f>13000000-9500000</f>
        <v>3500000</v>
      </c>
      <c r="W93" s="2629" t="s">
        <v>435</v>
      </c>
      <c r="X93" s="2640" t="s">
        <v>497</v>
      </c>
      <c r="Y93" s="2642">
        <v>1228</v>
      </c>
      <c r="Z93" s="2642">
        <v>1184</v>
      </c>
      <c r="AA93" s="2642">
        <v>578</v>
      </c>
      <c r="AB93" s="2642">
        <v>485</v>
      </c>
      <c r="AC93" s="2642">
        <v>1004</v>
      </c>
      <c r="AD93" s="2642">
        <v>345</v>
      </c>
      <c r="AE93" s="2642"/>
      <c r="AF93" s="2642"/>
      <c r="AG93" s="2642"/>
      <c r="AH93" s="2642"/>
      <c r="AI93" s="2642"/>
      <c r="AJ93" s="2642"/>
      <c r="AK93" s="2642"/>
      <c r="AL93" s="2642"/>
      <c r="AM93" s="2642"/>
      <c r="AN93" s="2642">
        <v>2412</v>
      </c>
      <c r="AO93" s="2564">
        <v>43110</v>
      </c>
      <c r="AP93" s="2564">
        <v>43454</v>
      </c>
      <c r="AQ93" s="2604" t="s">
        <v>476</v>
      </c>
    </row>
    <row r="94" spans="1:43" ht="57" customHeight="1">
      <c r="A94" s="2508"/>
      <c r="B94" s="2511"/>
      <c r="C94" s="2512"/>
      <c r="D94" s="2511"/>
      <c r="E94" s="2588"/>
      <c r="F94" s="2512"/>
      <c r="H94" s="556"/>
      <c r="I94" s="557"/>
      <c r="J94" s="2578"/>
      <c r="K94" s="2540"/>
      <c r="L94" s="2540"/>
      <c r="M94" s="2542"/>
      <c r="N94" s="2577"/>
      <c r="O94" s="2638"/>
      <c r="P94" s="2541"/>
      <c r="Q94" s="2631"/>
      <c r="R94" s="2644"/>
      <c r="S94" s="2599"/>
      <c r="T94" s="2541"/>
      <c r="U94" s="2583"/>
      <c r="V94" s="2646"/>
      <c r="W94" s="2630"/>
      <c r="X94" s="2641"/>
      <c r="Y94" s="2642"/>
      <c r="Z94" s="2642"/>
      <c r="AA94" s="2642"/>
      <c r="AB94" s="2642"/>
      <c r="AC94" s="2642"/>
      <c r="AD94" s="2642"/>
      <c r="AE94" s="2642"/>
      <c r="AF94" s="2642"/>
      <c r="AG94" s="2642"/>
      <c r="AH94" s="2642"/>
      <c r="AI94" s="2642"/>
      <c r="AJ94" s="2642"/>
      <c r="AK94" s="2642"/>
      <c r="AL94" s="2642"/>
      <c r="AM94" s="2642"/>
      <c r="AN94" s="2642"/>
      <c r="AO94" s="2565"/>
      <c r="AP94" s="2565"/>
      <c r="AQ94" s="2604"/>
    </row>
    <row r="95" spans="1:43" ht="32.25" customHeight="1">
      <c r="A95" s="2508"/>
      <c r="B95" s="2511"/>
      <c r="C95" s="2512"/>
      <c r="D95" s="2511"/>
      <c r="E95" s="2588"/>
      <c r="F95" s="2512"/>
      <c r="H95" s="556"/>
      <c r="I95" s="557"/>
      <c r="J95" s="2578"/>
      <c r="K95" s="2540"/>
      <c r="L95" s="2540"/>
      <c r="M95" s="2542"/>
      <c r="N95" s="2577"/>
      <c r="O95" s="2638"/>
      <c r="P95" s="2541"/>
      <c r="Q95" s="2631"/>
      <c r="R95" s="2644"/>
      <c r="S95" s="2599"/>
      <c r="T95" s="2541"/>
      <c r="U95" s="2582" t="s">
        <v>498</v>
      </c>
      <c r="V95" s="2645">
        <f>11000000-1550000</f>
        <v>9450000</v>
      </c>
      <c r="W95" s="2630"/>
      <c r="X95" s="2641"/>
      <c r="Y95" s="2642"/>
      <c r="Z95" s="2642"/>
      <c r="AA95" s="2642"/>
      <c r="AB95" s="2642"/>
      <c r="AC95" s="2642"/>
      <c r="AD95" s="2642"/>
      <c r="AE95" s="2642"/>
      <c r="AF95" s="2642"/>
      <c r="AG95" s="2642"/>
      <c r="AH95" s="2642"/>
      <c r="AI95" s="2642"/>
      <c r="AJ95" s="2642"/>
      <c r="AK95" s="2642"/>
      <c r="AL95" s="2642"/>
      <c r="AM95" s="2642"/>
      <c r="AN95" s="2642"/>
      <c r="AO95" s="2565"/>
      <c r="AP95" s="2565"/>
      <c r="AQ95" s="2604"/>
    </row>
    <row r="96" spans="1:43" ht="57" customHeight="1">
      <c r="A96" s="2508"/>
      <c r="B96" s="2511"/>
      <c r="C96" s="2512"/>
      <c r="D96" s="2511"/>
      <c r="E96" s="2588"/>
      <c r="F96" s="2512"/>
      <c r="H96" s="556"/>
      <c r="I96" s="557"/>
      <c r="J96" s="2578"/>
      <c r="K96" s="2637"/>
      <c r="L96" s="2540"/>
      <c r="M96" s="2542"/>
      <c r="N96" s="2577"/>
      <c r="O96" s="2638"/>
      <c r="P96" s="2541"/>
      <c r="Q96" s="2631"/>
      <c r="R96" s="2644"/>
      <c r="S96" s="2599"/>
      <c r="T96" s="2541"/>
      <c r="U96" s="2583"/>
      <c r="V96" s="2646"/>
      <c r="W96" s="2630"/>
      <c r="X96" s="2641"/>
      <c r="Y96" s="2643"/>
      <c r="Z96" s="2643"/>
      <c r="AA96" s="2643"/>
      <c r="AB96" s="2643"/>
      <c r="AC96" s="2643"/>
      <c r="AD96" s="2643"/>
      <c r="AE96" s="2643"/>
      <c r="AF96" s="2643"/>
      <c r="AG96" s="2643"/>
      <c r="AH96" s="2643"/>
      <c r="AI96" s="2643"/>
      <c r="AJ96" s="2643"/>
      <c r="AK96" s="2643"/>
      <c r="AL96" s="2643"/>
      <c r="AM96" s="2643"/>
      <c r="AN96" s="2643"/>
      <c r="AO96" s="2565"/>
      <c r="AP96" s="2565"/>
      <c r="AQ96" s="2538"/>
    </row>
    <row r="97" spans="1:43" ht="49.5" customHeight="1">
      <c r="A97" s="2508"/>
      <c r="B97" s="2511"/>
      <c r="C97" s="2512"/>
      <c r="D97" s="2511"/>
      <c r="E97" s="2588"/>
      <c r="F97" s="2512"/>
      <c r="H97" s="556"/>
      <c r="I97" s="557"/>
      <c r="J97" s="2639">
        <v>235</v>
      </c>
      <c r="K97" s="2541" t="s">
        <v>499</v>
      </c>
      <c r="L97" s="2599" t="s">
        <v>500</v>
      </c>
      <c r="M97" s="2553">
        <v>2</v>
      </c>
      <c r="N97" s="2577"/>
      <c r="O97" s="2638"/>
      <c r="P97" s="2541"/>
      <c r="Q97" s="2631">
        <f>(V97+V98+V100+V101+V102+V103+V105)/R93</f>
        <v>0.7944444444444444</v>
      </c>
      <c r="R97" s="2644"/>
      <c r="S97" s="2599"/>
      <c r="T97" s="2541"/>
      <c r="U97" s="515" t="s">
        <v>501</v>
      </c>
      <c r="V97" s="605">
        <f>3250000+500000</f>
        <v>3750000</v>
      </c>
      <c r="W97" s="2630"/>
      <c r="X97" s="2641"/>
      <c r="Y97" s="2643"/>
      <c r="Z97" s="2643"/>
      <c r="AA97" s="2643"/>
      <c r="AB97" s="2643"/>
      <c r="AC97" s="2643"/>
      <c r="AD97" s="2643"/>
      <c r="AE97" s="2643"/>
      <c r="AF97" s="2643"/>
      <c r="AG97" s="2643"/>
      <c r="AH97" s="2643"/>
      <c r="AI97" s="2643"/>
      <c r="AJ97" s="2643"/>
      <c r="AK97" s="2643"/>
      <c r="AL97" s="2643"/>
      <c r="AM97" s="2643"/>
      <c r="AN97" s="2643"/>
      <c r="AO97" s="2565"/>
      <c r="AP97" s="2565"/>
      <c r="AQ97" s="2538"/>
    </row>
    <row r="98" spans="1:43" ht="47.25" customHeight="1">
      <c r="A98" s="2508"/>
      <c r="B98" s="2511"/>
      <c r="C98" s="2512"/>
      <c r="D98" s="2511"/>
      <c r="E98" s="2588"/>
      <c r="F98" s="2512"/>
      <c r="H98" s="556"/>
      <c r="I98" s="557"/>
      <c r="J98" s="2639"/>
      <c r="K98" s="2541"/>
      <c r="L98" s="2599"/>
      <c r="M98" s="2553"/>
      <c r="N98" s="2577"/>
      <c r="O98" s="2638"/>
      <c r="P98" s="2541"/>
      <c r="Q98" s="2631"/>
      <c r="R98" s="2644"/>
      <c r="S98" s="2599"/>
      <c r="T98" s="2541"/>
      <c r="U98" s="2595" t="s">
        <v>502</v>
      </c>
      <c r="V98" s="2645">
        <f>8000000+2838800</f>
        <v>10838800</v>
      </c>
      <c r="W98" s="2630"/>
      <c r="X98" s="2641"/>
      <c r="Y98" s="2643"/>
      <c r="Z98" s="2643"/>
      <c r="AA98" s="2643"/>
      <c r="AB98" s="2643"/>
      <c r="AC98" s="2643"/>
      <c r="AD98" s="2643"/>
      <c r="AE98" s="2643"/>
      <c r="AF98" s="2643"/>
      <c r="AG98" s="2643"/>
      <c r="AH98" s="2643"/>
      <c r="AI98" s="2643"/>
      <c r="AJ98" s="2643"/>
      <c r="AK98" s="2643"/>
      <c r="AL98" s="2643"/>
      <c r="AM98" s="2643"/>
      <c r="AN98" s="2643"/>
      <c r="AO98" s="2565"/>
      <c r="AP98" s="2565"/>
      <c r="AQ98" s="2538"/>
    </row>
    <row r="99" spans="1:43" ht="36" customHeight="1">
      <c r="A99" s="2508"/>
      <c r="B99" s="2511"/>
      <c r="C99" s="2512"/>
      <c r="D99" s="2511"/>
      <c r="E99" s="2588"/>
      <c r="F99" s="2512"/>
      <c r="H99" s="556"/>
      <c r="I99" s="557"/>
      <c r="J99" s="2639"/>
      <c r="K99" s="2541"/>
      <c r="L99" s="2599"/>
      <c r="M99" s="2553"/>
      <c r="N99" s="2577"/>
      <c r="O99" s="2638"/>
      <c r="P99" s="2541"/>
      <c r="Q99" s="2631"/>
      <c r="R99" s="2644"/>
      <c r="S99" s="2599"/>
      <c r="T99" s="2541"/>
      <c r="U99" s="2596"/>
      <c r="V99" s="2646"/>
      <c r="W99" s="2630"/>
      <c r="X99" s="2641"/>
      <c r="Y99" s="2643"/>
      <c r="Z99" s="2643"/>
      <c r="AA99" s="2643"/>
      <c r="AB99" s="2643"/>
      <c r="AC99" s="2643"/>
      <c r="AD99" s="2643"/>
      <c r="AE99" s="2643"/>
      <c r="AF99" s="2643"/>
      <c r="AG99" s="2643"/>
      <c r="AH99" s="2643"/>
      <c r="AI99" s="2643"/>
      <c r="AJ99" s="2643"/>
      <c r="AK99" s="2643"/>
      <c r="AL99" s="2643"/>
      <c r="AM99" s="2643"/>
      <c r="AN99" s="2643"/>
      <c r="AO99" s="2565"/>
      <c r="AP99" s="2565"/>
      <c r="AQ99" s="2538"/>
    </row>
    <row r="100" spans="1:43" ht="25.5" customHeight="1">
      <c r="A100" s="2508"/>
      <c r="B100" s="2511"/>
      <c r="C100" s="2512"/>
      <c r="D100" s="2511"/>
      <c r="E100" s="2588"/>
      <c r="F100" s="2512"/>
      <c r="H100" s="556"/>
      <c r="I100" s="557"/>
      <c r="J100" s="2639"/>
      <c r="K100" s="2541"/>
      <c r="L100" s="2599"/>
      <c r="M100" s="2553"/>
      <c r="N100" s="2577"/>
      <c r="O100" s="2638"/>
      <c r="P100" s="2541"/>
      <c r="Q100" s="2631"/>
      <c r="R100" s="2644"/>
      <c r="S100" s="2599"/>
      <c r="T100" s="2541"/>
      <c r="U100" s="515" t="s">
        <v>503</v>
      </c>
      <c r="V100" s="605">
        <v>7000000</v>
      </c>
      <c r="W100" s="2630"/>
      <c r="X100" s="2641"/>
      <c r="Y100" s="2643"/>
      <c r="Z100" s="2643"/>
      <c r="AA100" s="2643"/>
      <c r="AB100" s="2643"/>
      <c r="AC100" s="2643"/>
      <c r="AD100" s="2643"/>
      <c r="AE100" s="2643"/>
      <c r="AF100" s="2643"/>
      <c r="AG100" s="2643"/>
      <c r="AH100" s="2643"/>
      <c r="AI100" s="2643"/>
      <c r="AJ100" s="2643"/>
      <c r="AK100" s="2643"/>
      <c r="AL100" s="2643"/>
      <c r="AM100" s="2643"/>
      <c r="AN100" s="2643"/>
      <c r="AO100" s="2565"/>
      <c r="AP100" s="2565"/>
      <c r="AQ100" s="2538"/>
    </row>
    <row r="101" spans="1:43" ht="19.5" customHeight="1">
      <c r="A101" s="2508"/>
      <c r="B101" s="2511"/>
      <c r="C101" s="2512"/>
      <c r="D101" s="2511"/>
      <c r="E101" s="2588"/>
      <c r="F101" s="2512"/>
      <c r="H101" s="556"/>
      <c r="I101" s="557"/>
      <c r="J101" s="2639"/>
      <c r="K101" s="2541"/>
      <c r="L101" s="2599"/>
      <c r="M101" s="2553"/>
      <c r="N101" s="2577"/>
      <c r="O101" s="2638"/>
      <c r="P101" s="2541"/>
      <c r="Q101" s="2631"/>
      <c r="R101" s="2644"/>
      <c r="S101" s="2599"/>
      <c r="T101" s="2541"/>
      <c r="U101" s="515" t="s">
        <v>504</v>
      </c>
      <c r="V101" s="605">
        <v>2750000</v>
      </c>
      <c r="W101" s="2630"/>
      <c r="X101" s="2641"/>
      <c r="Y101" s="2643"/>
      <c r="Z101" s="2643"/>
      <c r="AA101" s="2643"/>
      <c r="AB101" s="2643"/>
      <c r="AC101" s="2643"/>
      <c r="AD101" s="2643"/>
      <c r="AE101" s="2643"/>
      <c r="AF101" s="2643"/>
      <c r="AG101" s="2643"/>
      <c r="AH101" s="2643"/>
      <c r="AI101" s="2643"/>
      <c r="AJ101" s="2643"/>
      <c r="AK101" s="2643"/>
      <c r="AL101" s="2643"/>
      <c r="AM101" s="2643"/>
      <c r="AN101" s="2643"/>
      <c r="AO101" s="2565"/>
      <c r="AP101" s="2565"/>
      <c r="AQ101" s="2538"/>
    </row>
    <row r="102" spans="1:43" ht="19.5" customHeight="1">
      <c r="A102" s="2508"/>
      <c r="B102" s="2511"/>
      <c r="C102" s="2512"/>
      <c r="D102" s="2511"/>
      <c r="E102" s="2588"/>
      <c r="F102" s="2512"/>
      <c r="H102" s="556"/>
      <c r="I102" s="557"/>
      <c r="J102" s="2639"/>
      <c r="K102" s="2541"/>
      <c r="L102" s="2599"/>
      <c r="M102" s="2553"/>
      <c r="N102" s="2577"/>
      <c r="O102" s="2638"/>
      <c r="P102" s="2541"/>
      <c r="Q102" s="2631"/>
      <c r="R102" s="2644"/>
      <c r="S102" s="2599"/>
      <c r="T102" s="2541"/>
      <c r="U102" s="515" t="s">
        <v>482</v>
      </c>
      <c r="V102" s="605">
        <v>1000000</v>
      </c>
      <c r="W102" s="2630"/>
      <c r="X102" s="2641"/>
      <c r="Y102" s="2643"/>
      <c r="Z102" s="2643"/>
      <c r="AA102" s="2643"/>
      <c r="AB102" s="2643"/>
      <c r="AC102" s="2643"/>
      <c r="AD102" s="2643"/>
      <c r="AE102" s="2643"/>
      <c r="AF102" s="2643"/>
      <c r="AG102" s="2643"/>
      <c r="AH102" s="2643"/>
      <c r="AI102" s="2643"/>
      <c r="AJ102" s="2643"/>
      <c r="AK102" s="2643"/>
      <c r="AL102" s="2643"/>
      <c r="AM102" s="2643"/>
      <c r="AN102" s="2643"/>
      <c r="AO102" s="2565"/>
      <c r="AP102" s="2565"/>
      <c r="AQ102" s="2538"/>
    </row>
    <row r="103" spans="1:43" ht="27.75" customHeight="1">
      <c r="A103" s="2508"/>
      <c r="B103" s="2511"/>
      <c r="C103" s="2512"/>
      <c r="D103" s="2511"/>
      <c r="E103" s="2588"/>
      <c r="F103" s="2512"/>
      <c r="H103" s="556"/>
      <c r="I103" s="557"/>
      <c r="J103" s="2639"/>
      <c r="K103" s="2541"/>
      <c r="L103" s="2599"/>
      <c r="M103" s="2553"/>
      <c r="N103" s="2577"/>
      <c r="O103" s="2638"/>
      <c r="P103" s="2541"/>
      <c r="Q103" s="2631"/>
      <c r="R103" s="2644"/>
      <c r="S103" s="2599"/>
      <c r="T103" s="2541"/>
      <c r="U103" s="2595" t="s">
        <v>505</v>
      </c>
      <c r="V103" s="2645">
        <f>10000000+5180000</f>
        <v>15180000</v>
      </c>
      <c r="W103" s="2630"/>
      <c r="X103" s="2641"/>
      <c r="Y103" s="2643"/>
      <c r="Z103" s="2643"/>
      <c r="AA103" s="2643"/>
      <c r="AB103" s="2643"/>
      <c r="AC103" s="2643"/>
      <c r="AD103" s="2643"/>
      <c r="AE103" s="2643"/>
      <c r="AF103" s="2643"/>
      <c r="AG103" s="2643"/>
      <c r="AH103" s="2643"/>
      <c r="AI103" s="2643"/>
      <c r="AJ103" s="2643"/>
      <c r="AK103" s="2643"/>
      <c r="AL103" s="2643"/>
      <c r="AM103" s="2643"/>
      <c r="AN103" s="2643"/>
      <c r="AO103" s="2565"/>
      <c r="AP103" s="2565"/>
      <c r="AQ103" s="2538"/>
    </row>
    <row r="104" spans="1:43" ht="26.25" customHeight="1">
      <c r="A104" s="2508"/>
      <c r="B104" s="2511"/>
      <c r="C104" s="2512"/>
      <c r="D104" s="2511"/>
      <c r="E104" s="2588"/>
      <c r="F104" s="2512"/>
      <c r="H104" s="556"/>
      <c r="I104" s="557"/>
      <c r="J104" s="2639"/>
      <c r="K104" s="2541"/>
      <c r="L104" s="2599"/>
      <c r="M104" s="2553"/>
      <c r="N104" s="2577"/>
      <c r="O104" s="2638"/>
      <c r="P104" s="2541"/>
      <c r="Q104" s="2631"/>
      <c r="R104" s="2644"/>
      <c r="S104" s="2599"/>
      <c r="T104" s="2541"/>
      <c r="U104" s="2596"/>
      <c r="V104" s="2646"/>
      <c r="W104" s="2630"/>
      <c r="X104" s="2641"/>
      <c r="Y104" s="2643"/>
      <c r="Z104" s="2643"/>
      <c r="AA104" s="2643"/>
      <c r="AB104" s="2643"/>
      <c r="AC104" s="2643"/>
      <c r="AD104" s="2643"/>
      <c r="AE104" s="2643"/>
      <c r="AF104" s="2643"/>
      <c r="AG104" s="2643"/>
      <c r="AH104" s="2643"/>
      <c r="AI104" s="2643"/>
      <c r="AJ104" s="2643"/>
      <c r="AK104" s="2643"/>
      <c r="AL104" s="2643"/>
      <c r="AM104" s="2643"/>
      <c r="AN104" s="2643"/>
      <c r="AO104" s="2565"/>
      <c r="AP104" s="2565"/>
      <c r="AQ104" s="2538"/>
    </row>
    <row r="105" spans="1:43" ht="30.75" customHeight="1">
      <c r="A105" s="2508"/>
      <c r="B105" s="2511"/>
      <c r="C105" s="2512"/>
      <c r="D105" s="2589"/>
      <c r="E105" s="2590"/>
      <c r="F105" s="2591"/>
      <c r="H105" s="563"/>
      <c r="I105" s="564"/>
      <c r="J105" s="2639"/>
      <c r="K105" s="2541"/>
      <c r="L105" s="2599"/>
      <c r="M105" s="2553"/>
      <c r="N105" s="2577"/>
      <c r="O105" s="2638"/>
      <c r="P105" s="2541"/>
      <c r="Q105" s="2631"/>
      <c r="R105" s="2644"/>
      <c r="S105" s="2599"/>
      <c r="T105" s="2541"/>
      <c r="U105" s="515" t="s">
        <v>506</v>
      </c>
      <c r="V105" s="605">
        <f>7000000+2531200</f>
        <v>9531200</v>
      </c>
      <c r="W105" s="2630"/>
      <c r="X105" s="2641"/>
      <c r="Y105" s="2643"/>
      <c r="Z105" s="2643"/>
      <c r="AA105" s="2643"/>
      <c r="AB105" s="2643"/>
      <c r="AC105" s="2643"/>
      <c r="AD105" s="2643"/>
      <c r="AE105" s="2643"/>
      <c r="AF105" s="2643"/>
      <c r="AG105" s="2643"/>
      <c r="AH105" s="2643"/>
      <c r="AI105" s="2643"/>
      <c r="AJ105" s="2643"/>
      <c r="AK105" s="2643"/>
      <c r="AL105" s="2643"/>
      <c r="AM105" s="2643"/>
      <c r="AN105" s="2643"/>
      <c r="AO105" s="2566"/>
      <c r="AP105" s="2566"/>
      <c r="AQ105" s="2538"/>
    </row>
    <row r="106" spans="1:43" s="130" customFormat="1" ht="15.75">
      <c r="A106" s="2508"/>
      <c r="B106" s="2511"/>
      <c r="C106" s="2512"/>
      <c r="D106" s="490">
        <v>25</v>
      </c>
      <c r="E106" s="301" t="s">
        <v>507</v>
      </c>
      <c r="F106" s="301"/>
      <c r="G106" s="266"/>
      <c r="H106" s="266"/>
      <c r="I106" s="266"/>
      <c r="J106" s="566"/>
      <c r="K106" s="567"/>
      <c r="L106" s="173"/>
      <c r="M106" s="273"/>
      <c r="N106" s="493"/>
      <c r="O106" s="491"/>
      <c r="P106" s="570"/>
      <c r="Q106" s="568"/>
      <c r="R106" s="569"/>
      <c r="S106" s="570"/>
      <c r="T106" s="571"/>
      <c r="U106" s="571"/>
      <c r="V106" s="572"/>
      <c r="W106" s="497"/>
      <c r="X106" s="497"/>
      <c r="Y106" s="266"/>
      <c r="Z106" s="266"/>
      <c r="AA106" s="266"/>
      <c r="AB106" s="266"/>
      <c r="AC106" s="266"/>
      <c r="AD106" s="266"/>
      <c r="AE106" s="266"/>
      <c r="AF106" s="266"/>
      <c r="AG106" s="266"/>
      <c r="AH106" s="266"/>
      <c r="AI106" s="266"/>
      <c r="AJ106" s="266"/>
      <c r="AK106" s="266"/>
      <c r="AL106" s="498"/>
      <c r="AM106" s="267"/>
      <c r="AN106" s="267"/>
      <c r="AO106" s="268"/>
      <c r="AP106" s="268"/>
      <c r="AQ106" s="499"/>
    </row>
    <row r="107" spans="1:43" s="130" customFormat="1" ht="15.75">
      <c r="A107" s="2508"/>
      <c r="B107" s="2511"/>
      <c r="C107" s="2512"/>
      <c r="D107" s="2509"/>
      <c r="E107" s="2587"/>
      <c r="F107" s="2510"/>
      <c r="G107" s="500">
        <v>81</v>
      </c>
      <c r="H107" s="182" t="s">
        <v>508</v>
      </c>
      <c r="I107" s="182"/>
      <c r="J107" s="501"/>
      <c r="K107" s="502"/>
      <c r="L107" s="183"/>
      <c r="M107" s="190"/>
      <c r="N107" s="503"/>
      <c r="O107" s="504"/>
      <c r="P107" s="505"/>
      <c r="Q107" s="506"/>
      <c r="R107" s="574"/>
      <c r="S107" s="183"/>
      <c r="T107" s="502"/>
      <c r="U107" s="502"/>
      <c r="V107" s="575"/>
      <c r="W107" s="576"/>
      <c r="X107" s="576"/>
      <c r="Y107" s="576"/>
      <c r="Z107" s="576"/>
      <c r="AA107" s="576"/>
      <c r="AB107" s="576"/>
      <c r="AC107" s="576"/>
      <c r="AD107" s="576"/>
      <c r="AE107" s="576"/>
      <c r="AF107" s="576"/>
      <c r="AG107" s="576"/>
      <c r="AH107" s="576"/>
      <c r="AI107" s="576"/>
      <c r="AJ107" s="576"/>
      <c r="AK107" s="545"/>
      <c r="AL107" s="545"/>
      <c r="AM107" s="505"/>
      <c r="AN107" s="505"/>
      <c r="AO107" s="606"/>
      <c r="AP107" s="606"/>
      <c r="AQ107" s="607"/>
    </row>
    <row r="108" spans="1:43" ht="106.5" customHeight="1">
      <c r="A108" s="2508"/>
      <c r="B108" s="2511"/>
      <c r="C108" s="2512"/>
      <c r="D108" s="2511"/>
      <c r="E108" s="2588"/>
      <c r="F108" s="2512"/>
      <c r="H108" s="548"/>
      <c r="I108" s="549"/>
      <c r="J108" s="2578">
        <v>236</v>
      </c>
      <c r="K108" s="2541" t="s">
        <v>509</v>
      </c>
      <c r="L108" s="2541" t="s">
        <v>510</v>
      </c>
      <c r="M108" s="2553">
        <v>8</v>
      </c>
      <c r="N108" s="2647" t="s">
        <v>511</v>
      </c>
      <c r="O108" s="2567" t="s">
        <v>512</v>
      </c>
      <c r="P108" s="2569" t="s">
        <v>513</v>
      </c>
      <c r="Q108" s="2631">
        <f>(V108+V109+V110)/R108</f>
        <v>0.1458168799236684</v>
      </c>
      <c r="R108" s="2626">
        <f>(V108+V109+V110+V111+V112+V113+V114+V115+V116+V117+V118+V119+V120+V121+V122+V123+V124+V125+V126)</f>
        <v>720081242</v>
      </c>
      <c r="S108" s="2541" t="s">
        <v>514</v>
      </c>
      <c r="T108" s="2541" t="s">
        <v>515</v>
      </c>
      <c r="U108" s="582" t="s">
        <v>516</v>
      </c>
      <c r="V108" s="608">
        <v>50000000</v>
      </c>
      <c r="W108" s="2492" t="s">
        <v>517</v>
      </c>
      <c r="X108" s="2640" t="s">
        <v>518</v>
      </c>
      <c r="Y108" s="2648">
        <v>9110</v>
      </c>
      <c r="Z108" s="2648">
        <v>8787</v>
      </c>
      <c r="AA108" s="2648">
        <v>4273</v>
      </c>
      <c r="AB108" s="2648">
        <v>3599</v>
      </c>
      <c r="AC108" s="2648">
        <v>7443</v>
      </c>
      <c r="AD108" s="2648">
        <v>2562</v>
      </c>
      <c r="AE108" s="2648"/>
      <c r="AF108" s="2648"/>
      <c r="AG108" s="2648"/>
      <c r="AH108" s="2648"/>
      <c r="AI108" s="2648"/>
      <c r="AJ108" s="2648"/>
      <c r="AK108" s="2648"/>
      <c r="AL108" s="2648"/>
      <c r="AM108" s="2648"/>
      <c r="AN108" s="2650">
        <f>SUM(AA108,AB108,AC108,AD108)</f>
        <v>17877</v>
      </c>
      <c r="AO108" s="2564">
        <v>43110</v>
      </c>
      <c r="AP108" s="2564">
        <v>43454</v>
      </c>
      <c r="AQ108" s="2604" t="s">
        <v>366</v>
      </c>
    </row>
    <row r="109" spans="1:43" ht="57" customHeight="1">
      <c r="A109" s="2508"/>
      <c r="B109" s="2511"/>
      <c r="C109" s="2512"/>
      <c r="D109" s="2511"/>
      <c r="E109" s="2588"/>
      <c r="F109" s="2512"/>
      <c r="H109" s="556"/>
      <c r="I109" s="557"/>
      <c r="J109" s="2578"/>
      <c r="K109" s="2541"/>
      <c r="L109" s="2541"/>
      <c r="M109" s="2553"/>
      <c r="N109" s="2647"/>
      <c r="O109" s="2567"/>
      <c r="P109" s="2569"/>
      <c r="Q109" s="2631"/>
      <c r="R109" s="2627"/>
      <c r="S109" s="2541"/>
      <c r="T109" s="2541"/>
      <c r="U109" s="582" t="s">
        <v>519</v>
      </c>
      <c r="V109" s="608">
        <v>42000000</v>
      </c>
      <c r="W109" s="2493"/>
      <c r="X109" s="2641"/>
      <c r="Y109" s="2649"/>
      <c r="Z109" s="2649"/>
      <c r="AA109" s="2649"/>
      <c r="AB109" s="2649"/>
      <c r="AC109" s="2649"/>
      <c r="AD109" s="2649"/>
      <c r="AE109" s="2649"/>
      <c r="AF109" s="2649"/>
      <c r="AG109" s="2649"/>
      <c r="AH109" s="2649"/>
      <c r="AI109" s="2649"/>
      <c r="AJ109" s="2649"/>
      <c r="AK109" s="2649"/>
      <c r="AL109" s="2649"/>
      <c r="AM109" s="2649"/>
      <c r="AN109" s="2651"/>
      <c r="AO109" s="2565"/>
      <c r="AP109" s="2565"/>
      <c r="AQ109" s="2300"/>
    </row>
    <row r="110" spans="1:43" ht="28.5" customHeight="1">
      <c r="A110" s="2508"/>
      <c r="B110" s="2511"/>
      <c r="C110" s="2512"/>
      <c r="D110" s="2511"/>
      <c r="E110" s="2588"/>
      <c r="F110" s="2512"/>
      <c r="H110" s="556"/>
      <c r="I110" s="557"/>
      <c r="J110" s="2578"/>
      <c r="K110" s="2541"/>
      <c r="L110" s="2541"/>
      <c r="M110" s="2553"/>
      <c r="N110" s="2647"/>
      <c r="O110" s="2567"/>
      <c r="P110" s="2569"/>
      <c r="Q110" s="2631"/>
      <c r="R110" s="2627"/>
      <c r="S110" s="2541"/>
      <c r="T110" s="2541"/>
      <c r="U110" s="582" t="s">
        <v>379</v>
      </c>
      <c r="V110" s="608">
        <v>13000000</v>
      </c>
      <c r="W110" s="2493"/>
      <c r="X110" s="2641"/>
      <c r="Y110" s="2649"/>
      <c r="Z110" s="2649"/>
      <c r="AA110" s="2649"/>
      <c r="AB110" s="2649"/>
      <c r="AC110" s="2649"/>
      <c r="AD110" s="2649"/>
      <c r="AE110" s="2649"/>
      <c r="AF110" s="2649"/>
      <c r="AG110" s="2649"/>
      <c r="AH110" s="2649"/>
      <c r="AI110" s="2649"/>
      <c r="AJ110" s="2649"/>
      <c r="AK110" s="2649"/>
      <c r="AL110" s="2649"/>
      <c r="AM110" s="2649"/>
      <c r="AN110" s="2651"/>
      <c r="AO110" s="2565"/>
      <c r="AP110" s="2565"/>
      <c r="AQ110" s="2300"/>
    </row>
    <row r="111" spans="1:43" ht="65.25" customHeight="1">
      <c r="A111" s="2508"/>
      <c r="B111" s="2511"/>
      <c r="C111" s="2512"/>
      <c r="D111" s="2511"/>
      <c r="E111" s="2588"/>
      <c r="F111" s="2512"/>
      <c r="H111" s="556"/>
      <c r="I111" s="557"/>
      <c r="J111" s="2578">
        <v>237</v>
      </c>
      <c r="K111" s="2541" t="s">
        <v>520</v>
      </c>
      <c r="L111" s="2541" t="s">
        <v>521</v>
      </c>
      <c r="M111" s="2553">
        <v>20</v>
      </c>
      <c r="N111" s="2647"/>
      <c r="O111" s="2567"/>
      <c r="P111" s="2569"/>
      <c r="Q111" s="2631">
        <f>(V111+V112+V113)/R108</f>
        <v>0.037495769123229016</v>
      </c>
      <c r="R111" s="2627"/>
      <c r="S111" s="2541"/>
      <c r="T111" s="2541"/>
      <c r="U111" s="609" t="s">
        <v>522</v>
      </c>
      <c r="V111" s="608">
        <v>14000000</v>
      </c>
      <c r="W111" s="2493"/>
      <c r="X111" s="2641"/>
      <c r="Y111" s="2649"/>
      <c r="Z111" s="2649"/>
      <c r="AA111" s="2649"/>
      <c r="AB111" s="2649"/>
      <c r="AC111" s="2649"/>
      <c r="AD111" s="2649"/>
      <c r="AE111" s="2649"/>
      <c r="AF111" s="2649"/>
      <c r="AG111" s="2649"/>
      <c r="AH111" s="2649"/>
      <c r="AI111" s="2649"/>
      <c r="AJ111" s="2649"/>
      <c r="AK111" s="2649"/>
      <c r="AL111" s="2649"/>
      <c r="AM111" s="2649"/>
      <c r="AN111" s="2651"/>
      <c r="AO111" s="2565"/>
      <c r="AP111" s="2565"/>
      <c r="AQ111" s="2300"/>
    </row>
    <row r="112" spans="1:43" ht="57" customHeight="1">
      <c r="A112" s="2508"/>
      <c r="B112" s="2511"/>
      <c r="C112" s="2512"/>
      <c r="D112" s="2511"/>
      <c r="E112" s="2588"/>
      <c r="F112" s="2512"/>
      <c r="H112" s="556"/>
      <c r="I112" s="557"/>
      <c r="J112" s="2578"/>
      <c r="K112" s="2541"/>
      <c r="L112" s="2541"/>
      <c r="M112" s="2553"/>
      <c r="N112" s="2647"/>
      <c r="O112" s="2567"/>
      <c r="P112" s="2569"/>
      <c r="Q112" s="2631"/>
      <c r="R112" s="2627"/>
      <c r="S112" s="2541"/>
      <c r="T112" s="2541"/>
      <c r="U112" s="609" t="s">
        <v>523</v>
      </c>
      <c r="V112" s="608">
        <v>6000000</v>
      </c>
      <c r="W112" s="2493"/>
      <c r="X112" s="2641"/>
      <c r="Y112" s="2649"/>
      <c r="Z112" s="2649"/>
      <c r="AA112" s="2649"/>
      <c r="AB112" s="2649"/>
      <c r="AC112" s="2649"/>
      <c r="AD112" s="2649"/>
      <c r="AE112" s="2649"/>
      <c r="AF112" s="2649"/>
      <c r="AG112" s="2649"/>
      <c r="AH112" s="2649"/>
      <c r="AI112" s="2649"/>
      <c r="AJ112" s="2649"/>
      <c r="AK112" s="2649"/>
      <c r="AL112" s="2649"/>
      <c r="AM112" s="2649"/>
      <c r="AN112" s="2651"/>
      <c r="AO112" s="2565"/>
      <c r="AP112" s="2565"/>
      <c r="AQ112" s="2300"/>
    </row>
    <row r="113" spans="1:43" ht="30" customHeight="1">
      <c r="A113" s="2508"/>
      <c r="B113" s="2511"/>
      <c r="C113" s="2512"/>
      <c r="D113" s="2511"/>
      <c r="E113" s="2588"/>
      <c r="F113" s="2512"/>
      <c r="H113" s="556"/>
      <c r="I113" s="557"/>
      <c r="J113" s="2578"/>
      <c r="K113" s="2541"/>
      <c r="L113" s="2541"/>
      <c r="M113" s="2553"/>
      <c r="N113" s="2647"/>
      <c r="O113" s="2567"/>
      <c r="P113" s="2569"/>
      <c r="Q113" s="2631"/>
      <c r="R113" s="2627"/>
      <c r="S113" s="2541"/>
      <c r="T113" s="2541"/>
      <c r="U113" s="609" t="s">
        <v>524</v>
      </c>
      <c r="V113" s="608">
        <v>7000000</v>
      </c>
      <c r="W113" s="2493"/>
      <c r="X113" s="2641"/>
      <c r="Y113" s="2649"/>
      <c r="Z113" s="2649"/>
      <c r="AA113" s="2649"/>
      <c r="AB113" s="2649"/>
      <c r="AC113" s="2649"/>
      <c r="AD113" s="2649"/>
      <c r="AE113" s="2649"/>
      <c r="AF113" s="2649"/>
      <c r="AG113" s="2649"/>
      <c r="AH113" s="2649"/>
      <c r="AI113" s="2649"/>
      <c r="AJ113" s="2649"/>
      <c r="AK113" s="2649"/>
      <c r="AL113" s="2649"/>
      <c r="AM113" s="2649"/>
      <c r="AN113" s="2651"/>
      <c r="AO113" s="2565"/>
      <c r="AP113" s="2565"/>
      <c r="AQ113" s="2300"/>
    </row>
    <row r="114" spans="1:43" ht="50.25" customHeight="1">
      <c r="A114" s="2508"/>
      <c r="B114" s="2511"/>
      <c r="C114" s="2512"/>
      <c r="D114" s="2511"/>
      <c r="E114" s="2588"/>
      <c r="F114" s="2512"/>
      <c r="H114" s="556"/>
      <c r="I114" s="557"/>
      <c r="J114" s="2578">
        <v>238</v>
      </c>
      <c r="K114" s="2541" t="s">
        <v>525</v>
      </c>
      <c r="L114" s="2541" t="s">
        <v>526</v>
      </c>
      <c r="M114" s="2553">
        <v>12</v>
      </c>
      <c r="N114" s="2647"/>
      <c r="O114" s="2567"/>
      <c r="P114" s="2569"/>
      <c r="Q114" s="2631">
        <f>(V114+V115+V116+V117+V118)/R108</f>
        <v>0.14315223892472956</v>
      </c>
      <c r="R114" s="2627"/>
      <c r="S114" s="2541"/>
      <c r="T114" s="2541"/>
      <c r="U114" s="582" t="s">
        <v>527</v>
      </c>
      <c r="V114" s="608">
        <v>45000000</v>
      </c>
      <c r="W114" s="2493"/>
      <c r="X114" s="2641"/>
      <c r="Y114" s="2649"/>
      <c r="Z114" s="2649"/>
      <c r="AA114" s="2649"/>
      <c r="AB114" s="2649"/>
      <c r="AC114" s="2649"/>
      <c r="AD114" s="2649"/>
      <c r="AE114" s="2649"/>
      <c r="AF114" s="2649"/>
      <c r="AG114" s="2649"/>
      <c r="AH114" s="2649"/>
      <c r="AI114" s="2649"/>
      <c r="AJ114" s="2649"/>
      <c r="AK114" s="2649"/>
      <c r="AL114" s="2649"/>
      <c r="AM114" s="2649"/>
      <c r="AN114" s="2651"/>
      <c r="AO114" s="2565"/>
      <c r="AP114" s="2565"/>
      <c r="AQ114" s="2300"/>
    </row>
    <row r="115" spans="1:43" ht="45" customHeight="1">
      <c r="A115" s="2508"/>
      <c r="B115" s="2511"/>
      <c r="C115" s="2512"/>
      <c r="D115" s="2511"/>
      <c r="E115" s="2588"/>
      <c r="F115" s="2512"/>
      <c r="H115" s="556"/>
      <c r="I115" s="557"/>
      <c r="J115" s="2578"/>
      <c r="K115" s="2541"/>
      <c r="L115" s="2541"/>
      <c r="M115" s="2553"/>
      <c r="N115" s="2647"/>
      <c r="O115" s="2567"/>
      <c r="P115" s="2569"/>
      <c r="Q115" s="2631"/>
      <c r="R115" s="2627"/>
      <c r="S115" s="2541"/>
      <c r="T115" s="2541"/>
      <c r="U115" s="582" t="s">
        <v>528</v>
      </c>
      <c r="V115" s="608">
        <v>7071242</v>
      </c>
      <c r="W115" s="2493"/>
      <c r="X115" s="2641"/>
      <c r="Y115" s="2649"/>
      <c r="Z115" s="2649"/>
      <c r="AA115" s="2649"/>
      <c r="AB115" s="2649"/>
      <c r="AC115" s="2649"/>
      <c r="AD115" s="2649"/>
      <c r="AE115" s="2649"/>
      <c r="AF115" s="2649"/>
      <c r="AG115" s="2649"/>
      <c r="AH115" s="2649"/>
      <c r="AI115" s="2649"/>
      <c r="AJ115" s="2649"/>
      <c r="AK115" s="2649"/>
      <c r="AL115" s="2649"/>
      <c r="AM115" s="2649"/>
      <c r="AN115" s="2651"/>
      <c r="AO115" s="2565"/>
      <c r="AP115" s="2565"/>
      <c r="AQ115" s="2300"/>
    </row>
    <row r="116" spans="1:43" ht="54.75" customHeight="1">
      <c r="A116" s="2508"/>
      <c r="B116" s="2511"/>
      <c r="C116" s="2512"/>
      <c r="D116" s="2511"/>
      <c r="E116" s="2588"/>
      <c r="F116" s="2512"/>
      <c r="H116" s="556"/>
      <c r="I116" s="557"/>
      <c r="J116" s="2578"/>
      <c r="K116" s="2541"/>
      <c r="L116" s="2541"/>
      <c r="M116" s="2553"/>
      <c r="N116" s="2647"/>
      <c r="O116" s="2567"/>
      <c r="P116" s="2569"/>
      <c r="Q116" s="2631"/>
      <c r="R116" s="2627"/>
      <c r="S116" s="2541"/>
      <c r="T116" s="2541"/>
      <c r="U116" s="582" t="s">
        <v>529</v>
      </c>
      <c r="V116" s="608">
        <v>34410000</v>
      </c>
      <c r="W116" s="2493"/>
      <c r="X116" s="2641"/>
      <c r="Y116" s="2649"/>
      <c r="Z116" s="2649"/>
      <c r="AA116" s="2649"/>
      <c r="AB116" s="2649"/>
      <c r="AC116" s="2649"/>
      <c r="AD116" s="2649"/>
      <c r="AE116" s="2649"/>
      <c r="AF116" s="2649"/>
      <c r="AG116" s="2649"/>
      <c r="AH116" s="2649"/>
      <c r="AI116" s="2649"/>
      <c r="AJ116" s="2649"/>
      <c r="AK116" s="2649"/>
      <c r="AL116" s="2649"/>
      <c r="AM116" s="2649"/>
      <c r="AN116" s="2651"/>
      <c r="AO116" s="2565"/>
      <c r="AP116" s="2565"/>
      <c r="AQ116" s="2300"/>
    </row>
    <row r="117" spans="1:43" ht="27" customHeight="1">
      <c r="A117" s="2508"/>
      <c r="B117" s="2511"/>
      <c r="C117" s="2512"/>
      <c r="D117" s="2511"/>
      <c r="E117" s="2588"/>
      <c r="F117" s="2512"/>
      <c r="H117" s="556"/>
      <c r="I117" s="557"/>
      <c r="J117" s="2578"/>
      <c r="K117" s="2541"/>
      <c r="L117" s="2541"/>
      <c r="M117" s="2553"/>
      <c r="N117" s="2647"/>
      <c r="O117" s="2567"/>
      <c r="P117" s="2569"/>
      <c r="Q117" s="2631"/>
      <c r="R117" s="2627"/>
      <c r="S117" s="2541"/>
      <c r="T117" s="2541"/>
      <c r="U117" s="582" t="s">
        <v>530</v>
      </c>
      <c r="V117" s="608">
        <v>6600000</v>
      </c>
      <c r="W117" s="2493"/>
      <c r="X117" s="2641"/>
      <c r="Y117" s="2649"/>
      <c r="Z117" s="2649"/>
      <c r="AA117" s="2649"/>
      <c r="AB117" s="2649"/>
      <c r="AC117" s="2649"/>
      <c r="AD117" s="2649"/>
      <c r="AE117" s="2649"/>
      <c r="AF117" s="2649"/>
      <c r="AG117" s="2649"/>
      <c r="AH117" s="2649"/>
      <c r="AI117" s="2649"/>
      <c r="AJ117" s="2649"/>
      <c r="AK117" s="2649"/>
      <c r="AL117" s="2649"/>
      <c r="AM117" s="2649"/>
      <c r="AN117" s="2651"/>
      <c r="AO117" s="2565"/>
      <c r="AP117" s="2565"/>
      <c r="AQ117" s="2300"/>
    </row>
    <row r="118" spans="1:43" ht="57" customHeight="1">
      <c r="A118" s="2508"/>
      <c r="B118" s="2511"/>
      <c r="C118" s="2512"/>
      <c r="D118" s="2511"/>
      <c r="E118" s="2588"/>
      <c r="F118" s="2512"/>
      <c r="H118" s="556"/>
      <c r="I118" s="557"/>
      <c r="J118" s="2578"/>
      <c r="K118" s="2541"/>
      <c r="L118" s="2541"/>
      <c r="M118" s="2553"/>
      <c r="N118" s="2647"/>
      <c r="O118" s="2567"/>
      <c r="P118" s="2569"/>
      <c r="Q118" s="2631"/>
      <c r="R118" s="2627"/>
      <c r="S118" s="2541"/>
      <c r="T118" s="2541"/>
      <c r="U118" s="582" t="s">
        <v>531</v>
      </c>
      <c r="V118" s="608">
        <v>10000000</v>
      </c>
      <c r="W118" s="2493"/>
      <c r="X118" s="2641"/>
      <c r="Y118" s="2649"/>
      <c r="Z118" s="2649"/>
      <c r="AA118" s="2649"/>
      <c r="AB118" s="2649"/>
      <c r="AC118" s="2649"/>
      <c r="AD118" s="2649"/>
      <c r="AE118" s="2649"/>
      <c r="AF118" s="2649"/>
      <c r="AG118" s="2649"/>
      <c r="AH118" s="2649"/>
      <c r="AI118" s="2649"/>
      <c r="AJ118" s="2649"/>
      <c r="AK118" s="2649"/>
      <c r="AL118" s="2649"/>
      <c r="AM118" s="2649"/>
      <c r="AN118" s="2651"/>
      <c r="AO118" s="2565"/>
      <c r="AP118" s="2565"/>
      <c r="AQ118" s="2300"/>
    </row>
    <row r="119" spans="1:43" ht="55.5" customHeight="1">
      <c r="A119" s="2508"/>
      <c r="B119" s="2511"/>
      <c r="C119" s="2512"/>
      <c r="D119" s="2511"/>
      <c r="E119" s="2588"/>
      <c r="F119" s="2512"/>
      <c r="H119" s="556"/>
      <c r="I119" s="557"/>
      <c r="J119" s="2578">
        <v>239</v>
      </c>
      <c r="K119" s="2541" t="s">
        <v>532</v>
      </c>
      <c r="L119" s="2541" t="s">
        <v>533</v>
      </c>
      <c r="M119" s="2553">
        <v>6</v>
      </c>
      <c r="N119" s="2647"/>
      <c r="O119" s="2567"/>
      <c r="P119" s="2569"/>
      <c r="Q119" s="2631">
        <f>(V119+V120)/R108</f>
        <v>0.09026759233369948</v>
      </c>
      <c r="R119" s="2627"/>
      <c r="S119" s="2541"/>
      <c r="T119" s="2541"/>
      <c r="U119" s="582" t="s">
        <v>534</v>
      </c>
      <c r="V119" s="608">
        <v>30000000</v>
      </c>
      <c r="W119" s="2493"/>
      <c r="X119" s="2641"/>
      <c r="Y119" s="2649"/>
      <c r="Z119" s="2649"/>
      <c r="AA119" s="2649"/>
      <c r="AB119" s="2649"/>
      <c r="AC119" s="2649"/>
      <c r="AD119" s="2649"/>
      <c r="AE119" s="2649"/>
      <c r="AF119" s="2649"/>
      <c r="AG119" s="2649"/>
      <c r="AH119" s="2649"/>
      <c r="AI119" s="2649"/>
      <c r="AJ119" s="2649"/>
      <c r="AK119" s="2649"/>
      <c r="AL119" s="2649"/>
      <c r="AM119" s="2649"/>
      <c r="AN119" s="2651"/>
      <c r="AO119" s="2565"/>
      <c r="AP119" s="2565"/>
      <c r="AQ119" s="2300"/>
    </row>
    <row r="120" spans="1:43" ht="45.75" customHeight="1">
      <c r="A120" s="2508"/>
      <c r="B120" s="2511"/>
      <c r="C120" s="2512"/>
      <c r="D120" s="2511"/>
      <c r="E120" s="2588"/>
      <c r="F120" s="2512"/>
      <c r="H120" s="556"/>
      <c r="I120" s="557"/>
      <c r="J120" s="2578"/>
      <c r="K120" s="2541"/>
      <c r="L120" s="2541"/>
      <c r="M120" s="2553"/>
      <c r="N120" s="2647"/>
      <c r="O120" s="2567"/>
      <c r="P120" s="2569"/>
      <c r="Q120" s="2631"/>
      <c r="R120" s="2627"/>
      <c r="S120" s="2541"/>
      <c r="T120" s="2541"/>
      <c r="U120" s="582" t="s">
        <v>535</v>
      </c>
      <c r="V120" s="608">
        <v>35000000</v>
      </c>
      <c r="W120" s="2493"/>
      <c r="X120" s="2641"/>
      <c r="Y120" s="2649"/>
      <c r="Z120" s="2649"/>
      <c r="AA120" s="2649"/>
      <c r="AB120" s="2649"/>
      <c r="AC120" s="2649"/>
      <c r="AD120" s="2649"/>
      <c r="AE120" s="2649"/>
      <c r="AF120" s="2649"/>
      <c r="AG120" s="2649"/>
      <c r="AH120" s="2649"/>
      <c r="AI120" s="2649"/>
      <c r="AJ120" s="2649"/>
      <c r="AK120" s="2649"/>
      <c r="AL120" s="2649"/>
      <c r="AM120" s="2649"/>
      <c r="AN120" s="2651"/>
      <c r="AO120" s="2565"/>
      <c r="AP120" s="2565"/>
      <c r="AQ120" s="2300"/>
    </row>
    <row r="121" spans="1:43" ht="51.75" customHeight="1">
      <c r="A121" s="2508"/>
      <c r="B121" s="2511"/>
      <c r="C121" s="2512"/>
      <c r="D121" s="2511"/>
      <c r="E121" s="2588"/>
      <c r="F121" s="2512"/>
      <c r="H121" s="556"/>
      <c r="I121" s="557"/>
      <c r="J121" s="2578">
        <v>240</v>
      </c>
      <c r="K121" s="2541" t="s">
        <v>536</v>
      </c>
      <c r="L121" s="2652" t="s">
        <v>537</v>
      </c>
      <c r="M121" s="2553">
        <v>1</v>
      </c>
      <c r="N121" s="2647"/>
      <c r="O121" s="2567"/>
      <c r="P121" s="2569"/>
      <c r="Q121" s="2631">
        <f>(V121+V122+V123+V124+V125+V126)/R108</f>
        <v>0.5832675196946736</v>
      </c>
      <c r="R121" s="2627"/>
      <c r="S121" s="2541"/>
      <c r="T121" s="2541"/>
      <c r="U121" s="582" t="s">
        <v>538</v>
      </c>
      <c r="V121" s="608">
        <v>20000000</v>
      </c>
      <c r="W121" s="2493"/>
      <c r="X121" s="2641"/>
      <c r="Y121" s="2649"/>
      <c r="Z121" s="2649"/>
      <c r="AA121" s="2649"/>
      <c r="AB121" s="2649"/>
      <c r="AC121" s="2649"/>
      <c r="AD121" s="2649"/>
      <c r="AE121" s="2649"/>
      <c r="AF121" s="2649"/>
      <c r="AG121" s="2649"/>
      <c r="AH121" s="2649"/>
      <c r="AI121" s="2649"/>
      <c r="AJ121" s="2649"/>
      <c r="AK121" s="2649"/>
      <c r="AL121" s="2649"/>
      <c r="AM121" s="2649"/>
      <c r="AN121" s="2651"/>
      <c r="AO121" s="2565"/>
      <c r="AP121" s="2565"/>
      <c r="AQ121" s="2300"/>
    </row>
    <row r="122" spans="1:43" ht="71.25" customHeight="1">
      <c r="A122" s="2508"/>
      <c r="B122" s="2511"/>
      <c r="C122" s="2512"/>
      <c r="D122" s="2511"/>
      <c r="E122" s="2588"/>
      <c r="F122" s="2512"/>
      <c r="H122" s="556"/>
      <c r="I122" s="557"/>
      <c r="J122" s="2578"/>
      <c r="K122" s="2541"/>
      <c r="L122" s="2652"/>
      <c r="M122" s="2553"/>
      <c r="N122" s="2647"/>
      <c r="O122" s="2567"/>
      <c r="P122" s="2569"/>
      <c r="Q122" s="2631"/>
      <c r="R122" s="2627"/>
      <c r="S122" s="2541"/>
      <c r="T122" s="2541"/>
      <c r="U122" s="582" t="s">
        <v>539</v>
      </c>
      <c r="V122" s="608">
        <v>50000000</v>
      </c>
      <c r="W122" s="2493"/>
      <c r="X122" s="2641"/>
      <c r="Y122" s="2649"/>
      <c r="Z122" s="2649"/>
      <c r="AA122" s="2649"/>
      <c r="AB122" s="2649"/>
      <c r="AC122" s="2649"/>
      <c r="AD122" s="2649"/>
      <c r="AE122" s="2649"/>
      <c r="AF122" s="2649"/>
      <c r="AG122" s="2649"/>
      <c r="AH122" s="2649"/>
      <c r="AI122" s="2649"/>
      <c r="AJ122" s="2649"/>
      <c r="AK122" s="2649"/>
      <c r="AL122" s="2649"/>
      <c r="AM122" s="2649"/>
      <c r="AN122" s="2651"/>
      <c r="AO122" s="2565"/>
      <c r="AP122" s="2565"/>
      <c r="AQ122" s="2300"/>
    </row>
    <row r="123" spans="1:43" ht="65.25" customHeight="1">
      <c r="A123" s="2508"/>
      <c r="B123" s="2511"/>
      <c r="C123" s="2512"/>
      <c r="D123" s="2511"/>
      <c r="E123" s="2588"/>
      <c r="F123" s="2512"/>
      <c r="H123" s="556"/>
      <c r="I123" s="557"/>
      <c r="J123" s="2578"/>
      <c r="K123" s="2541"/>
      <c r="L123" s="2652"/>
      <c r="M123" s="2553"/>
      <c r="N123" s="2647"/>
      <c r="O123" s="2567"/>
      <c r="P123" s="2569"/>
      <c r="Q123" s="2631"/>
      <c r="R123" s="2627"/>
      <c r="S123" s="2541"/>
      <c r="T123" s="2541"/>
      <c r="U123" s="582" t="s">
        <v>540</v>
      </c>
      <c r="V123" s="608">
        <v>40000000</v>
      </c>
      <c r="W123" s="2493"/>
      <c r="X123" s="2641"/>
      <c r="Y123" s="2649"/>
      <c r="Z123" s="2649"/>
      <c r="AA123" s="2649"/>
      <c r="AB123" s="2649"/>
      <c r="AC123" s="2649"/>
      <c r="AD123" s="2649"/>
      <c r="AE123" s="2649"/>
      <c r="AF123" s="2649"/>
      <c r="AG123" s="2649"/>
      <c r="AH123" s="2649"/>
      <c r="AI123" s="2649"/>
      <c r="AJ123" s="2649"/>
      <c r="AK123" s="2649"/>
      <c r="AL123" s="2649"/>
      <c r="AM123" s="2649"/>
      <c r="AN123" s="2651"/>
      <c r="AO123" s="2565"/>
      <c r="AP123" s="2565"/>
      <c r="AQ123" s="2300"/>
    </row>
    <row r="124" spans="1:43" ht="54" customHeight="1">
      <c r="A124" s="2508"/>
      <c r="B124" s="2511"/>
      <c r="C124" s="2512"/>
      <c r="D124" s="2511"/>
      <c r="E124" s="2588"/>
      <c r="F124" s="2512"/>
      <c r="H124" s="556"/>
      <c r="I124" s="557"/>
      <c r="J124" s="2578"/>
      <c r="K124" s="2541"/>
      <c r="L124" s="2652"/>
      <c r="M124" s="2553"/>
      <c r="N124" s="2647"/>
      <c r="O124" s="2567"/>
      <c r="P124" s="2569"/>
      <c r="Q124" s="2631"/>
      <c r="R124" s="2627"/>
      <c r="S124" s="2541"/>
      <c r="T124" s="2541"/>
      <c r="U124" s="582" t="s">
        <v>541</v>
      </c>
      <c r="V124" s="608">
        <v>95000000</v>
      </c>
      <c r="W124" s="2493"/>
      <c r="X124" s="2641"/>
      <c r="Y124" s="2649"/>
      <c r="Z124" s="2649"/>
      <c r="AA124" s="2649"/>
      <c r="AB124" s="2649"/>
      <c r="AC124" s="2649"/>
      <c r="AD124" s="2649"/>
      <c r="AE124" s="2649"/>
      <c r="AF124" s="2649"/>
      <c r="AG124" s="2649"/>
      <c r="AH124" s="2649"/>
      <c r="AI124" s="2649"/>
      <c r="AJ124" s="2649"/>
      <c r="AK124" s="2649"/>
      <c r="AL124" s="2649"/>
      <c r="AM124" s="2649"/>
      <c r="AN124" s="2651"/>
      <c r="AO124" s="2565"/>
      <c r="AP124" s="2565"/>
      <c r="AQ124" s="2300"/>
    </row>
    <row r="125" spans="1:43" ht="51" customHeight="1">
      <c r="A125" s="2508"/>
      <c r="B125" s="2511"/>
      <c r="C125" s="2512"/>
      <c r="D125" s="2511"/>
      <c r="E125" s="2588"/>
      <c r="F125" s="2512"/>
      <c r="H125" s="556"/>
      <c r="I125" s="557"/>
      <c r="J125" s="2578"/>
      <c r="K125" s="2541"/>
      <c r="L125" s="2652"/>
      <c r="M125" s="2553"/>
      <c r="N125" s="2647"/>
      <c r="O125" s="2567"/>
      <c r="P125" s="2569"/>
      <c r="Q125" s="2631"/>
      <c r="R125" s="2627"/>
      <c r="S125" s="2541"/>
      <c r="T125" s="2541"/>
      <c r="U125" s="582" t="s">
        <v>542</v>
      </c>
      <c r="V125" s="608">
        <v>60000000</v>
      </c>
      <c r="W125" s="2493"/>
      <c r="X125" s="2641"/>
      <c r="Y125" s="2649"/>
      <c r="Z125" s="2649"/>
      <c r="AA125" s="2649"/>
      <c r="AB125" s="2649"/>
      <c r="AC125" s="2649"/>
      <c r="AD125" s="2649"/>
      <c r="AE125" s="2649"/>
      <c r="AF125" s="2649"/>
      <c r="AG125" s="2649"/>
      <c r="AH125" s="2649"/>
      <c r="AI125" s="2649"/>
      <c r="AJ125" s="2649"/>
      <c r="AK125" s="2649"/>
      <c r="AL125" s="2649"/>
      <c r="AM125" s="2649"/>
      <c r="AN125" s="2651"/>
      <c r="AO125" s="2565"/>
      <c r="AP125" s="2565"/>
      <c r="AQ125" s="2300"/>
    </row>
    <row r="126" spans="1:43" ht="54.75" customHeight="1">
      <c r="A126" s="2508"/>
      <c r="B126" s="2511"/>
      <c r="C126" s="2512"/>
      <c r="D126" s="2511"/>
      <c r="E126" s="2588"/>
      <c r="F126" s="2512"/>
      <c r="H126" s="556"/>
      <c r="I126" s="557"/>
      <c r="J126" s="2578"/>
      <c r="K126" s="2541"/>
      <c r="L126" s="2652"/>
      <c r="M126" s="2553"/>
      <c r="N126" s="2647"/>
      <c r="O126" s="2567"/>
      <c r="P126" s="2569"/>
      <c r="Q126" s="2631"/>
      <c r="R126" s="2627"/>
      <c r="S126" s="2541"/>
      <c r="T126" s="2541"/>
      <c r="U126" s="554" t="s">
        <v>543</v>
      </c>
      <c r="V126" s="610">
        <v>155000000</v>
      </c>
      <c r="W126" s="2493"/>
      <c r="X126" s="2641"/>
      <c r="Y126" s="2649"/>
      <c r="Z126" s="2649"/>
      <c r="AA126" s="2649"/>
      <c r="AB126" s="2649"/>
      <c r="AC126" s="2649"/>
      <c r="AD126" s="2649"/>
      <c r="AE126" s="2649"/>
      <c r="AF126" s="2649"/>
      <c r="AG126" s="2649"/>
      <c r="AH126" s="2649"/>
      <c r="AI126" s="2649"/>
      <c r="AJ126" s="2649"/>
      <c r="AK126" s="2649"/>
      <c r="AL126" s="2649"/>
      <c r="AM126" s="2649"/>
      <c r="AN126" s="2651"/>
      <c r="AO126" s="2565"/>
      <c r="AP126" s="2565"/>
      <c r="AQ126" s="2300"/>
    </row>
    <row r="127" spans="1:43" s="130" customFormat="1" ht="41.25" customHeight="1">
      <c r="A127" s="2508"/>
      <c r="B127" s="2511"/>
      <c r="C127" s="2512"/>
      <c r="D127" s="2511"/>
      <c r="E127" s="2588"/>
      <c r="F127" s="2512"/>
      <c r="G127" s="500">
        <v>82</v>
      </c>
      <c r="H127" s="182" t="s">
        <v>544</v>
      </c>
      <c r="I127" s="182"/>
      <c r="J127" s="534"/>
      <c r="K127" s="535"/>
      <c r="L127" s="536"/>
      <c r="M127" s="537"/>
      <c r="N127" s="503"/>
      <c r="O127" s="504"/>
      <c r="P127" s="505"/>
      <c r="Q127" s="538"/>
      <c r="R127" s="539"/>
      <c r="S127" s="540"/>
      <c r="T127" s="541"/>
      <c r="U127" s="541"/>
      <c r="V127" s="542"/>
      <c r="W127" s="576"/>
      <c r="X127" s="576"/>
      <c r="Y127" s="576"/>
      <c r="Z127" s="576"/>
      <c r="AA127" s="576"/>
      <c r="AB127" s="576"/>
      <c r="AC127" s="576"/>
      <c r="AD127" s="576"/>
      <c r="AE127" s="576"/>
      <c r="AF127" s="576"/>
      <c r="AG127" s="576"/>
      <c r="AH127" s="576"/>
      <c r="AI127" s="576"/>
      <c r="AJ127" s="576"/>
      <c r="AK127" s="576"/>
      <c r="AL127" s="576"/>
      <c r="AM127" s="505"/>
      <c r="AN127" s="505"/>
      <c r="AO127" s="606"/>
      <c r="AP127" s="606"/>
      <c r="AQ127" s="607"/>
    </row>
    <row r="128" spans="1:43" ht="113.25" customHeight="1">
      <c r="A128" s="2508"/>
      <c r="B128" s="2511"/>
      <c r="C128" s="2512"/>
      <c r="D128" s="2511"/>
      <c r="E128" s="2588"/>
      <c r="F128" s="2512"/>
      <c r="H128" s="548"/>
      <c r="I128" s="549"/>
      <c r="J128" s="2578">
        <v>241</v>
      </c>
      <c r="K128" s="2541" t="s">
        <v>545</v>
      </c>
      <c r="L128" s="2541" t="s">
        <v>546</v>
      </c>
      <c r="M128" s="2553">
        <v>1</v>
      </c>
      <c r="N128" s="2576" t="s">
        <v>547</v>
      </c>
      <c r="O128" s="2567" t="s">
        <v>548</v>
      </c>
      <c r="P128" s="2569" t="s">
        <v>549</v>
      </c>
      <c r="Q128" s="2631">
        <f>(V128+V129)/R128</f>
        <v>0.3332130153263211</v>
      </c>
      <c r="R128" s="2626">
        <f>(V128+V129+V130)</f>
        <v>112479700</v>
      </c>
      <c r="S128" s="2541" t="s">
        <v>550</v>
      </c>
      <c r="T128" s="2541" t="s">
        <v>551</v>
      </c>
      <c r="U128" s="611" t="s">
        <v>552</v>
      </c>
      <c r="V128" s="612">
        <f>12000000+20000000-21000000</f>
        <v>11000000</v>
      </c>
      <c r="W128" s="2492" t="s">
        <v>553</v>
      </c>
      <c r="X128" s="2640" t="s">
        <v>554</v>
      </c>
      <c r="Y128" s="2642">
        <v>4603</v>
      </c>
      <c r="Z128" s="2642">
        <v>4772</v>
      </c>
      <c r="AA128" s="2642">
        <v>2249</v>
      </c>
      <c r="AB128" s="2642">
        <v>1885</v>
      </c>
      <c r="AC128" s="2642">
        <v>3899</v>
      </c>
      <c r="AD128" s="2642">
        <v>1342</v>
      </c>
      <c r="AE128" s="2642"/>
      <c r="AF128" s="2642"/>
      <c r="AG128" s="2642"/>
      <c r="AH128" s="2642"/>
      <c r="AI128" s="2642"/>
      <c r="AJ128" s="2642"/>
      <c r="AK128" s="2642"/>
      <c r="AL128" s="2642"/>
      <c r="AM128" s="2642"/>
      <c r="AN128" s="2663">
        <f>SUM(AA128,AB128,AC128,AD128)</f>
        <v>9375</v>
      </c>
      <c r="AO128" s="2564">
        <v>43200</v>
      </c>
      <c r="AP128" s="2564">
        <v>43454</v>
      </c>
      <c r="AQ128" s="2604" t="s">
        <v>366</v>
      </c>
    </row>
    <row r="129" spans="1:43" ht="93" customHeight="1">
      <c r="A129" s="2508"/>
      <c r="B129" s="2511"/>
      <c r="C129" s="2512"/>
      <c r="D129" s="2511"/>
      <c r="E129" s="2588"/>
      <c r="F129" s="2512"/>
      <c r="H129" s="556"/>
      <c r="I129" s="557"/>
      <c r="J129" s="2578"/>
      <c r="K129" s="2541"/>
      <c r="L129" s="2541"/>
      <c r="M129" s="2553"/>
      <c r="N129" s="2577"/>
      <c r="O129" s="2567"/>
      <c r="P129" s="2569"/>
      <c r="Q129" s="2631"/>
      <c r="R129" s="2627"/>
      <c r="S129" s="2541"/>
      <c r="T129" s="2541"/>
      <c r="U129" s="611" t="s">
        <v>555</v>
      </c>
      <c r="V129" s="612">
        <f>18000000+7479700+1000000</f>
        <v>26479700</v>
      </c>
      <c r="W129" s="2493"/>
      <c r="X129" s="2641"/>
      <c r="Y129" s="2642"/>
      <c r="Z129" s="2642"/>
      <c r="AA129" s="2642"/>
      <c r="AB129" s="2642"/>
      <c r="AC129" s="2642"/>
      <c r="AD129" s="2642"/>
      <c r="AE129" s="2642"/>
      <c r="AF129" s="2642"/>
      <c r="AG129" s="2642"/>
      <c r="AH129" s="2642"/>
      <c r="AI129" s="2642"/>
      <c r="AJ129" s="2642"/>
      <c r="AK129" s="2642"/>
      <c r="AL129" s="2642"/>
      <c r="AM129" s="2642"/>
      <c r="AN129" s="2663"/>
      <c r="AO129" s="2565"/>
      <c r="AP129" s="2565"/>
      <c r="AQ129" s="2604"/>
    </row>
    <row r="130" spans="1:43" ht="89.25" customHeight="1">
      <c r="A130" s="2508"/>
      <c r="B130" s="2511"/>
      <c r="C130" s="2512"/>
      <c r="D130" s="2589"/>
      <c r="E130" s="2590"/>
      <c r="F130" s="2591"/>
      <c r="H130" s="563"/>
      <c r="I130" s="564"/>
      <c r="J130" s="613">
        <v>242</v>
      </c>
      <c r="K130" s="515" t="s">
        <v>556</v>
      </c>
      <c r="L130" s="614" t="s">
        <v>557</v>
      </c>
      <c r="M130" s="516">
        <v>1</v>
      </c>
      <c r="N130" s="2577"/>
      <c r="O130" s="2567"/>
      <c r="P130" s="2569"/>
      <c r="Q130" s="615">
        <f>(V130)/R128</f>
        <v>0.6667869846736789</v>
      </c>
      <c r="R130" s="2628"/>
      <c r="S130" s="2541"/>
      <c r="T130" s="2541"/>
      <c r="U130" s="515" t="s">
        <v>558</v>
      </c>
      <c r="V130" s="612">
        <f>55000000+20000000</f>
        <v>75000000</v>
      </c>
      <c r="W130" s="2493"/>
      <c r="X130" s="2641"/>
      <c r="Y130" s="2643"/>
      <c r="Z130" s="2643"/>
      <c r="AA130" s="2643"/>
      <c r="AB130" s="2643"/>
      <c r="AC130" s="2643"/>
      <c r="AD130" s="2643"/>
      <c r="AE130" s="2643"/>
      <c r="AF130" s="2643"/>
      <c r="AG130" s="2643"/>
      <c r="AH130" s="2643"/>
      <c r="AI130" s="2643"/>
      <c r="AJ130" s="2643"/>
      <c r="AK130" s="2643"/>
      <c r="AL130" s="2643"/>
      <c r="AM130" s="2643"/>
      <c r="AN130" s="2664"/>
      <c r="AO130" s="2566"/>
      <c r="AP130" s="2566"/>
      <c r="AQ130" s="2538"/>
    </row>
    <row r="131" spans="1:43" s="130" customFormat="1" ht="15.75">
      <c r="A131" s="2508"/>
      <c r="B131" s="2511"/>
      <c r="C131" s="2512"/>
      <c r="D131" s="490">
        <v>27</v>
      </c>
      <c r="E131" s="616" t="s">
        <v>559</v>
      </c>
      <c r="F131" s="616"/>
      <c r="G131" s="617"/>
      <c r="H131" s="617"/>
      <c r="I131" s="266"/>
      <c r="J131" s="566"/>
      <c r="K131" s="567"/>
      <c r="L131" s="173"/>
      <c r="M131" s="273"/>
      <c r="N131" s="493"/>
      <c r="O131" s="491"/>
      <c r="P131" s="267"/>
      <c r="Q131" s="568"/>
      <c r="R131" s="569"/>
      <c r="S131" s="570"/>
      <c r="T131" s="571"/>
      <c r="U131" s="571"/>
      <c r="V131" s="572"/>
      <c r="W131" s="267"/>
      <c r="X131" s="268"/>
      <c r="Y131" s="267"/>
      <c r="Z131" s="267"/>
      <c r="AA131" s="267"/>
      <c r="AB131" s="267"/>
      <c r="AC131" s="267"/>
      <c r="AD131" s="267"/>
      <c r="AE131" s="267"/>
      <c r="AF131" s="267"/>
      <c r="AG131" s="267"/>
      <c r="AH131" s="267"/>
      <c r="AI131" s="267"/>
      <c r="AJ131" s="267"/>
      <c r="AK131" s="267"/>
      <c r="AL131" s="267"/>
      <c r="AM131" s="267"/>
      <c r="AN131" s="267"/>
      <c r="AO131" s="268"/>
      <c r="AP131" s="268"/>
      <c r="AQ131" s="499"/>
    </row>
    <row r="132" spans="1:43" s="130" customFormat="1" ht="15.75">
      <c r="A132" s="2508"/>
      <c r="B132" s="2511"/>
      <c r="C132" s="2512"/>
      <c r="D132" s="2653"/>
      <c r="E132" s="2654"/>
      <c r="F132" s="2655"/>
      <c r="G132" s="500">
        <v>85</v>
      </c>
      <c r="H132" s="182" t="s">
        <v>560</v>
      </c>
      <c r="I132" s="182"/>
      <c r="J132" s="501"/>
      <c r="K132" s="502"/>
      <c r="L132" s="183"/>
      <c r="M132" s="190"/>
      <c r="N132" s="503"/>
      <c r="O132" s="504"/>
      <c r="P132" s="505"/>
      <c r="Q132" s="506"/>
      <c r="R132" s="574"/>
      <c r="S132" s="183"/>
      <c r="T132" s="502"/>
      <c r="U132" s="502"/>
      <c r="V132" s="575"/>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7"/>
    </row>
    <row r="133" spans="1:43" ht="70.5" customHeight="1">
      <c r="A133" s="2508"/>
      <c r="B133" s="2511"/>
      <c r="C133" s="2512"/>
      <c r="D133" s="2656"/>
      <c r="E133" s="2657"/>
      <c r="F133" s="2658"/>
      <c r="H133" s="548"/>
      <c r="I133" s="618"/>
      <c r="J133" s="2578">
        <v>250</v>
      </c>
      <c r="K133" s="2541" t="s">
        <v>561</v>
      </c>
      <c r="L133" s="2659" t="s">
        <v>562</v>
      </c>
      <c r="M133" s="2553">
        <v>3</v>
      </c>
      <c r="N133" s="2576" t="s">
        <v>563</v>
      </c>
      <c r="O133" s="2567" t="s">
        <v>564</v>
      </c>
      <c r="P133" s="2569" t="s">
        <v>565</v>
      </c>
      <c r="Q133" s="2662">
        <f>(V133+V134+V135+V136+V137+V138+V139+V140)/R133</f>
        <v>0.787257019438445</v>
      </c>
      <c r="R133" s="2626">
        <f>(V133+V134+V135+V136+V137+V138+V139+V140+V141+V142+V143+V144+V145+V146+V147+V148+V149+V150)</f>
        <v>463000000</v>
      </c>
      <c r="S133" s="2541" t="s">
        <v>566</v>
      </c>
      <c r="T133" s="2541" t="s">
        <v>567</v>
      </c>
      <c r="U133" s="515" t="s">
        <v>568</v>
      </c>
      <c r="V133" s="610">
        <v>112933333</v>
      </c>
      <c r="W133" s="2492" t="s">
        <v>569</v>
      </c>
      <c r="X133" s="2640" t="s">
        <v>570</v>
      </c>
      <c r="Y133" s="2642">
        <v>140543</v>
      </c>
      <c r="Z133" s="2642">
        <v>135549</v>
      </c>
      <c r="AA133" s="2642">
        <v>66229</v>
      </c>
      <c r="AB133" s="2642">
        <v>55519</v>
      </c>
      <c r="AC133" s="2642">
        <v>114821</v>
      </c>
      <c r="AD133" s="2642">
        <v>39523</v>
      </c>
      <c r="AE133" s="2642"/>
      <c r="AF133" s="2642"/>
      <c r="AG133" s="2642"/>
      <c r="AH133" s="2642"/>
      <c r="AI133" s="2642"/>
      <c r="AJ133" s="2642"/>
      <c r="AK133" s="2642"/>
      <c r="AL133" s="2642"/>
      <c r="AM133" s="2642"/>
      <c r="AN133" s="2663">
        <f>SUM(AA133,AB133,AC133,AD133)</f>
        <v>276092</v>
      </c>
      <c r="AO133" s="2564">
        <v>43110</v>
      </c>
      <c r="AP133" s="2564">
        <v>43454</v>
      </c>
      <c r="AQ133" s="2604" t="s">
        <v>476</v>
      </c>
    </row>
    <row r="134" spans="1:43" ht="42" customHeight="1">
      <c r="A134" s="2508"/>
      <c r="B134" s="2511"/>
      <c r="C134" s="2512"/>
      <c r="D134" s="2656"/>
      <c r="E134" s="2657"/>
      <c r="F134" s="2658"/>
      <c r="H134" s="556"/>
      <c r="J134" s="2578"/>
      <c r="K134" s="2541"/>
      <c r="L134" s="2659"/>
      <c r="M134" s="2553"/>
      <c r="N134" s="2577"/>
      <c r="O134" s="2567"/>
      <c r="P134" s="2569"/>
      <c r="Q134" s="2662"/>
      <c r="R134" s="2627"/>
      <c r="S134" s="2541"/>
      <c r="T134" s="2541"/>
      <c r="U134" s="515" t="s">
        <v>571</v>
      </c>
      <c r="V134" s="610">
        <v>28000000</v>
      </c>
      <c r="W134" s="2493"/>
      <c r="X134" s="2641"/>
      <c r="Y134" s="2643"/>
      <c r="Z134" s="2643"/>
      <c r="AA134" s="2643"/>
      <c r="AB134" s="2643"/>
      <c r="AC134" s="2643"/>
      <c r="AD134" s="2643"/>
      <c r="AE134" s="2643"/>
      <c r="AF134" s="2643"/>
      <c r="AG134" s="2643"/>
      <c r="AH134" s="2643"/>
      <c r="AI134" s="2643"/>
      <c r="AJ134" s="2643"/>
      <c r="AK134" s="2643"/>
      <c r="AL134" s="2643"/>
      <c r="AM134" s="2643"/>
      <c r="AN134" s="2664"/>
      <c r="AO134" s="2565"/>
      <c r="AP134" s="2565"/>
      <c r="AQ134" s="2538"/>
    </row>
    <row r="135" spans="1:43" ht="90.75" customHeight="1">
      <c r="A135" s="2508"/>
      <c r="B135" s="2511"/>
      <c r="C135" s="2512"/>
      <c r="D135" s="2656"/>
      <c r="E135" s="2657"/>
      <c r="F135" s="2658"/>
      <c r="H135" s="556"/>
      <c r="J135" s="2578"/>
      <c r="K135" s="2541"/>
      <c r="L135" s="2659"/>
      <c r="M135" s="2553"/>
      <c r="N135" s="2577"/>
      <c r="O135" s="2567"/>
      <c r="P135" s="2569"/>
      <c r="Q135" s="2662"/>
      <c r="R135" s="2627"/>
      <c r="S135" s="2541"/>
      <c r="T135" s="2541"/>
      <c r="U135" s="515" t="s">
        <v>572</v>
      </c>
      <c r="V135" s="610">
        <v>5166667</v>
      </c>
      <c r="W135" s="2493"/>
      <c r="X135" s="2641"/>
      <c r="Y135" s="2643"/>
      <c r="Z135" s="2643"/>
      <c r="AA135" s="2643"/>
      <c r="AB135" s="2643"/>
      <c r="AC135" s="2643"/>
      <c r="AD135" s="2643"/>
      <c r="AE135" s="2643"/>
      <c r="AF135" s="2643"/>
      <c r="AG135" s="2643"/>
      <c r="AH135" s="2643"/>
      <c r="AI135" s="2643"/>
      <c r="AJ135" s="2643"/>
      <c r="AK135" s="2643"/>
      <c r="AL135" s="2643"/>
      <c r="AM135" s="2643"/>
      <c r="AN135" s="2664"/>
      <c r="AO135" s="2565"/>
      <c r="AP135" s="2565"/>
      <c r="AQ135" s="2538"/>
    </row>
    <row r="136" spans="1:43" ht="30">
      <c r="A136" s="2508"/>
      <c r="B136" s="2511"/>
      <c r="C136" s="2512"/>
      <c r="D136" s="2656"/>
      <c r="E136" s="2657"/>
      <c r="F136" s="2658"/>
      <c r="H136" s="556"/>
      <c r="J136" s="2578"/>
      <c r="K136" s="2541"/>
      <c r="L136" s="2659"/>
      <c r="M136" s="2553"/>
      <c r="N136" s="2577"/>
      <c r="O136" s="2567"/>
      <c r="P136" s="2569"/>
      <c r="Q136" s="2662"/>
      <c r="R136" s="2627"/>
      <c r="S136" s="2541"/>
      <c r="T136" s="2541"/>
      <c r="U136" s="554" t="s">
        <v>573</v>
      </c>
      <c r="V136" s="610">
        <v>6400000</v>
      </c>
      <c r="W136" s="2493"/>
      <c r="X136" s="2641"/>
      <c r="Y136" s="2643"/>
      <c r="Z136" s="2643"/>
      <c r="AA136" s="2643"/>
      <c r="AB136" s="2643"/>
      <c r="AC136" s="2643"/>
      <c r="AD136" s="2643"/>
      <c r="AE136" s="2643"/>
      <c r="AF136" s="2643"/>
      <c r="AG136" s="2643"/>
      <c r="AH136" s="2643"/>
      <c r="AI136" s="2643"/>
      <c r="AJ136" s="2643"/>
      <c r="AK136" s="2643"/>
      <c r="AL136" s="2643"/>
      <c r="AM136" s="2643"/>
      <c r="AN136" s="2664"/>
      <c r="AO136" s="2565"/>
      <c r="AP136" s="2565"/>
      <c r="AQ136" s="2538"/>
    </row>
    <row r="137" spans="1:43" ht="91.5" customHeight="1">
      <c r="A137" s="2508"/>
      <c r="B137" s="2511"/>
      <c r="C137" s="2512"/>
      <c r="D137" s="2656"/>
      <c r="E137" s="2657"/>
      <c r="F137" s="2658"/>
      <c r="H137" s="556"/>
      <c r="J137" s="2578"/>
      <c r="K137" s="2541"/>
      <c r="L137" s="2659"/>
      <c r="M137" s="2553"/>
      <c r="N137" s="2577"/>
      <c r="O137" s="2567"/>
      <c r="P137" s="2569"/>
      <c r="Q137" s="2662"/>
      <c r="R137" s="2627"/>
      <c r="S137" s="2541"/>
      <c r="T137" s="2541"/>
      <c r="U137" s="515" t="s">
        <v>574</v>
      </c>
      <c r="V137" s="610">
        <v>5000000</v>
      </c>
      <c r="W137" s="2493"/>
      <c r="X137" s="2641"/>
      <c r="Y137" s="2643"/>
      <c r="Z137" s="2643"/>
      <c r="AA137" s="2643"/>
      <c r="AB137" s="2643"/>
      <c r="AC137" s="2643"/>
      <c r="AD137" s="2643"/>
      <c r="AE137" s="2643"/>
      <c r="AF137" s="2643"/>
      <c r="AG137" s="2643"/>
      <c r="AH137" s="2643"/>
      <c r="AI137" s="2643"/>
      <c r="AJ137" s="2643"/>
      <c r="AK137" s="2643"/>
      <c r="AL137" s="2643"/>
      <c r="AM137" s="2643"/>
      <c r="AN137" s="2664"/>
      <c r="AO137" s="2565"/>
      <c r="AP137" s="2565"/>
      <c r="AQ137" s="2538"/>
    </row>
    <row r="138" spans="1:43" ht="60" customHeight="1">
      <c r="A138" s="2508"/>
      <c r="B138" s="2511"/>
      <c r="C138" s="2512"/>
      <c r="D138" s="2656"/>
      <c r="E138" s="2657"/>
      <c r="F138" s="2658"/>
      <c r="H138" s="556"/>
      <c r="J138" s="2578"/>
      <c r="K138" s="2541"/>
      <c r="L138" s="2659"/>
      <c r="M138" s="2553"/>
      <c r="N138" s="2577"/>
      <c r="O138" s="2567"/>
      <c r="P138" s="2569"/>
      <c r="Q138" s="2662"/>
      <c r="R138" s="2627"/>
      <c r="S138" s="2541"/>
      <c r="T138" s="2541"/>
      <c r="U138" s="515" t="s">
        <v>575</v>
      </c>
      <c r="V138" s="610">
        <v>12000000</v>
      </c>
      <c r="W138" s="2493"/>
      <c r="X138" s="2641"/>
      <c r="Y138" s="2643"/>
      <c r="Z138" s="2643"/>
      <c r="AA138" s="2643"/>
      <c r="AB138" s="2643"/>
      <c r="AC138" s="2643"/>
      <c r="AD138" s="2643"/>
      <c r="AE138" s="2643"/>
      <c r="AF138" s="2643"/>
      <c r="AG138" s="2643"/>
      <c r="AH138" s="2643"/>
      <c r="AI138" s="2643"/>
      <c r="AJ138" s="2643"/>
      <c r="AK138" s="2643"/>
      <c r="AL138" s="2643"/>
      <c r="AM138" s="2643"/>
      <c r="AN138" s="2664"/>
      <c r="AO138" s="2565"/>
      <c r="AP138" s="2565"/>
      <c r="AQ138" s="2538"/>
    </row>
    <row r="139" spans="1:43" ht="64.5" customHeight="1">
      <c r="A139" s="2508"/>
      <c r="B139" s="2511"/>
      <c r="C139" s="2512"/>
      <c r="D139" s="2656"/>
      <c r="E139" s="2657"/>
      <c r="F139" s="2658"/>
      <c r="H139" s="556"/>
      <c r="J139" s="2578"/>
      <c r="K139" s="2541"/>
      <c r="L139" s="2659"/>
      <c r="M139" s="2553"/>
      <c r="N139" s="2577"/>
      <c r="O139" s="2567"/>
      <c r="P139" s="2569"/>
      <c r="Q139" s="2662"/>
      <c r="R139" s="2627"/>
      <c r="S139" s="2541"/>
      <c r="T139" s="2541"/>
      <c r="U139" s="609" t="s">
        <v>576</v>
      </c>
      <c r="V139" s="608">
        <v>188000000</v>
      </c>
      <c r="W139" s="2493"/>
      <c r="X139" s="2641"/>
      <c r="Y139" s="2643"/>
      <c r="Z139" s="2643"/>
      <c r="AA139" s="2643"/>
      <c r="AB139" s="2643"/>
      <c r="AC139" s="2643"/>
      <c r="AD139" s="2643"/>
      <c r="AE139" s="2643"/>
      <c r="AF139" s="2643"/>
      <c r="AG139" s="2643"/>
      <c r="AH139" s="2643"/>
      <c r="AI139" s="2643"/>
      <c r="AJ139" s="2643"/>
      <c r="AK139" s="2643"/>
      <c r="AL139" s="2643"/>
      <c r="AM139" s="2643"/>
      <c r="AN139" s="2664"/>
      <c r="AO139" s="2565"/>
      <c r="AP139" s="2565"/>
      <c r="AQ139" s="2538"/>
    </row>
    <row r="140" spans="1:43" ht="35.25" customHeight="1">
      <c r="A140" s="2508"/>
      <c r="B140" s="2511"/>
      <c r="C140" s="2512"/>
      <c r="D140" s="2656"/>
      <c r="E140" s="2657"/>
      <c r="F140" s="2658"/>
      <c r="H140" s="556"/>
      <c r="J140" s="2578"/>
      <c r="K140" s="2595"/>
      <c r="L140" s="2659"/>
      <c r="M140" s="2553"/>
      <c r="N140" s="2577"/>
      <c r="O140" s="2567"/>
      <c r="P140" s="2569"/>
      <c r="Q140" s="2662"/>
      <c r="R140" s="2627"/>
      <c r="S140" s="2541"/>
      <c r="T140" s="2541"/>
      <c r="U140" s="515" t="s">
        <v>577</v>
      </c>
      <c r="V140" s="610">
        <v>7000000</v>
      </c>
      <c r="W140" s="2493"/>
      <c r="X140" s="2641"/>
      <c r="Y140" s="2643"/>
      <c r="Z140" s="2643"/>
      <c r="AA140" s="2643"/>
      <c r="AB140" s="2643"/>
      <c r="AC140" s="2643"/>
      <c r="AD140" s="2643"/>
      <c r="AE140" s="2643"/>
      <c r="AF140" s="2643"/>
      <c r="AG140" s="2643"/>
      <c r="AH140" s="2643"/>
      <c r="AI140" s="2643"/>
      <c r="AJ140" s="2643"/>
      <c r="AK140" s="2643"/>
      <c r="AL140" s="2643"/>
      <c r="AM140" s="2643"/>
      <c r="AN140" s="2664"/>
      <c r="AO140" s="2565"/>
      <c r="AP140" s="2565"/>
      <c r="AQ140" s="2538"/>
    </row>
    <row r="141" spans="1:43" ht="62.25" customHeight="1">
      <c r="A141" s="2508"/>
      <c r="B141" s="2511"/>
      <c r="C141" s="2512"/>
      <c r="D141" s="2656"/>
      <c r="E141" s="2657"/>
      <c r="F141" s="2658"/>
      <c r="H141" s="556"/>
      <c r="I141" s="557"/>
      <c r="J141" s="2669">
        <v>251</v>
      </c>
      <c r="K141" s="2541" t="s">
        <v>578</v>
      </c>
      <c r="L141" s="2599" t="s">
        <v>579</v>
      </c>
      <c r="M141" s="2553">
        <v>1</v>
      </c>
      <c r="N141" s="2577"/>
      <c r="O141" s="2567"/>
      <c r="P141" s="2569"/>
      <c r="Q141" s="2631">
        <f>(V141+V142+V143+V144+V145)/R133</f>
        <v>0.1079913606911447</v>
      </c>
      <c r="R141" s="2627"/>
      <c r="S141" s="2541"/>
      <c r="T141" s="2541"/>
      <c r="U141" s="201" t="s">
        <v>580</v>
      </c>
      <c r="V141" s="610">
        <v>18000000</v>
      </c>
      <c r="W141" s="2493"/>
      <c r="X141" s="2641"/>
      <c r="Y141" s="2643"/>
      <c r="Z141" s="2643"/>
      <c r="AA141" s="2643"/>
      <c r="AB141" s="2643"/>
      <c r="AC141" s="2643"/>
      <c r="AD141" s="2643"/>
      <c r="AE141" s="2643"/>
      <c r="AF141" s="2643"/>
      <c r="AG141" s="2643"/>
      <c r="AH141" s="2643"/>
      <c r="AI141" s="2643"/>
      <c r="AJ141" s="2643"/>
      <c r="AK141" s="2643"/>
      <c r="AL141" s="2643"/>
      <c r="AM141" s="2643"/>
      <c r="AN141" s="2664"/>
      <c r="AO141" s="2565"/>
      <c r="AP141" s="2565"/>
      <c r="AQ141" s="2538"/>
    </row>
    <row r="142" spans="1:43" ht="63" customHeight="1">
      <c r="A142" s="2508"/>
      <c r="B142" s="2511"/>
      <c r="C142" s="2512"/>
      <c r="D142" s="2656"/>
      <c r="E142" s="2657"/>
      <c r="F142" s="2658"/>
      <c r="H142" s="556"/>
      <c r="I142" s="557"/>
      <c r="J142" s="2639"/>
      <c r="K142" s="2541"/>
      <c r="L142" s="2599"/>
      <c r="M142" s="2553"/>
      <c r="N142" s="2577"/>
      <c r="O142" s="2567"/>
      <c r="P142" s="2569"/>
      <c r="Q142" s="2631"/>
      <c r="R142" s="2627"/>
      <c r="S142" s="2541"/>
      <c r="T142" s="2541"/>
      <c r="U142" s="554" t="s">
        <v>581</v>
      </c>
      <c r="V142" s="610">
        <v>5000000</v>
      </c>
      <c r="W142" s="2493"/>
      <c r="X142" s="2641"/>
      <c r="Y142" s="2643"/>
      <c r="Z142" s="2643"/>
      <c r="AA142" s="2643"/>
      <c r="AB142" s="2643"/>
      <c r="AC142" s="2643"/>
      <c r="AD142" s="2643"/>
      <c r="AE142" s="2643"/>
      <c r="AF142" s="2643"/>
      <c r="AG142" s="2643"/>
      <c r="AH142" s="2643"/>
      <c r="AI142" s="2643"/>
      <c r="AJ142" s="2643"/>
      <c r="AK142" s="2643"/>
      <c r="AL142" s="2643"/>
      <c r="AM142" s="2643"/>
      <c r="AN142" s="2664"/>
      <c r="AO142" s="2565"/>
      <c r="AP142" s="2565"/>
      <c r="AQ142" s="2538"/>
    </row>
    <row r="143" spans="1:43" ht="80.25" customHeight="1">
      <c r="A143" s="2508"/>
      <c r="B143" s="2511"/>
      <c r="C143" s="2512"/>
      <c r="D143" s="2656"/>
      <c r="E143" s="2657"/>
      <c r="F143" s="2658"/>
      <c r="H143" s="556"/>
      <c r="I143" s="557"/>
      <c r="J143" s="2639"/>
      <c r="K143" s="2541"/>
      <c r="L143" s="2599"/>
      <c r="M143" s="2553"/>
      <c r="N143" s="2577"/>
      <c r="O143" s="2567"/>
      <c r="P143" s="2569"/>
      <c r="Q143" s="2631"/>
      <c r="R143" s="2627"/>
      <c r="S143" s="2541"/>
      <c r="T143" s="2541"/>
      <c r="U143" s="554" t="s">
        <v>582</v>
      </c>
      <c r="V143" s="610">
        <v>15000000</v>
      </c>
      <c r="W143" s="2493"/>
      <c r="X143" s="2641"/>
      <c r="Y143" s="2643"/>
      <c r="Z143" s="2643"/>
      <c r="AA143" s="2643"/>
      <c r="AB143" s="2643"/>
      <c r="AC143" s="2643"/>
      <c r="AD143" s="2643"/>
      <c r="AE143" s="2643"/>
      <c r="AF143" s="2643"/>
      <c r="AG143" s="2643"/>
      <c r="AH143" s="2643"/>
      <c r="AI143" s="2643"/>
      <c r="AJ143" s="2643"/>
      <c r="AK143" s="2643"/>
      <c r="AL143" s="2643"/>
      <c r="AM143" s="2643"/>
      <c r="AN143" s="2664"/>
      <c r="AO143" s="2565"/>
      <c r="AP143" s="2565"/>
      <c r="AQ143" s="2538"/>
    </row>
    <row r="144" spans="1:43" ht="33" customHeight="1">
      <c r="A144" s="2508"/>
      <c r="B144" s="2511"/>
      <c r="C144" s="2512"/>
      <c r="D144" s="2656"/>
      <c r="E144" s="2657"/>
      <c r="F144" s="2658"/>
      <c r="H144" s="556"/>
      <c r="I144" s="557"/>
      <c r="J144" s="2639"/>
      <c r="K144" s="2541"/>
      <c r="L144" s="2599"/>
      <c r="M144" s="2553"/>
      <c r="N144" s="2577"/>
      <c r="O144" s="2567"/>
      <c r="P144" s="2569"/>
      <c r="Q144" s="2631"/>
      <c r="R144" s="2627"/>
      <c r="S144" s="2541"/>
      <c r="T144" s="2541"/>
      <c r="U144" s="554" t="s">
        <v>583</v>
      </c>
      <c r="V144" s="610">
        <v>7000000</v>
      </c>
      <c r="W144" s="2493"/>
      <c r="X144" s="2641"/>
      <c r="Y144" s="2643"/>
      <c r="Z144" s="2643"/>
      <c r="AA144" s="2643"/>
      <c r="AB144" s="2643"/>
      <c r="AC144" s="2643"/>
      <c r="AD144" s="2643"/>
      <c r="AE144" s="2643"/>
      <c r="AF144" s="2643"/>
      <c r="AG144" s="2643"/>
      <c r="AH144" s="2643"/>
      <c r="AI144" s="2643"/>
      <c r="AJ144" s="2643"/>
      <c r="AK144" s="2643"/>
      <c r="AL144" s="2643"/>
      <c r="AM144" s="2643"/>
      <c r="AN144" s="2664"/>
      <c r="AO144" s="2565"/>
      <c r="AP144" s="2565"/>
      <c r="AQ144" s="2538"/>
    </row>
    <row r="145" spans="1:43" ht="45" customHeight="1">
      <c r="A145" s="2508"/>
      <c r="B145" s="2511"/>
      <c r="C145" s="2512"/>
      <c r="D145" s="2656"/>
      <c r="E145" s="2657"/>
      <c r="F145" s="2658"/>
      <c r="H145" s="556"/>
      <c r="I145" s="557"/>
      <c r="J145" s="2639"/>
      <c r="K145" s="2541"/>
      <c r="L145" s="2599"/>
      <c r="M145" s="2553"/>
      <c r="N145" s="2577"/>
      <c r="O145" s="2567"/>
      <c r="P145" s="2569"/>
      <c r="Q145" s="2631"/>
      <c r="R145" s="2627"/>
      <c r="S145" s="2541"/>
      <c r="T145" s="2541"/>
      <c r="U145" s="554" t="s">
        <v>584</v>
      </c>
      <c r="V145" s="610">
        <v>5000000</v>
      </c>
      <c r="W145" s="2493"/>
      <c r="X145" s="2641"/>
      <c r="Y145" s="2643"/>
      <c r="Z145" s="2643"/>
      <c r="AA145" s="2643"/>
      <c r="AB145" s="2643"/>
      <c r="AC145" s="2643"/>
      <c r="AD145" s="2643"/>
      <c r="AE145" s="2643"/>
      <c r="AF145" s="2643"/>
      <c r="AG145" s="2643"/>
      <c r="AH145" s="2643"/>
      <c r="AI145" s="2643"/>
      <c r="AJ145" s="2643"/>
      <c r="AK145" s="2643"/>
      <c r="AL145" s="2643"/>
      <c r="AM145" s="2643"/>
      <c r="AN145" s="2664"/>
      <c r="AO145" s="2565"/>
      <c r="AP145" s="2565"/>
      <c r="AQ145" s="2538"/>
    </row>
    <row r="146" spans="1:43" ht="115.5" customHeight="1">
      <c r="A146" s="2508"/>
      <c r="B146" s="2511"/>
      <c r="C146" s="2512"/>
      <c r="D146" s="2656"/>
      <c r="E146" s="2657"/>
      <c r="F146" s="2658"/>
      <c r="H146" s="556"/>
      <c r="I146" s="557"/>
      <c r="J146" s="613">
        <v>252</v>
      </c>
      <c r="K146" s="619" t="s">
        <v>585</v>
      </c>
      <c r="L146" s="515" t="s">
        <v>586</v>
      </c>
      <c r="M146" s="516">
        <v>2</v>
      </c>
      <c r="N146" s="2577"/>
      <c r="O146" s="2567"/>
      <c r="P146" s="2569"/>
      <c r="Q146" s="615" t="e">
        <f>(#REF!)/R133</f>
        <v>#REF!</v>
      </c>
      <c r="R146" s="2627"/>
      <c r="S146" s="2541"/>
      <c r="T146" s="2541"/>
      <c r="U146" s="554" t="s">
        <v>587</v>
      </c>
      <c r="V146" s="610">
        <v>18500000</v>
      </c>
      <c r="W146" s="2493"/>
      <c r="X146" s="2641"/>
      <c r="Y146" s="2643"/>
      <c r="Z146" s="2643"/>
      <c r="AA146" s="2643"/>
      <c r="AB146" s="2643"/>
      <c r="AC146" s="2643"/>
      <c r="AD146" s="2643"/>
      <c r="AE146" s="2643"/>
      <c r="AF146" s="2643"/>
      <c r="AG146" s="2643"/>
      <c r="AH146" s="2643"/>
      <c r="AI146" s="2643"/>
      <c r="AJ146" s="2643"/>
      <c r="AK146" s="2643"/>
      <c r="AL146" s="2643"/>
      <c r="AM146" s="2643"/>
      <c r="AN146" s="2664"/>
      <c r="AO146" s="2565"/>
      <c r="AP146" s="2565"/>
      <c r="AQ146" s="2538"/>
    </row>
    <row r="147" spans="1:43" ht="69.75" customHeight="1">
      <c r="A147" s="2508"/>
      <c r="B147" s="2511"/>
      <c r="C147" s="2512"/>
      <c r="D147" s="2656"/>
      <c r="E147" s="2657"/>
      <c r="F147" s="2658"/>
      <c r="H147" s="556"/>
      <c r="I147" s="557"/>
      <c r="J147" s="2578">
        <v>254</v>
      </c>
      <c r="K147" s="2541" t="s">
        <v>588</v>
      </c>
      <c r="L147" s="2541" t="s">
        <v>589</v>
      </c>
      <c r="M147" s="2553">
        <v>1</v>
      </c>
      <c r="N147" s="2577"/>
      <c r="O147" s="2567"/>
      <c r="P147" s="2569"/>
      <c r="Q147" s="2631">
        <f>(V147+V148+V149+V150)/R133</f>
        <v>0.06479481641468683</v>
      </c>
      <c r="R147" s="2627"/>
      <c r="S147" s="2541"/>
      <c r="T147" s="2541"/>
      <c r="U147" s="554" t="s">
        <v>590</v>
      </c>
      <c r="V147" s="610">
        <v>16300000</v>
      </c>
      <c r="W147" s="2493"/>
      <c r="X147" s="2641"/>
      <c r="Y147" s="2643"/>
      <c r="Z147" s="2643"/>
      <c r="AA147" s="2643"/>
      <c r="AB147" s="2643"/>
      <c r="AC147" s="2643"/>
      <c r="AD147" s="2643"/>
      <c r="AE147" s="2643"/>
      <c r="AF147" s="2643"/>
      <c r="AG147" s="2643"/>
      <c r="AH147" s="2643"/>
      <c r="AI147" s="2643"/>
      <c r="AJ147" s="2643"/>
      <c r="AK147" s="2643"/>
      <c r="AL147" s="2643"/>
      <c r="AM147" s="2643"/>
      <c r="AN147" s="2664"/>
      <c r="AO147" s="2565"/>
      <c r="AP147" s="2565"/>
      <c r="AQ147" s="2538"/>
    </row>
    <row r="148" spans="1:43" ht="60" customHeight="1">
      <c r="A148" s="2508"/>
      <c r="B148" s="2511"/>
      <c r="C148" s="2512"/>
      <c r="D148" s="2656"/>
      <c r="E148" s="2657"/>
      <c r="F148" s="2658"/>
      <c r="H148" s="556"/>
      <c r="I148" s="557"/>
      <c r="J148" s="2578"/>
      <c r="K148" s="2541"/>
      <c r="L148" s="2541"/>
      <c r="M148" s="2553"/>
      <c r="N148" s="2577"/>
      <c r="O148" s="2567"/>
      <c r="P148" s="2569"/>
      <c r="Q148" s="2631"/>
      <c r="R148" s="2627"/>
      <c r="S148" s="2541"/>
      <c r="T148" s="2541"/>
      <c r="U148" s="554" t="s">
        <v>591</v>
      </c>
      <c r="V148" s="610">
        <v>5000000</v>
      </c>
      <c r="W148" s="2493"/>
      <c r="X148" s="2641"/>
      <c r="Y148" s="2643"/>
      <c r="Z148" s="2643"/>
      <c r="AA148" s="2643"/>
      <c r="AB148" s="2643"/>
      <c r="AC148" s="2643"/>
      <c r="AD148" s="2643"/>
      <c r="AE148" s="2643"/>
      <c r="AF148" s="2643"/>
      <c r="AG148" s="2643"/>
      <c r="AH148" s="2643"/>
      <c r="AI148" s="2643"/>
      <c r="AJ148" s="2643"/>
      <c r="AK148" s="2643"/>
      <c r="AL148" s="2643"/>
      <c r="AM148" s="2643"/>
      <c r="AN148" s="2664"/>
      <c r="AO148" s="2565"/>
      <c r="AP148" s="2565"/>
      <c r="AQ148" s="2538"/>
    </row>
    <row r="149" spans="1:43" ht="39.75" customHeight="1">
      <c r="A149" s="2508"/>
      <c r="B149" s="2511"/>
      <c r="C149" s="2512"/>
      <c r="D149" s="2656"/>
      <c r="E149" s="2657"/>
      <c r="F149" s="2658"/>
      <c r="H149" s="556"/>
      <c r="I149" s="557"/>
      <c r="J149" s="2578"/>
      <c r="K149" s="2541"/>
      <c r="L149" s="2541"/>
      <c r="M149" s="2553"/>
      <c r="N149" s="2577"/>
      <c r="O149" s="2567"/>
      <c r="P149" s="2569"/>
      <c r="Q149" s="2631"/>
      <c r="R149" s="2627"/>
      <c r="S149" s="2541"/>
      <c r="T149" s="2541"/>
      <c r="U149" s="554" t="s">
        <v>592</v>
      </c>
      <c r="V149" s="610">
        <v>5000000</v>
      </c>
      <c r="W149" s="2493"/>
      <c r="X149" s="2641"/>
      <c r="Y149" s="2643"/>
      <c r="Z149" s="2643"/>
      <c r="AA149" s="2643"/>
      <c r="AB149" s="2643"/>
      <c r="AC149" s="2643"/>
      <c r="AD149" s="2643"/>
      <c r="AE149" s="2643"/>
      <c r="AF149" s="2643"/>
      <c r="AG149" s="2643"/>
      <c r="AH149" s="2643"/>
      <c r="AI149" s="2643"/>
      <c r="AJ149" s="2643"/>
      <c r="AK149" s="2643"/>
      <c r="AL149" s="2643"/>
      <c r="AM149" s="2643"/>
      <c r="AN149" s="2664"/>
      <c r="AO149" s="2565"/>
      <c r="AP149" s="2565"/>
      <c r="AQ149" s="2538"/>
    </row>
    <row r="150" spans="1:43" ht="43.5" customHeight="1">
      <c r="A150" s="2508"/>
      <c r="B150" s="2511"/>
      <c r="C150" s="2512"/>
      <c r="D150" s="2656"/>
      <c r="E150" s="2657"/>
      <c r="F150" s="2658"/>
      <c r="H150" s="563"/>
      <c r="I150" s="564"/>
      <c r="J150" s="2578"/>
      <c r="K150" s="2541"/>
      <c r="L150" s="2541"/>
      <c r="M150" s="2553"/>
      <c r="N150" s="2577"/>
      <c r="O150" s="2567"/>
      <c r="P150" s="2569"/>
      <c r="Q150" s="2631"/>
      <c r="R150" s="2628"/>
      <c r="S150" s="2541"/>
      <c r="T150" s="2541"/>
      <c r="U150" s="554" t="s">
        <v>573</v>
      </c>
      <c r="V150" s="599">
        <v>3700000</v>
      </c>
      <c r="W150" s="2494"/>
      <c r="X150" s="2641"/>
      <c r="Y150" s="2643"/>
      <c r="Z150" s="2643"/>
      <c r="AA150" s="2643"/>
      <c r="AB150" s="2643"/>
      <c r="AC150" s="2643"/>
      <c r="AD150" s="2643"/>
      <c r="AE150" s="2643"/>
      <c r="AF150" s="2643"/>
      <c r="AG150" s="2643"/>
      <c r="AH150" s="2643"/>
      <c r="AI150" s="2643"/>
      <c r="AJ150" s="2643"/>
      <c r="AK150" s="2643"/>
      <c r="AL150" s="2643"/>
      <c r="AM150" s="2643"/>
      <c r="AN150" s="2664"/>
      <c r="AO150" s="2566"/>
      <c r="AP150" s="2566"/>
      <c r="AQ150" s="2538"/>
    </row>
    <row r="151" spans="1:43" s="130" customFormat="1" ht="15.75">
      <c r="A151" s="2508"/>
      <c r="B151" s="2511"/>
      <c r="C151" s="2512"/>
      <c r="D151" s="2656"/>
      <c r="E151" s="2657"/>
      <c r="F151" s="2658"/>
      <c r="G151" s="500">
        <v>86</v>
      </c>
      <c r="H151" s="182" t="s">
        <v>593</v>
      </c>
      <c r="I151" s="182"/>
      <c r="J151" s="534"/>
      <c r="K151" s="535"/>
      <c r="L151" s="536"/>
      <c r="M151" s="537"/>
      <c r="N151" s="503"/>
      <c r="O151" s="504"/>
      <c r="P151" s="505"/>
      <c r="Q151" s="538"/>
      <c r="R151" s="539"/>
      <c r="S151" s="540"/>
      <c r="T151" s="541"/>
      <c r="U151" s="541"/>
      <c r="V151" s="542"/>
      <c r="W151" s="576"/>
      <c r="X151" s="576"/>
      <c r="Y151" s="576"/>
      <c r="Z151" s="576"/>
      <c r="AA151" s="576"/>
      <c r="AB151" s="576"/>
      <c r="AC151" s="576"/>
      <c r="AD151" s="576"/>
      <c r="AE151" s="576"/>
      <c r="AF151" s="576"/>
      <c r="AG151" s="576"/>
      <c r="AH151" s="576"/>
      <c r="AI151" s="576"/>
      <c r="AJ151" s="576"/>
      <c r="AK151" s="576"/>
      <c r="AL151" s="576"/>
      <c r="AM151" s="576"/>
      <c r="AN151" s="576"/>
      <c r="AO151" s="576"/>
      <c r="AP151" s="576"/>
      <c r="AQ151" s="577"/>
    </row>
    <row r="152" spans="1:43" ht="55.5" customHeight="1">
      <c r="A152" s="2508"/>
      <c r="B152" s="2511"/>
      <c r="C152" s="2512"/>
      <c r="D152" s="2656"/>
      <c r="E152" s="2657"/>
      <c r="F152" s="2658"/>
      <c r="G152" s="130"/>
      <c r="H152" s="511"/>
      <c r="I152" s="512"/>
      <c r="J152" s="2542">
        <v>255</v>
      </c>
      <c r="K152" s="2540" t="s">
        <v>594</v>
      </c>
      <c r="L152" s="2540" t="s">
        <v>595</v>
      </c>
      <c r="M152" s="2542">
        <v>12</v>
      </c>
      <c r="N152" s="2665" t="s">
        <v>596</v>
      </c>
      <c r="O152" s="2567" t="s">
        <v>597</v>
      </c>
      <c r="P152" s="2525" t="s">
        <v>598</v>
      </c>
      <c r="Q152" s="2660">
        <f>(R152)/R152</f>
        <v>1</v>
      </c>
      <c r="R152" s="2661">
        <f>SUM(V152:V157)</f>
        <v>170000000</v>
      </c>
      <c r="S152" s="2540" t="s">
        <v>599</v>
      </c>
      <c r="T152" s="2540" t="s">
        <v>600</v>
      </c>
      <c r="U152" s="620" t="s">
        <v>601</v>
      </c>
      <c r="V152" s="621">
        <v>94305000</v>
      </c>
      <c r="W152" s="2492" t="s">
        <v>435</v>
      </c>
      <c r="X152" s="2667" t="s">
        <v>602</v>
      </c>
      <c r="Y152" s="2642">
        <v>2138</v>
      </c>
      <c r="Z152" s="2642">
        <v>2062</v>
      </c>
      <c r="AA152" s="2642"/>
      <c r="AB152" s="2642"/>
      <c r="AC152" s="2642">
        <v>4200</v>
      </c>
      <c r="AD152" s="2642"/>
      <c r="AE152" s="2642"/>
      <c r="AF152" s="2642"/>
      <c r="AG152" s="2642"/>
      <c r="AH152" s="2642"/>
      <c r="AI152" s="2642"/>
      <c r="AJ152" s="2642"/>
      <c r="AK152" s="2642"/>
      <c r="AL152" s="2642"/>
      <c r="AM152" s="2642"/>
      <c r="AN152" s="2642">
        <f>SUM(AC152)</f>
        <v>4200</v>
      </c>
      <c r="AO152" s="2564">
        <v>43110</v>
      </c>
      <c r="AP152" s="2564">
        <v>43454</v>
      </c>
      <c r="AQ152" s="2604" t="s">
        <v>476</v>
      </c>
    </row>
    <row r="153" spans="1:43" ht="35.25" customHeight="1">
      <c r="A153" s="2508"/>
      <c r="B153" s="2511"/>
      <c r="C153" s="2512"/>
      <c r="D153" s="2656"/>
      <c r="E153" s="2657"/>
      <c r="F153" s="2658"/>
      <c r="G153" s="130"/>
      <c r="H153" s="520"/>
      <c r="I153" s="521"/>
      <c r="J153" s="2542"/>
      <c r="K153" s="2540"/>
      <c r="L153" s="2540"/>
      <c r="M153" s="2542"/>
      <c r="N153" s="2666"/>
      <c r="O153" s="2567"/>
      <c r="P153" s="2525"/>
      <c r="Q153" s="2660"/>
      <c r="R153" s="2661"/>
      <c r="S153" s="2540"/>
      <c r="T153" s="2540"/>
      <c r="U153" s="622" t="s">
        <v>603</v>
      </c>
      <c r="V153" s="621">
        <v>41064000</v>
      </c>
      <c r="W153" s="2493"/>
      <c r="X153" s="2668"/>
      <c r="Y153" s="2643"/>
      <c r="Z153" s="2643"/>
      <c r="AA153" s="2643"/>
      <c r="AB153" s="2643"/>
      <c r="AC153" s="2643"/>
      <c r="AD153" s="2643"/>
      <c r="AE153" s="2643"/>
      <c r="AF153" s="2643"/>
      <c r="AG153" s="2643"/>
      <c r="AH153" s="2643"/>
      <c r="AI153" s="2643"/>
      <c r="AJ153" s="2643"/>
      <c r="AK153" s="2643"/>
      <c r="AL153" s="2643"/>
      <c r="AM153" s="2643"/>
      <c r="AN153" s="2643"/>
      <c r="AO153" s="2565"/>
      <c r="AP153" s="2565"/>
      <c r="AQ153" s="2538"/>
    </row>
    <row r="154" spans="1:43" ht="64.5" customHeight="1">
      <c r="A154" s="2508"/>
      <c r="B154" s="2511"/>
      <c r="C154" s="2512"/>
      <c r="D154" s="2656"/>
      <c r="E154" s="2657"/>
      <c r="F154" s="2658"/>
      <c r="G154" s="130"/>
      <c r="H154" s="520"/>
      <c r="I154" s="521"/>
      <c r="J154" s="2542"/>
      <c r="K154" s="2540"/>
      <c r="L154" s="2540"/>
      <c r="M154" s="2542"/>
      <c r="N154" s="2666"/>
      <c r="O154" s="2567"/>
      <c r="P154" s="2525"/>
      <c r="Q154" s="2660"/>
      <c r="R154" s="2661"/>
      <c r="S154" s="2540"/>
      <c r="T154" s="2540"/>
      <c r="U154" s="623" t="s">
        <v>604</v>
      </c>
      <c r="V154" s="612">
        <v>500000</v>
      </c>
      <c r="W154" s="2493"/>
      <c r="X154" s="2668"/>
      <c r="Y154" s="2643"/>
      <c r="Z154" s="2643"/>
      <c r="AA154" s="2643"/>
      <c r="AB154" s="2643"/>
      <c r="AC154" s="2643"/>
      <c r="AD154" s="2643"/>
      <c r="AE154" s="2643"/>
      <c r="AF154" s="2643"/>
      <c r="AG154" s="2643"/>
      <c r="AH154" s="2643"/>
      <c r="AI154" s="2643"/>
      <c r="AJ154" s="2643"/>
      <c r="AK154" s="2643"/>
      <c r="AL154" s="2643"/>
      <c r="AM154" s="2643"/>
      <c r="AN154" s="2643"/>
      <c r="AO154" s="2565"/>
      <c r="AP154" s="2565"/>
      <c r="AQ154" s="2538"/>
    </row>
    <row r="155" spans="1:43" ht="39.75" customHeight="1">
      <c r="A155" s="2508"/>
      <c r="B155" s="2511"/>
      <c r="C155" s="2512"/>
      <c r="D155" s="2656"/>
      <c r="E155" s="2657"/>
      <c r="F155" s="2658"/>
      <c r="G155" s="130"/>
      <c r="H155" s="520"/>
      <c r="I155" s="521"/>
      <c r="J155" s="2542"/>
      <c r="K155" s="2540"/>
      <c r="L155" s="2540"/>
      <c r="M155" s="2542"/>
      <c r="N155" s="2666"/>
      <c r="O155" s="2567"/>
      <c r="P155" s="2525"/>
      <c r="Q155" s="2660"/>
      <c r="R155" s="2661"/>
      <c r="S155" s="2540"/>
      <c r="T155" s="2540"/>
      <c r="U155" s="623" t="s">
        <v>605</v>
      </c>
      <c r="V155" s="612">
        <v>5000000</v>
      </c>
      <c r="W155" s="2493"/>
      <c r="X155" s="2668"/>
      <c r="Y155" s="2643"/>
      <c r="Z155" s="2643"/>
      <c r="AA155" s="2643"/>
      <c r="AB155" s="2643"/>
      <c r="AC155" s="2643"/>
      <c r="AD155" s="2643"/>
      <c r="AE155" s="2643"/>
      <c r="AF155" s="2643"/>
      <c r="AG155" s="2643"/>
      <c r="AH155" s="2643"/>
      <c r="AI155" s="2643"/>
      <c r="AJ155" s="2643"/>
      <c r="AK155" s="2643"/>
      <c r="AL155" s="2643"/>
      <c r="AM155" s="2643"/>
      <c r="AN155" s="2643"/>
      <c r="AO155" s="2565"/>
      <c r="AP155" s="2565"/>
      <c r="AQ155" s="2538"/>
    </row>
    <row r="156" spans="1:43" ht="51.75" customHeight="1">
      <c r="A156" s="2508"/>
      <c r="B156" s="2511"/>
      <c r="C156" s="2512"/>
      <c r="D156" s="2656"/>
      <c r="E156" s="2657"/>
      <c r="F156" s="2658"/>
      <c r="G156" s="130"/>
      <c r="H156" s="520"/>
      <c r="I156" s="521"/>
      <c r="J156" s="2542"/>
      <c r="K156" s="2540"/>
      <c r="L156" s="2540"/>
      <c r="M156" s="2542"/>
      <c r="N156" s="2666"/>
      <c r="O156" s="2567"/>
      <c r="P156" s="2525"/>
      <c r="Q156" s="2660"/>
      <c r="R156" s="2661"/>
      <c r="S156" s="2540"/>
      <c r="T156" s="2540"/>
      <c r="U156" s="624" t="s">
        <v>606</v>
      </c>
      <c r="V156" s="621">
        <v>19000000</v>
      </c>
      <c r="W156" s="2493"/>
      <c r="X156" s="2668"/>
      <c r="Y156" s="2643"/>
      <c r="Z156" s="2643"/>
      <c r="AA156" s="2643"/>
      <c r="AB156" s="2643"/>
      <c r="AC156" s="2643"/>
      <c r="AD156" s="2643"/>
      <c r="AE156" s="2643"/>
      <c r="AF156" s="2643"/>
      <c r="AG156" s="2643"/>
      <c r="AH156" s="2643"/>
      <c r="AI156" s="2643"/>
      <c r="AJ156" s="2643"/>
      <c r="AK156" s="2643"/>
      <c r="AL156" s="2643"/>
      <c r="AM156" s="2643"/>
      <c r="AN156" s="2643"/>
      <c r="AO156" s="2565"/>
      <c r="AP156" s="2565"/>
      <c r="AQ156" s="2538"/>
    </row>
    <row r="157" spans="1:43" ht="78.75" customHeight="1">
      <c r="A157" s="2508"/>
      <c r="B157" s="2511"/>
      <c r="C157" s="2512"/>
      <c r="D157" s="2656"/>
      <c r="E157" s="2657"/>
      <c r="F157" s="2658"/>
      <c r="G157" s="130"/>
      <c r="H157" s="520"/>
      <c r="I157" s="521"/>
      <c r="J157" s="2542"/>
      <c r="K157" s="2540"/>
      <c r="L157" s="2540"/>
      <c r="M157" s="2542"/>
      <c r="N157" s="2666"/>
      <c r="O157" s="2567"/>
      <c r="P157" s="2525"/>
      <c r="Q157" s="2660"/>
      <c r="R157" s="2661"/>
      <c r="S157" s="2540"/>
      <c r="T157" s="2540"/>
      <c r="U157" s="514" t="s">
        <v>607</v>
      </c>
      <c r="V157" s="612">
        <v>10131000</v>
      </c>
      <c r="W157" s="2493"/>
      <c r="X157" s="2668"/>
      <c r="Y157" s="2643"/>
      <c r="Z157" s="2643"/>
      <c r="AA157" s="2643"/>
      <c r="AB157" s="2643"/>
      <c r="AC157" s="2643"/>
      <c r="AD157" s="2643"/>
      <c r="AE157" s="2643"/>
      <c r="AF157" s="2643"/>
      <c r="AG157" s="2643"/>
      <c r="AH157" s="2643"/>
      <c r="AI157" s="2643"/>
      <c r="AJ157" s="2643"/>
      <c r="AK157" s="2643"/>
      <c r="AL157" s="2643"/>
      <c r="AM157" s="2643"/>
      <c r="AN157" s="2643"/>
      <c r="AO157" s="2565"/>
      <c r="AP157" s="2565"/>
      <c r="AQ157" s="2538"/>
    </row>
    <row r="158" spans="1:43" ht="15.75">
      <c r="A158" s="156">
        <v>5</v>
      </c>
      <c r="B158" s="157" t="s">
        <v>52</v>
      </c>
      <c r="C158" s="157"/>
      <c r="D158" s="254"/>
      <c r="E158" s="254"/>
      <c r="F158" s="254"/>
      <c r="G158" s="254"/>
      <c r="H158" s="254"/>
      <c r="I158" s="254"/>
      <c r="J158" s="625"/>
      <c r="K158" s="626"/>
      <c r="L158" s="627"/>
      <c r="M158" s="628"/>
      <c r="N158" s="483"/>
      <c r="O158" s="481"/>
      <c r="P158" s="255"/>
      <c r="Q158" s="629"/>
      <c r="R158" s="630"/>
      <c r="S158" s="631"/>
      <c r="T158" s="632"/>
      <c r="U158" s="632"/>
      <c r="V158" s="633"/>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634"/>
    </row>
    <row r="159" spans="1:43" s="130" customFormat="1" ht="15.75">
      <c r="A159" s="2670"/>
      <c r="B159" s="2671"/>
      <c r="C159" s="2671"/>
      <c r="D159" s="635">
        <v>26</v>
      </c>
      <c r="E159" s="266" t="s">
        <v>608</v>
      </c>
      <c r="F159" s="266"/>
      <c r="G159" s="266"/>
      <c r="H159" s="266"/>
      <c r="I159" s="266"/>
      <c r="J159" s="491"/>
      <c r="K159" s="492"/>
      <c r="L159" s="267"/>
      <c r="M159" s="266"/>
      <c r="N159" s="493"/>
      <c r="O159" s="491"/>
      <c r="P159" s="267"/>
      <c r="Q159" s="494"/>
      <c r="R159" s="636"/>
      <c r="S159" s="267"/>
      <c r="T159" s="492"/>
      <c r="U159" s="492"/>
      <c r="V159" s="637"/>
      <c r="W159" s="497"/>
      <c r="X159" s="497"/>
      <c r="Y159" s="497"/>
      <c r="Z159" s="497"/>
      <c r="AA159" s="497"/>
      <c r="AB159" s="497"/>
      <c r="AC159" s="497"/>
      <c r="AD159" s="497"/>
      <c r="AE159" s="497"/>
      <c r="AF159" s="497"/>
      <c r="AG159" s="497"/>
      <c r="AH159" s="497"/>
      <c r="AI159" s="497"/>
      <c r="AJ159" s="497"/>
      <c r="AK159" s="497"/>
      <c r="AL159" s="497"/>
      <c r="AM159" s="267"/>
      <c r="AN159" s="267"/>
      <c r="AO159" s="268"/>
      <c r="AP159" s="268"/>
      <c r="AQ159" s="499"/>
    </row>
    <row r="160" spans="1:43" s="130" customFormat="1" ht="15.75">
      <c r="A160" s="2670"/>
      <c r="B160" s="2671"/>
      <c r="C160" s="2671"/>
      <c r="D160" s="2674"/>
      <c r="E160" s="2675"/>
      <c r="F160" s="2676"/>
      <c r="G160" s="638">
        <v>84</v>
      </c>
      <c r="H160" s="182" t="s">
        <v>609</v>
      </c>
      <c r="I160" s="182"/>
      <c r="J160" s="504"/>
      <c r="K160" s="639"/>
      <c r="L160" s="505"/>
      <c r="M160" s="182"/>
      <c r="N160" s="503"/>
      <c r="O160" s="504"/>
      <c r="P160" s="505"/>
      <c r="Q160" s="640"/>
      <c r="R160" s="641"/>
      <c r="S160" s="505"/>
      <c r="T160" s="639"/>
      <c r="U160" s="639"/>
      <c r="V160" s="642"/>
      <c r="W160" s="576"/>
      <c r="X160" s="576"/>
      <c r="Y160" s="576"/>
      <c r="Z160" s="576"/>
      <c r="AA160" s="576"/>
      <c r="AB160" s="576"/>
      <c r="AC160" s="576"/>
      <c r="AD160" s="576"/>
      <c r="AE160" s="576"/>
      <c r="AF160" s="576"/>
      <c r="AG160" s="576"/>
      <c r="AH160" s="576"/>
      <c r="AI160" s="576"/>
      <c r="AJ160" s="576"/>
      <c r="AK160" s="576"/>
      <c r="AL160" s="576"/>
      <c r="AM160" s="576"/>
      <c r="AN160" s="576"/>
      <c r="AO160" s="576"/>
      <c r="AP160" s="576"/>
      <c r="AQ160" s="577"/>
    </row>
    <row r="161" spans="1:43" ht="68.25" customHeight="1">
      <c r="A161" s="2670"/>
      <c r="B161" s="2671"/>
      <c r="C161" s="2671"/>
      <c r="D161" s="2677"/>
      <c r="E161" s="2678"/>
      <c r="F161" s="2678"/>
      <c r="G161" s="643"/>
      <c r="H161" s="644"/>
      <c r="I161" s="645"/>
      <c r="J161" s="2551">
        <v>247</v>
      </c>
      <c r="K161" s="2679" t="s">
        <v>610</v>
      </c>
      <c r="L161" s="2679" t="s">
        <v>611</v>
      </c>
      <c r="M161" s="2680">
        <v>1</v>
      </c>
      <c r="N161" s="2681" t="s">
        <v>612</v>
      </c>
      <c r="O161" s="2567" t="s">
        <v>613</v>
      </c>
      <c r="P161" s="2679" t="s">
        <v>614</v>
      </c>
      <c r="Q161" s="2685">
        <f>(R161)/(R161)</f>
        <v>1</v>
      </c>
      <c r="R161" s="2686">
        <f>SUM(V161:V165)</f>
        <v>50000000</v>
      </c>
      <c r="S161" s="2679" t="s">
        <v>615</v>
      </c>
      <c r="T161" s="2525" t="s">
        <v>616</v>
      </c>
      <c r="U161" s="619" t="s">
        <v>617</v>
      </c>
      <c r="V161" s="646">
        <v>40700000</v>
      </c>
      <c r="W161" s="2687">
        <v>20</v>
      </c>
      <c r="X161" s="2668" t="s">
        <v>80</v>
      </c>
      <c r="Y161" s="2682">
        <v>357</v>
      </c>
      <c r="Z161" s="2682">
        <v>343</v>
      </c>
      <c r="AA161" s="2682"/>
      <c r="AB161" s="2682"/>
      <c r="AC161" s="2682">
        <v>700</v>
      </c>
      <c r="AD161" s="2682"/>
      <c r="AE161" s="2682"/>
      <c r="AF161" s="2682"/>
      <c r="AG161" s="2682"/>
      <c r="AH161" s="2682"/>
      <c r="AI161" s="2682"/>
      <c r="AJ161" s="2682"/>
      <c r="AK161" s="2682"/>
      <c r="AL161" s="2682"/>
      <c r="AM161" s="2682"/>
      <c r="AN161" s="2691">
        <v>700</v>
      </c>
      <c r="AO161" s="2688">
        <v>43110</v>
      </c>
      <c r="AP161" s="2688">
        <v>43454</v>
      </c>
      <c r="AQ161" s="2604" t="s">
        <v>366</v>
      </c>
    </row>
    <row r="162" spans="1:43" ht="51.75" customHeight="1">
      <c r="A162" s="2670"/>
      <c r="B162" s="2671"/>
      <c r="C162" s="2671"/>
      <c r="D162" s="2677"/>
      <c r="E162" s="2678"/>
      <c r="F162" s="2678"/>
      <c r="G162" s="647"/>
      <c r="H162" s="648"/>
      <c r="I162" s="649"/>
      <c r="J162" s="2551"/>
      <c r="K162" s="2679"/>
      <c r="L162" s="2679"/>
      <c r="M162" s="2680"/>
      <c r="N162" s="2681"/>
      <c r="O162" s="2567"/>
      <c r="P162" s="2679"/>
      <c r="Q162" s="2685"/>
      <c r="R162" s="2686"/>
      <c r="S162" s="2679"/>
      <c r="T162" s="2525"/>
      <c r="U162" s="525" t="s">
        <v>618</v>
      </c>
      <c r="V162" s="612">
        <v>3300000</v>
      </c>
      <c r="W162" s="2687"/>
      <c r="X162" s="2668"/>
      <c r="Y162" s="2683"/>
      <c r="Z162" s="2683"/>
      <c r="AA162" s="2683"/>
      <c r="AB162" s="2683"/>
      <c r="AC162" s="2683"/>
      <c r="AD162" s="2683"/>
      <c r="AE162" s="2683"/>
      <c r="AF162" s="2683"/>
      <c r="AG162" s="2683"/>
      <c r="AH162" s="2683"/>
      <c r="AI162" s="2683"/>
      <c r="AJ162" s="2683"/>
      <c r="AK162" s="2683"/>
      <c r="AL162" s="2683"/>
      <c r="AM162" s="2683"/>
      <c r="AN162" s="2692"/>
      <c r="AO162" s="2689"/>
      <c r="AP162" s="2689"/>
      <c r="AQ162" s="2538"/>
    </row>
    <row r="163" spans="1:43" ht="131.25" customHeight="1">
      <c r="A163" s="2670"/>
      <c r="B163" s="2671"/>
      <c r="C163" s="2671"/>
      <c r="D163" s="2677"/>
      <c r="E163" s="2678"/>
      <c r="F163" s="2678"/>
      <c r="G163" s="647"/>
      <c r="H163" s="648"/>
      <c r="I163" s="649"/>
      <c r="J163" s="2551"/>
      <c r="K163" s="2679"/>
      <c r="L163" s="2679"/>
      <c r="M163" s="2680"/>
      <c r="N163" s="2681"/>
      <c r="O163" s="2567"/>
      <c r="P163" s="2679"/>
      <c r="Q163" s="2685"/>
      <c r="R163" s="2686"/>
      <c r="S163" s="2679"/>
      <c r="T163" s="2525"/>
      <c r="U163" s="525" t="s">
        <v>619</v>
      </c>
      <c r="V163" s="612">
        <v>3000000</v>
      </c>
      <c r="W163" s="2687"/>
      <c r="X163" s="2668"/>
      <c r="Y163" s="2683"/>
      <c r="Z163" s="2683"/>
      <c r="AA163" s="2683"/>
      <c r="AB163" s="2683"/>
      <c r="AC163" s="2683"/>
      <c r="AD163" s="2683"/>
      <c r="AE163" s="2683"/>
      <c r="AF163" s="2683"/>
      <c r="AG163" s="2683"/>
      <c r="AH163" s="2683"/>
      <c r="AI163" s="2683"/>
      <c r="AJ163" s="2683"/>
      <c r="AK163" s="2683"/>
      <c r="AL163" s="2683"/>
      <c r="AM163" s="2683"/>
      <c r="AN163" s="2692"/>
      <c r="AO163" s="2689"/>
      <c r="AP163" s="2689"/>
      <c r="AQ163" s="2538"/>
    </row>
    <row r="164" spans="1:43" ht="138.75" customHeight="1">
      <c r="A164" s="2670"/>
      <c r="B164" s="2671"/>
      <c r="C164" s="2671"/>
      <c r="D164" s="2677"/>
      <c r="E164" s="2678"/>
      <c r="F164" s="2678"/>
      <c r="G164" s="647"/>
      <c r="H164" s="648"/>
      <c r="I164" s="649"/>
      <c r="J164" s="2551"/>
      <c r="K164" s="2679"/>
      <c r="L164" s="2679"/>
      <c r="M164" s="2680"/>
      <c r="N164" s="2681"/>
      <c r="O164" s="2567"/>
      <c r="P164" s="2679"/>
      <c r="Q164" s="2685"/>
      <c r="R164" s="2686"/>
      <c r="S164" s="2679"/>
      <c r="T164" s="2525"/>
      <c r="U164" s="525" t="s">
        <v>620</v>
      </c>
      <c r="V164" s="612">
        <v>2000000</v>
      </c>
      <c r="W164" s="2687"/>
      <c r="X164" s="2668"/>
      <c r="Y164" s="2683"/>
      <c r="Z164" s="2683"/>
      <c r="AA164" s="2683"/>
      <c r="AB164" s="2683"/>
      <c r="AC164" s="2683"/>
      <c r="AD164" s="2683"/>
      <c r="AE164" s="2683"/>
      <c r="AF164" s="2683"/>
      <c r="AG164" s="2683"/>
      <c r="AH164" s="2683"/>
      <c r="AI164" s="2683"/>
      <c r="AJ164" s="2683"/>
      <c r="AK164" s="2683"/>
      <c r="AL164" s="2683"/>
      <c r="AM164" s="2683"/>
      <c r="AN164" s="2692"/>
      <c r="AO164" s="2689"/>
      <c r="AP164" s="2689"/>
      <c r="AQ164" s="2538"/>
    </row>
    <row r="165" spans="1:43" ht="40.5" customHeight="1" thickBot="1">
      <c r="A165" s="2672"/>
      <c r="B165" s="2673"/>
      <c r="C165" s="2673"/>
      <c r="D165" s="2677"/>
      <c r="E165" s="2678"/>
      <c r="F165" s="2678"/>
      <c r="G165" s="647"/>
      <c r="H165" s="648"/>
      <c r="I165" s="649"/>
      <c r="J165" s="2551"/>
      <c r="K165" s="2679"/>
      <c r="L165" s="2679"/>
      <c r="M165" s="2680"/>
      <c r="N165" s="2681"/>
      <c r="O165" s="2567"/>
      <c r="P165" s="2679"/>
      <c r="Q165" s="2685"/>
      <c r="R165" s="2686"/>
      <c r="S165" s="2679"/>
      <c r="T165" s="2525"/>
      <c r="U165" s="624" t="s">
        <v>621</v>
      </c>
      <c r="V165" s="621">
        <v>1000000</v>
      </c>
      <c r="W165" s="2687"/>
      <c r="X165" s="2668"/>
      <c r="Y165" s="2684"/>
      <c r="Z165" s="2684"/>
      <c r="AA165" s="2684"/>
      <c r="AB165" s="2684"/>
      <c r="AC165" s="2684"/>
      <c r="AD165" s="2684"/>
      <c r="AE165" s="2684"/>
      <c r="AF165" s="2684"/>
      <c r="AG165" s="2684"/>
      <c r="AH165" s="2684"/>
      <c r="AI165" s="2684"/>
      <c r="AJ165" s="2684"/>
      <c r="AK165" s="2684"/>
      <c r="AL165" s="2684"/>
      <c r="AM165" s="2684"/>
      <c r="AN165" s="2693"/>
      <c r="AO165" s="2690"/>
      <c r="AP165" s="2690"/>
      <c r="AQ165" s="2456"/>
    </row>
    <row r="166" spans="1:43" s="220" customFormat="1" ht="24" customHeight="1" thickBot="1">
      <c r="A166" s="206"/>
      <c r="B166" s="207"/>
      <c r="C166" s="207"/>
      <c r="D166" s="207"/>
      <c r="E166" s="207"/>
      <c r="F166" s="207"/>
      <c r="G166" s="207"/>
      <c r="H166" s="207"/>
      <c r="I166" s="207"/>
      <c r="J166" s="207"/>
      <c r="K166" s="650"/>
      <c r="L166" s="217"/>
      <c r="M166" s="651"/>
      <c r="N166" s="217"/>
      <c r="O166" s="652"/>
      <c r="P166" s="324" t="s">
        <v>225</v>
      </c>
      <c r="Q166" s="653"/>
      <c r="R166" s="654">
        <f>R161+R152+R147+R146+R141+R133+R130+R128+R121+R119+R114+R111+R108+R97+R93+R89+R85+R83+R78+R75+R68+R65+R50+R47+R43+R37+R36+R33+R19+R16+R15+R14</f>
        <v>9034516954.380001</v>
      </c>
      <c r="S166" s="655"/>
      <c r="T166" s="217"/>
      <c r="U166" s="656"/>
      <c r="V166" s="657">
        <f>SUM(V14:V165)</f>
        <v>9034516954.380001</v>
      </c>
      <c r="W166" s="216"/>
      <c r="X166" s="652"/>
      <c r="Y166" s="207"/>
      <c r="Z166" s="207"/>
      <c r="AA166" s="207"/>
      <c r="AB166" s="207"/>
      <c r="AC166" s="207"/>
      <c r="AD166" s="207"/>
      <c r="AE166" s="207"/>
      <c r="AF166" s="207"/>
      <c r="AG166" s="207"/>
      <c r="AH166" s="207"/>
      <c r="AI166" s="207"/>
      <c r="AJ166" s="207"/>
      <c r="AK166" s="207"/>
      <c r="AL166" s="207"/>
      <c r="AM166" s="207"/>
      <c r="AN166" s="207"/>
      <c r="AO166" s="218"/>
      <c r="AP166" s="219"/>
      <c r="AQ166" s="658"/>
    </row>
    <row r="167" ht="61.5" customHeight="1">
      <c r="P167" s="660"/>
    </row>
    <row r="168" spans="5:9" ht="27" customHeight="1">
      <c r="E168" s="333" t="s">
        <v>622</v>
      </c>
      <c r="F168" s="618"/>
      <c r="G168" s="618"/>
      <c r="H168" s="618"/>
      <c r="I168" s="618"/>
    </row>
    <row r="169" ht="18" customHeight="1">
      <c r="E169" s="334" t="s">
        <v>623</v>
      </c>
    </row>
  </sheetData>
  <sheetProtection password="CBEB" sheet="1" objects="1" scenarios="1"/>
  <mergeCells count="464">
    <mergeCell ref="AP161:AP165"/>
    <mergeCell ref="AQ161:AQ165"/>
    <mergeCell ref="AJ161:AJ165"/>
    <mergeCell ref="AK161:AK165"/>
    <mergeCell ref="AL161:AL165"/>
    <mergeCell ref="AM161:AM165"/>
    <mergeCell ref="AN161:AN165"/>
    <mergeCell ref="AO161:AO165"/>
    <mergeCell ref="AD161:AD165"/>
    <mergeCell ref="AE161:AE165"/>
    <mergeCell ref="AF161:AF165"/>
    <mergeCell ref="AG161:AG165"/>
    <mergeCell ref="AH161:AH165"/>
    <mergeCell ref="AI161:AI165"/>
    <mergeCell ref="X161:X165"/>
    <mergeCell ref="Y161:Y165"/>
    <mergeCell ref="Z161:Z165"/>
    <mergeCell ref="AA161:AA165"/>
    <mergeCell ref="AB161:AB165"/>
    <mergeCell ref="AC161:AC165"/>
    <mergeCell ref="P161:P165"/>
    <mergeCell ref="Q161:Q165"/>
    <mergeCell ref="R161:R165"/>
    <mergeCell ref="S161:S165"/>
    <mergeCell ref="T161:T165"/>
    <mergeCell ref="W161:W165"/>
    <mergeCell ref="AH133:AH150"/>
    <mergeCell ref="AI133:AI150"/>
    <mergeCell ref="AP152:AP157"/>
    <mergeCell ref="AQ152:AQ157"/>
    <mergeCell ref="A159:C165"/>
    <mergeCell ref="D160:F165"/>
    <mergeCell ref="J161:J165"/>
    <mergeCell ref="K161:K165"/>
    <mergeCell ref="L161:L165"/>
    <mergeCell ref="M161:M165"/>
    <mergeCell ref="N161:N165"/>
    <mergeCell ref="O161:O165"/>
    <mergeCell ref="AJ152:AJ157"/>
    <mergeCell ref="AK152:AK157"/>
    <mergeCell ref="AL152:AL157"/>
    <mergeCell ref="AM152:AM157"/>
    <mergeCell ref="AN152:AN157"/>
    <mergeCell ref="AO152:AO157"/>
    <mergeCell ref="AD152:AD157"/>
    <mergeCell ref="AE152:AE157"/>
    <mergeCell ref="AF152:AF157"/>
    <mergeCell ref="AG152:AG157"/>
    <mergeCell ref="AH152:AH157"/>
    <mergeCell ref="AI152:AI157"/>
    <mergeCell ref="AA152:AA157"/>
    <mergeCell ref="AB152:AB157"/>
    <mergeCell ref="AQ133:AQ150"/>
    <mergeCell ref="J141:J145"/>
    <mergeCell ref="K141:K145"/>
    <mergeCell ref="L141:L145"/>
    <mergeCell ref="M141:M145"/>
    <mergeCell ref="Q141:Q145"/>
    <mergeCell ref="J147:J150"/>
    <mergeCell ref="K147:K150"/>
    <mergeCell ref="L147:L150"/>
    <mergeCell ref="M147:M150"/>
    <mergeCell ref="AK133:AK150"/>
    <mergeCell ref="AL133:AL150"/>
    <mergeCell ref="AM133:AM150"/>
    <mergeCell ref="AN133:AN150"/>
    <mergeCell ref="AO133:AO150"/>
    <mergeCell ref="AP133:AP150"/>
    <mergeCell ref="AE133:AE150"/>
    <mergeCell ref="AF133:AF150"/>
    <mergeCell ref="AB133:AB150"/>
    <mergeCell ref="AC133:AC150"/>
    <mergeCell ref="AD133:AD150"/>
    <mergeCell ref="AG133:AG150"/>
    <mergeCell ref="X133:X150"/>
    <mergeCell ref="Q147:Q150"/>
    <mergeCell ref="J152:J157"/>
    <mergeCell ref="K152:K157"/>
    <mergeCell ref="L152:L157"/>
    <mergeCell ref="M152:M157"/>
    <mergeCell ref="N152:N157"/>
    <mergeCell ref="O152:O157"/>
    <mergeCell ref="Z152:Z157"/>
    <mergeCell ref="X152:X157"/>
    <mergeCell ref="Y152:Y157"/>
    <mergeCell ref="AP128:AP130"/>
    <mergeCell ref="AQ128:AQ130"/>
    <mergeCell ref="AK128:AK130"/>
    <mergeCell ref="AL128:AL130"/>
    <mergeCell ref="AM128:AM130"/>
    <mergeCell ref="AN128:AN130"/>
    <mergeCell ref="AO128:AO130"/>
    <mergeCell ref="S128:S130"/>
    <mergeCell ref="T128:T130"/>
    <mergeCell ref="W128:W130"/>
    <mergeCell ref="AJ128:AJ130"/>
    <mergeCell ref="AD128:AD130"/>
    <mergeCell ref="AE128:AE130"/>
    <mergeCell ref="AF128:AF130"/>
    <mergeCell ref="AG128:AG130"/>
    <mergeCell ref="AH128:AH130"/>
    <mergeCell ref="AI128:AI130"/>
    <mergeCell ref="X128:X130"/>
    <mergeCell ref="Y128:Y130"/>
    <mergeCell ref="Z128:Z130"/>
    <mergeCell ref="AA128:AA130"/>
    <mergeCell ref="AB128:AB130"/>
    <mergeCell ref="AC128:AC130"/>
    <mergeCell ref="AJ133:AJ150"/>
    <mergeCell ref="Y133:Y150"/>
    <mergeCell ref="Z133:Z150"/>
    <mergeCell ref="AA133:AA150"/>
    <mergeCell ref="D132:F157"/>
    <mergeCell ref="J133:J140"/>
    <mergeCell ref="K133:K140"/>
    <mergeCell ref="L133:L140"/>
    <mergeCell ref="M133:M140"/>
    <mergeCell ref="N133:N150"/>
    <mergeCell ref="O133:O150"/>
    <mergeCell ref="P133:P150"/>
    <mergeCell ref="AC152:AC157"/>
    <mergeCell ref="P152:P157"/>
    <mergeCell ref="Q152:Q157"/>
    <mergeCell ref="R152:R157"/>
    <mergeCell ref="S152:S157"/>
    <mergeCell ref="T152:T157"/>
    <mergeCell ref="W152:W157"/>
    <mergeCell ref="Q133:Q140"/>
    <mergeCell ref="R133:R150"/>
    <mergeCell ref="S133:S150"/>
    <mergeCell ref="T133:T150"/>
    <mergeCell ref="W133:W150"/>
    <mergeCell ref="P128:P130"/>
    <mergeCell ref="Q128:Q129"/>
    <mergeCell ref="R128:R130"/>
    <mergeCell ref="O128:O130"/>
    <mergeCell ref="L119:L120"/>
    <mergeCell ref="M119:M120"/>
    <mergeCell ref="Q119:Q120"/>
    <mergeCell ref="J121:J126"/>
    <mergeCell ref="K121:K126"/>
    <mergeCell ref="L121:L126"/>
    <mergeCell ref="M121:M126"/>
    <mergeCell ref="Q121:Q126"/>
    <mergeCell ref="AO108:AO126"/>
    <mergeCell ref="AP108:AP126"/>
    <mergeCell ref="AQ108:AQ126"/>
    <mergeCell ref="J111:J113"/>
    <mergeCell ref="K111:K113"/>
    <mergeCell ref="L111:L113"/>
    <mergeCell ref="M111:M113"/>
    <mergeCell ref="Q111:Q113"/>
    <mergeCell ref="J114:J118"/>
    <mergeCell ref="K114:K118"/>
    <mergeCell ref="AI108:AI126"/>
    <mergeCell ref="AJ108:AJ126"/>
    <mergeCell ref="AK108:AK126"/>
    <mergeCell ref="AL108:AL126"/>
    <mergeCell ref="AM108:AM126"/>
    <mergeCell ref="AN108:AN126"/>
    <mergeCell ref="AC108:AC126"/>
    <mergeCell ref="AD108:AD126"/>
    <mergeCell ref="AE108:AE126"/>
    <mergeCell ref="AF108:AF126"/>
    <mergeCell ref="AG108:AG126"/>
    <mergeCell ref="AH108:AH126"/>
    <mergeCell ref="W108:W126"/>
    <mergeCell ref="X108:X126"/>
    <mergeCell ref="Y108:Y126"/>
    <mergeCell ref="Z108:Z126"/>
    <mergeCell ref="AA108:AA126"/>
    <mergeCell ref="AB108:AB126"/>
    <mergeCell ref="O108:O126"/>
    <mergeCell ref="P108:P126"/>
    <mergeCell ref="Q108:Q110"/>
    <mergeCell ref="R108:R126"/>
    <mergeCell ref="S108:S126"/>
    <mergeCell ref="T108:T126"/>
    <mergeCell ref="Q114:Q118"/>
    <mergeCell ref="D107:F130"/>
    <mergeCell ref="J108:J110"/>
    <mergeCell ref="K108:K110"/>
    <mergeCell ref="L108:L110"/>
    <mergeCell ref="M108:M110"/>
    <mergeCell ref="N108:N126"/>
    <mergeCell ref="L114:L118"/>
    <mergeCell ref="M114:M118"/>
    <mergeCell ref="J119:J120"/>
    <mergeCell ref="K119:K120"/>
    <mergeCell ref="J128:J129"/>
    <mergeCell ref="K128:K129"/>
    <mergeCell ref="L128:L129"/>
    <mergeCell ref="M128:M129"/>
    <mergeCell ref="N128:N130"/>
    <mergeCell ref="AN93:AN105"/>
    <mergeCell ref="AO93:AO105"/>
    <mergeCell ref="AP93:AP105"/>
    <mergeCell ref="AQ93:AQ105"/>
    <mergeCell ref="U95:U96"/>
    <mergeCell ref="V95:V96"/>
    <mergeCell ref="U98:U99"/>
    <mergeCell ref="V98:V99"/>
    <mergeCell ref="U103:U104"/>
    <mergeCell ref="V103:V104"/>
    <mergeCell ref="AH93:AH105"/>
    <mergeCell ref="AI93:AI105"/>
    <mergeCell ref="AJ93:AJ105"/>
    <mergeCell ref="AK93:AK105"/>
    <mergeCell ref="AL93:AL105"/>
    <mergeCell ref="AM93:AM105"/>
    <mergeCell ref="AB93:AB105"/>
    <mergeCell ref="AC93:AC105"/>
    <mergeCell ref="AD93:AD105"/>
    <mergeCell ref="AE93:AE105"/>
    <mergeCell ref="AF93:AF105"/>
    <mergeCell ref="AG93:AG105"/>
    <mergeCell ref="V93:V94"/>
    <mergeCell ref="W93:W105"/>
    <mergeCell ref="X93:X105"/>
    <mergeCell ref="Y93:Y105"/>
    <mergeCell ref="Z93:Z105"/>
    <mergeCell ref="AA93:AA105"/>
    <mergeCell ref="P93:P105"/>
    <mergeCell ref="Q93:Q96"/>
    <mergeCell ref="R93:R105"/>
    <mergeCell ref="S93:S105"/>
    <mergeCell ref="T93:T105"/>
    <mergeCell ref="U93:U94"/>
    <mergeCell ref="Q97:Q105"/>
    <mergeCell ref="K93:K96"/>
    <mergeCell ref="L93:L96"/>
    <mergeCell ref="M93:M96"/>
    <mergeCell ref="N93:N105"/>
    <mergeCell ref="O93:O105"/>
    <mergeCell ref="J97:J105"/>
    <mergeCell ref="K97:K105"/>
    <mergeCell ref="L97:L105"/>
    <mergeCell ref="M97:M105"/>
    <mergeCell ref="AP83:AP91"/>
    <mergeCell ref="O83:O91"/>
    <mergeCell ref="AQ83:AQ91"/>
    <mergeCell ref="J85:J88"/>
    <mergeCell ref="K85:K88"/>
    <mergeCell ref="L85:L88"/>
    <mergeCell ref="M85:M88"/>
    <mergeCell ref="Q85:Q88"/>
    <mergeCell ref="J89:J91"/>
    <mergeCell ref="K89:K91"/>
    <mergeCell ref="L89:L91"/>
    <mergeCell ref="AJ83:AJ91"/>
    <mergeCell ref="AK83:AK91"/>
    <mergeCell ref="AL83:AL91"/>
    <mergeCell ref="AM83:AM91"/>
    <mergeCell ref="AN83:AN91"/>
    <mergeCell ref="AO83:AO91"/>
    <mergeCell ref="AD83:AD91"/>
    <mergeCell ref="AE83:AE91"/>
    <mergeCell ref="AF83:AF91"/>
    <mergeCell ref="AG83:AG91"/>
    <mergeCell ref="AH83:AH91"/>
    <mergeCell ref="AI83:AI91"/>
    <mergeCell ref="X83:X91"/>
    <mergeCell ref="U78:U79"/>
    <mergeCell ref="Q75:Q77"/>
    <mergeCell ref="P83:P91"/>
    <mergeCell ref="Q83:Q84"/>
    <mergeCell ref="R83:R91"/>
    <mergeCell ref="S83:S91"/>
    <mergeCell ref="T83:T91"/>
    <mergeCell ref="W83:W91"/>
    <mergeCell ref="Q89:Q91"/>
    <mergeCell ref="Z83:Z91"/>
    <mergeCell ref="AA83:AA91"/>
    <mergeCell ref="AB83:AB91"/>
    <mergeCell ref="AN50:AN81"/>
    <mergeCell ref="Y50:Y81"/>
    <mergeCell ref="Z50:Z81"/>
    <mergeCell ref="AA50:AA81"/>
    <mergeCell ref="V62:V63"/>
    <mergeCell ref="V69:V70"/>
    <mergeCell ref="Y83:Y91"/>
    <mergeCell ref="AC83:AC91"/>
    <mergeCell ref="AO50:AO81"/>
    <mergeCell ref="AP50:AP81"/>
    <mergeCell ref="AQ50:AQ81"/>
    <mergeCell ref="U52:U53"/>
    <mergeCell ref="U54:U55"/>
    <mergeCell ref="U56:U57"/>
    <mergeCell ref="U58:U59"/>
    <mergeCell ref="U60:U61"/>
    <mergeCell ref="U62:U63"/>
    <mergeCell ref="AH50:AH81"/>
    <mergeCell ref="AI50:AI81"/>
    <mergeCell ref="AJ50:AJ81"/>
    <mergeCell ref="AK50:AK81"/>
    <mergeCell ref="AL50:AL81"/>
    <mergeCell ref="AM50:AM81"/>
    <mergeCell ref="AB50:AB81"/>
    <mergeCell ref="AC50:AC81"/>
    <mergeCell ref="AD50:AD81"/>
    <mergeCell ref="AE50:AE81"/>
    <mergeCell ref="AF50:AF81"/>
    <mergeCell ref="AG50:AG81"/>
    <mergeCell ref="U50:U51"/>
    <mergeCell ref="W50:W81"/>
    <mergeCell ref="X50:X81"/>
    <mergeCell ref="D49:F105"/>
    <mergeCell ref="J50:J64"/>
    <mergeCell ref="K50:K64"/>
    <mergeCell ref="L50:L64"/>
    <mergeCell ref="M50:M64"/>
    <mergeCell ref="N50:N81"/>
    <mergeCell ref="J65:J67"/>
    <mergeCell ref="K65:K67"/>
    <mergeCell ref="L65:L67"/>
    <mergeCell ref="M65:M67"/>
    <mergeCell ref="J75:J77"/>
    <mergeCell ref="K75:K77"/>
    <mergeCell ref="L75:L77"/>
    <mergeCell ref="M75:M77"/>
    <mergeCell ref="J68:J74"/>
    <mergeCell ref="K68:K74"/>
    <mergeCell ref="L68:L74"/>
    <mergeCell ref="M68:M74"/>
    <mergeCell ref="J83:J84"/>
    <mergeCell ref="K83:K84"/>
    <mergeCell ref="L83:L84"/>
    <mergeCell ref="M89:M91"/>
    <mergeCell ref="J78:J81"/>
    <mergeCell ref="K78:K81"/>
    <mergeCell ref="M83:M84"/>
    <mergeCell ref="N83:N91"/>
    <mergeCell ref="J93:J96"/>
    <mergeCell ref="K43:K46"/>
    <mergeCell ref="L43:L46"/>
    <mergeCell ref="M43:M46"/>
    <mergeCell ref="Q43:Q46"/>
    <mergeCell ref="U43:U44"/>
    <mergeCell ref="V43:V44"/>
    <mergeCell ref="U45:U46"/>
    <mergeCell ref="V45:V46"/>
    <mergeCell ref="U75:U76"/>
    <mergeCell ref="Q68:Q74"/>
    <mergeCell ref="U69:U70"/>
    <mergeCell ref="L78:L81"/>
    <mergeCell ref="M78:M81"/>
    <mergeCell ref="O50:O81"/>
    <mergeCell ref="P50:P81"/>
    <mergeCell ref="Q50:Q64"/>
    <mergeCell ref="R50:R81"/>
    <mergeCell ref="S50:S81"/>
    <mergeCell ref="T50:T81"/>
    <mergeCell ref="Q65:Q67"/>
    <mergeCell ref="Q78:Q81"/>
    <mergeCell ref="AP36:AP47"/>
    <mergeCell ref="AA36:AA47"/>
    <mergeCell ref="AB36:AB47"/>
    <mergeCell ref="AC36:AC47"/>
    <mergeCell ref="O36:O47"/>
    <mergeCell ref="P36:P47"/>
    <mergeCell ref="R36:R47"/>
    <mergeCell ref="S36:S47"/>
    <mergeCell ref="T36:T47"/>
    <mergeCell ref="W36:W47"/>
    <mergeCell ref="AQ36:AQ47"/>
    <mergeCell ref="J37:J42"/>
    <mergeCell ref="K37:K42"/>
    <mergeCell ref="L37:L42"/>
    <mergeCell ref="M37:M42"/>
    <mergeCell ref="Q37:Q42"/>
    <mergeCell ref="U37:U38"/>
    <mergeCell ref="V37:V38"/>
    <mergeCell ref="J43:J46"/>
    <mergeCell ref="AJ36:AJ47"/>
    <mergeCell ref="AK36:AK47"/>
    <mergeCell ref="AL36:AL47"/>
    <mergeCell ref="AM36:AM47"/>
    <mergeCell ref="AN36:AN47"/>
    <mergeCell ref="AO36:AO47"/>
    <mergeCell ref="AD36:AD47"/>
    <mergeCell ref="AE36:AE47"/>
    <mergeCell ref="AF36:AF47"/>
    <mergeCell ref="AG36:AG47"/>
    <mergeCell ref="AH36:AH47"/>
    <mergeCell ref="AI36:AI47"/>
    <mergeCell ref="X36:X47"/>
    <mergeCell ref="Y36:Y47"/>
    <mergeCell ref="Z36:Z47"/>
    <mergeCell ref="K19:K32"/>
    <mergeCell ref="L19:L32"/>
    <mergeCell ref="M19:M32"/>
    <mergeCell ref="Q19:Q32"/>
    <mergeCell ref="J33:J34"/>
    <mergeCell ref="K33:K34"/>
    <mergeCell ref="L33:L34"/>
    <mergeCell ref="M33:M34"/>
    <mergeCell ref="Q33:Q34"/>
    <mergeCell ref="AN14:AN34"/>
    <mergeCell ref="AO14:AO34"/>
    <mergeCell ref="AP14:AP34"/>
    <mergeCell ref="AQ14:AQ34"/>
    <mergeCell ref="J16:J18"/>
    <mergeCell ref="K16:K18"/>
    <mergeCell ref="L16:L18"/>
    <mergeCell ref="M16:M18"/>
    <mergeCell ref="Q16:Q18"/>
    <mergeCell ref="AG14:AG34"/>
    <mergeCell ref="AH14:AH34"/>
    <mergeCell ref="AI14:AI34"/>
    <mergeCell ref="AJ14:AJ34"/>
    <mergeCell ref="AK14:AK34"/>
    <mergeCell ref="AL14:AL34"/>
    <mergeCell ref="AA14:AA34"/>
    <mergeCell ref="AB14:AB34"/>
    <mergeCell ref="AC14:AC34"/>
    <mergeCell ref="AD14:AD34"/>
    <mergeCell ref="AE14:AE34"/>
    <mergeCell ref="AF14:AF34"/>
    <mergeCell ref="S14:S34"/>
    <mergeCell ref="T14:T34"/>
    <mergeCell ref="J19:J32"/>
    <mergeCell ref="W14:W34"/>
    <mergeCell ref="X14:X34"/>
    <mergeCell ref="Y14:Y34"/>
    <mergeCell ref="Z14:Z34"/>
    <mergeCell ref="AO8:AO9"/>
    <mergeCell ref="AP8:AP9"/>
    <mergeCell ref="AQ8:AQ10"/>
    <mergeCell ref="A12:A157"/>
    <mergeCell ref="B12:C157"/>
    <mergeCell ref="D13:F47"/>
    <mergeCell ref="O14:O34"/>
    <mergeCell ref="P14:P34"/>
    <mergeCell ref="R14:R34"/>
    <mergeCell ref="W8:W10"/>
    <mergeCell ref="X8:X10"/>
    <mergeCell ref="Y8:Z8"/>
    <mergeCell ref="AA8:AD8"/>
    <mergeCell ref="AE8:AJ8"/>
    <mergeCell ref="AK8:AM8"/>
    <mergeCell ref="Q8:Q10"/>
    <mergeCell ref="R8:R10"/>
    <mergeCell ref="S8:S10"/>
    <mergeCell ref="T8:T10"/>
    <mergeCell ref="AM14:AM34"/>
    <mergeCell ref="U8:U10"/>
    <mergeCell ref="V8:V10"/>
    <mergeCell ref="J8:J10"/>
    <mergeCell ref="K8:K10"/>
    <mergeCell ref="L8:L10"/>
    <mergeCell ref="N8:N10"/>
    <mergeCell ref="O8:O10"/>
    <mergeCell ref="P8:P10"/>
    <mergeCell ref="A1:AO4"/>
    <mergeCell ref="A5:M6"/>
    <mergeCell ref="N5:AQ5"/>
    <mergeCell ref="Y6:AM6"/>
    <mergeCell ref="A8:A10"/>
    <mergeCell ref="B8:C10"/>
    <mergeCell ref="D8:D10"/>
    <mergeCell ref="E8:F10"/>
    <mergeCell ref="G8:G10"/>
    <mergeCell ref="H8:I10"/>
    <mergeCell ref="M8:M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G59"/>
  <sheetViews>
    <sheetView showGridLines="0" zoomScale="60" zoomScaleNormal="60" zoomScalePageLayoutView="0" workbookViewId="0" topLeftCell="A1">
      <selection activeCell="A1" sqref="A1:AQ4"/>
    </sheetView>
  </sheetViews>
  <sheetFormatPr defaultColWidth="11.421875" defaultRowHeight="15"/>
  <cols>
    <col min="1" max="1" width="12.421875" style="131" customWidth="1"/>
    <col min="2" max="3" width="11.421875" style="131" customWidth="1"/>
    <col min="4" max="4" width="15.421875" style="131" customWidth="1"/>
    <col min="5" max="6" width="11.421875" style="131" customWidth="1"/>
    <col min="7" max="7" width="15.8515625" style="131" customWidth="1"/>
    <col min="8" max="8" width="11.421875" style="131" customWidth="1"/>
    <col min="9" max="9" width="14.57421875" style="131" customWidth="1"/>
    <col min="10" max="10" width="15.8515625" style="131" customWidth="1"/>
    <col min="11" max="11" width="28.7109375" style="664" customWidth="1"/>
    <col min="12" max="12" width="26.140625" style="664" customWidth="1"/>
    <col min="13" max="13" width="23.7109375" style="131" customWidth="1"/>
    <col min="14" max="14" width="39.28125" style="131" customWidth="1"/>
    <col min="15" max="15" width="22.57421875" style="131" customWidth="1"/>
    <col min="16" max="16" width="26.140625" style="664" customWidth="1"/>
    <col min="17" max="17" width="16.8515625" style="131" customWidth="1"/>
    <col min="18" max="18" width="27.00390625" style="2022" customWidth="1"/>
    <col min="19" max="19" width="29.421875" style="664" customWidth="1"/>
    <col min="20" max="20" width="29.00390625" style="664" customWidth="1"/>
    <col min="21" max="21" width="59.421875" style="664" customWidth="1"/>
    <col min="22" max="22" width="28.57421875" style="2023" customWidth="1"/>
    <col min="23" max="23" width="12.8515625" style="131" customWidth="1"/>
    <col min="24" max="24" width="19.8515625" style="942" customWidth="1"/>
    <col min="25" max="40" width="14.140625" style="131" customWidth="1"/>
    <col min="41" max="44" width="16.7109375" style="220" customWidth="1"/>
    <col min="45" max="45" width="23.28125" style="131" customWidth="1"/>
    <col min="46" max="16384" width="11.421875" style="131" customWidth="1"/>
  </cols>
  <sheetData>
    <row r="1" spans="1:45" ht="12" customHeight="1">
      <c r="A1" s="2275" t="s">
        <v>2422</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276"/>
      <c r="AP1" s="2276"/>
      <c r="AQ1" s="2488"/>
      <c r="AR1" s="1713" t="s">
        <v>1</v>
      </c>
      <c r="AS1" s="1714" t="s">
        <v>2</v>
      </c>
    </row>
    <row r="2" spans="1:45" ht="16.5" customHeight="1">
      <c r="A2" s="2277"/>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2"/>
      <c r="AA2" s="2352"/>
      <c r="AB2" s="2352"/>
      <c r="AC2" s="2352"/>
      <c r="AD2" s="2352"/>
      <c r="AE2" s="2352"/>
      <c r="AF2" s="2352"/>
      <c r="AG2" s="2352"/>
      <c r="AH2" s="2352"/>
      <c r="AI2" s="2352"/>
      <c r="AJ2" s="2352"/>
      <c r="AK2" s="2352"/>
      <c r="AL2" s="2352"/>
      <c r="AM2" s="2352"/>
      <c r="AN2" s="2352"/>
      <c r="AO2" s="2352"/>
      <c r="AP2" s="2352"/>
      <c r="AQ2" s="2489"/>
      <c r="AR2" s="243" t="s">
        <v>3</v>
      </c>
      <c r="AS2" s="1715">
        <v>6</v>
      </c>
    </row>
    <row r="3" spans="1:45" ht="18" customHeight="1">
      <c r="A3" s="2277"/>
      <c r="B3" s="2352"/>
      <c r="C3" s="2352"/>
      <c r="D3" s="2352"/>
      <c r="E3" s="2352"/>
      <c r="F3" s="2352"/>
      <c r="G3" s="2352"/>
      <c r="H3" s="2352"/>
      <c r="I3" s="2352"/>
      <c r="J3" s="2352"/>
      <c r="K3" s="2352"/>
      <c r="L3" s="2352"/>
      <c r="M3" s="2352"/>
      <c r="N3" s="2352"/>
      <c r="O3" s="2352"/>
      <c r="P3" s="2352"/>
      <c r="Q3" s="2352"/>
      <c r="R3" s="2352"/>
      <c r="S3" s="2352"/>
      <c r="T3" s="2352"/>
      <c r="U3" s="2352"/>
      <c r="V3" s="2352"/>
      <c r="W3" s="2352"/>
      <c r="X3" s="2352"/>
      <c r="Y3" s="2352"/>
      <c r="Z3" s="2352"/>
      <c r="AA3" s="2352"/>
      <c r="AB3" s="2352"/>
      <c r="AC3" s="2352"/>
      <c r="AD3" s="2352"/>
      <c r="AE3" s="2352"/>
      <c r="AF3" s="2352"/>
      <c r="AG3" s="2352"/>
      <c r="AH3" s="2352"/>
      <c r="AI3" s="2352"/>
      <c r="AJ3" s="2352"/>
      <c r="AK3" s="2352"/>
      <c r="AL3" s="2352"/>
      <c r="AM3" s="2352"/>
      <c r="AN3" s="2352"/>
      <c r="AO3" s="2352"/>
      <c r="AP3" s="2352"/>
      <c r="AQ3" s="2489"/>
      <c r="AR3" s="242" t="s">
        <v>5</v>
      </c>
      <c r="AS3" s="1716" t="s">
        <v>6</v>
      </c>
    </row>
    <row r="4" spans="1:45" s="247" customFormat="1" ht="13.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2280"/>
      <c r="AQ4" s="2490"/>
      <c r="AR4" s="134" t="s">
        <v>7</v>
      </c>
      <c r="AS4" s="1717" t="s">
        <v>184</v>
      </c>
    </row>
    <row r="5" spans="1:45" ht="27" customHeight="1">
      <c r="A5" s="2353" t="s">
        <v>9</v>
      </c>
      <c r="B5" s="2285"/>
      <c r="C5" s="2285"/>
      <c r="D5" s="2285"/>
      <c r="E5" s="2285"/>
      <c r="F5" s="2285"/>
      <c r="G5" s="2285"/>
      <c r="H5" s="2285"/>
      <c r="I5" s="2285"/>
      <c r="J5" s="2285"/>
      <c r="K5" s="2285"/>
      <c r="L5" s="2285"/>
      <c r="M5" s="2285"/>
      <c r="N5" s="248"/>
      <c r="O5" s="248"/>
      <c r="P5" s="2285" t="s">
        <v>10</v>
      </c>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5"/>
      <c r="AR5" s="2285"/>
      <c r="AS5" s="2286"/>
    </row>
    <row r="6" spans="1:45" ht="18" customHeight="1">
      <c r="A6" s="2353"/>
      <c r="B6" s="2285"/>
      <c r="C6" s="2285"/>
      <c r="D6" s="2285"/>
      <c r="E6" s="2285"/>
      <c r="F6" s="2285"/>
      <c r="G6" s="2285"/>
      <c r="H6" s="2285"/>
      <c r="I6" s="2285"/>
      <c r="J6" s="2285"/>
      <c r="K6" s="2285"/>
      <c r="L6" s="2285"/>
      <c r="M6" s="2285"/>
      <c r="N6" s="248"/>
      <c r="O6" s="249"/>
      <c r="P6" s="2694"/>
      <c r="Q6" s="2354"/>
      <c r="R6" s="2354"/>
      <c r="S6" s="2354"/>
      <c r="T6" s="2354"/>
      <c r="U6" s="2354"/>
      <c r="V6" s="2354"/>
      <c r="W6" s="2354"/>
      <c r="X6" s="2356"/>
      <c r="Y6" s="250"/>
      <c r="Z6" s="250"/>
      <c r="AA6" s="250"/>
      <c r="AB6" s="250"/>
      <c r="AC6" s="250"/>
      <c r="AD6" s="250"/>
      <c r="AE6" s="250"/>
      <c r="AF6" s="250"/>
      <c r="AG6" s="250"/>
      <c r="AH6" s="250"/>
      <c r="AI6" s="250"/>
      <c r="AJ6" s="250"/>
      <c r="AK6" s="250"/>
      <c r="AL6" s="250"/>
      <c r="AM6" s="250"/>
      <c r="AN6" s="250"/>
      <c r="AO6" s="2694"/>
      <c r="AP6" s="2354"/>
      <c r="AQ6" s="2354"/>
      <c r="AR6" s="2354"/>
      <c r="AS6" s="2355"/>
    </row>
    <row r="7" spans="1:45" s="1925" customFormat="1" ht="30.75" customHeight="1">
      <c r="A7" s="2289" t="s">
        <v>12</v>
      </c>
      <c r="B7" s="2312" t="s">
        <v>13</v>
      </c>
      <c r="C7" s="2695"/>
      <c r="D7" s="2358" t="s">
        <v>12</v>
      </c>
      <c r="E7" s="2358" t="s">
        <v>14</v>
      </c>
      <c r="F7" s="2358"/>
      <c r="G7" s="2358" t="s">
        <v>12</v>
      </c>
      <c r="H7" s="2358" t="s">
        <v>15</v>
      </c>
      <c r="I7" s="2358"/>
      <c r="J7" s="2358" t="s">
        <v>12</v>
      </c>
      <c r="K7" s="2358" t="s">
        <v>16</v>
      </c>
      <c r="L7" s="2358" t="s">
        <v>17</v>
      </c>
      <c r="M7" s="2271" t="s">
        <v>18</v>
      </c>
      <c r="N7" s="2358" t="s">
        <v>19</v>
      </c>
      <c r="O7" s="2358" t="s">
        <v>20</v>
      </c>
      <c r="P7" s="2358" t="s">
        <v>10</v>
      </c>
      <c r="Q7" s="2533" t="s">
        <v>21</v>
      </c>
      <c r="R7" s="2697" t="s">
        <v>22</v>
      </c>
      <c r="S7" s="2358" t="s">
        <v>23</v>
      </c>
      <c r="T7" s="2358" t="s">
        <v>24</v>
      </c>
      <c r="U7" s="2358" t="s">
        <v>25</v>
      </c>
      <c r="V7" s="2702" t="s">
        <v>22</v>
      </c>
      <c r="W7" s="2529" t="s">
        <v>12</v>
      </c>
      <c r="X7" s="2358" t="s">
        <v>26</v>
      </c>
      <c r="Y7" s="2178" t="s">
        <v>27</v>
      </c>
      <c r="Z7" s="2179"/>
      <c r="AA7" s="2180" t="s">
        <v>28</v>
      </c>
      <c r="AB7" s="2181"/>
      <c r="AC7" s="2181"/>
      <c r="AD7" s="2181"/>
      <c r="AE7" s="2182" t="s">
        <v>29</v>
      </c>
      <c r="AF7" s="2183"/>
      <c r="AG7" s="2183"/>
      <c r="AH7" s="2183"/>
      <c r="AI7" s="2183"/>
      <c r="AJ7" s="2183"/>
      <c r="AK7" s="2180" t="s">
        <v>30</v>
      </c>
      <c r="AL7" s="2181"/>
      <c r="AM7" s="2181"/>
      <c r="AN7" s="2291" t="s">
        <v>31</v>
      </c>
      <c r="AO7" s="2698" t="s">
        <v>32</v>
      </c>
      <c r="AP7" s="2699"/>
      <c r="AQ7" s="2698" t="s">
        <v>33</v>
      </c>
      <c r="AR7" s="2699"/>
      <c r="AS7" s="2363" t="s">
        <v>34</v>
      </c>
    </row>
    <row r="8" spans="1:45" s="1925" customFormat="1" ht="125.25" customHeight="1">
      <c r="A8" s="2290"/>
      <c r="B8" s="2313"/>
      <c r="C8" s="2696"/>
      <c r="D8" s="2358"/>
      <c r="E8" s="2358"/>
      <c r="F8" s="2358"/>
      <c r="G8" s="2358"/>
      <c r="H8" s="2358"/>
      <c r="I8" s="2358"/>
      <c r="J8" s="2358"/>
      <c r="K8" s="2358"/>
      <c r="L8" s="2358"/>
      <c r="M8" s="2272"/>
      <c r="N8" s="2358"/>
      <c r="O8" s="2358"/>
      <c r="P8" s="2358"/>
      <c r="Q8" s="2533"/>
      <c r="R8" s="2697"/>
      <c r="S8" s="2358"/>
      <c r="T8" s="2358"/>
      <c r="U8" s="2358"/>
      <c r="V8" s="2703"/>
      <c r="W8" s="2529"/>
      <c r="X8" s="2358"/>
      <c r="Y8" s="1926" t="s">
        <v>35</v>
      </c>
      <c r="Z8" s="1927" t="s">
        <v>2423</v>
      </c>
      <c r="AA8" s="1928" t="s">
        <v>37</v>
      </c>
      <c r="AB8" s="1928" t="s">
        <v>137</v>
      </c>
      <c r="AC8" s="1928" t="s">
        <v>138</v>
      </c>
      <c r="AD8" s="1928" t="s">
        <v>139</v>
      </c>
      <c r="AE8" s="1929" t="s">
        <v>41</v>
      </c>
      <c r="AF8" s="1930" t="s">
        <v>42</v>
      </c>
      <c r="AG8" s="1929" t="s">
        <v>43</v>
      </c>
      <c r="AH8" s="1930" t="s">
        <v>44</v>
      </c>
      <c r="AI8" s="1929" t="s">
        <v>2424</v>
      </c>
      <c r="AJ8" s="1929" t="s">
        <v>46</v>
      </c>
      <c r="AK8" s="1928" t="s">
        <v>47</v>
      </c>
      <c r="AL8" s="1928" t="s">
        <v>48</v>
      </c>
      <c r="AM8" s="1928" t="s">
        <v>2425</v>
      </c>
      <c r="AN8" s="2293"/>
      <c r="AO8" s="2700"/>
      <c r="AP8" s="2701"/>
      <c r="AQ8" s="2700"/>
      <c r="AR8" s="2701"/>
      <c r="AS8" s="2363"/>
    </row>
    <row r="9" spans="1:45" s="1935" customFormat="1" ht="18" customHeight="1">
      <c r="A9" s="2290"/>
      <c r="B9" s="2313"/>
      <c r="C9" s="2696"/>
      <c r="D9" s="2358"/>
      <c r="E9" s="2358"/>
      <c r="F9" s="2358"/>
      <c r="G9" s="2358"/>
      <c r="H9" s="2358"/>
      <c r="I9" s="2358"/>
      <c r="J9" s="2358"/>
      <c r="K9" s="2358"/>
      <c r="L9" s="2358"/>
      <c r="M9" s="2273"/>
      <c r="N9" s="2358"/>
      <c r="O9" s="2358"/>
      <c r="P9" s="2358"/>
      <c r="Q9" s="2533"/>
      <c r="R9" s="2697"/>
      <c r="S9" s="2358"/>
      <c r="T9" s="2358"/>
      <c r="U9" s="2358"/>
      <c r="V9" s="2704"/>
      <c r="W9" s="2529"/>
      <c r="X9" s="2358"/>
      <c r="Y9" s="1931"/>
      <c r="Z9" s="1932"/>
      <c r="AA9" s="1933"/>
      <c r="AB9" s="1933"/>
      <c r="AC9" s="1933"/>
      <c r="AD9" s="1933"/>
      <c r="AE9" s="1933"/>
      <c r="AF9" s="1933"/>
      <c r="AG9" s="1933"/>
      <c r="AH9" s="1933"/>
      <c r="AI9" s="1933"/>
      <c r="AJ9" s="1933"/>
      <c r="AK9" s="1933"/>
      <c r="AL9" s="1933"/>
      <c r="AM9" s="1933"/>
      <c r="AN9" s="1933"/>
      <c r="AO9" s="1934"/>
      <c r="AP9" s="1088"/>
      <c r="AQ9" s="1934"/>
      <c r="AR9" s="1088"/>
      <c r="AS9" s="2363"/>
    </row>
    <row r="10" spans="1:45" s="334" customFormat="1" ht="15" customHeight="1">
      <c r="A10" s="1936">
        <v>3</v>
      </c>
      <c r="B10" s="1937" t="s">
        <v>2426</v>
      </c>
      <c r="C10" s="1856"/>
      <c r="D10" s="1938"/>
      <c r="E10" s="1856"/>
      <c r="F10" s="1856"/>
      <c r="G10" s="1856"/>
      <c r="H10" s="1856"/>
      <c r="I10" s="1856"/>
      <c r="J10" s="1856"/>
      <c r="K10" s="1939"/>
      <c r="L10" s="1939"/>
      <c r="M10" s="1856"/>
      <c r="N10" s="1856"/>
      <c r="O10" s="1856"/>
      <c r="P10" s="1939"/>
      <c r="Q10" s="1856"/>
      <c r="R10" s="1940"/>
      <c r="S10" s="1939"/>
      <c r="T10" s="1939"/>
      <c r="U10" s="1939"/>
      <c r="V10" s="1941"/>
      <c r="W10" s="1942"/>
      <c r="X10" s="1943"/>
      <c r="Y10" s="1856"/>
      <c r="Z10" s="1856"/>
      <c r="AA10" s="1856"/>
      <c r="AB10" s="1856"/>
      <c r="AC10" s="1856"/>
      <c r="AD10" s="1856"/>
      <c r="AE10" s="1856"/>
      <c r="AF10" s="1856"/>
      <c r="AG10" s="1856"/>
      <c r="AH10" s="1856"/>
      <c r="AI10" s="1856"/>
      <c r="AJ10" s="1856"/>
      <c r="AK10" s="1856"/>
      <c r="AL10" s="1856"/>
      <c r="AM10" s="1856"/>
      <c r="AN10" s="1856"/>
      <c r="AO10" s="2709"/>
      <c r="AP10" s="2709"/>
      <c r="AQ10" s="2709"/>
      <c r="AR10" s="2709"/>
      <c r="AS10" s="2710"/>
    </row>
    <row r="11" spans="1:45" s="334" customFormat="1" ht="15" customHeight="1">
      <c r="A11" s="1944"/>
      <c r="B11" s="1440"/>
      <c r="C11" s="1945"/>
      <c r="D11" s="1946">
        <v>9</v>
      </c>
      <c r="E11" s="2711" t="s">
        <v>2427</v>
      </c>
      <c r="F11" s="2712"/>
      <c r="G11" s="2712"/>
      <c r="H11" s="2712"/>
      <c r="I11" s="2712"/>
      <c r="J11" s="2712"/>
      <c r="K11" s="2712"/>
      <c r="L11" s="1947"/>
      <c r="M11" s="1948"/>
      <c r="N11" s="1948"/>
      <c r="O11" s="1948"/>
      <c r="P11" s="1947"/>
      <c r="Q11" s="1948"/>
      <c r="R11" s="1949"/>
      <c r="S11" s="1947"/>
      <c r="T11" s="1947"/>
      <c r="U11" s="1947"/>
      <c r="V11" s="1950"/>
      <c r="W11" s="1951"/>
      <c r="X11" s="1952"/>
      <c r="Y11" s="1948"/>
      <c r="Z11" s="1948"/>
      <c r="AA11" s="1948"/>
      <c r="AB11" s="1948"/>
      <c r="AC11" s="1948"/>
      <c r="AD11" s="1948"/>
      <c r="AE11" s="1948"/>
      <c r="AF11" s="1948"/>
      <c r="AG11" s="1948"/>
      <c r="AH11" s="1948"/>
      <c r="AI11" s="1948"/>
      <c r="AJ11" s="1948"/>
      <c r="AK11" s="1948"/>
      <c r="AL11" s="1948"/>
      <c r="AM11" s="1948"/>
      <c r="AN11" s="1948"/>
      <c r="AO11" s="2713"/>
      <c r="AP11" s="2713"/>
      <c r="AQ11" s="2713"/>
      <c r="AR11" s="2713"/>
      <c r="AS11" s="2714"/>
    </row>
    <row r="12" spans="1:45" ht="15" customHeight="1">
      <c r="A12" s="1953"/>
      <c r="B12" s="194"/>
      <c r="C12" s="1750"/>
      <c r="D12" s="1166"/>
      <c r="E12" s="1447"/>
      <c r="F12" s="512"/>
      <c r="G12" s="181">
        <v>29</v>
      </c>
      <c r="H12" s="2715" t="s">
        <v>2428</v>
      </c>
      <c r="I12" s="2716"/>
      <c r="J12" s="2716"/>
      <c r="K12" s="2716"/>
      <c r="L12" s="1954"/>
      <c r="M12" s="1955"/>
      <c r="N12" s="1955"/>
      <c r="O12" s="1955"/>
      <c r="P12" s="1954"/>
      <c r="Q12" s="1955"/>
      <c r="R12" s="1956"/>
      <c r="S12" s="1954"/>
      <c r="T12" s="1954"/>
      <c r="U12" s="1954"/>
      <c r="V12" s="1957"/>
      <c r="W12" s="1958"/>
      <c r="X12" s="1959"/>
      <c r="Y12" s="1955"/>
      <c r="Z12" s="1955"/>
      <c r="AA12" s="1955"/>
      <c r="AB12" s="1955"/>
      <c r="AC12" s="1955"/>
      <c r="AD12" s="1955"/>
      <c r="AE12" s="1955"/>
      <c r="AF12" s="1955"/>
      <c r="AG12" s="1955"/>
      <c r="AH12" s="1955"/>
      <c r="AI12" s="1955"/>
      <c r="AJ12" s="1955"/>
      <c r="AK12" s="1955"/>
      <c r="AL12" s="1955"/>
      <c r="AM12" s="1955"/>
      <c r="AN12" s="1955"/>
      <c r="AO12" s="2717"/>
      <c r="AP12" s="2717"/>
      <c r="AQ12" s="2717"/>
      <c r="AR12" s="2717"/>
      <c r="AS12" s="2718"/>
    </row>
    <row r="13" spans="1:45" s="130" customFormat="1" ht="80.25" customHeight="1">
      <c r="A13" s="1960"/>
      <c r="B13" s="1961"/>
      <c r="C13" s="1962"/>
      <c r="D13" s="1963"/>
      <c r="E13" s="1961"/>
      <c r="F13" s="1962"/>
      <c r="G13" s="2378"/>
      <c r="H13" s="2719"/>
      <c r="I13" s="2720"/>
      <c r="J13" s="2725">
        <v>114</v>
      </c>
      <c r="K13" s="2375" t="s">
        <v>2429</v>
      </c>
      <c r="L13" s="2375" t="s">
        <v>2430</v>
      </c>
      <c r="M13" s="2739">
        <v>30</v>
      </c>
      <c r="N13" s="2378" t="s">
        <v>2431</v>
      </c>
      <c r="O13" s="2378" t="s">
        <v>2432</v>
      </c>
      <c r="P13" s="2375" t="s">
        <v>2433</v>
      </c>
      <c r="Q13" s="2705">
        <f>+V13/R13</f>
        <v>1</v>
      </c>
      <c r="R13" s="2707">
        <v>1060557735</v>
      </c>
      <c r="S13" s="2375" t="s">
        <v>2434</v>
      </c>
      <c r="T13" s="2375" t="s">
        <v>2435</v>
      </c>
      <c r="U13" s="2729" t="s">
        <v>2436</v>
      </c>
      <c r="V13" s="2731">
        <f>678800+169021200+890857735</f>
        <v>1060557735</v>
      </c>
      <c r="W13" s="2747"/>
      <c r="X13" s="2378"/>
      <c r="Y13" s="2727">
        <v>26</v>
      </c>
      <c r="Z13" s="2727">
        <v>26</v>
      </c>
      <c r="AA13" s="2378"/>
      <c r="AB13" s="2378"/>
      <c r="AC13" s="2727">
        <v>52</v>
      </c>
      <c r="AD13" s="2727"/>
      <c r="AE13" s="2727"/>
      <c r="AF13" s="2727"/>
      <c r="AG13" s="2727"/>
      <c r="AH13" s="2727"/>
      <c r="AI13" s="2727"/>
      <c r="AJ13" s="2727"/>
      <c r="AK13" s="2727"/>
      <c r="AL13" s="2727"/>
      <c r="AM13" s="2727"/>
      <c r="AN13" s="2727">
        <f>+Y13+Z13</f>
        <v>52</v>
      </c>
      <c r="AO13" s="2732">
        <v>43101</v>
      </c>
      <c r="AP13" s="2734"/>
      <c r="AQ13" s="2732">
        <v>43465</v>
      </c>
      <c r="AR13" s="2734"/>
      <c r="AS13" s="2736" t="s">
        <v>2437</v>
      </c>
    </row>
    <row r="14" spans="1:45" s="130" customFormat="1" ht="86.25" customHeight="1">
      <c r="A14" s="1960"/>
      <c r="B14" s="1961"/>
      <c r="C14" s="1962"/>
      <c r="D14" s="1963"/>
      <c r="E14" s="1961"/>
      <c r="F14" s="1962"/>
      <c r="G14" s="2373"/>
      <c r="H14" s="2721"/>
      <c r="I14" s="2722"/>
      <c r="J14" s="2726"/>
      <c r="K14" s="2377"/>
      <c r="L14" s="2377"/>
      <c r="M14" s="2741"/>
      <c r="N14" s="2374"/>
      <c r="O14" s="2374"/>
      <c r="P14" s="2377"/>
      <c r="Q14" s="2706"/>
      <c r="R14" s="2708"/>
      <c r="S14" s="2377"/>
      <c r="T14" s="2377"/>
      <c r="U14" s="2730"/>
      <c r="V14" s="2731"/>
      <c r="W14" s="2748"/>
      <c r="X14" s="2374"/>
      <c r="Y14" s="2728"/>
      <c r="Z14" s="2728"/>
      <c r="AA14" s="2374"/>
      <c r="AB14" s="2374"/>
      <c r="AC14" s="2728"/>
      <c r="AD14" s="2728"/>
      <c r="AE14" s="2728"/>
      <c r="AF14" s="2728"/>
      <c r="AG14" s="2728"/>
      <c r="AH14" s="2728"/>
      <c r="AI14" s="2728"/>
      <c r="AJ14" s="2728"/>
      <c r="AK14" s="2728"/>
      <c r="AL14" s="2728"/>
      <c r="AM14" s="2728"/>
      <c r="AN14" s="2728"/>
      <c r="AO14" s="2733"/>
      <c r="AP14" s="2735"/>
      <c r="AQ14" s="2733"/>
      <c r="AR14" s="2735"/>
      <c r="AS14" s="2737"/>
    </row>
    <row r="15" spans="1:45" s="130" customFormat="1" ht="39" customHeight="1">
      <c r="A15" s="1960"/>
      <c r="B15" s="1961"/>
      <c r="C15" s="1962"/>
      <c r="D15" s="1963"/>
      <c r="E15" s="1961"/>
      <c r="F15" s="1962"/>
      <c r="G15" s="2373"/>
      <c r="H15" s="2721"/>
      <c r="I15" s="2722"/>
      <c r="J15" s="2725">
        <v>114</v>
      </c>
      <c r="K15" s="2375" t="s">
        <v>2438</v>
      </c>
      <c r="L15" s="2375" t="s">
        <v>2439</v>
      </c>
      <c r="M15" s="2739">
        <v>30</v>
      </c>
      <c r="N15" s="2378" t="s">
        <v>2440</v>
      </c>
      <c r="O15" s="2378" t="s">
        <v>2441</v>
      </c>
      <c r="P15" s="2375" t="s">
        <v>2442</v>
      </c>
      <c r="Q15" s="2419">
        <f>(V15+V17+V18)/R15</f>
        <v>0.4634423333675452</v>
      </c>
      <c r="R15" s="2707">
        <f>V15+V17+V18+V19+V21+V22+V23+V25+V26</f>
        <v>3230175347</v>
      </c>
      <c r="S15" s="2375" t="s">
        <v>2443</v>
      </c>
      <c r="T15" s="2337" t="s">
        <v>2444</v>
      </c>
      <c r="U15" s="2729" t="s">
        <v>2445</v>
      </c>
      <c r="V15" s="2745">
        <v>304460000</v>
      </c>
      <c r="W15" s="1964"/>
      <c r="X15" s="1166"/>
      <c r="Y15" s="2443">
        <v>85275</v>
      </c>
      <c r="Z15" s="2443">
        <v>85275</v>
      </c>
      <c r="AA15" s="2742">
        <v>25580</v>
      </c>
      <c r="AB15" s="2443">
        <v>42638</v>
      </c>
      <c r="AC15" s="2443">
        <v>68221</v>
      </c>
      <c r="AD15" s="2443">
        <v>17055</v>
      </c>
      <c r="AE15" s="2443">
        <v>8528</v>
      </c>
      <c r="AF15" s="2443">
        <v>8527.5</v>
      </c>
      <c r="AG15" s="2756"/>
      <c r="AH15" s="2756"/>
      <c r="AI15" s="2756"/>
      <c r="AJ15" s="2756"/>
      <c r="AK15" s="2756"/>
      <c r="AL15" s="2759"/>
      <c r="AM15" s="2756"/>
      <c r="AN15" s="2443">
        <f>Y15+Z15</f>
        <v>170550</v>
      </c>
      <c r="AO15" s="2749">
        <v>43101</v>
      </c>
      <c r="AP15" s="2749">
        <v>43110</v>
      </c>
      <c r="AQ15" s="2749">
        <v>43465</v>
      </c>
      <c r="AR15" s="2749">
        <v>43465</v>
      </c>
      <c r="AS15" s="2752" t="s">
        <v>2437</v>
      </c>
    </row>
    <row r="16" spans="1:45" s="130" customFormat="1" ht="21.75" customHeight="1">
      <c r="A16" s="1960"/>
      <c r="B16" s="1961"/>
      <c r="C16" s="1962"/>
      <c r="D16" s="1963"/>
      <c r="E16" s="1961"/>
      <c r="F16" s="1962"/>
      <c r="G16" s="2373"/>
      <c r="H16" s="2721"/>
      <c r="I16" s="2722"/>
      <c r="J16" s="2738"/>
      <c r="K16" s="2376"/>
      <c r="L16" s="2376"/>
      <c r="M16" s="2740"/>
      <c r="N16" s="2373"/>
      <c r="O16" s="2373"/>
      <c r="P16" s="2376"/>
      <c r="Q16" s="2420"/>
      <c r="R16" s="2744"/>
      <c r="S16" s="2376"/>
      <c r="T16" s="2318"/>
      <c r="U16" s="2730"/>
      <c r="V16" s="2745"/>
      <c r="W16" s="1965"/>
      <c r="X16" s="1963"/>
      <c r="Y16" s="2444"/>
      <c r="Z16" s="2444"/>
      <c r="AA16" s="2474"/>
      <c r="AB16" s="2444"/>
      <c r="AC16" s="2444"/>
      <c r="AD16" s="2444"/>
      <c r="AE16" s="2444"/>
      <c r="AF16" s="2444"/>
      <c r="AG16" s="2757"/>
      <c r="AH16" s="2757"/>
      <c r="AI16" s="2757"/>
      <c r="AJ16" s="2757"/>
      <c r="AK16" s="2757"/>
      <c r="AL16" s="2760"/>
      <c r="AM16" s="2757"/>
      <c r="AN16" s="2444"/>
      <c r="AO16" s="2750"/>
      <c r="AP16" s="2750"/>
      <c r="AQ16" s="2750"/>
      <c r="AR16" s="2750"/>
      <c r="AS16" s="2753"/>
    </row>
    <row r="17" spans="1:45" s="130" customFormat="1" ht="39.75" customHeight="1">
      <c r="A17" s="1960"/>
      <c r="B17" s="1961"/>
      <c r="C17" s="1962"/>
      <c r="D17" s="1963"/>
      <c r="E17" s="1961"/>
      <c r="F17" s="1962"/>
      <c r="G17" s="2373"/>
      <c r="H17" s="2721"/>
      <c r="I17" s="2722"/>
      <c r="J17" s="2738"/>
      <c r="K17" s="2376"/>
      <c r="L17" s="2376"/>
      <c r="M17" s="2740"/>
      <c r="N17" s="2373"/>
      <c r="O17" s="2373"/>
      <c r="P17" s="2376"/>
      <c r="Q17" s="2420"/>
      <c r="R17" s="2744"/>
      <c r="S17" s="2376"/>
      <c r="T17" s="2318"/>
      <c r="U17" s="1875" t="s">
        <v>2446</v>
      </c>
      <c r="V17" s="1966">
        <v>1083000000</v>
      </c>
      <c r="W17" s="1967"/>
      <c r="X17" s="1122"/>
      <c r="Y17" s="2444"/>
      <c r="Z17" s="2444"/>
      <c r="AA17" s="2474"/>
      <c r="AB17" s="2444"/>
      <c r="AC17" s="2444"/>
      <c r="AD17" s="2444"/>
      <c r="AE17" s="2444"/>
      <c r="AF17" s="2444"/>
      <c r="AG17" s="2757"/>
      <c r="AH17" s="2757"/>
      <c r="AI17" s="2757"/>
      <c r="AJ17" s="2757"/>
      <c r="AK17" s="2757"/>
      <c r="AL17" s="2760"/>
      <c r="AM17" s="2757"/>
      <c r="AN17" s="2444"/>
      <c r="AO17" s="2750"/>
      <c r="AP17" s="2466"/>
      <c r="AQ17" s="2750"/>
      <c r="AR17" s="2750"/>
      <c r="AS17" s="2753"/>
    </row>
    <row r="18" spans="1:45" s="130" customFormat="1" ht="38.25" customHeight="1">
      <c r="A18" s="1960"/>
      <c r="B18" s="1961"/>
      <c r="C18" s="1962"/>
      <c r="D18" s="1963"/>
      <c r="E18" s="1961"/>
      <c r="F18" s="1962"/>
      <c r="G18" s="2373"/>
      <c r="H18" s="2721"/>
      <c r="I18" s="2722"/>
      <c r="J18" s="2726"/>
      <c r="K18" s="2377"/>
      <c r="L18" s="2377"/>
      <c r="M18" s="2741"/>
      <c r="N18" s="2373"/>
      <c r="O18" s="2373"/>
      <c r="P18" s="2376"/>
      <c r="Q18" s="2421"/>
      <c r="R18" s="2744"/>
      <c r="S18" s="2376"/>
      <c r="T18" s="2319"/>
      <c r="U18" s="1968" t="s">
        <v>2447</v>
      </c>
      <c r="V18" s="1966">
        <v>109540000</v>
      </c>
      <c r="W18" s="1967">
        <v>20</v>
      </c>
      <c r="X18" s="1122" t="s">
        <v>80</v>
      </c>
      <c r="Y18" s="2444"/>
      <c r="Z18" s="2444"/>
      <c r="AA18" s="2474"/>
      <c r="AB18" s="2444"/>
      <c r="AC18" s="2444"/>
      <c r="AD18" s="2444"/>
      <c r="AE18" s="2444"/>
      <c r="AF18" s="2444"/>
      <c r="AG18" s="2757"/>
      <c r="AH18" s="2757"/>
      <c r="AI18" s="2757"/>
      <c r="AJ18" s="2757"/>
      <c r="AK18" s="2757"/>
      <c r="AL18" s="2760"/>
      <c r="AM18" s="2757"/>
      <c r="AN18" s="2444"/>
      <c r="AO18" s="2750"/>
      <c r="AP18" s="2466"/>
      <c r="AQ18" s="2750"/>
      <c r="AR18" s="2750"/>
      <c r="AS18" s="2753"/>
    </row>
    <row r="19" spans="1:45" s="130" customFormat="1" ht="29.25" customHeight="1">
      <c r="A19" s="1960"/>
      <c r="B19" s="1961"/>
      <c r="C19" s="1962"/>
      <c r="D19" s="1963"/>
      <c r="E19" s="1961"/>
      <c r="F19" s="1962"/>
      <c r="G19" s="2373"/>
      <c r="H19" s="2721"/>
      <c r="I19" s="2722"/>
      <c r="J19" s="2725">
        <v>115</v>
      </c>
      <c r="K19" s="2098" t="s">
        <v>2448</v>
      </c>
      <c r="L19" s="2375" t="s">
        <v>2439</v>
      </c>
      <c r="M19" s="2739">
        <v>35</v>
      </c>
      <c r="N19" s="2373"/>
      <c r="O19" s="2373"/>
      <c r="P19" s="2376"/>
      <c r="Q19" s="2705">
        <f>(V19+V21+V22)/R15</f>
        <v>0.4455783192502955</v>
      </c>
      <c r="R19" s="2744"/>
      <c r="S19" s="2376"/>
      <c r="T19" s="2337" t="s">
        <v>2449</v>
      </c>
      <c r="U19" s="2411" t="s">
        <v>2450</v>
      </c>
      <c r="V19" s="2731">
        <v>76365000</v>
      </c>
      <c r="W19" s="2746">
        <v>39</v>
      </c>
      <c r="X19" s="2373" t="s">
        <v>2451</v>
      </c>
      <c r="Y19" s="2444"/>
      <c r="Z19" s="2444"/>
      <c r="AA19" s="2474"/>
      <c r="AB19" s="2444"/>
      <c r="AC19" s="2444"/>
      <c r="AD19" s="2444"/>
      <c r="AE19" s="2444"/>
      <c r="AF19" s="2444"/>
      <c r="AG19" s="2757"/>
      <c r="AH19" s="2757"/>
      <c r="AI19" s="2757"/>
      <c r="AJ19" s="2757"/>
      <c r="AK19" s="2757"/>
      <c r="AL19" s="2760"/>
      <c r="AM19" s="2757"/>
      <c r="AN19" s="2444"/>
      <c r="AO19" s="2750"/>
      <c r="AP19" s="2466"/>
      <c r="AQ19" s="2750"/>
      <c r="AR19" s="2750"/>
      <c r="AS19" s="2753"/>
    </row>
    <row r="20" spans="1:45" s="130" customFormat="1" ht="29.25" customHeight="1">
      <c r="A20" s="1960"/>
      <c r="B20" s="1961"/>
      <c r="C20" s="1962"/>
      <c r="D20" s="1963"/>
      <c r="E20" s="1961"/>
      <c r="F20" s="1962"/>
      <c r="G20" s="2373"/>
      <c r="H20" s="2721"/>
      <c r="I20" s="2722"/>
      <c r="J20" s="2738"/>
      <c r="K20" s="2127"/>
      <c r="L20" s="2376"/>
      <c r="M20" s="2740"/>
      <c r="N20" s="2373"/>
      <c r="O20" s="2373"/>
      <c r="P20" s="2376"/>
      <c r="Q20" s="2755"/>
      <c r="R20" s="2744"/>
      <c r="S20" s="2376"/>
      <c r="T20" s="2318"/>
      <c r="U20" s="2413"/>
      <c r="V20" s="2731"/>
      <c r="W20" s="2746"/>
      <c r="X20" s="2373"/>
      <c r="Y20" s="2444"/>
      <c r="Z20" s="2444"/>
      <c r="AA20" s="2474"/>
      <c r="AB20" s="2444"/>
      <c r="AC20" s="2444"/>
      <c r="AD20" s="2444"/>
      <c r="AE20" s="2444"/>
      <c r="AF20" s="2444"/>
      <c r="AG20" s="2757"/>
      <c r="AH20" s="2757"/>
      <c r="AI20" s="2757"/>
      <c r="AJ20" s="2757"/>
      <c r="AK20" s="2757"/>
      <c r="AL20" s="2760"/>
      <c r="AM20" s="2757"/>
      <c r="AN20" s="2444"/>
      <c r="AO20" s="2750"/>
      <c r="AP20" s="2466"/>
      <c r="AQ20" s="2750"/>
      <c r="AR20" s="2750"/>
      <c r="AS20" s="2753"/>
    </row>
    <row r="21" spans="1:45" s="130" customFormat="1" ht="63" customHeight="1">
      <c r="A21" s="1960"/>
      <c r="B21" s="1961"/>
      <c r="C21" s="1962"/>
      <c r="D21" s="1963"/>
      <c r="E21" s="1961"/>
      <c r="F21" s="1962"/>
      <c r="G21" s="2373"/>
      <c r="H21" s="2721"/>
      <c r="I21" s="2722"/>
      <c r="J21" s="2738"/>
      <c r="K21" s="2127"/>
      <c r="L21" s="2376"/>
      <c r="M21" s="2740"/>
      <c r="N21" s="2373"/>
      <c r="O21" s="2373"/>
      <c r="P21" s="2376"/>
      <c r="Q21" s="2755"/>
      <c r="R21" s="2744"/>
      <c r="S21" s="2376"/>
      <c r="T21" s="2318"/>
      <c r="U21" s="1969" t="s">
        <v>2452</v>
      </c>
      <c r="V21" s="1970">
        <v>89210000</v>
      </c>
      <c r="W21" s="1967">
        <v>41</v>
      </c>
      <c r="X21" s="1122" t="s">
        <v>2453</v>
      </c>
      <c r="Y21" s="2444"/>
      <c r="Z21" s="2444"/>
      <c r="AA21" s="2474"/>
      <c r="AB21" s="2444"/>
      <c r="AC21" s="2444"/>
      <c r="AD21" s="2444"/>
      <c r="AE21" s="2444"/>
      <c r="AF21" s="2444"/>
      <c r="AG21" s="2757"/>
      <c r="AH21" s="2757"/>
      <c r="AI21" s="2757"/>
      <c r="AJ21" s="2757"/>
      <c r="AK21" s="2757"/>
      <c r="AL21" s="2760"/>
      <c r="AM21" s="2757"/>
      <c r="AN21" s="2444"/>
      <c r="AO21" s="2750"/>
      <c r="AP21" s="2466"/>
      <c r="AQ21" s="2750"/>
      <c r="AR21" s="2750"/>
      <c r="AS21" s="2753"/>
    </row>
    <row r="22" spans="1:45" s="130" customFormat="1" ht="48" customHeight="1">
      <c r="A22" s="1960"/>
      <c r="B22" s="1961"/>
      <c r="C22" s="1962"/>
      <c r="D22" s="1963"/>
      <c r="E22" s="1961"/>
      <c r="F22" s="1962"/>
      <c r="G22" s="2373"/>
      <c r="H22" s="2721"/>
      <c r="I22" s="2722"/>
      <c r="J22" s="2726"/>
      <c r="K22" s="2099"/>
      <c r="L22" s="2376"/>
      <c r="M22" s="2741"/>
      <c r="N22" s="2373"/>
      <c r="O22" s="2373"/>
      <c r="P22" s="2376"/>
      <c r="Q22" s="2706"/>
      <c r="R22" s="2744"/>
      <c r="S22" s="2376"/>
      <c r="T22" s="2319"/>
      <c r="U22" s="732" t="s">
        <v>2454</v>
      </c>
      <c r="V22" s="1970">
        <v>1273721102</v>
      </c>
      <c r="W22" s="1967">
        <v>83</v>
      </c>
      <c r="X22" s="1122" t="s">
        <v>2455</v>
      </c>
      <c r="Y22" s="2444"/>
      <c r="Z22" s="2444"/>
      <c r="AA22" s="2474"/>
      <c r="AB22" s="2444"/>
      <c r="AC22" s="2444"/>
      <c r="AD22" s="2444"/>
      <c r="AE22" s="2444"/>
      <c r="AF22" s="2444"/>
      <c r="AG22" s="2757"/>
      <c r="AH22" s="2757"/>
      <c r="AI22" s="2757"/>
      <c r="AJ22" s="2757"/>
      <c r="AK22" s="2757"/>
      <c r="AL22" s="2760"/>
      <c r="AM22" s="2757"/>
      <c r="AN22" s="2444"/>
      <c r="AO22" s="2750"/>
      <c r="AP22" s="2466"/>
      <c r="AQ22" s="2750"/>
      <c r="AR22" s="2750"/>
      <c r="AS22" s="2753"/>
    </row>
    <row r="23" spans="1:45" s="130" customFormat="1" ht="30.75" customHeight="1">
      <c r="A23" s="1960"/>
      <c r="B23" s="1961"/>
      <c r="C23" s="1962"/>
      <c r="D23" s="1963"/>
      <c r="E23" s="1961"/>
      <c r="F23" s="1962"/>
      <c r="G23" s="2373"/>
      <c r="H23" s="2721"/>
      <c r="I23" s="2722"/>
      <c r="J23" s="2725">
        <v>116</v>
      </c>
      <c r="K23" s="2337" t="s">
        <v>2456</v>
      </c>
      <c r="L23" s="2405" t="s">
        <v>2439</v>
      </c>
      <c r="M23" s="2739">
        <v>10</v>
      </c>
      <c r="N23" s="2373"/>
      <c r="O23" s="2373"/>
      <c r="P23" s="2376"/>
      <c r="Q23" s="2705">
        <f>(V23+V25+V26)/R15</f>
        <v>0.0909793473821593</v>
      </c>
      <c r="R23" s="2744"/>
      <c r="S23" s="2376"/>
      <c r="T23" s="2337" t="s">
        <v>2457</v>
      </c>
      <c r="U23" s="2729" t="s">
        <v>2450</v>
      </c>
      <c r="V23" s="2731">
        <f>47630000+4038000</f>
        <v>51668000</v>
      </c>
      <c r="W23" s="2746">
        <v>88</v>
      </c>
      <c r="X23" s="2373" t="s">
        <v>2453</v>
      </c>
      <c r="Y23" s="2444"/>
      <c r="Z23" s="2444"/>
      <c r="AA23" s="2474"/>
      <c r="AB23" s="2444"/>
      <c r="AC23" s="2444"/>
      <c r="AD23" s="2444"/>
      <c r="AE23" s="2444"/>
      <c r="AF23" s="2444"/>
      <c r="AG23" s="2757"/>
      <c r="AH23" s="2757"/>
      <c r="AI23" s="2757"/>
      <c r="AJ23" s="2757"/>
      <c r="AK23" s="2757"/>
      <c r="AL23" s="2760"/>
      <c r="AM23" s="2757"/>
      <c r="AN23" s="2444"/>
      <c r="AO23" s="2750"/>
      <c r="AP23" s="2466"/>
      <c r="AQ23" s="2750"/>
      <c r="AR23" s="2750"/>
      <c r="AS23" s="2753"/>
    </row>
    <row r="24" spans="1:45" s="130" customFormat="1" ht="30.75" customHeight="1">
      <c r="A24" s="1960"/>
      <c r="B24" s="1961"/>
      <c r="C24" s="1962"/>
      <c r="D24" s="1963"/>
      <c r="E24" s="1961"/>
      <c r="F24" s="1962"/>
      <c r="G24" s="2373"/>
      <c r="H24" s="2721"/>
      <c r="I24" s="2722"/>
      <c r="J24" s="2738"/>
      <c r="K24" s="2318"/>
      <c r="L24" s="2405"/>
      <c r="M24" s="2740"/>
      <c r="N24" s="2373"/>
      <c r="O24" s="2373"/>
      <c r="P24" s="2376"/>
      <c r="Q24" s="2755"/>
      <c r="R24" s="2744"/>
      <c r="S24" s="2376"/>
      <c r="T24" s="2318"/>
      <c r="U24" s="2730"/>
      <c r="V24" s="2731"/>
      <c r="W24" s="2746"/>
      <c r="X24" s="2373"/>
      <c r="Y24" s="2444"/>
      <c r="Z24" s="2444"/>
      <c r="AA24" s="2474"/>
      <c r="AB24" s="2444"/>
      <c r="AC24" s="2444"/>
      <c r="AD24" s="2444"/>
      <c r="AE24" s="2444"/>
      <c r="AF24" s="2444"/>
      <c r="AG24" s="2757"/>
      <c r="AH24" s="2757"/>
      <c r="AI24" s="2757"/>
      <c r="AJ24" s="2757"/>
      <c r="AK24" s="2757"/>
      <c r="AL24" s="2760"/>
      <c r="AM24" s="2757"/>
      <c r="AN24" s="2444"/>
      <c r="AO24" s="2750"/>
      <c r="AP24" s="2466"/>
      <c r="AQ24" s="2750"/>
      <c r="AR24" s="2750"/>
      <c r="AS24" s="2753"/>
    </row>
    <row r="25" spans="1:45" s="130" customFormat="1" ht="32.25" customHeight="1">
      <c r="A25" s="1960"/>
      <c r="B25" s="1961"/>
      <c r="C25" s="1962"/>
      <c r="D25" s="1963"/>
      <c r="E25" s="1961"/>
      <c r="F25" s="1962"/>
      <c r="G25" s="2373"/>
      <c r="H25" s="2721"/>
      <c r="I25" s="2722"/>
      <c r="J25" s="2738"/>
      <c r="K25" s="2318"/>
      <c r="L25" s="2405"/>
      <c r="M25" s="2740"/>
      <c r="N25" s="2373"/>
      <c r="O25" s="2373"/>
      <c r="P25" s="2376"/>
      <c r="Q25" s="2755"/>
      <c r="R25" s="2744"/>
      <c r="S25" s="2376"/>
      <c r="T25" s="2318"/>
      <c r="U25" s="1875" t="s">
        <v>2458</v>
      </c>
      <c r="V25" s="1970">
        <v>35637000</v>
      </c>
      <c r="W25" s="1965"/>
      <c r="X25" s="1963"/>
      <c r="Y25" s="2444"/>
      <c r="Z25" s="2444"/>
      <c r="AA25" s="2474"/>
      <c r="AB25" s="2444"/>
      <c r="AC25" s="2444"/>
      <c r="AD25" s="2444"/>
      <c r="AE25" s="2444"/>
      <c r="AF25" s="2444"/>
      <c r="AG25" s="2757"/>
      <c r="AH25" s="2757"/>
      <c r="AI25" s="2757"/>
      <c r="AJ25" s="2757"/>
      <c r="AK25" s="2757"/>
      <c r="AL25" s="2760"/>
      <c r="AM25" s="2757"/>
      <c r="AN25" s="2444"/>
      <c r="AO25" s="2750"/>
      <c r="AP25" s="2466"/>
      <c r="AQ25" s="2750"/>
      <c r="AR25" s="2750"/>
      <c r="AS25" s="2753"/>
    </row>
    <row r="26" spans="1:45" s="130" customFormat="1" ht="40.5" customHeight="1">
      <c r="A26" s="1960"/>
      <c r="B26" s="1961"/>
      <c r="C26" s="1962"/>
      <c r="D26" s="1963"/>
      <c r="E26" s="1961"/>
      <c r="F26" s="1962"/>
      <c r="G26" s="2374"/>
      <c r="H26" s="2723"/>
      <c r="I26" s="2724"/>
      <c r="J26" s="2726"/>
      <c r="K26" s="2319"/>
      <c r="L26" s="2405"/>
      <c r="M26" s="2741"/>
      <c r="N26" s="2374"/>
      <c r="O26" s="2374"/>
      <c r="P26" s="2377"/>
      <c r="Q26" s="2706"/>
      <c r="R26" s="2708"/>
      <c r="S26" s="2377"/>
      <c r="T26" s="2319"/>
      <c r="U26" s="1875" t="s">
        <v>2454</v>
      </c>
      <c r="V26" s="1970">
        <f>210612245-4038000</f>
        <v>206574245</v>
      </c>
      <c r="W26" s="1971"/>
      <c r="X26" s="1972"/>
      <c r="Y26" s="2464"/>
      <c r="Z26" s="2464"/>
      <c r="AA26" s="2743"/>
      <c r="AB26" s="2464"/>
      <c r="AC26" s="2464"/>
      <c r="AD26" s="2464"/>
      <c r="AE26" s="2464"/>
      <c r="AF26" s="2464"/>
      <c r="AG26" s="2758"/>
      <c r="AH26" s="2758"/>
      <c r="AI26" s="2758"/>
      <c r="AJ26" s="2758"/>
      <c r="AK26" s="2758"/>
      <c r="AL26" s="2761"/>
      <c r="AM26" s="2758"/>
      <c r="AN26" s="2464"/>
      <c r="AO26" s="2751"/>
      <c r="AP26" s="2467"/>
      <c r="AQ26" s="2751"/>
      <c r="AR26" s="2751"/>
      <c r="AS26" s="2754"/>
    </row>
    <row r="27" spans="1:45" ht="15" customHeight="1">
      <c r="A27" s="1960"/>
      <c r="B27" s="1961"/>
      <c r="C27" s="1962"/>
      <c r="D27" s="1963"/>
      <c r="E27" s="1961"/>
      <c r="F27" s="1962"/>
      <c r="G27" s="181">
        <v>30</v>
      </c>
      <c r="H27" s="2715" t="s">
        <v>2459</v>
      </c>
      <c r="I27" s="2716"/>
      <c r="J27" s="2716"/>
      <c r="K27" s="2716"/>
      <c r="L27" s="1954"/>
      <c r="M27" s="1973"/>
      <c r="N27" s="1955"/>
      <c r="O27" s="1955"/>
      <c r="P27" s="1954"/>
      <c r="Q27" s="1955"/>
      <c r="R27" s="1974"/>
      <c r="S27" s="1954"/>
      <c r="T27" s="1954"/>
      <c r="U27" s="1954"/>
      <c r="V27" s="1975"/>
      <c r="W27" s="1958"/>
      <c r="X27" s="1959"/>
      <c r="Y27" s="1955"/>
      <c r="Z27" s="1955"/>
      <c r="AA27" s="1955"/>
      <c r="AB27" s="1955"/>
      <c r="AC27" s="1955"/>
      <c r="AD27" s="1955"/>
      <c r="AE27" s="1955"/>
      <c r="AF27" s="1955"/>
      <c r="AG27" s="1955"/>
      <c r="AH27" s="1955"/>
      <c r="AI27" s="1955"/>
      <c r="AJ27" s="1955"/>
      <c r="AK27" s="1955"/>
      <c r="AL27" s="1955"/>
      <c r="AM27" s="1955"/>
      <c r="AN27" s="1955"/>
      <c r="AO27" s="1976"/>
      <c r="AP27" s="1976"/>
      <c r="AQ27" s="1976"/>
      <c r="AR27" s="1976"/>
      <c r="AS27" s="1977"/>
    </row>
    <row r="28" spans="1:45" s="130" customFormat="1" ht="27" customHeight="1">
      <c r="A28" s="1960"/>
      <c r="B28" s="1961"/>
      <c r="C28" s="1962"/>
      <c r="D28" s="1963"/>
      <c r="E28" s="1961"/>
      <c r="F28" s="1962"/>
      <c r="G28" s="706"/>
      <c r="H28" s="2719"/>
      <c r="I28" s="2720"/>
      <c r="J28" s="2725">
        <v>117</v>
      </c>
      <c r="K28" s="2375" t="s">
        <v>2460</v>
      </c>
      <c r="L28" s="2375" t="s">
        <v>2439</v>
      </c>
      <c r="M28" s="2739">
        <v>2</v>
      </c>
      <c r="N28" s="2378" t="s">
        <v>2461</v>
      </c>
      <c r="O28" s="2378" t="s">
        <v>2462</v>
      </c>
      <c r="P28" s="2375" t="s">
        <v>2463</v>
      </c>
      <c r="Q28" s="2419">
        <f>(V28+V31)/R28</f>
        <v>1</v>
      </c>
      <c r="R28" s="2526">
        <f>+V28+V31</f>
        <v>80000000</v>
      </c>
      <c r="S28" s="2375" t="s">
        <v>2464</v>
      </c>
      <c r="T28" s="2375" t="s">
        <v>2465</v>
      </c>
      <c r="U28" s="2729" t="s">
        <v>2466</v>
      </c>
      <c r="V28" s="2763">
        <v>70000000</v>
      </c>
      <c r="W28" s="2766">
        <v>20</v>
      </c>
      <c r="X28" s="2378" t="s">
        <v>80</v>
      </c>
      <c r="Y28" s="2443">
        <v>75</v>
      </c>
      <c r="Z28" s="2443">
        <v>75</v>
      </c>
      <c r="AA28" s="2742"/>
      <c r="AB28" s="2742"/>
      <c r="AC28" s="2742">
        <v>150</v>
      </c>
      <c r="AD28" s="2742"/>
      <c r="AE28" s="2742"/>
      <c r="AF28" s="2742"/>
      <c r="AG28" s="2742"/>
      <c r="AH28" s="2742"/>
      <c r="AI28" s="2742"/>
      <c r="AJ28" s="2742"/>
      <c r="AK28" s="2742"/>
      <c r="AL28" s="2742"/>
      <c r="AM28" s="2742"/>
      <c r="AN28" s="2742">
        <v>150</v>
      </c>
      <c r="AO28" s="2749">
        <v>43101</v>
      </c>
      <c r="AP28" s="2749">
        <v>43115</v>
      </c>
      <c r="AQ28" s="2749">
        <v>43465</v>
      </c>
      <c r="AR28" s="2749">
        <v>43427</v>
      </c>
      <c r="AS28" s="2752" t="s">
        <v>2437</v>
      </c>
    </row>
    <row r="29" spans="1:45" s="130" customFormat="1" ht="18.75" customHeight="1">
      <c r="A29" s="1960"/>
      <c r="B29" s="1961"/>
      <c r="C29" s="1962"/>
      <c r="D29" s="1963"/>
      <c r="E29" s="1961"/>
      <c r="F29" s="1962"/>
      <c r="G29" s="706"/>
      <c r="H29" s="2721"/>
      <c r="I29" s="2722"/>
      <c r="J29" s="2738"/>
      <c r="K29" s="2376"/>
      <c r="L29" s="2376"/>
      <c r="M29" s="2740"/>
      <c r="N29" s="2373"/>
      <c r="O29" s="2373"/>
      <c r="P29" s="2376"/>
      <c r="Q29" s="2420"/>
      <c r="R29" s="2527"/>
      <c r="S29" s="2376"/>
      <c r="T29" s="2376"/>
      <c r="U29" s="2762"/>
      <c r="V29" s="2764"/>
      <c r="W29" s="2746"/>
      <c r="X29" s="2373"/>
      <c r="Y29" s="2444"/>
      <c r="Z29" s="2444"/>
      <c r="AA29" s="2474"/>
      <c r="AB29" s="2474"/>
      <c r="AC29" s="2474"/>
      <c r="AD29" s="2474"/>
      <c r="AE29" s="2474"/>
      <c r="AF29" s="2474"/>
      <c r="AG29" s="2474"/>
      <c r="AH29" s="2474"/>
      <c r="AI29" s="2474"/>
      <c r="AJ29" s="2474"/>
      <c r="AK29" s="2474"/>
      <c r="AL29" s="2474"/>
      <c r="AM29" s="2474"/>
      <c r="AN29" s="2474"/>
      <c r="AO29" s="2750"/>
      <c r="AP29" s="2750"/>
      <c r="AQ29" s="2750"/>
      <c r="AR29" s="2750"/>
      <c r="AS29" s="2753"/>
    </row>
    <row r="30" spans="1:45" s="130" customFormat="1" ht="46.5" customHeight="1">
      <c r="A30" s="1960"/>
      <c r="B30" s="1961"/>
      <c r="C30" s="1962"/>
      <c r="D30" s="1963"/>
      <c r="E30" s="1961"/>
      <c r="F30" s="1962"/>
      <c r="G30" s="706"/>
      <c r="H30" s="2721"/>
      <c r="I30" s="2722"/>
      <c r="J30" s="2738"/>
      <c r="K30" s="2376"/>
      <c r="L30" s="2376"/>
      <c r="M30" s="2740"/>
      <c r="N30" s="2373"/>
      <c r="O30" s="2373"/>
      <c r="P30" s="2376"/>
      <c r="Q30" s="2420"/>
      <c r="R30" s="2527"/>
      <c r="S30" s="2376"/>
      <c r="T30" s="2376"/>
      <c r="U30" s="2730"/>
      <c r="V30" s="2765"/>
      <c r="W30" s="2746"/>
      <c r="X30" s="2373"/>
      <c r="Y30" s="2444"/>
      <c r="Z30" s="2444"/>
      <c r="AA30" s="2474"/>
      <c r="AB30" s="2474"/>
      <c r="AC30" s="2474"/>
      <c r="AD30" s="2474"/>
      <c r="AE30" s="2474"/>
      <c r="AF30" s="2474"/>
      <c r="AG30" s="2474"/>
      <c r="AH30" s="2474"/>
      <c r="AI30" s="2474"/>
      <c r="AJ30" s="2474"/>
      <c r="AK30" s="2474"/>
      <c r="AL30" s="2474"/>
      <c r="AM30" s="2474"/>
      <c r="AN30" s="2474"/>
      <c r="AO30" s="2750"/>
      <c r="AP30" s="2466"/>
      <c r="AQ30" s="2750"/>
      <c r="AR30" s="2466"/>
      <c r="AS30" s="2753"/>
    </row>
    <row r="31" spans="1:45" s="130" customFormat="1" ht="67.5" customHeight="1">
      <c r="A31" s="1960"/>
      <c r="B31" s="1961"/>
      <c r="C31" s="1962"/>
      <c r="D31" s="1963"/>
      <c r="E31" s="1961"/>
      <c r="F31" s="1962"/>
      <c r="G31" s="706"/>
      <c r="H31" s="2723"/>
      <c r="I31" s="2724"/>
      <c r="J31" s="2726"/>
      <c r="K31" s="2377"/>
      <c r="L31" s="2377"/>
      <c r="M31" s="2741"/>
      <c r="N31" s="2374"/>
      <c r="O31" s="2374"/>
      <c r="P31" s="2377"/>
      <c r="Q31" s="2421"/>
      <c r="R31" s="2528"/>
      <c r="S31" s="2377"/>
      <c r="T31" s="2377"/>
      <c r="U31" s="732" t="s">
        <v>2467</v>
      </c>
      <c r="V31" s="1970">
        <v>10000000</v>
      </c>
      <c r="W31" s="2767"/>
      <c r="X31" s="2374"/>
      <c r="Y31" s="2464"/>
      <c r="Z31" s="2464"/>
      <c r="AA31" s="2743"/>
      <c r="AB31" s="2743"/>
      <c r="AC31" s="2743"/>
      <c r="AD31" s="2743"/>
      <c r="AE31" s="2743"/>
      <c r="AF31" s="2743"/>
      <c r="AG31" s="2743"/>
      <c r="AH31" s="2743"/>
      <c r="AI31" s="2743"/>
      <c r="AJ31" s="2743"/>
      <c r="AK31" s="2743"/>
      <c r="AL31" s="2743"/>
      <c r="AM31" s="2743"/>
      <c r="AN31" s="2743"/>
      <c r="AO31" s="2751"/>
      <c r="AP31" s="2467"/>
      <c r="AQ31" s="2751"/>
      <c r="AR31" s="2467"/>
      <c r="AS31" s="2754"/>
    </row>
    <row r="32" spans="1:45" ht="22.5" customHeight="1">
      <c r="A32" s="1960"/>
      <c r="B32" s="1961"/>
      <c r="C32" s="1962"/>
      <c r="D32" s="1963"/>
      <c r="E32" s="1961"/>
      <c r="F32" s="1962"/>
      <c r="G32" s="181">
        <v>31</v>
      </c>
      <c r="H32" s="2715" t="s">
        <v>2468</v>
      </c>
      <c r="I32" s="2716"/>
      <c r="J32" s="2716"/>
      <c r="K32" s="2716"/>
      <c r="L32" s="1954"/>
      <c r="M32" s="1973"/>
      <c r="N32" s="1955"/>
      <c r="O32" s="1955"/>
      <c r="P32" s="1954"/>
      <c r="Q32" s="1955"/>
      <c r="R32" s="1974"/>
      <c r="S32" s="1954"/>
      <c r="T32" s="1954"/>
      <c r="U32" s="1954"/>
      <c r="V32" s="1975"/>
      <c r="W32" s="1958"/>
      <c r="X32" s="1959"/>
      <c r="Y32" s="1955"/>
      <c r="Z32" s="1955"/>
      <c r="AA32" s="1955"/>
      <c r="AB32" s="1955"/>
      <c r="AC32" s="1955"/>
      <c r="AD32" s="1955"/>
      <c r="AE32" s="1955"/>
      <c r="AF32" s="1955"/>
      <c r="AG32" s="1955"/>
      <c r="AH32" s="1955"/>
      <c r="AI32" s="1955"/>
      <c r="AJ32" s="1955"/>
      <c r="AK32" s="1955"/>
      <c r="AL32" s="1955"/>
      <c r="AM32" s="1955"/>
      <c r="AN32" s="1955"/>
      <c r="AO32" s="1976"/>
      <c r="AP32" s="1976"/>
      <c r="AQ32" s="1976"/>
      <c r="AR32" s="1976"/>
      <c r="AS32" s="1977"/>
    </row>
    <row r="33" spans="1:45" s="130" customFormat="1" ht="34.5" customHeight="1">
      <c r="A33" s="1960"/>
      <c r="B33" s="1961"/>
      <c r="C33" s="1962"/>
      <c r="D33" s="1963"/>
      <c r="E33" s="1961"/>
      <c r="F33" s="1962"/>
      <c r="G33" s="706"/>
      <c r="H33" s="2719"/>
      <c r="I33" s="2720"/>
      <c r="J33" s="2725">
        <v>118</v>
      </c>
      <c r="K33" s="2337" t="s">
        <v>2469</v>
      </c>
      <c r="L33" s="2375" t="s">
        <v>2439</v>
      </c>
      <c r="M33" s="2739">
        <v>6</v>
      </c>
      <c r="N33" s="2378" t="s">
        <v>2470</v>
      </c>
      <c r="O33" s="2378" t="s">
        <v>2471</v>
      </c>
      <c r="P33" s="2337" t="s">
        <v>2472</v>
      </c>
      <c r="Q33" s="2419">
        <f>R33/R33</f>
        <v>1</v>
      </c>
      <c r="R33" s="2526">
        <f>SUM(V33:V41)</f>
        <v>198380733</v>
      </c>
      <c r="S33" s="2375" t="s">
        <v>2473</v>
      </c>
      <c r="T33" s="2337" t="s">
        <v>2474</v>
      </c>
      <c r="U33" s="2729" t="s">
        <v>2475</v>
      </c>
      <c r="V33" s="2763">
        <v>15000000</v>
      </c>
      <c r="W33" s="2766" t="s">
        <v>2476</v>
      </c>
      <c r="X33" s="2378" t="s">
        <v>2477</v>
      </c>
      <c r="Y33" s="2742">
        <v>50476</v>
      </c>
      <c r="Z33" s="2742">
        <v>50476</v>
      </c>
      <c r="AA33" s="2742">
        <v>42400</v>
      </c>
      <c r="AB33" s="2742">
        <v>30286</v>
      </c>
      <c r="AC33" s="2742">
        <v>18171</v>
      </c>
      <c r="AD33" s="2742">
        <v>10095</v>
      </c>
      <c r="AE33" s="2742"/>
      <c r="AF33" s="2468"/>
      <c r="AG33" s="2742"/>
      <c r="AH33" s="2742"/>
      <c r="AI33" s="2742"/>
      <c r="AJ33" s="2742"/>
      <c r="AK33" s="2468"/>
      <c r="AL33" s="2468"/>
      <c r="AM33" s="2742"/>
      <c r="AN33" s="2742">
        <f>+Y33+Z33</f>
        <v>100952</v>
      </c>
      <c r="AO33" s="2749">
        <v>43101</v>
      </c>
      <c r="AP33" s="2749" t="s">
        <v>2478</v>
      </c>
      <c r="AQ33" s="2749">
        <v>43465</v>
      </c>
      <c r="AR33" s="2749">
        <v>43465</v>
      </c>
      <c r="AS33" s="2443" t="s">
        <v>2437</v>
      </c>
    </row>
    <row r="34" spans="1:45" s="130" customFormat="1" ht="27.75" customHeight="1">
      <c r="A34" s="1960"/>
      <c r="B34" s="1961"/>
      <c r="C34" s="1962"/>
      <c r="D34" s="1963"/>
      <c r="E34" s="1961"/>
      <c r="F34" s="1962"/>
      <c r="G34" s="706"/>
      <c r="H34" s="2721"/>
      <c r="I34" s="2722"/>
      <c r="J34" s="2738"/>
      <c r="K34" s="2318"/>
      <c r="L34" s="2376"/>
      <c r="M34" s="2740"/>
      <c r="N34" s="2373"/>
      <c r="O34" s="2373"/>
      <c r="P34" s="2318"/>
      <c r="Q34" s="2420"/>
      <c r="R34" s="2527"/>
      <c r="S34" s="2376"/>
      <c r="T34" s="2318"/>
      <c r="U34" s="2730"/>
      <c r="V34" s="2765"/>
      <c r="W34" s="2746"/>
      <c r="X34" s="2373"/>
      <c r="Y34" s="2474"/>
      <c r="Z34" s="2474"/>
      <c r="AA34" s="2474"/>
      <c r="AB34" s="2474"/>
      <c r="AC34" s="2474"/>
      <c r="AD34" s="2474"/>
      <c r="AE34" s="2474"/>
      <c r="AF34" s="2469"/>
      <c r="AG34" s="2474"/>
      <c r="AH34" s="2474"/>
      <c r="AI34" s="2474"/>
      <c r="AJ34" s="2474"/>
      <c r="AK34" s="2469"/>
      <c r="AL34" s="2469"/>
      <c r="AM34" s="2474"/>
      <c r="AN34" s="2474"/>
      <c r="AO34" s="2750"/>
      <c r="AP34" s="2750"/>
      <c r="AQ34" s="2750"/>
      <c r="AR34" s="2750"/>
      <c r="AS34" s="2444"/>
    </row>
    <row r="35" spans="1:45" s="130" customFormat="1" ht="69.75" customHeight="1">
      <c r="A35" s="1960"/>
      <c r="B35" s="1961"/>
      <c r="C35" s="1962"/>
      <c r="D35" s="1963"/>
      <c r="E35" s="1961"/>
      <c r="F35" s="1962"/>
      <c r="G35" s="706"/>
      <c r="H35" s="2721"/>
      <c r="I35" s="2722"/>
      <c r="J35" s="2738"/>
      <c r="K35" s="2318"/>
      <c r="L35" s="2376"/>
      <c r="M35" s="2740"/>
      <c r="N35" s="2373"/>
      <c r="O35" s="2373"/>
      <c r="P35" s="2318"/>
      <c r="Q35" s="2420"/>
      <c r="R35" s="2527"/>
      <c r="S35" s="2376"/>
      <c r="T35" s="2318"/>
      <c r="U35" s="732" t="s">
        <v>2479</v>
      </c>
      <c r="V35" s="1970">
        <v>10000000</v>
      </c>
      <c r="W35" s="2746"/>
      <c r="X35" s="2373"/>
      <c r="Y35" s="2474"/>
      <c r="Z35" s="2474"/>
      <c r="AA35" s="2474"/>
      <c r="AB35" s="2474"/>
      <c r="AC35" s="2474"/>
      <c r="AD35" s="2474"/>
      <c r="AE35" s="2474"/>
      <c r="AF35" s="2469"/>
      <c r="AG35" s="2474"/>
      <c r="AH35" s="2474"/>
      <c r="AI35" s="2474"/>
      <c r="AJ35" s="2474"/>
      <c r="AK35" s="2469"/>
      <c r="AL35" s="2469"/>
      <c r="AM35" s="2474"/>
      <c r="AN35" s="2474"/>
      <c r="AO35" s="2750"/>
      <c r="AP35" s="2466"/>
      <c r="AQ35" s="2750"/>
      <c r="AR35" s="2466"/>
      <c r="AS35" s="2444"/>
    </row>
    <row r="36" spans="1:45" s="130" customFormat="1" ht="42.75" customHeight="1">
      <c r="A36" s="1960"/>
      <c r="B36" s="1961"/>
      <c r="C36" s="1962"/>
      <c r="D36" s="1963"/>
      <c r="E36" s="1961"/>
      <c r="F36" s="1962"/>
      <c r="G36" s="706"/>
      <c r="H36" s="2721"/>
      <c r="I36" s="2722"/>
      <c r="J36" s="2738"/>
      <c r="K36" s="2318"/>
      <c r="L36" s="2376"/>
      <c r="M36" s="2740"/>
      <c r="N36" s="2373"/>
      <c r="O36" s="2373"/>
      <c r="P36" s="2318"/>
      <c r="Q36" s="2420"/>
      <c r="R36" s="2527"/>
      <c r="S36" s="2376"/>
      <c r="T36" s="2318"/>
      <c r="U36" s="732" t="s">
        <v>2480</v>
      </c>
      <c r="V36" s="1970">
        <v>17909736</v>
      </c>
      <c r="W36" s="2746"/>
      <c r="X36" s="2373"/>
      <c r="Y36" s="2474"/>
      <c r="Z36" s="2474"/>
      <c r="AA36" s="2474"/>
      <c r="AB36" s="2474"/>
      <c r="AC36" s="2474"/>
      <c r="AD36" s="2474"/>
      <c r="AE36" s="2474"/>
      <c r="AF36" s="2469"/>
      <c r="AG36" s="2474"/>
      <c r="AH36" s="2474"/>
      <c r="AI36" s="2474"/>
      <c r="AJ36" s="2474"/>
      <c r="AK36" s="2469"/>
      <c r="AL36" s="2469"/>
      <c r="AM36" s="2474"/>
      <c r="AN36" s="2474"/>
      <c r="AO36" s="2750"/>
      <c r="AP36" s="2466"/>
      <c r="AQ36" s="2750"/>
      <c r="AR36" s="2466"/>
      <c r="AS36" s="2444"/>
    </row>
    <row r="37" spans="1:45" s="130" customFormat="1" ht="45.75" customHeight="1">
      <c r="A37" s="1960"/>
      <c r="B37" s="1961"/>
      <c r="C37" s="1962"/>
      <c r="D37" s="1963"/>
      <c r="E37" s="1961"/>
      <c r="F37" s="1962"/>
      <c r="G37" s="706"/>
      <c r="H37" s="2721"/>
      <c r="I37" s="2722"/>
      <c r="J37" s="2738"/>
      <c r="K37" s="2318"/>
      <c r="L37" s="2376"/>
      <c r="M37" s="2740"/>
      <c r="N37" s="2373"/>
      <c r="O37" s="2373"/>
      <c r="P37" s="2318"/>
      <c r="Q37" s="2420"/>
      <c r="R37" s="2527"/>
      <c r="S37" s="2376"/>
      <c r="T37" s="2318"/>
      <c r="U37" s="732" t="s">
        <v>2481</v>
      </c>
      <c r="V37" s="1970">
        <v>0</v>
      </c>
      <c r="W37" s="2746"/>
      <c r="X37" s="2373"/>
      <c r="Y37" s="2474"/>
      <c r="Z37" s="2474"/>
      <c r="AA37" s="2474"/>
      <c r="AB37" s="2474"/>
      <c r="AC37" s="2474"/>
      <c r="AD37" s="2474"/>
      <c r="AE37" s="2474"/>
      <c r="AF37" s="2469"/>
      <c r="AG37" s="2474"/>
      <c r="AH37" s="2474"/>
      <c r="AI37" s="2474"/>
      <c r="AJ37" s="2474"/>
      <c r="AK37" s="2469"/>
      <c r="AL37" s="2469"/>
      <c r="AM37" s="2474"/>
      <c r="AN37" s="2474"/>
      <c r="AO37" s="2750"/>
      <c r="AP37" s="2466"/>
      <c r="AQ37" s="2750"/>
      <c r="AR37" s="2466"/>
      <c r="AS37" s="2444"/>
    </row>
    <row r="38" spans="1:45" s="130" customFormat="1" ht="89.25" customHeight="1">
      <c r="A38" s="1960"/>
      <c r="B38" s="1961"/>
      <c r="C38" s="1962"/>
      <c r="D38" s="1963"/>
      <c r="E38" s="1961"/>
      <c r="F38" s="1962"/>
      <c r="G38" s="706"/>
      <c r="H38" s="2721"/>
      <c r="I38" s="2722"/>
      <c r="J38" s="2738"/>
      <c r="K38" s="2318"/>
      <c r="L38" s="2376"/>
      <c r="M38" s="2740"/>
      <c r="N38" s="2373"/>
      <c r="O38" s="2373"/>
      <c r="P38" s="2318"/>
      <c r="Q38" s="2420"/>
      <c r="R38" s="2527"/>
      <c r="S38" s="2376"/>
      <c r="T38" s="2319"/>
      <c r="U38" s="1868" t="s">
        <v>2482</v>
      </c>
      <c r="V38" s="1978">
        <v>28350000</v>
      </c>
      <c r="W38" s="2746"/>
      <c r="X38" s="2373"/>
      <c r="Y38" s="2474"/>
      <c r="Z38" s="2474"/>
      <c r="AA38" s="2474"/>
      <c r="AB38" s="2474"/>
      <c r="AC38" s="2474"/>
      <c r="AD38" s="2474"/>
      <c r="AE38" s="2474"/>
      <c r="AF38" s="2469"/>
      <c r="AG38" s="2474"/>
      <c r="AH38" s="2474"/>
      <c r="AI38" s="2474"/>
      <c r="AJ38" s="2474"/>
      <c r="AK38" s="2469"/>
      <c r="AL38" s="2469"/>
      <c r="AM38" s="2474"/>
      <c r="AN38" s="2474"/>
      <c r="AO38" s="2750"/>
      <c r="AP38" s="2466"/>
      <c r="AQ38" s="2750"/>
      <c r="AR38" s="2466"/>
      <c r="AS38" s="2444"/>
    </row>
    <row r="39" spans="1:45" s="130" customFormat="1" ht="30" customHeight="1">
      <c r="A39" s="1960"/>
      <c r="B39" s="1961"/>
      <c r="C39" s="1962"/>
      <c r="D39" s="1963"/>
      <c r="E39" s="1961"/>
      <c r="F39" s="1962"/>
      <c r="G39" s="706"/>
      <c r="H39" s="2721"/>
      <c r="I39" s="2722"/>
      <c r="J39" s="2738"/>
      <c r="K39" s="2318"/>
      <c r="L39" s="2376"/>
      <c r="M39" s="2740"/>
      <c r="N39" s="2373"/>
      <c r="O39" s="2373"/>
      <c r="P39" s="2318"/>
      <c r="Q39" s="2420"/>
      <c r="R39" s="2527"/>
      <c r="S39" s="2376"/>
      <c r="T39" s="2337" t="s">
        <v>2483</v>
      </c>
      <c r="U39" s="2729" t="s">
        <v>2484</v>
      </c>
      <c r="V39" s="2763">
        <v>20000000</v>
      </c>
      <c r="W39" s="2746"/>
      <c r="X39" s="2373"/>
      <c r="Y39" s="2474"/>
      <c r="Z39" s="2474"/>
      <c r="AA39" s="2474"/>
      <c r="AB39" s="2474"/>
      <c r="AC39" s="2474"/>
      <c r="AD39" s="2474"/>
      <c r="AE39" s="2474"/>
      <c r="AF39" s="2469"/>
      <c r="AG39" s="2474"/>
      <c r="AH39" s="2474"/>
      <c r="AI39" s="2474"/>
      <c r="AJ39" s="2474"/>
      <c r="AK39" s="2469"/>
      <c r="AL39" s="2469"/>
      <c r="AM39" s="2474"/>
      <c r="AN39" s="2474"/>
      <c r="AO39" s="2750"/>
      <c r="AP39" s="2466"/>
      <c r="AQ39" s="2750"/>
      <c r="AR39" s="2466"/>
      <c r="AS39" s="2444"/>
    </row>
    <row r="40" spans="1:45" s="130" customFormat="1" ht="41.25" customHeight="1">
      <c r="A40" s="1960"/>
      <c r="B40" s="1961"/>
      <c r="C40" s="1962"/>
      <c r="D40" s="1963"/>
      <c r="E40" s="1961"/>
      <c r="F40" s="1962"/>
      <c r="G40" s="706"/>
      <c r="H40" s="2721"/>
      <c r="I40" s="2722"/>
      <c r="J40" s="2738"/>
      <c r="K40" s="2318"/>
      <c r="L40" s="2376"/>
      <c r="M40" s="2740"/>
      <c r="N40" s="2373"/>
      <c r="O40" s="2373"/>
      <c r="P40" s="2318"/>
      <c r="Q40" s="2420"/>
      <c r="R40" s="2527"/>
      <c r="S40" s="2376"/>
      <c r="T40" s="2318"/>
      <c r="U40" s="2730"/>
      <c r="V40" s="2765"/>
      <c r="W40" s="2746"/>
      <c r="X40" s="2373"/>
      <c r="Y40" s="2474"/>
      <c r="Z40" s="2474"/>
      <c r="AA40" s="2474"/>
      <c r="AB40" s="2474"/>
      <c r="AC40" s="2474"/>
      <c r="AD40" s="2474"/>
      <c r="AE40" s="2474"/>
      <c r="AF40" s="2469"/>
      <c r="AG40" s="2474"/>
      <c r="AH40" s="2474"/>
      <c r="AI40" s="2474"/>
      <c r="AJ40" s="2474"/>
      <c r="AK40" s="2469"/>
      <c r="AL40" s="2469"/>
      <c r="AM40" s="2474"/>
      <c r="AN40" s="2474"/>
      <c r="AO40" s="2750"/>
      <c r="AP40" s="2466"/>
      <c r="AQ40" s="2750"/>
      <c r="AR40" s="2466"/>
      <c r="AS40" s="2444"/>
    </row>
    <row r="41" spans="1:45" s="130" customFormat="1" ht="52.5" customHeight="1">
      <c r="A41" s="1960"/>
      <c r="B41" s="1961"/>
      <c r="C41" s="1962"/>
      <c r="D41" s="1963"/>
      <c r="E41" s="1961"/>
      <c r="F41" s="1962"/>
      <c r="G41" s="706"/>
      <c r="H41" s="2723"/>
      <c r="I41" s="2724"/>
      <c r="J41" s="2726"/>
      <c r="K41" s="2319"/>
      <c r="L41" s="2377"/>
      <c r="M41" s="2741"/>
      <c r="N41" s="2374"/>
      <c r="O41" s="2374"/>
      <c r="P41" s="2319"/>
      <c r="Q41" s="2421"/>
      <c r="R41" s="2528"/>
      <c r="S41" s="2377"/>
      <c r="T41" s="2319"/>
      <c r="U41" s="1875" t="s">
        <v>2485</v>
      </c>
      <c r="V41" s="1979">
        <v>107120997</v>
      </c>
      <c r="W41" s="2767"/>
      <c r="X41" s="2374"/>
      <c r="Y41" s="2743"/>
      <c r="Z41" s="2743"/>
      <c r="AA41" s="2743"/>
      <c r="AB41" s="2743"/>
      <c r="AC41" s="2743"/>
      <c r="AD41" s="2743"/>
      <c r="AE41" s="2743"/>
      <c r="AF41" s="2768"/>
      <c r="AG41" s="2743"/>
      <c r="AH41" s="2743"/>
      <c r="AI41" s="2743"/>
      <c r="AJ41" s="2743"/>
      <c r="AK41" s="2768"/>
      <c r="AL41" s="2768"/>
      <c r="AM41" s="2743"/>
      <c r="AN41" s="2743"/>
      <c r="AO41" s="2751"/>
      <c r="AP41" s="2467"/>
      <c r="AQ41" s="2751"/>
      <c r="AR41" s="2467"/>
      <c r="AS41" s="2464"/>
    </row>
    <row r="42" spans="1:45" s="334" customFormat="1" ht="15" customHeight="1">
      <c r="A42" s="1944"/>
      <c r="B42" s="1440"/>
      <c r="C42" s="1945"/>
      <c r="D42" s="1946">
        <v>10</v>
      </c>
      <c r="E42" s="2711" t="s">
        <v>2486</v>
      </c>
      <c r="F42" s="2712"/>
      <c r="G42" s="2712"/>
      <c r="H42" s="2712"/>
      <c r="I42" s="2712"/>
      <c r="J42" s="2712"/>
      <c r="K42" s="2712"/>
      <c r="L42" s="1947"/>
      <c r="M42" s="1980"/>
      <c r="N42" s="1948"/>
      <c r="O42" s="1948"/>
      <c r="P42" s="1947"/>
      <c r="Q42" s="1948"/>
      <c r="R42" s="1981"/>
      <c r="S42" s="1947"/>
      <c r="T42" s="1947"/>
      <c r="U42" s="1947"/>
      <c r="V42" s="1982"/>
      <c r="W42" s="1951"/>
      <c r="X42" s="1952"/>
      <c r="Y42" s="1983"/>
      <c r="Z42" s="1983"/>
      <c r="AA42" s="1983"/>
      <c r="AB42" s="1983"/>
      <c r="AC42" s="1983"/>
      <c r="AD42" s="1983"/>
      <c r="AE42" s="1983"/>
      <c r="AF42" s="1983"/>
      <c r="AG42" s="1983"/>
      <c r="AH42" s="1983"/>
      <c r="AI42" s="1983"/>
      <c r="AJ42" s="1983"/>
      <c r="AK42" s="1983"/>
      <c r="AL42" s="1983"/>
      <c r="AM42" s="1983"/>
      <c r="AN42" s="1983"/>
      <c r="AO42" s="1983"/>
      <c r="AP42" s="1983"/>
      <c r="AQ42" s="1983"/>
      <c r="AR42" s="1983"/>
      <c r="AS42" s="1984"/>
    </row>
    <row r="43" spans="1:45" s="334" customFormat="1" ht="15" customHeight="1">
      <c r="A43" s="1985"/>
      <c r="B43" s="168"/>
      <c r="C43" s="168"/>
      <c r="D43" s="1986"/>
      <c r="E43" s="1987"/>
      <c r="F43" s="1945"/>
      <c r="G43" s="181">
        <v>32</v>
      </c>
      <c r="H43" s="2715" t="s">
        <v>2487</v>
      </c>
      <c r="I43" s="2716"/>
      <c r="J43" s="2716"/>
      <c r="K43" s="2716"/>
      <c r="L43" s="2716"/>
      <c r="M43" s="1670"/>
      <c r="N43" s="1311"/>
      <c r="O43" s="1311"/>
      <c r="P43" s="639"/>
      <c r="Q43" s="1311"/>
      <c r="R43" s="1988"/>
      <c r="S43" s="639"/>
      <c r="T43" s="639"/>
      <c r="U43" s="639"/>
      <c r="V43" s="1989"/>
      <c r="W43" s="1422"/>
      <c r="X43" s="1312"/>
      <c r="Y43" s="1990"/>
      <c r="Z43" s="1990"/>
      <c r="AA43" s="1990"/>
      <c r="AB43" s="1990"/>
      <c r="AC43" s="1990"/>
      <c r="AD43" s="1990"/>
      <c r="AE43" s="1990"/>
      <c r="AF43" s="1990"/>
      <c r="AG43" s="1990"/>
      <c r="AH43" s="1990"/>
      <c r="AI43" s="1990"/>
      <c r="AJ43" s="1990"/>
      <c r="AK43" s="1990"/>
      <c r="AL43" s="1990"/>
      <c r="AM43" s="1990"/>
      <c r="AN43" s="1990"/>
      <c r="AO43" s="1990"/>
      <c r="AP43" s="1990"/>
      <c r="AQ43" s="1990"/>
      <c r="AR43" s="1990"/>
      <c r="AS43" s="1991"/>
    </row>
    <row r="44" spans="1:45" s="130" customFormat="1" ht="50.25" customHeight="1">
      <c r="A44" s="1960"/>
      <c r="B44" s="1961"/>
      <c r="C44" s="1961"/>
      <c r="D44" s="1963"/>
      <c r="E44" s="2721"/>
      <c r="F44" s="2722"/>
      <c r="G44" s="706"/>
      <c r="H44" s="2719"/>
      <c r="I44" s="2720"/>
      <c r="J44" s="2725">
        <v>119</v>
      </c>
      <c r="K44" s="2375" t="s">
        <v>2488</v>
      </c>
      <c r="L44" s="2375" t="s">
        <v>2439</v>
      </c>
      <c r="M44" s="2739">
        <v>9</v>
      </c>
      <c r="N44" s="2378" t="s">
        <v>2489</v>
      </c>
      <c r="O44" s="2378" t="s">
        <v>2490</v>
      </c>
      <c r="P44" s="2375" t="s">
        <v>2491</v>
      </c>
      <c r="Q44" s="2419">
        <f>(V44+V45+V46+V47)/R44</f>
        <v>1</v>
      </c>
      <c r="R44" s="2707">
        <f>SUM(V44:V47)</f>
        <v>450770010</v>
      </c>
      <c r="S44" s="2375" t="s">
        <v>2492</v>
      </c>
      <c r="T44" s="2375" t="s">
        <v>2493</v>
      </c>
      <c r="U44" s="732" t="s">
        <v>2494</v>
      </c>
      <c r="V44" s="1970">
        <f>306456761-31955400+239210000-68231351</f>
        <v>445480010</v>
      </c>
      <c r="W44" s="2766">
        <v>20</v>
      </c>
      <c r="X44" s="2443" t="s">
        <v>80</v>
      </c>
      <c r="Y44" s="2443">
        <v>85278</v>
      </c>
      <c r="Z44" s="2443">
        <v>85277</v>
      </c>
      <c r="AA44" s="2742">
        <v>17056</v>
      </c>
      <c r="AB44" s="2742">
        <v>34111</v>
      </c>
      <c r="AC44" s="2742">
        <v>85278</v>
      </c>
      <c r="AD44" s="2742">
        <v>25582</v>
      </c>
      <c r="AE44" s="2742">
        <v>4263.875</v>
      </c>
      <c r="AF44" s="2742">
        <v>4264</v>
      </c>
      <c r="AG44" s="2742"/>
      <c r="AH44" s="2742"/>
      <c r="AI44" s="2742"/>
      <c r="AJ44" s="1992"/>
      <c r="AK44" s="1992"/>
      <c r="AL44" s="1992"/>
      <c r="AM44" s="1992"/>
      <c r="AN44" s="2742">
        <v>170555</v>
      </c>
      <c r="AO44" s="2749">
        <v>43101</v>
      </c>
      <c r="AP44" s="2749">
        <v>43122</v>
      </c>
      <c r="AQ44" s="2749">
        <v>43465</v>
      </c>
      <c r="AR44" s="2749">
        <v>43465</v>
      </c>
      <c r="AS44" s="2443" t="s">
        <v>2437</v>
      </c>
    </row>
    <row r="45" spans="1:45" s="130" customFormat="1" ht="32.25" customHeight="1">
      <c r="A45" s="1960"/>
      <c r="B45" s="1961"/>
      <c r="C45" s="1961"/>
      <c r="D45" s="1963"/>
      <c r="E45" s="2721"/>
      <c r="F45" s="2722"/>
      <c r="G45" s="706"/>
      <c r="H45" s="2721"/>
      <c r="I45" s="2722"/>
      <c r="J45" s="2738"/>
      <c r="K45" s="2376"/>
      <c r="L45" s="2376"/>
      <c r="M45" s="2740"/>
      <c r="N45" s="2373"/>
      <c r="O45" s="2373"/>
      <c r="P45" s="2376"/>
      <c r="Q45" s="2420"/>
      <c r="R45" s="2744"/>
      <c r="S45" s="2376"/>
      <c r="T45" s="2376"/>
      <c r="U45" s="1969" t="s">
        <v>2495</v>
      </c>
      <c r="V45" s="1978">
        <v>0</v>
      </c>
      <c r="W45" s="2746"/>
      <c r="X45" s="2444"/>
      <c r="Y45" s="2444"/>
      <c r="Z45" s="2444"/>
      <c r="AA45" s="2474"/>
      <c r="AB45" s="2474"/>
      <c r="AC45" s="2474"/>
      <c r="AD45" s="2474"/>
      <c r="AE45" s="2474"/>
      <c r="AF45" s="2474"/>
      <c r="AG45" s="2474"/>
      <c r="AH45" s="2474"/>
      <c r="AI45" s="2474"/>
      <c r="AJ45" s="1993"/>
      <c r="AK45" s="1993"/>
      <c r="AL45" s="1993"/>
      <c r="AM45" s="1993"/>
      <c r="AN45" s="2474"/>
      <c r="AO45" s="2750"/>
      <c r="AP45" s="2466"/>
      <c r="AQ45" s="2750"/>
      <c r="AR45" s="2466"/>
      <c r="AS45" s="2444"/>
    </row>
    <row r="46" spans="1:45" s="130" customFormat="1" ht="38.25" customHeight="1">
      <c r="A46" s="1960"/>
      <c r="B46" s="1961"/>
      <c r="C46" s="1961"/>
      <c r="D46" s="1963"/>
      <c r="E46" s="2721"/>
      <c r="F46" s="2722"/>
      <c r="G46" s="706"/>
      <c r="H46" s="2721"/>
      <c r="I46" s="2722"/>
      <c r="J46" s="2738"/>
      <c r="K46" s="2376"/>
      <c r="L46" s="2376"/>
      <c r="M46" s="2740"/>
      <c r="N46" s="2373"/>
      <c r="O46" s="2373"/>
      <c r="P46" s="2376"/>
      <c r="Q46" s="2420"/>
      <c r="R46" s="2744"/>
      <c r="S46" s="2376"/>
      <c r="T46" s="2377"/>
      <c r="U46" s="732" t="s">
        <v>2496</v>
      </c>
      <c r="V46" s="1978">
        <f>122249999+1-122250000</f>
        <v>0</v>
      </c>
      <c r="W46" s="2746"/>
      <c r="X46" s="2444"/>
      <c r="Y46" s="2444"/>
      <c r="Z46" s="2444"/>
      <c r="AA46" s="2474"/>
      <c r="AB46" s="2474"/>
      <c r="AC46" s="2474"/>
      <c r="AD46" s="2474"/>
      <c r="AE46" s="2474"/>
      <c r="AF46" s="2474"/>
      <c r="AG46" s="2474"/>
      <c r="AH46" s="2474"/>
      <c r="AI46" s="2474"/>
      <c r="AJ46" s="1993"/>
      <c r="AK46" s="1993"/>
      <c r="AL46" s="1993"/>
      <c r="AM46" s="1993"/>
      <c r="AN46" s="2474"/>
      <c r="AO46" s="2750"/>
      <c r="AP46" s="2466"/>
      <c r="AQ46" s="2750"/>
      <c r="AR46" s="2466"/>
      <c r="AS46" s="2444"/>
    </row>
    <row r="47" spans="1:45" s="130" customFormat="1" ht="112.5" customHeight="1">
      <c r="A47" s="1960"/>
      <c r="B47" s="1961"/>
      <c r="C47" s="1961"/>
      <c r="D47" s="1963"/>
      <c r="E47" s="2721"/>
      <c r="F47" s="2722"/>
      <c r="G47" s="706"/>
      <c r="H47" s="2723"/>
      <c r="I47" s="2724"/>
      <c r="J47" s="2726"/>
      <c r="K47" s="2377"/>
      <c r="L47" s="2377"/>
      <c r="M47" s="2741"/>
      <c r="N47" s="2374"/>
      <c r="O47" s="2374"/>
      <c r="P47" s="2377"/>
      <c r="Q47" s="2421"/>
      <c r="R47" s="2708"/>
      <c r="S47" s="2377"/>
      <c r="T47" s="1274" t="s">
        <v>2497</v>
      </c>
      <c r="U47" s="1868" t="s">
        <v>2498</v>
      </c>
      <c r="V47" s="1978">
        <f>122250000-116960000</f>
        <v>5290000</v>
      </c>
      <c r="W47" s="2767"/>
      <c r="X47" s="2464"/>
      <c r="Y47" s="2464"/>
      <c r="Z47" s="2464"/>
      <c r="AA47" s="2743"/>
      <c r="AB47" s="2743"/>
      <c r="AC47" s="2743"/>
      <c r="AD47" s="2743"/>
      <c r="AE47" s="2743"/>
      <c r="AF47" s="2743"/>
      <c r="AG47" s="2743"/>
      <c r="AH47" s="2743"/>
      <c r="AI47" s="2743"/>
      <c r="AJ47" s="1994"/>
      <c r="AK47" s="1994"/>
      <c r="AL47" s="1994"/>
      <c r="AM47" s="1994"/>
      <c r="AN47" s="2743"/>
      <c r="AO47" s="2751"/>
      <c r="AP47" s="2467"/>
      <c r="AQ47" s="2751"/>
      <c r="AR47" s="2467"/>
      <c r="AS47" s="2464"/>
    </row>
    <row r="48" spans="1:45" ht="15" customHeight="1">
      <c r="A48" s="1953"/>
      <c r="B48" s="194"/>
      <c r="C48" s="194"/>
      <c r="D48" s="1122"/>
      <c r="E48" s="2721"/>
      <c r="F48" s="2722"/>
      <c r="G48" s="181">
        <v>32</v>
      </c>
      <c r="H48" s="2715" t="s">
        <v>2487</v>
      </c>
      <c r="I48" s="2716"/>
      <c r="J48" s="2716"/>
      <c r="K48" s="2716"/>
      <c r="L48" s="2716"/>
      <c r="M48" s="1973"/>
      <c r="N48" s="1955"/>
      <c r="O48" s="1955"/>
      <c r="P48" s="1954"/>
      <c r="Q48" s="1955"/>
      <c r="R48" s="1974"/>
      <c r="S48" s="1954"/>
      <c r="T48" s="1954"/>
      <c r="U48" s="1954"/>
      <c r="V48" s="1975"/>
      <c r="W48" s="1958"/>
      <c r="X48" s="1995"/>
      <c r="Y48" s="1973"/>
      <c r="Z48" s="1973"/>
      <c r="AA48" s="1973"/>
      <c r="AB48" s="1973"/>
      <c r="AC48" s="1973"/>
      <c r="AD48" s="1973"/>
      <c r="AE48" s="1973"/>
      <c r="AF48" s="1973"/>
      <c r="AG48" s="1973"/>
      <c r="AH48" s="1973"/>
      <c r="AI48" s="1973"/>
      <c r="AJ48" s="1973"/>
      <c r="AK48" s="1973"/>
      <c r="AL48" s="1973"/>
      <c r="AM48" s="1973"/>
      <c r="AN48" s="1973"/>
      <c r="AO48" s="1976"/>
      <c r="AP48" s="1976"/>
      <c r="AQ48" s="1976"/>
      <c r="AR48" s="1976"/>
      <c r="AS48" s="1977"/>
    </row>
    <row r="49" spans="1:45" s="130" customFormat="1" ht="54.75" customHeight="1">
      <c r="A49" s="1960"/>
      <c r="B49" s="1961"/>
      <c r="C49" s="1961"/>
      <c r="D49" s="1963"/>
      <c r="E49" s="2721"/>
      <c r="F49" s="2722"/>
      <c r="G49" s="706"/>
      <c r="H49" s="2719"/>
      <c r="I49" s="2720"/>
      <c r="J49" s="2725">
        <v>120</v>
      </c>
      <c r="K49" s="2098" t="s">
        <v>2499</v>
      </c>
      <c r="L49" s="2375" t="s">
        <v>2439</v>
      </c>
      <c r="M49" s="2739">
        <v>3</v>
      </c>
      <c r="N49" s="2378" t="s">
        <v>2500</v>
      </c>
      <c r="O49" s="2378" t="s">
        <v>2501</v>
      </c>
      <c r="P49" s="2375" t="s">
        <v>2502</v>
      </c>
      <c r="Q49" s="2419">
        <f>(V49+V50)/R49</f>
        <v>0.8622363636363637</v>
      </c>
      <c r="R49" s="2707">
        <f>V49+V53+V50+V51+V52</f>
        <v>550000000</v>
      </c>
      <c r="S49" s="2375" t="s">
        <v>2503</v>
      </c>
      <c r="T49" s="2300" t="s">
        <v>2504</v>
      </c>
      <c r="U49" s="732" t="s">
        <v>2505</v>
      </c>
      <c r="V49" s="1970">
        <v>24229999</v>
      </c>
      <c r="W49" s="2766">
        <v>20</v>
      </c>
      <c r="X49" s="2443" t="s">
        <v>80</v>
      </c>
      <c r="Y49" s="2443">
        <v>142127</v>
      </c>
      <c r="Z49" s="2443">
        <v>142127</v>
      </c>
      <c r="AA49" s="2742">
        <v>85276</v>
      </c>
      <c r="AB49" s="2742">
        <v>85276</v>
      </c>
      <c r="AC49" s="2742">
        <v>99489</v>
      </c>
      <c r="AD49" s="2742">
        <v>14213</v>
      </c>
      <c r="AE49" s="2742"/>
      <c r="AF49" s="2742"/>
      <c r="AG49" s="2742"/>
      <c r="AH49" s="2742"/>
      <c r="AI49" s="2742"/>
      <c r="AJ49" s="1992"/>
      <c r="AK49" s="1992"/>
      <c r="AL49" s="1992"/>
      <c r="AM49" s="1992"/>
      <c r="AN49" s="2742">
        <f>+Y49+Z49</f>
        <v>284254</v>
      </c>
      <c r="AO49" s="2749">
        <v>43101</v>
      </c>
      <c r="AP49" s="2749">
        <v>43111</v>
      </c>
      <c r="AQ49" s="2749">
        <v>43465</v>
      </c>
      <c r="AR49" s="2749">
        <v>43465</v>
      </c>
      <c r="AS49" s="2443" t="s">
        <v>2437</v>
      </c>
    </row>
    <row r="50" spans="1:45" s="130" customFormat="1" ht="68.25" customHeight="1">
      <c r="A50" s="1960"/>
      <c r="B50" s="1961"/>
      <c r="C50" s="1961"/>
      <c r="D50" s="1963"/>
      <c r="E50" s="2721"/>
      <c r="F50" s="2722"/>
      <c r="G50" s="706"/>
      <c r="H50" s="2721"/>
      <c r="I50" s="2722"/>
      <c r="J50" s="2738"/>
      <c r="K50" s="2127"/>
      <c r="L50" s="2376"/>
      <c r="M50" s="2740"/>
      <c r="N50" s="2373"/>
      <c r="O50" s="2373"/>
      <c r="P50" s="2376"/>
      <c r="Q50" s="2420"/>
      <c r="R50" s="2744"/>
      <c r="S50" s="2376"/>
      <c r="T50" s="2300"/>
      <c r="U50" s="1875" t="s">
        <v>2506</v>
      </c>
      <c r="V50" s="1979">
        <f>1+450000000</f>
        <v>450000001</v>
      </c>
      <c r="W50" s="2746"/>
      <c r="X50" s="2444"/>
      <c r="Y50" s="2444"/>
      <c r="Z50" s="2444"/>
      <c r="AA50" s="2474"/>
      <c r="AB50" s="2474"/>
      <c r="AC50" s="2474"/>
      <c r="AD50" s="2474"/>
      <c r="AE50" s="2474"/>
      <c r="AF50" s="2474"/>
      <c r="AG50" s="2474"/>
      <c r="AH50" s="2474"/>
      <c r="AI50" s="2474"/>
      <c r="AJ50" s="1993"/>
      <c r="AK50" s="1993"/>
      <c r="AL50" s="1993"/>
      <c r="AM50" s="1993"/>
      <c r="AN50" s="2474"/>
      <c r="AO50" s="2750"/>
      <c r="AP50" s="2466"/>
      <c r="AQ50" s="2750"/>
      <c r="AR50" s="2466"/>
      <c r="AS50" s="2444"/>
    </row>
    <row r="51" spans="1:45" s="130" customFormat="1" ht="56.25" customHeight="1">
      <c r="A51" s="1960"/>
      <c r="B51" s="1961"/>
      <c r="C51" s="1961"/>
      <c r="D51" s="1963"/>
      <c r="E51" s="2721"/>
      <c r="F51" s="2722"/>
      <c r="G51" s="706"/>
      <c r="H51" s="2721"/>
      <c r="I51" s="2722"/>
      <c r="J51" s="2725">
        <v>121</v>
      </c>
      <c r="K51" s="2098" t="s">
        <v>2507</v>
      </c>
      <c r="L51" s="2376"/>
      <c r="M51" s="2739">
        <v>4</v>
      </c>
      <c r="N51" s="2373"/>
      <c r="O51" s="2373"/>
      <c r="P51" s="2376"/>
      <c r="Q51" s="2419">
        <f>(V51+V52+V53)/R49</f>
        <v>0.13776363636363637</v>
      </c>
      <c r="R51" s="2744"/>
      <c r="S51" s="2376"/>
      <c r="T51" s="2337" t="s">
        <v>2508</v>
      </c>
      <c r="U51" s="1875" t="s">
        <v>2509</v>
      </c>
      <c r="V51" s="1979">
        <v>0</v>
      </c>
      <c r="W51" s="2746"/>
      <c r="X51" s="2444"/>
      <c r="Y51" s="2444"/>
      <c r="Z51" s="2444"/>
      <c r="AA51" s="2474"/>
      <c r="AB51" s="2474"/>
      <c r="AC51" s="2474"/>
      <c r="AD51" s="2474"/>
      <c r="AE51" s="2474"/>
      <c r="AF51" s="2474"/>
      <c r="AG51" s="2474"/>
      <c r="AH51" s="2474"/>
      <c r="AI51" s="2474"/>
      <c r="AJ51" s="1993"/>
      <c r="AK51" s="1993"/>
      <c r="AL51" s="1993"/>
      <c r="AM51" s="1993"/>
      <c r="AN51" s="2474"/>
      <c r="AO51" s="2750"/>
      <c r="AP51" s="2466"/>
      <c r="AQ51" s="2750"/>
      <c r="AR51" s="2466"/>
      <c r="AS51" s="2444"/>
    </row>
    <row r="52" spans="1:45" s="130" customFormat="1" ht="52.5" customHeight="1">
      <c r="A52" s="1960"/>
      <c r="B52" s="1961"/>
      <c r="C52" s="1961"/>
      <c r="D52" s="1963"/>
      <c r="E52" s="2721"/>
      <c r="F52" s="2722"/>
      <c r="G52" s="706"/>
      <c r="H52" s="2721"/>
      <c r="I52" s="2722"/>
      <c r="J52" s="2738"/>
      <c r="K52" s="2127"/>
      <c r="L52" s="2376"/>
      <c r="M52" s="2740"/>
      <c r="N52" s="2373"/>
      <c r="O52" s="2373"/>
      <c r="P52" s="2376"/>
      <c r="Q52" s="2420"/>
      <c r="R52" s="2744"/>
      <c r="S52" s="2376"/>
      <c r="T52" s="2318"/>
      <c r="U52" s="1875" t="s">
        <v>2510</v>
      </c>
      <c r="V52" s="1979">
        <v>55770000</v>
      </c>
      <c r="W52" s="2746"/>
      <c r="X52" s="2444"/>
      <c r="Y52" s="2444"/>
      <c r="Z52" s="2444"/>
      <c r="AA52" s="2474"/>
      <c r="AB52" s="2474"/>
      <c r="AC52" s="2474"/>
      <c r="AD52" s="2474"/>
      <c r="AE52" s="2474"/>
      <c r="AF52" s="2474"/>
      <c r="AG52" s="2474"/>
      <c r="AH52" s="2474"/>
      <c r="AI52" s="2474"/>
      <c r="AJ52" s="1993"/>
      <c r="AK52" s="1993"/>
      <c r="AL52" s="1993"/>
      <c r="AM52" s="1993"/>
      <c r="AN52" s="2474"/>
      <c r="AO52" s="2750"/>
      <c r="AP52" s="2466"/>
      <c r="AQ52" s="2750"/>
      <c r="AR52" s="2466"/>
      <c r="AS52" s="2444"/>
    </row>
    <row r="53" spans="1:45" ht="66" customHeight="1" thickBot="1">
      <c r="A53" s="1960"/>
      <c r="B53" s="1961"/>
      <c r="C53" s="1961"/>
      <c r="D53" s="1963"/>
      <c r="E53" s="2721"/>
      <c r="F53" s="2722"/>
      <c r="G53" s="706"/>
      <c r="H53" s="2721"/>
      <c r="I53" s="2722"/>
      <c r="J53" s="2738"/>
      <c r="K53" s="2127"/>
      <c r="L53" s="2376"/>
      <c r="M53" s="2740"/>
      <c r="N53" s="2373"/>
      <c r="O53" s="2373"/>
      <c r="P53" s="2376"/>
      <c r="Q53" s="2420"/>
      <c r="R53" s="2744"/>
      <c r="S53" s="2376"/>
      <c r="T53" s="2318"/>
      <c r="U53" s="1867" t="s">
        <v>2511</v>
      </c>
      <c r="V53" s="1996">
        <v>20000000</v>
      </c>
      <c r="W53" s="2746"/>
      <c r="X53" s="2444"/>
      <c r="Y53" s="2444"/>
      <c r="Z53" s="2444"/>
      <c r="AA53" s="2474"/>
      <c r="AB53" s="2474"/>
      <c r="AC53" s="2474"/>
      <c r="AD53" s="2474"/>
      <c r="AE53" s="2474"/>
      <c r="AF53" s="2474"/>
      <c r="AG53" s="2474"/>
      <c r="AH53" s="2474"/>
      <c r="AI53" s="2474"/>
      <c r="AJ53" s="1993"/>
      <c r="AK53" s="1993"/>
      <c r="AL53" s="1993"/>
      <c r="AM53" s="1993"/>
      <c r="AN53" s="2474"/>
      <c r="AO53" s="2750"/>
      <c r="AP53" s="2466"/>
      <c r="AQ53" s="2750"/>
      <c r="AR53" s="2466"/>
      <c r="AS53" s="2444"/>
    </row>
    <row r="54" spans="1:45" ht="22.5" customHeight="1" thickBot="1">
      <c r="A54" s="1997"/>
      <c r="B54" s="1998"/>
      <c r="C54" s="1998"/>
      <c r="D54" s="1998"/>
      <c r="E54" s="1998"/>
      <c r="F54" s="1998"/>
      <c r="G54" s="1998"/>
      <c r="H54" s="1998"/>
      <c r="I54" s="1998"/>
      <c r="J54" s="1999"/>
      <c r="K54" s="2000"/>
      <c r="L54" s="2000"/>
      <c r="M54" s="1998"/>
      <c r="N54" s="208"/>
      <c r="O54" s="1998"/>
      <c r="P54" s="2001" t="s">
        <v>225</v>
      </c>
      <c r="Q54" s="2002"/>
      <c r="R54" s="2003">
        <f>SUM(R13:R53)</f>
        <v>5569883825</v>
      </c>
      <c r="S54" s="2000"/>
      <c r="T54" s="2000"/>
      <c r="U54" s="2000"/>
      <c r="V54" s="2003">
        <f>SUM(V13:V53)</f>
        <v>5569883825</v>
      </c>
      <c r="W54" s="2004"/>
      <c r="X54" s="1998"/>
      <c r="Y54" s="1998"/>
      <c r="Z54" s="1998"/>
      <c r="AA54" s="2005"/>
      <c r="AB54" s="2006"/>
      <c r="AC54" s="2005"/>
      <c r="AD54" s="2005"/>
      <c r="AE54" s="2005"/>
      <c r="AF54" s="2005"/>
      <c r="AG54" s="2005"/>
      <c r="AH54" s="2005"/>
      <c r="AI54" s="2005"/>
      <c r="AJ54" s="2005"/>
      <c r="AK54" s="2005"/>
      <c r="AL54" s="2005"/>
      <c r="AM54" s="2005"/>
      <c r="AN54" s="2005"/>
      <c r="AO54" s="207"/>
      <c r="AP54" s="207"/>
      <c r="AQ54" s="207"/>
      <c r="AR54" s="207"/>
      <c r="AS54" s="1471"/>
    </row>
    <row r="55" spans="11:26" ht="15">
      <c r="K55" s="659"/>
      <c r="L55" s="659"/>
      <c r="M55" s="130"/>
      <c r="N55" s="1231"/>
      <c r="O55" s="130"/>
      <c r="P55" s="659"/>
      <c r="Q55" s="663"/>
      <c r="R55" s="2007"/>
      <c r="S55" s="659"/>
      <c r="T55" s="659"/>
      <c r="U55" s="659"/>
      <c r="V55" s="2008"/>
      <c r="W55" s="234"/>
      <c r="X55" s="194"/>
      <c r="Y55" s="235"/>
      <c r="Z55" s="235"/>
    </row>
    <row r="56" spans="11:26" ht="15">
      <c r="K56" s="659"/>
      <c r="L56" s="659"/>
      <c r="M56" s="130"/>
      <c r="N56" s="1231"/>
      <c r="O56" s="130"/>
      <c r="P56" s="659"/>
      <c r="Q56" s="663"/>
      <c r="R56" s="2007"/>
      <c r="S56" s="659"/>
      <c r="T56" s="659"/>
      <c r="U56" s="659"/>
      <c r="V56" s="2008"/>
      <c r="W56" s="234"/>
      <c r="X56" s="194"/>
      <c r="Y56" s="235"/>
      <c r="Z56" s="235"/>
    </row>
    <row r="57" spans="11:26" ht="15">
      <c r="K57" s="659"/>
      <c r="L57" s="659"/>
      <c r="M57" s="130"/>
      <c r="N57" s="1231"/>
      <c r="O57" s="130"/>
      <c r="P57" s="659"/>
      <c r="Q57" s="663"/>
      <c r="R57" s="2007"/>
      <c r="S57" s="659"/>
      <c r="T57" s="659"/>
      <c r="U57" s="659"/>
      <c r="V57" s="2008"/>
      <c r="W57" s="234"/>
      <c r="X57" s="194"/>
      <c r="Y57" s="235"/>
      <c r="Z57" s="235"/>
    </row>
    <row r="58" spans="1:59" ht="15.75">
      <c r="A58" s="130"/>
      <c r="B58" s="130"/>
      <c r="C58" s="130"/>
      <c r="D58" s="2769" t="s">
        <v>2512</v>
      </c>
      <c r="E58" s="2769"/>
      <c r="F58" s="2769"/>
      <c r="G58" s="2769"/>
      <c r="H58" s="2769"/>
      <c r="I58" s="2769"/>
      <c r="J58" s="130"/>
      <c r="K58" s="659"/>
      <c r="L58" s="659"/>
      <c r="M58" s="238"/>
      <c r="N58" s="2009"/>
      <c r="O58" s="130"/>
      <c r="P58" s="659"/>
      <c r="Q58" s="130"/>
      <c r="R58" s="2010"/>
      <c r="S58" s="2011"/>
      <c r="T58" s="659"/>
      <c r="U58" s="659"/>
      <c r="V58" s="2008"/>
      <c r="W58" s="234"/>
      <c r="X58" s="2012"/>
      <c r="Y58" s="2013"/>
      <c r="Z58" s="2013"/>
      <c r="AA58" s="2013"/>
      <c r="AB58" s="2014"/>
      <c r="AC58" s="235"/>
      <c r="AE58" s="531"/>
      <c r="AF58" s="531"/>
      <c r="AH58" s="531"/>
      <c r="AP58" s="2015"/>
      <c r="AR58" s="2015"/>
      <c r="AT58" s="531"/>
      <c r="AV58" s="531"/>
      <c r="BC58" s="2016"/>
      <c r="BD58" s="2017"/>
      <c r="BE58" s="2018"/>
      <c r="BF58" s="2019"/>
      <c r="BG58" s="1357"/>
    </row>
    <row r="59" spans="1:59" ht="15.75">
      <c r="A59" s="130"/>
      <c r="B59" s="130"/>
      <c r="C59" s="130"/>
      <c r="D59" s="2770" t="s">
        <v>2513</v>
      </c>
      <c r="E59" s="2770"/>
      <c r="F59" s="2770"/>
      <c r="G59" s="2770"/>
      <c r="H59" s="2770"/>
      <c r="I59" s="2770"/>
      <c r="J59" s="130"/>
      <c r="K59" s="659"/>
      <c r="L59" s="659"/>
      <c r="M59" s="238"/>
      <c r="N59" s="2009"/>
      <c r="O59" s="130"/>
      <c r="P59" s="659"/>
      <c r="Q59" s="130"/>
      <c r="R59" s="2010"/>
      <c r="S59" s="2011"/>
      <c r="T59" s="659"/>
      <c r="U59" s="659"/>
      <c r="V59" s="2020"/>
      <c r="W59" s="234"/>
      <c r="X59" s="2012"/>
      <c r="Y59" s="2013"/>
      <c r="Z59" s="2013"/>
      <c r="AA59" s="2013"/>
      <c r="AB59" s="2014"/>
      <c r="AC59" s="235"/>
      <c r="AE59" s="531"/>
      <c r="AF59" s="531"/>
      <c r="AH59" s="531"/>
      <c r="AP59" s="2015"/>
      <c r="AR59" s="2015"/>
      <c r="AT59" s="531"/>
      <c r="AV59" s="531"/>
      <c r="AX59" s="2021"/>
      <c r="AY59" s="2021"/>
      <c r="BC59" s="2016"/>
      <c r="BD59" s="2017"/>
      <c r="BE59" s="2018"/>
      <c r="BF59" s="2019"/>
      <c r="BG59" s="1357"/>
    </row>
  </sheetData>
  <sheetProtection password="CBEB" sheet="1" objects="1" scenarios="1"/>
  <mergeCells count="283">
    <mergeCell ref="D58:I58"/>
    <mergeCell ref="D59:I59"/>
    <mergeCell ref="AS49:AS53"/>
    <mergeCell ref="J51:J53"/>
    <mergeCell ref="K51:K53"/>
    <mergeCell ref="M51:M53"/>
    <mergeCell ref="Q51:Q53"/>
    <mergeCell ref="T51:T53"/>
    <mergeCell ref="AI49:AI53"/>
    <mergeCell ref="AN49:AN53"/>
    <mergeCell ref="AO49:AO53"/>
    <mergeCell ref="AP49:AP53"/>
    <mergeCell ref="AQ49:AQ53"/>
    <mergeCell ref="AR49:AR53"/>
    <mergeCell ref="AC49:AC53"/>
    <mergeCell ref="AD49:AD53"/>
    <mergeCell ref="AE49:AE53"/>
    <mergeCell ref="AF49:AF53"/>
    <mergeCell ref="AG49:AG53"/>
    <mergeCell ref="AH49:AH53"/>
    <mergeCell ref="W49:W53"/>
    <mergeCell ref="X49:X53"/>
    <mergeCell ref="Y49:Y53"/>
    <mergeCell ref="Z49:Z53"/>
    <mergeCell ref="AA49:AA53"/>
    <mergeCell ref="AB49:AB53"/>
    <mergeCell ref="O49:O53"/>
    <mergeCell ref="P49:P53"/>
    <mergeCell ref="Q49:Q50"/>
    <mergeCell ref="R49:R53"/>
    <mergeCell ref="S49:S53"/>
    <mergeCell ref="T49:T50"/>
    <mergeCell ref="AQ44:AQ47"/>
    <mergeCell ref="X44:X47"/>
    <mergeCell ref="Y44:Y47"/>
    <mergeCell ref="Z44:Z47"/>
    <mergeCell ref="AR44:AR47"/>
    <mergeCell ref="AS44:AS47"/>
    <mergeCell ref="H48:L48"/>
    <mergeCell ref="H49:I53"/>
    <mergeCell ref="J49:J50"/>
    <mergeCell ref="K49:K50"/>
    <mergeCell ref="L49:L53"/>
    <mergeCell ref="M49:M50"/>
    <mergeCell ref="N49:N53"/>
    <mergeCell ref="AG44:AG47"/>
    <mergeCell ref="AH44:AH47"/>
    <mergeCell ref="AI44:AI47"/>
    <mergeCell ref="AN44:AN47"/>
    <mergeCell ref="AO44:AO47"/>
    <mergeCell ref="AP44:AP47"/>
    <mergeCell ref="AA44:AA47"/>
    <mergeCell ref="AB44:AB47"/>
    <mergeCell ref="AC44:AC47"/>
    <mergeCell ref="AD44:AD47"/>
    <mergeCell ref="AE44:AE47"/>
    <mergeCell ref="AF44:AF47"/>
    <mergeCell ref="S44:S47"/>
    <mergeCell ref="T44:T46"/>
    <mergeCell ref="W44:W47"/>
    <mergeCell ref="M44:M47"/>
    <mergeCell ref="N44:N47"/>
    <mergeCell ref="O44:O47"/>
    <mergeCell ref="P44:P47"/>
    <mergeCell ref="Q44:Q47"/>
    <mergeCell ref="R44:R47"/>
    <mergeCell ref="H43:L43"/>
    <mergeCell ref="E44:F53"/>
    <mergeCell ref="H44:I47"/>
    <mergeCell ref="J44:J47"/>
    <mergeCell ref="K44:K47"/>
    <mergeCell ref="L44:L47"/>
    <mergeCell ref="AR33:AR41"/>
    <mergeCell ref="AS33:AS41"/>
    <mergeCell ref="T39:T41"/>
    <mergeCell ref="U39:U40"/>
    <mergeCell ref="V39:V40"/>
    <mergeCell ref="E42:K42"/>
    <mergeCell ref="AL33:AL41"/>
    <mergeCell ref="AM33:AM41"/>
    <mergeCell ref="AN33:AN41"/>
    <mergeCell ref="AO33:AO41"/>
    <mergeCell ref="AP33:AP41"/>
    <mergeCell ref="AQ33:AQ41"/>
    <mergeCell ref="AF33:AF41"/>
    <mergeCell ref="AG33:AG41"/>
    <mergeCell ref="AH33:AH41"/>
    <mergeCell ref="AI33:AI41"/>
    <mergeCell ref="AJ33:AJ41"/>
    <mergeCell ref="AK33:AK41"/>
    <mergeCell ref="Z33:Z41"/>
    <mergeCell ref="AA33:AA41"/>
    <mergeCell ref="AB33:AB41"/>
    <mergeCell ref="AC33:AC41"/>
    <mergeCell ref="AD33:AD41"/>
    <mergeCell ref="AE33:AE41"/>
    <mergeCell ref="T33:T38"/>
    <mergeCell ref="U33:U34"/>
    <mergeCell ref="V33:V34"/>
    <mergeCell ref="W33:W41"/>
    <mergeCell ref="X33:X41"/>
    <mergeCell ref="Y33:Y41"/>
    <mergeCell ref="N33:N41"/>
    <mergeCell ref="O33:O41"/>
    <mergeCell ref="P33:P41"/>
    <mergeCell ref="Q33:Q41"/>
    <mergeCell ref="R33:R41"/>
    <mergeCell ref="S33:S41"/>
    <mergeCell ref="H32:K32"/>
    <mergeCell ref="H33:I41"/>
    <mergeCell ref="J33:J41"/>
    <mergeCell ref="K33:K41"/>
    <mergeCell ref="L33:L41"/>
    <mergeCell ref="M33:M41"/>
    <mergeCell ref="AN28:AN31"/>
    <mergeCell ref="AO28:AO31"/>
    <mergeCell ref="AP28:AP31"/>
    <mergeCell ref="AB28:AB31"/>
    <mergeCell ref="AC28:AC31"/>
    <mergeCell ref="AD28:AD31"/>
    <mergeCell ref="AE28:AE31"/>
    <mergeCell ref="AF28:AF31"/>
    <mergeCell ref="AG28:AG31"/>
    <mergeCell ref="V28:V30"/>
    <mergeCell ref="W28:W31"/>
    <mergeCell ref="X28:X31"/>
    <mergeCell ref="Y28:Y31"/>
    <mergeCell ref="Z28:Z31"/>
    <mergeCell ref="AA28:AA31"/>
    <mergeCell ref="P28:P31"/>
    <mergeCell ref="Q28:Q31"/>
    <mergeCell ref="R28:R31"/>
    <mergeCell ref="AQ28:AQ31"/>
    <mergeCell ref="AR28:AR31"/>
    <mergeCell ref="AS28:AS31"/>
    <mergeCell ref="AH28:AH31"/>
    <mergeCell ref="AI28:AI31"/>
    <mergeCell ref="AJ28:AJ31"/>
    <mergeCell ref="AK28:AK31"/>
    <mergeCell ref="AL28:AL31"/>
    <mergeCell ref="AM28:AM31"/>
    <mergeCell ref="J23:J26"/>
    <mergeCell ref="K23:K26"/>
    <mergeCell ref="L23:L26"/>
    <mergeCell ref="M23:M26"/>
    <mergeCell ref="Q23:Q26"/>
    <mergeCell ref="T23:T26"/>
    <mergeCell ref="U23:U24"/>
    <mergeCell ref="V23:V24"/>
    <mergeCell ref="S28:S31"/>
    <mergeCell ref="T28:T31"/>
    <mergeCell ref="U28:U30"/>
    <mergeCell ref="H27:K27"/>
    <mergeCell ref="H28:I31"/>
    <mergeCell ref="J28:J31"/>
    <mergeCell ref="K28:K31"/>
    <mergeCell ref="L28:L31"/>
    <mergeCell ref="M28:M31"/>
    <mergeCell ref="N28:N31"/>
    <mergeCell ref="O28:O31"/>
    <mergeCell ref="W13:W14"/>
    <mergeCell ref="X13:X14"/>
    <mergeCell ref="AQ15:AQ26"/>
    <mergeCell ref="AR15:AR26"/>
    <mergeCell ref="AS15:AS26"/>
    <mergeCell ref="J19:J22"/>
    <mergeCell ref="K19:K22"/>
    <mergeCell ref="L19:L22"/>
    <mergeCell ref="M19:M22"/>
    <mergeCell ref="Q19:Q22"/>
    <mergeCell ref="T19:T22"/>
    <mergeCell ref="U19:U20"/>
    <mergeCell ref="AK15:AK26"/>
    <mergeCell ref="AL15:AL26"/>
    <mergeCell ref="AM15:AM26"/>
    <mergeCell ref="AN15:AN26"/>
    <mergeCell ref="AO15:AO26"/>
    <mergeCell ref="AP15:AP26"/>
    <mergeCell ref="AE15:AE26"/>
    <mergeCell ref="AF15:AF26"/>
    <mergeCell ref="AG15:AG26"/>
    <mergeCell ref="AH15:AH26"/>
    <mergeCell ref="AI15:AI26"/>
    <mergeCell ref="AJ15:AJ26"/>
    <mergeCell ref="AA15:AA26"/>
    <mergeCell ref="AB15:AB26"/>
    <mergeCell ref="AC15:AC26"/>
    <mergeCell ref="AD15:AD26"/>
    <mergeCell ref="Q15:Q18"/>
    <mergeCell ref="R15:R26"/>
    <mergeCell ref="S15:S26"/>
    <mergeCell ref="T15:T18"/>
    <mergeCell ref="U15:U16"/>
    <mergeCell ref="V15:V16"/>
    <mergeCell ref="V19:V20"/>
    <mergeCell ref="W19:W20"/>
    <mergeCell ref="X19:X20"/>
    <mergeCell ref="W23:W24"/>
    <mergeCell ref="X23:X24"/>
    <mergeCell ref="Y15:Y26"/>
    <mergeCell ref="Z15:Z26"/>
    <mergeCell ref="AS13:AS14"/>
    <mergeCell ref="J15:J18"/>
    <mergeCell ref="K15:K18"/>
    <mergeCell ref="L15:L18"/>
    <mergeCell ref="M15:M18"/>
    <mergeCell ref="N15:N26"/>
    <mergeCell ref="O15:O26"/>
    <mergeCell ref="P15:P26"/>
    <mergeCell ref="AK13:AK14"/>
    <mergeCell ref="AL13:AL14"/>
    <mergeCell ref="AM13:AM14"/>
    <mergeCell ref="AN13:AN14"/>
    <mergeCell ref="AO13:AO14"/>
    <mergeCell ref="AP13:AP14"/>
    <mergeCell ref="AE13:AE14"/>
    <mergeCell ref="AF13:AF14"/>
    <mergeCell ref="AG13:AG14"/>
    <mergeCell ref="AH13:AH14"/>
    <mergeCell ref="AI13:AI14"/>
    <mergeCell ref="AJ13:AJ14"/>
    <mergeCell ref="M13:M14"/>
    <mergeCell ref="N13:N14"/>
    <mergeCell ref="Y13:Y14"/>
    <mergeCell ref="Z13:Z14"/>
    <mergeCell ref="O13:O14"/>
    <mergeCell ref="P13:P14"/>
    <mergeCell ref="Q13:Q14"/>
    <mergeCell ref="R13:R14"/>
    <mergeCell ref="AO10:AS10"/>
    <mergeCell ref="E11:K11"/>
    <mergeCell ref="AO11:AS11"/>
    <mergeCell ref="H12:K12"/>
    <mergeCell ref="AO12:AS12"/>
    <mergeCell ref="G13:G26"/>
    <mergeCell ref="H13:I26"/>
    <mergeCell ref="J13:J14"/>
    <mergeCell ref="K13:K14"/>
    <mergeCell ref="L13:L14"/>
    <mergeCell ref="AA13:AA14"/>
    <mergeCell ref="AB13:AB14"/>
    <mergeCell ref="AC13:AC14"/>
    <mergeCell ref="AD13:AD14"/>
    <mergeCell ref="S13:S14"/>
    <mergeCell ref="T13:T14"/>
    <mergeCell ref="U13:U14"/>
    <mergeCell ref="V13:V14"/>
    <mergeCell ref="AQ13:AQ14"/>
    <mergeCell ref="AR13:AR14"/>
    <mergeCell ref="AN7:AN8"/>
    <mergeCell ref="AO7:AP8"/>
    <mergeCell ref="AQ7:AR8"/>
    <mergeCell ref="AS7:AS9"/>
    <mergeCell ref="U7:U9"/>
    <mergeCell ref="V7:V9"/>
    <mergeCell ref="W7:W9"/>
    <mergeCell ref="X7:X9"/>
    <mergeCell ref="Y7:Z7"/>
    <mergeCell ref="AA7:AD7"/>
    <mergeCell ref="A1:AQ4"/>
    <mergeCell ref="A5:M6"/>
    <mergeCell ref="P5:AS5"/>
    <mergeCell ref="P6:X6"/>
    <mergeCell ref="AO6:AS6"/>
    <mergeCell ref="A7:A9"/>
    <mergeCell ref="B7:C9"/>
    <mergeCell ref="D7:D9"/>
    <mergeCell ref="E7:F9"/>
    <mergeCell ref="G7:G9"/>
    <mergeCell ref="O7:O9"/>
    <mergeCell ref="P7:P9"/>
    <mergeCell ref="Q7:Q9"/>
    <mergeCell ref="R7:R9"/>
    <mergeCell ref="S7:S9"/>
    <mergeCell ref="T7:T9"/>
    <mergeCell ref="H7:I9"/>
    <mergeCell ref="J7:J9"/>
    <mergeCell ref="K7:K9"/>
    <mergeCell ref="L7:L9"/>
    <mergeCell ref="M7:M9"/>
    <mergeCell ref="N7:N9"/>
    <mergeCell ref="AE7:AJ7"/>
    <mergeCell ref="AK7:AM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K93"/>
  <sheetViews>
    <sheetView showGridLines="0" zoomScale="60" zoomScaleNormal="60" zoomScalePageLayoutView="0" workbookViewId="0" topLeftCell="S1">
      <selection activeCell="AP1" sqref="AP1"/>
    </sheetView>
  </sheetViews>
  <sheetFormatPr defaultColWidth="11.421875" defaultRowHeight="11.25" customHeight="1"/>
  <cols>
    <col min="1" max="1" width="13.140625" style="455" customWidth="1"/>
    <col min="2" max="2" width="4.00390625" style="337" customWidth="1"/>
    <col min="3" max="3" width="18.140625" style="337" customWidth="1"/>
    <col min="4" max="4" width="15.7109375" style="337" customWidth="1"/>
    <col min="5" max="5" width="10.00390625" style="337" customWidth="1"/>
    <col min="6" max="6" width="8.140625" style="337" customWidth="1"/>
    <col min="7" max="7" width="20.00390625" style="337" customWidth="1"/>
    <col min="8" max="8" width="8.57421875" style="337" customWidth="1"/>
    <col min="9" max="9" width="18.7109375" style="337" customWidth="1"/>
    <col min="10" max="10" width="13.7109375" style="337" customWidth="1"/>
    <col min="11" max="11" width="24.7109375" style="456" customWidth="1"/>
    <col min="12" max="12" width="20.28125" style="457" customWidth="1"/>
    <col min="13" max="13" width="14.8515625" style="345" customWidth="1"/>
    <col min="14" max="14" width="34.140625" style="345" customWidth="1"/>
    <col min="15" max="15" width="19.00390625" style="354" customWidth="1"/>
    <col min="16" max="16" width="25.00390625" style="456" customWidth="1"/>
    <col min="17" max="17" width="12.7109375" style="458" customWidth="1"/>
    <col min="18" max="18" width="27.140625" style="459" customWidth="1"/>
    <col min="19" max="19" width="23.57421875" style="456" customWidth="1"/>
    <col min="20" max="20" width="30.57421875" style="456" customWidth="1"/>
    <col min="21" max="21" width="31.140625" style="456" customWidth="1"/>
    <col min="22" max="22" width="29.57421875" style="467" customWidth="1"/>
    <col min="23" max="23" width="12.57421875" style="461" customWidth="1"/>
    <col min="24" max="24" width="17.28125" style="462" customWidth="1"/>
    <col min="25" max="25" width="11.00390625" style="463" customWidth="1"/>
    <col min="26" max="26" width="11.8515625" style="463" customWidth="1"/>
    <col min="27" max="39" width="10.57421875" style="337" customWidth="1"/>
    <col min="40" max="40" width="15.140625" style="463" customWidth="1"/>
    <col min="41" max="41" width="16.28125" style="464" customWidth="1"/>
    <col min="42" max="42" width="20.7109375" style="464" customWidth="1"/>
    <col min="43" max="43" width="24.00390625" style="465" customWidth="1"/>
    <col min="44" max="16384" width="11.421875" style="337" customWidth="1"/>
  </cols>
  <sheetData>
    <row r="1" spans="1:43" ht="21" customHeight="1">
      <c r="A1" s="2773" t="s">
        <v>228</v>
      </c>
      <c r="B1" s="2774"/>
      <c r="C1" s="2774"/>
      <c r="D1" s="2774"/>
      <c r="E1" s="2774"/>
      <c r="F1" s="2774"/>
      <c r="G1" s="2774"/>
      <c r="H1" s="2774"/>
      <c r="I1" s="2774"/>
      <c r="J1" s="2774"/>
      <c r="K1" s="2774"/>
      <c r="L1" s="2774"/>
      <c r="M1" s="2774"/>
      <c r="N1" s="2774"/>
      <c r="O1" s="2774"/>
      <c r="P1" s="2774"/>
      <c r="Q1" s="2774"/>
      <c r="R1" s="2774"/>
      <c r="S1" s="2774"/>
      <c r="T1" s="2774"/>
      <c r="U1" s="2774"/>
      <c r="V1" s="2774"/>
      <c r="W1" s="2774"/>
      <c r="X1" s="2774"/>
      <c r="Y1" s="2774"/>
      <c r="Z1" s="2774"/>
      <c r="AA1" s="2774"/>
      <c r="AB1" s="2774"/>
      <c r="AC1" s="2774"/>
      <c r="AD1" s="2774"/>
      <c r="AE1" s="2774"/>
      <c r="AF1" s="2774"/>
      <c r="AG1" s="2774"/>
      <c r="AH1" s="2774"/>
      <c r="AI1" s="2774"/>
      <c r="AJ1" s="2774"/>
      <c r="AK1" s="2774"/>
      <c r="AL1" s="2774"/>
      <c r="AM1" s="2774"/>
      <c r="AN1" s="2774"/>
      <c r="AO1" s="2775"/>
      <c r="AP1" s="335" t="s">
        <v>1</v>
      </c>
      <c r="AQ1" s="336" t="s">
        <v>2</v>
      </c>
    </row>
    <row r="2" spans="1:43" ht="21" customHeight="1">
      <c r="A2" s="2776"/>
      <c r="B2" s="2777"/>
      <c r="C2" s="2777"/>
      <c r="D2" s="2777"/>
      <c r="E2" s="2777"/>
      <c r="F2" s="2777"/>
      <c r="G2" s="2777"/>
      <c r="H2" s="2777"/>
      <c r="I2" s="2777"/>
      <c r="J2" s="2777"/>
      <c r="K2" s="2777"/>
      <c r="L2" s="2777"/>
      <c r="M2" s="2777"/>
      <c r="N2" s="2777"/>
      <c r="O2" s="2777"/>
      <c r="P2" s="2777"/>
      <c r="Q2" s="2777"/>
      <c r="R2" s="2777"/>
      <c r="S2" s="2777"/>
      <c r="T2" s="2777"/>
      <c r="U2" s="2777"/>
      <c r="V2" s="2777"/>
      <c r="W2" s="2777"/>
      <c r="X2" s="2777"/>
      <c r="Y2" s="2777"/>
      <c r="Z2" s="2777"/>
      <c r="AA2" s="2777"/>
      <c r="AB2" s="2777"/>
      <c r="AC2" s="2777"/>
      <c r="AD2" s="2777"/>
      <c r="AE2" s="2777"/>
      <c r="AF2" s="2777"/>
      <c r="AG2" s="2777"/>
      <c r="AH2" s="2777"/>
      <c r="AI2" s="2777"/>
      <c r="AJ2" s="2777"/>
      <c r="AK2" s="2777"/>
      <c r="AL2" s="2777"/>
      <c r="AM2" s="2777"/>
      <c r="AN2" s="2777"/>
      <c r="AO2" s="2778"/>
      <c r="AP2" s="338" t="s">
        <v>3</v>
      </c>
      <c r="AQ2" s="339">
        <v>6</v>
      </c>
    </row>
    <row r="3" spans="1:43" ht="21" customHeight="1">
      <c r="A3" s="2776"/>
      <c r="B3" s="2777"/>
      <c r="C3" s="2777"/>
      <c r="D3" s="2777"/>
      <c r="E3" s="2777"/>
      <c r="F3" s="2777"/>
      <c r="G3" s="2777"/>
      <c r="H3" s="2777"/>
      <c r="I3" s="2777"/>
      <c r="J3" s="2777"/>
      <c r="K3" s="2777"/>
      <c r="L3" s="2777"/>
      <c r="M3" s="2777"/>
      <c r="N3" s="2777"/>
      <c r="O3" s="2777"/>
      <c r="P3" s="2777"/>
      <c r="Q3" s="2777"/>
      <c r="R3" s="2777"/>
      <c r="S3" s="2777"/>
      <c r="T3" s="2777"/>
      <c r="U3" s="2777"/>
      <c r="V3" s="2777"/>
      <c r="W3" s="2777"/>
      <c r="X3" s="2777"/>
      <c r="Y3" s="2777"/>
      <c r="Z3" s="2777"/>
      <c r="AA3" s="2777"/>
      <c r="AB3" s="2777"/>
      <c r="AC3" s="2777"/>
      <c r="AD3" s="2777"/>
      <c r="AE3" s="2777"/>
      <c r="AF3" s="2777"/>
      <c r="AG3" s="2777"/>
      <c r="AH3" s="2777"/>
      <c r="AI3" s="2777"/>
      <c r="AJ3" s="2777"/>
      <c r="AK3" s="2777"/>
      <c r="AL3" s="2777"/>
      <c r="AM3" s="2777"/>
      <c r="AN3" s="2777"/>
      <c r="AO3" s="2778"/>
      <c r="AP3" s="340" t="s">
        <v>5</v>
      </c>
      <c r="AQ3" s="341" t="s">
        <v>6</v>
      </c>
    </row>
    <row r="4" spans="1:43" s="344" customFormat="1" ht="21" customHeight="1">
      <c r="A4" s="2779"/>
      <c r="B4" s="2159"/>
      <c r="C4" s="2159"/>
      <c r="D4" s="2159"/>
      <c r="E4" s="2159"/>
      <c r="F4" s="2159"/>
      <c r="G4" s="2159"/>
      <c r="H4" s="2159"/>
      <c r="I4" s="2159"/>
      <c r="J4" s="2159"/>
      <c r="K4" s="2159"/>
      <c r="L4" s="2159"/>
      <c r="M4" s="2159"/>
      <c r="N4" s="2159"/>
      <c r="O4" s="2159"/>
      <c r="P4" s="2159"/>
      <c r="Q4" s="2159"/>
      <c r="R4" s="2159"/>
      <c r="S4" s="2159"/>
      <c r="T4" s="2159"/>
      <c r="U4" s="2159"/>
      <c r="V4" s="2159"/>
      <c r="W4" s="2159"/>
      <c r="X4" s="2159"/>
      <c r="Y4" s="2159"/>
      <c r="Z4" s="2159"/>
      <c r="AA4" s="2159"/>
      <c r="AB4" s="2159"/>
      <c r="AC4" s="2159"/>
      <c r="AD4" s="2159"/>
      <c r="AE4" s="2159"/>
      <c r="AF4" s="2159"/>
      <c r="AG4" s="2159"/>
      <c r="AH4" s="2159"/>
      <c r="AI4" s="2159"/>
      <c r="AJ4" s="2159"/>
      <c r="AK4" s="2159"/>
      <c r="AL4" s="2159"/>
      <c r="AM4" s="2159"/>
      <c r="AN4" s="2159"/>
      <c r="AO4" s="2780"/>
      <c r="AP4" s="342" t="s">
        <v>7</v>
      </c>
      <c r="AQ4" s="343" t="s">
        <v>184</v>
      </c>
    </row>
    <row r="5" spans="1:63" ht="16.5" customHeight="1">
      <c r="A5" s="2781" t="s">
        <v>9</v>
      </c>
      <c r="B5" s="2160"/>
      <c r="C5" s="2160"/>
      <c r="D5" s="2160"/>
      <c r="E5" s="2160"/>
      <c r="F5" s="2160"/>
      <c r="G5" s="2160"/>
      <c r="H5" s="2160"/>
      <c r="I5" s="2160"/>
      <c r="J5" s="2160"/>
      <c r="K5" s="2160"/>
      <c r="L5" s="2160"/>
      <c r="M5" s="2160"/>
      <c r="N5" s="2161" t="s">
        <v>10</v>
      </c>
      <c r="O5" s="2161"/>
      <c r="P5" s="2161"/>
      <c r="Q5" s="2161"/>
      <c r="R5" s="2161"/>
      <c r="S5" s="2161"/>
      <c r="T5" s="2161"/>
      <c r="U5" s="2161"/>
      <c r="V5" s="2161"/>
      <c r="W5" s="2161"/>
      <c r="X5" s="2161"/>
      <c r="Y5" s="2161"/>
      <c r="Z5" s="2161"/>
      <c r="AA5" s="2161"/>
      <c r="AB5" s="2161"/>
      <c r="AC5" s="2161"/>
      <c r="AD5" s="2161"/>
      <c r="AE5" s="2161"/>
      <c r="AF5" s="2161"/>
      <c r="AG5" s="2161"/>
      <c r="AH5" s="2161"/>
      <c r="AI5" s="2161"/>
      <c r="AJ5" s="2161"/>
      <c r="AK5" s="2161"/>
      <c r="AL5" s="2161"/>
      <c r="AM5" s="2161"/>
      <c r="AN5" s="2161"/>
      <c r="AO5" s="2161"/>
      <c r="AP5" s="2161"/>
      <c r="AQ5" s="2784"/>
      <c r="AR5" s="345"/>
      <c r="AS5" s="345"/>
      <c r="AT5" s="345"/>
      <c r="AU5" s="345"/>
      <c r="AV5" s="345"/>
      <c r="AW5" s="345"/>
      <c r="AX5" s="345"/>
      <c r="AY5" s="345"/>
      <c r="AZ5" s="345"/>
      <c r="BA5" s="345"/>
      <c r="BB5" s="345"/>
      <c r="BC5" s="345"/>
      <c r="BD5" s="345"/>
      <c r="BE5" s="345"/>
      <c r="BF5" s="345"/>
      <c r="BG5" s="345"/>
      <c r="BH5" s="345"/>
      <c r="BI5" s="345"/>
      <c r="BJ5" s="345"/>
      <c r="BK5" s="345"/>
    </row>
    <row r="6" spans="1:63" ht="16.5" customHeight="1">
      <c r="A6" s="2782"/>
      <c r="B6" s="2783"/>
      <c r="C6" s="2783"/>
      <c r="D6" s="2783"/>
      <c r="E6" s="2783"/>
      <c r="F6" s="2783"/>
      <c r="G6" s="2783"/>
      <c r="H6" s="2783"/>
      <c r="I6" s="2783"/>
      <c r="J6" s="2783"/>
      <c r="K6" s="2783"/>
      <c r="L6" s="2783"/>
      <c r="M6" s="2783"/>
      <c r="N6" s="346"/>
      <c r="O6" s="347"/>
      <c r="P6" s="348"/>
      <c r="Q6" s="349"/>
      <c r="R6" s="350"/>
      <c r="S6" s="348"/>
      <c r="T6" s="348"/>
      <c r="U6" s="348"/>
      <c r="V6" s="349"/>
      <c r="W6" s="349"/>
      <c r="X6" s="349"/>
      <c r="Y6" s="2785" t="s">
        <v>11</v>
      </c>
      <c r="Z6" s="2783"/>
      <c r="AA6" s="2783"/>
      <c r="AB6" s="2783"/>
      <c r="AC6" s="2783"/>
      <c r="AD6" s="2783"/>
      <c r="AE6" s="2783"/>
      <c r="AF6" s="2783"/>
      <c r="AG6" s="2783"/>
      <c r="AH6" s="2783"/>
      <c r="AI6" s="2783"/>
      <c r="AJ6" s="2783"/>
      <c r="AK6" s="2783"/>
      <c r="AL6" s="2783"/>
      <c r="AM6" s="2783"/>
      <c r="AN6" s="351"/>
      <c r="AO6" s="352"/>
      <c r="AP6" s="352"/>
      <c r="AQ6" s="353"/>
      <c r="AR6" s="345"/>
      <c r="AS6" s="345"/>
      <c r="AT6" s="345"/>
      <c r="AU6" s="345"/>
      <c r="AV6" s="345"/>
      <c r="AW6" s="345"/>
      <c r="AX6" s="345"/>
      <c r="AY6" s="345"/>
      <c r="AZ6" s="345"/>
      <c r="BA6" s="345"/>
      <c r="BB6" s="345"/>
      <c r="BC6" s="345"/>
      <c r="BD6" s="345"/>
      <c r="BE6" s="345"/>
      <c r="BF6" s="345"/>
      <c r="BG6" s="345"/>
      <c r="BH6" s="345"/>
      <c r="BI6" s="345"/>
      <c r="BJ6" s="345"/>
      <c r="BK6" s="345"/>
    </row>
    <row r="7" spans="1:63" s="355" customFormat="1" ht="18" customHeight="1">
      <c r="A7" s="2786" t="s">
        <v>12</v>
      </c>
      <c r="B7" s="2164" t="s">
        <v>13</v>
      </c>
      <c r="C7" s="2165"/>
      <c r="D7" s="2165" t="s">
        <v>12</v>
      </c>
      <c r="E7" s="2164" t="s">
        <v>14</v>
      </c>
      <c r="F7" s="2165"/>
      <c r="G7" s="2165" t="s">
        <v>12</v>
      </c>
      <c r="H7" s="2164" t="s">
        <v>15</v>
      </c>
      <c r="I7" s="2165"/>
      <c r="J7" s="2165" t="s">
        <v>12</v>
      </c>
      <c r="K7" s="2164" t="s">
        <v>16</v>
      </c>
      <c r="L7" s="2168" t="s">
        <v>17</v>
      </c>
      <c r="M7" s="2164" t="s">
        <v>229</v>
      </c>
      <c r="N7" s="2168" t="s">
        <v>19</v>
      </c>
      <c r="O7" s="2168" t="s">
        <v>20</v>
      </c>
      <c r="P7" s="2168" t="s">
        <v>10</v>
      </c>
      <c r="Q7" s="2813" t="s">
        <v>21</v>
      </c>
      <c r="R7" s="2815" t="s">
        <v>22</v>
      </c>
      <c r="S7" s="2164" t="s">
        <v>23</v>
      </c>
      <c r="T7" s="2164" t="s">
        <v>24</v>
      </c>
      <c r="U7" s="2168" t="s">
        <v>25</v>
      </c>
      <c r="V7" s="2188" t="s">
        <v>51</v>
      </c>
      <c r="W7" s="2162" t="s">
        <v>12</v>
      </c>
      <c r="X7" s="2168" t="s">
        <v>26</v>
      </c>
      <c r="Y7" s="2812" t="s">
        <v>27</v>
      </c>
      <c r="Z7" s="2812"/>
      <c r="AA7" s="2181" t="s">
        <v>28</v>
      </c>
      <c r="AB7" s="2181"/>
      <c r="AC7" s="2181"/>
      <c r="AD7" s="2181"/>
      <c r="AE7" s="2182" t="s">
        <v>29</v>
      </c>
      <c r="AF7" s="2183"/>
      <c r="AG7" s="2183"/>
      <c r="AH7" s="2183"/>
      <c r="AI7" s="2183"/>
      <c r="AJ7" s="2183"/>
      <c r="AK7" s="2180" t="s">
        <v>30</v>
      </c>
      <c r="AL7" s="2181"/>
      <c r="AM7" s="2181"/>
      <c r="AN7" s="2291" t="s">
        <v>31</v>
      </c>
      <c r="AO7" s="2788" t="s">
        <v>32</v>
      </c>
      <c r="AP7" s="2788" t="s">
        <v>33</v>
      </c>
      <c r="AQ7" s="2789" t="s">
        <v>34</v>
      </c>
      <c r="AR7" s="354"/>
      <c r="AS7" s="354"/>
      <c r="AT7" s="354"/>
      <c r="AU7" s="354"/>
      <c r="AV7" s="354"/>
      <c r="AW7" s="354"/>
      <c r="AX7" s="354"/>
      <c r="AY7" s="354"/>
      <c r="AZ7" s="354"/>
      <c r="BA7" s="354"/>
      <c r="BB7" s="354"/>
      <c r="BC7" s="354"/>
      <c r="BD7" s="354"/>
      <c r="BE7" s="354"/>
      <c r="BF7" s="354"/>
      <c r="BG7" s="354"/>
      <c r="BH7" s="354"/>
      <c r="BI7" s="354"/>
      <c r="BJ7" s="354"/>
      <c r="BK7" s="354"/>
    </row>
    <row r="8" spans="1:63" s="355" customFormat="1" ht="115.5" customHeight="1">
      <c r="A8" s="2787"/>
      <c r="B8" s="2166"/>
      <c r="C8" s="2167"/>
      <c r="D8" s="2167"/>
      <c r="E8" s="2166"/>
      <c r="F8" s="2167"/>
      <c r="G8" s="2167"/>
      <c r="H8" s="2166"/>
      <c r="I8" s="2167"/>
      <c r="J8" s="2167"/>
      <c r="K8" s="2166"/>
      <c r="L8" s="2169"/>
      <c r="M8" s="2192"/>
      <c r="N8" s="2169"/>
      <c r="O8" s="2169"/>
      <c r="P8" s="2169"/>
      <c r="Q8" s="2814"/>
      <c r="R8" s="2816"/>
      <c r="S8" s="2166"/>
      <c r="T8" s="2166"/>
      <c r="U8" s="2169"/>
      <c r="V8" s="2189"/>
      <c r="W8" s="2163"/>
      <c r="X8" s="2169"/>
      <c r="Y8" s="356" t="s">
        <v>35</v>
      </c>
      <c r="Z8" s="356" t="s">
        <v>36</v>
      </c>
      <c r="AA8" s="356" t="s">
        <v>37</v>
      </c>
      <c r="AB8" s="356" t="s">
        <v>137</v>
      </c>
      <c r="AC8" s="356" t="s">
        <v>138</v>
      </c>
      <c r="AD8" s="356" t="s">
        <v>139</v>
      </c>
      <c r="AE8" s="356" t="s">
        <v>41</v>
      </c>
      <c r="AF8" s="356" t="s">
        <v>42</v>
      </c>
      <c r="AG8" s="356" t="s">
        <v>43</v>
      </c>
      <c r="AH8" s="356" t="s">
        <v>44</v>
      </c>
      <c r="AI8" s="356" t="s">
        <v>45</v>
      </c>
      <c r="AJ8" s="356" t="s">
        <v>46</v>
      </c>
      <c r="AK8" s="356" t="s">
        <v>47</v>
      </c>
      <c r="AL8" s="356" t="s">
        <v>48</v>
      </c>
      <c r="AM8" s="356" t="s">
        <v>49</v>
      </c>
      <c r="AN8" s="2293"/>
      <c r="AO8" s="2788"/>
      <c r="AP8" s="2788"/>
      <c r="AQ8" s="2790"/>
      <c r="AR8" s="354"/>
      <c r="AS8" s="354"/>
      <c r="AT8" s="354"/>
      <c r="AU8" s="354"/>
      <c r="AV8" s="354"/>
      <c r="AW8" s="354"/>
      <c r="AX8" s="354"/>
      <c r="AY8" s="354"/>
      <c r="AZ8" s="354"/>
      <c r="BA8" s="354"/>
      <c r="BB8" s="354"/>
      <c r="BC8" s="354"/>
      <c r="BD8" s="354"/>
      <c r="BE8" s="354"/>
      <c r="BF8" s="354"/>
      <c r="BG8" s="354"/>
      <c r="BH8" s="354"/>
      <c r="BI8" s="354"/>
      <c r="BJ8" s="354"/>
      <c r="BK8" s="354"/>
    </row>
    <row r="9" spans="1:63" ht="16.5" customHeight="1">
      <c r="A9" s="357">
        <v>2</v>
      </c>
      <c r="B9" s="358"/>
      <c r="C9" s="358" t="s">
        <v>230</v>
      </c>
      <c r="D9" s="359"/>
      <c r="E9" s="358"/>
      <c r="F9" s="358"/>
      <c r="G9" s="358"/>
      <c r="H9" s="358"/>
      <c r="I9" s="358"/>
      <c r="J9" s="358"/>
      <c r="K9" s="360"/>
      <c r="L9" s="360"/>
      <c r="M9" s="358"/>
      <c r="N9" s="358"/>
      <c r="O9" s="361"/>
      <c r="P9" s="360"/>
      <c r="Q9" s="362"/>
      <c r="R9" s="363"/>
      <c r="S9" s="360"/>
      <c r="T9" s="360"/>
      <c r="U9" s="360"/>
      <c r="V9" s="364"/>
      <c r="W9" s="365"/>
      <c r="X9" s="366"/>
      <c r="Y9" s="367"/>
      <c r="Z9" s="367"/>
      <c r="AA9" s="358"/>
      <c r="AB9" s="358"/>
      <c r="AC9" s="358"/>
      <c r="AD9" s="358"/>
      <c r="AE9" s="358"/>
      <c r="AF9" s="358"/>
      <c r="AG9" s="358"/>
      <c r="AH9" s="358"/>
      <c r="AI9" s="358"/>
      <c r="AJ9" s="358"/>
      <c r="AK9" s="358"/>
      <c r="AL9" s="358"/>
      <c r="AM9" s="358"/>
      <c r="AN9" s="368"/>
      <c r="AO9" s="369"/>
      <c r="AP9" s="369"/>
      <c r="AQ9" s="370"/>
      <c r="AR9" s="345"/>
      <c r="AS9" s="345"/>
      <c r="AT9" s="345"/>
      <c r="AU9" s="345"/>
      <c r="AV9" s="345"/>
      <c r="AW9" s="345"/>
      <c r="AX9" s="345"/>
      <c r="AY9" s="345"/>
      <c r="AZ9" s="345"/>
      <c r="BA9" s="345"/>
      <c r="BB9" s="345"/>
      <c r="BC9" s="345"/>
      <c r="BD9" s="345"/>
      <c r="BE9" s="345"/>
      <c r="BF9" s="345"/>
      <c r="BG9" s="345"/>
      <c r="BH9" s="345"/>
      <c r="BI9" s="345"/>
      <c r="BJ9" s="345"/>
      <c r="BK9" s="345"/>
    </row>
    <row r="10" spans="1:43" s="345" customFormat="1" ht="20.25" customHeight="1">
      <c r="A10" s="2800"/>
      <c r="B10" s="2801"/>
      <c r="C10" s="2802"/>
      <c r="D10" s="371">
        <v>2</v>
      </c>
      <c r="E10" s="372" t="s">
        <v>231</v>
      </c>
      <c r="F10" s="372"/>
      <c r="G10" s="372"/>
      <c r="H10" s="372"/>
      <c r="I10" s="372"/>
      <c r="J10" s="373"/>
      <c r="K10" s="374"/>
      <c r="L10" s="374"/>
      <c r="M10" s="373"/>
      <c r="N10" s="373"/>
      <c r="O10" s="375"/>
      <c r="P10" s="374"/>
      <c r="Q10" s="376"/>
      <c r="R10" s="377"/>
      <c r="S10" s="374"/>
      <c r="T10" s="374"/>
      <c r="U10" s="374"/>
      <c r="V10" s="378"/>
      <c r="W10" s="379"/>
      <c r="X10" s="380"/>
      <c r="Y10" s="381"/>
      <c r="Z10" s="381"/>
      <c r="AA10" s="373"/>
      <c r="AB10" s="373"/>
      <c r="AC10" s="373"/>
      <c r="AD10" s="373"/>
      <c r="AE10" s="373"/>
      <c r="AF10" s="373"/>
      <c r="AG10" s="373"/>
      <c r="AH10" s="373"/>
      <c r="AI10" s="373"/>
      <c r="AJ10" s="373"/>
      <c r="AK10" s="373"/>
      <c r="AL10" s="373"/>
      <c r="AM10" s="373"/>
      <c r="AN10" s="382"/>
      <c r="AO10" s="383"/>
      <c r="AP10" s="383"/>
      <c r="AQ10" s="384"/>
    </row>
    <row r="11" spans="1:43" s="345" customFormat="1" ht="21.75" customHeight="1">
      <c r="A11" s="2803"/>
      <c r="B11" s="2804"/>
      <c r="C11" s="2805"/>
      <c r="D11" s="2806"/>
      <c r="E11" s="2806"/>
      <c r="F11" s="2807"/>
      <c r="G11" s="385">
        <v>8</v>
      </c>
      <c r="H11" s="386" t="s">
        <v>232</v>
      </c>
      <c r="I11" s="386"/>
      <c r="J11" s="387"/>
      <c r="K11" s="388"/>
      <c r="L11" s="388"/>
      <c r="M11" s="387"/>
      <c r="N11" s="389"/>
      <c r="O11" s="390"/>
      <c r="P11" s="388"/>
      <c r="Q11" s="391"/>
      <c r="R11" s="392"/>
      <c r="S11" s="388"/>
      <c r="T11" s="388"/>
      <c r="U11" s="388"/>
      <c r="V11" s="393"/>
      <c r="W11" s="394"/>
      <c r="X11" s="395"/>
      <c r="Y11" s="396"/>
      <c r="Z11" s="396"/>
      <c r="AA11" s="387"/>
      <c r="AB11" s="387"/>
      <c r="AC11" s="387"/>
      <c r="AD11" s="387"/>
      <c r="AE11" s="387"/>
      <c r="AF11" s="387"/>
      <c r="AG11" s="387"/>
      <c r="AH11" s="387"/>
      <c r="AI11" s="387"/>
      <c r="AJ11" s="387"/>
      <c r="AK11" s="387"/>
      <c r="AL11" s="387"/>
      <c r="AM11" s="387"/>
      <c r="AN11" s="397"/>
      <c r="AO11" s="398"/>
      <c r="AP11" s="398"/>
      <c r="AQ11" s="399"/>
    </row>
    <row r="12" spans="1:43" s="345" customFormat="1" ht="17.25" customHeight="1">
      <c r="A12" s="2803"/>
      <c r="B12" s="2804"/>
      <c r="C12" s="2805"/>
      <c r="D12" s="2808"/>
      <c r="E12" s="2808"/>
      <c r="F12" s="2809"/>
      <c r="G12" s="2460"/>
      <c r="H12" s="2460"/>
      <c r="I12" s="2771"/>
      <c r="J12" s="2771">
        <v>38</v>
      </c>
      <c r="K12" s="2441" t="s">
        <v>233</v>
      </c>
      <c r="L12" s="2441" t="s">
        <v>234</v>
      </c>
      <c r="M12" s="2432">
        <v>4</v>
      </c>
      <c r="N12" s="2443" t="s">
        <v>235</v>
      </c>
      <c r="O12" s="2771" t="s">
        <v>236</v>
      </c>
      <c r="P12" s="2441" t="s">
        <v>237</v>
      </c>
      <c r="Q12" s="2817">
        <f>(V12+V14)/R12</f>
        <v>0.18181818181818182</v>
      </c>
      <c r="R12" s="2819">
        <f>SUM(V12:V21)</f>
        <v>110000000</v>
      </c>
      <c r="S12" s="2441" t="s">
        <v>238</v>
      </c>
      <c r="T12" s="2821" t="s">
        <v>239</v>
      </c>
      <c r="U12" s="2455" t="s">
        <v>240</v>
      </c>
      <c r="V12" s="2830">
        <v>3700000</v>
      </c>
      <c r="W12" s="2824" t="s">
        <v>241</v>
      </c>
      <c r="X12" s="2443" t="s">
        <v>242</v>
      </c>
      <c r="Y12" s="2832">
        <v>193964</v>
      </c>
      <c r="Z12" s="2832">
        <v>129308</v>
      </c>
      <c r="AA12" s="2791"/>
      <c r="AB12" s="2791"/>
      <c r="AC12" s="2742">
        <v>323272</v>
      </c>
      <c r="AD12" s="2791"/>
      <c r="AE12" s="2791"/>
      <c r="AF12" s="400"/>
      <c r="AG12" s="400"/>
      <c r="AH12" s="400"/>
      <c r="AI12" s="400"/>
      <c r="AJ12" s="400"/>
      <c r="AK12" s="400"/>
      <c r="AL12" s="400"/>
      <c r="AM12" s="400"/>
      <c r="AN12" s="2794">
        <f>Y12+Z12</f>
        <v>323272</v>
      </c>
      <c r="AO12" s="2797">
        <v>43115</v>
      </c>
      <c r="AP12" s="2797">
        <v>43465</v>
      </c>
      <c r="AQ12" s="2458" t="s">
        <v>243</v>
      </c>
    </row>
    <row r="13" spans="1:43" s="345" customFormat="1" ht="38.25" customHeight="1">
      <c r="A13" s="2803"/>
      <c r="B13" s="2804"/>
      <c r="C13" s="2805"/>
      <c r="D13" s="2808"/>
      <c r="E13" s="2808"/>
      <c r="F13" s="2809"/>
      <c r="G13" s="2450"/>
      <c r="H13" s="2450"/>
      <c r="I13" s="2772"/>
      <c r="J13" s="2772"/>
      <c r="K13" s="2442"/>
      <c r="L13" s="2442"/>
      <c r="M13" s="2432"/>
      <c r="N13" s="2444"/>
      <c r="O13" s="2772"/>
      <c r="P13" s="2442"/>
      <c r="Q13" s="2818"/>
      <c r="R13" s="2820"/>
      <c r="S13" s="2442"/>
      <c r="T13" s="2822"/>
      <c r="U13" s="2455"/>
      <c r="V13" s="2830"/>
      <c r="W13" s="2828"/>
      <c r="X13" s="2444"/>
      <c r="Y13" s="2833"/>
      <c r="Z13" s="2833"/>
      <c r="AA13" s="2792"/>
      <c r="AB13" s="2792"/>
      <c r="AC13" s="2474"/>
      <c r="AD13" s="2792"/>
      <c r="AE13" s="2792"/>
      <c r="AF13" s="401"/>
      <c r="AG13" s="401"/>
      <c r="AH13" s="401"/>
      <c r="AI13" s="401"/>
      <c r="AJ13" s="401"/>
      <c r="AK13" s="401"/>
      <c r="AL13" s="401"/>
      <c r="AM13" s="401"/>
      <c r="AN13" s="2795"/>
      <c r="AO13" s="2798"/>
      <c r="AP13" s="2798"/>
      <c r="AQ13" s="2459"/>
    </row>
    <row r="14" spans="1:43" s="345" customFormat="1" ht="18.75" customHeight="1">
      <c r="A14" s="2803"/>
      <c r="B14" s="2804"/>
      <c r="C14" s="2805"/>
      <c r="D14" s="2808"/>
      <c r="E14" s="2808"/>
      <c r="F14" s="2809"/>
      <c r="G14" s="2450"/>
      <c r="H14" s="2450"/>
      <c r="I14" s="2772"/>
      <c r="J14" s="2772"/>
      <c r="K14" s="2442"/>
      <c r="L14" s="2442"/>
      <c r="M14" s="2432"/>
      <c r="N14" s="2444"/>
      <c r="O14" s="2772"/>
      <c r="P14" s="2442"/>
      <c r="Q14" s="2818"/>
      <c r="R14" s="2820"/>
      <c r="S14" s="2442"/>
      <c r="T14" s="2822"/>
      <c r="U14" s="2455" t="s">
        <v>244</v>
      </c>
      <c r="V14" s="2830">
        <v>16300000</v>
      </c>
      <c r="W14" s="2828"/>
      <c r="X14" s="2444"/>
      <c r="Y14" s="2833"/>
      <c r="Z14" s="2833"/>
      <c r="AA14" s="2792"/>
      <c r="AB14" s="2792"/>
      <c r="AC14" s="2474"/>
      <c r="AD14" s="2792"/>
      <c r="AE14" s="2792"/>
      <c r="AF14" s="401"/>
      <c r="AG14" s="401"/>
      <c r="AH14" s="401"/>
      <c r="AI14" s="401"/>
      <c r="AJ14" s="401"/>
      <c r="AK14" s="401"/>
      <c r="AL14" s="401"/>
      <c r="AM14" s="401"/>
      <c r="AN14" s="2795"/>
      <c r="AO14" s="2798"/>
      <c r="AP14" s="2798"/>
      <c r="AQ14" s="2459"/>
    </row>
    <row r="15" spans="1:43" s="345" customFormat="1" ht="27.75" customHeight="1">
      <c r="A15" s="2803"/>
      <c r="B15" s="2804"/>
      <c r="C15" s="2805"/>
      <c r="D15" s="2808"/>
      <c r="E15" s="2808"/>
      <c r="F15" s="2809"/>
      <c r="G15" s="2450"/>
      <c r="H15" s="2450"/>
      <c r="I15" s="2772"/>
      <c r="J15" s="2772"/>
      <c r="K15" s="2442"/>
      <c r="L15" s="2442"/>
      <c r="M15" s="2432"/>
      <c r="N15" s="2444"/>
      <c r="O15" s="2772"/>
      <c r="P15" s="2442"/>
      <c r="Q15" s="2818"/>
      <c r="R15" s="2820"/>
      <c r="S15" s="2442"/>
      <c r="T15" s="2822"/>
      <c r="U15" s="2455"/>
      <c r="V15" s="2830"/>
      <c r="W15" s="2828"/>
      <c r="X15" s="2444"/>
      <c r="Y15" s="2833"/>
      <c r="Z15" s="2833"/>
      <c r="AA15" s="2792"/>
      <c r="AB15" s="2792"/>
      <c r="AC15" s="2474"/>
      <c r="AD15" s="2792"/>
      <c r="AE15" s="2792"/>
      <c r="AF15" s="401"/>
      <c r="AG15" s="401"/>
      <c r="AH15" s="401"/>
      <c r="AI15" s="401"/>
      <c r="AJ15" s="401"/>
      <c r="AK15" s="401"/>
      <c r="AL15" s="401"/>
      <c r="AM15" s="401"/>
      <c r="AN15" s="2795"/>
      <c r="AO15" s="2798"/>
      <c r="AP15" s="2798"/>
      <c r="AQ15" s="2459"/>
    </row>
    <row r="16" spans="1:43" ht="21" customHeight="1">
      <c r="A16" s="2803"/>
      <c r="B16" s="2804"/>
      <c r="C16" s="2805"/>
      <c r="D16" s="2808"/>
      <c r="E16" s="2808"/>
      <c r="F16" s="2809"/>
      <c r="G16" s="2450"/>
      <c r="H16" s="2450"/>
      <c r="I16" s="2772"/>
      <c r="J16" s="2771">
        <v>39</v>
      </c>
      <c r="K16" s="2441" t="s">
        <v>245</v>
      </c>
      <c r="L16" s="2441" t="s">
        <v>246</v>
      </c>
      <c r="M16" s="2827">
        <v>3</v>
      </c>
      <c r="N16" s="2444" t="s">
        <v>247</v>
      </c>
      <c r="O16" s="2772"/>
      <c r="P16" s="2442"/>
      <c r="Q16" s="2817">
        <f>(V16+V18+V20)/R12</f>
        <v>0.8181818181818182</v>
      </c>
      <c r="R16" s="2820"/>
      <c r="S16" s="2442"/>
      <c r="T16" s="2822"/>
      <c r="U16" s="2455" t="s">
        <v>248</v>
      </c>
      <c r="V16" s="2831">
        <f>14000000+50000000</f>
        <v>64000000</v>
      </c>
      <c r="W16" s="2828"/>
      <c r="X16" s="2444"/>
      <c r="Y16" s="2833"/>
      <c r="Z16" s="2833"/>
      <c r="AA16" s="2792"/>
      <c r="AB16" s="2792"/>
      <c r="AC16" s="2474"/>
      <c r="AD16" s="2792"/>
      <c r="AE16" s="2792"/>
      <c r="AF16" s="401"/>
      <c r="AG16" s="401"/>
      <c r="AH16" s="401"/>
      <c r="AI16" s="401"/>
      <c r="AJ16" s="401"/>
      <c r="AK16" s="401"/>
      <c r="AL16" s="401"/>
      <c r="AM16" s="401"/>
      <c r="AN16" s="2795"/>
      <c r="AO16" s="2798"/>
      <c r="AP16" s="2798"/>
      <c r="AQ16" s="2459"/>
    </row>
    <row r="17" spans="1:43" ht="61.5" customHeight="1">
      <c r="A17" s="2803"/>
      <c r="B17" s="2804"/>
      <c r="C17" s="2805"/>
      <c r="D17" s="2808"/>
      <c r="E17" s="2808"/>
      <c r="F17" s="2809"/>
      <c r="G17" s="2450"/>
      <c r="H17" s="2450"/>
      <c r="I17" s="2772"/>
      <c r="J17" s="2772"/>
      <c r="K17" s="2442"/>
      <c r="L17" s="2442"/>
      <c r="M17" s="2827"/>
      <c r="N17" s="2444"/>
      <c r="O17" s="2772"/>
      <c r="P17" s="2442"/>
      <c r="Q17" s="2818"/>
      <c r="R17" s="2820"/>
      <c r="S17" s="2442"/>
      <c r="T17" s="2822"/>
      <c r="U17" s="2455"/>
      <c r="V17" s="2831"/>
      <c r="W17" s="2828"/>
      <c r="X17" s="2444"/>
      <c r="Y17" s="2833"/>
      <c r="Z17" s="2833"/>
      <c r="AA17" s="2792"/>
      <c r="AB17" s="2792"/>
      <c r="AC17" s="2474"/>
      <c r="AD17" s="2792"/>
      <c r="AE17" s="2792"/>
      <c r="AF17" s="401"/>
      <c r="AG17" s="401"/>
      <c r="AH17" s="401"/>
      <c r="AI17" s="401"/>
      <c r="AJ17" s="401"/>
      <c r="AK17" s="401"/>
      <c r="AL17" s="401"/>
      <c r="AM17" s="401"/>
      <c r="AN17" s="2795"/>
      <c r="AO17" s="2798"/>
      <c r="AP17" s="2798"/>
      <c r="AQ17" s="2459"/>
    </row>
    <row r="18" spans="1:43" ht="52.5" customHeight="1">
      <c r="A18" s="2803"/>
      <c r="B18" s="2804"/>
      <c r="C18" s="2805"/>
      <c r="D18" s="2808"/>
      <c r="E18" s="2808"/>
      <c r="F18" s="2809"/>
      <c r="G18" s="2450"/>
      <c r="H18" s="2450"/>
      <c r="I18" s="2772"/>
      <c r="J18" s="2772"/>
      <c r="K18" s="2442"/>
      <c r="L18" s="2442"/>
      <c r="M18" s="2827"/>
      <c r="N18" s="2444"/>
      <c r="O18" s="2772"/>
      <c r="P18" s="2442"/>
      <c r="Q18" s="2818"/>
      <c r="R18" s="2820"/>
      <c r="S18" s="2442"/>
      <c r="T18" s="2822"/>
      <c r="U18" s="2435" t="s">
        <v>249</v>
      </c>
      <c r="V18" s="2830">
        <v>14000000</v>
      </c>
      <c r="W18" s="2828"/>
      <c r="X18" s="2444"/>
      <c r="Y18" s="2833"/>
      <c r="Z18" s="2833"/>
      <c r="AA18" s="2792"/>
      <c r="AB18" s="2792"/>
      <c r="AC18" s="2474"/>
      <c r="AD18" s="2792"/>
      <c r="AE18" s="2792"/>
      <c r="AF18" s="401"/>
      <c r="AG18" s="401"/>
      <c r="AH18" s="401"/>
      <c r="AI18" s="401"/>
      <c r="AJ18" s="401"/>
      <c r="AK18" s="401"/>
      <c r="AL18" s="401"/>
      <c r="AM18" s="401"/>
      <c r="AN18" s="2795"/>
      <c r="AO18" s="2798"/>
      <c r="AP18" s="2798"/>
      <c r="AQ18" s="2459"/>
    </row>
    <row r="19" spans="1:43" ht="32.25" customHeight="1">
      <c r="A19" s="2803"/>
      <c r="B19" s="2804"/>
      <c r="C19" s="2805"/>
      <c r="D19" s="2808"/>
      <c r="E19" s="2808"/>
      <c r="F19" s="2809"/>
      <c r="G19" s="2450"/>
      <c r="H19" s="2450"/>
      <c r="I19" s="2772"/>
      <c r="J19" s="2772"/>
      <c r="K19" s="2442"/>
      <c r="L19" s="2442"/>
      <c r="M19" s="2827"/>
      <c r="N19" s="2444"/>
      <c r="O19" s="2772"/>
      <c r="P19" s="2442"/>
      <c r="Q19" s="2818"/>
      <c r="R19" s="2820"/>
      <c r="S19" s="2442"/>
      <c r="T19" s="2822"/>
      <c r="U19" s="2835"/>
      <c r="V19" s="2830"/>
      <c r="W19" s="2828"/>
      <c r="X19" s="2444"/>
      <c r="Y19" s="2833"/>
      <c r="Z19" s="2833"/>
      <c r="AA19" s="2792"/>
      <c r="AB19" s="2792"/>
      <c r="AC19" s="2474"/>
      <c r="AD19" s="2792"/>
      <c r="AE19" s="2792"/>
      <c r="AF19" s="401"/>
      <c r="AG19" s="401"/>
      <c r="AH19" s="401"/>
      <c r="AI19" s="401"/>
      <c r="AJ19" s="401"/>
      <c r="AK19" s="401"/>
      <c r="AL19" s="401"/>
      <c r="AM19" s="401"/>
      <c r="AN19" s="2795"/>
      <c r="AO19" s="2798"/>
      <c r="AP19" s="2798"/>
      <c r="AQ19" s="2459"/>
    </row>
    <row r="20" spans="1:43" ht="25.5" customHeight="1">
      <c r="A20" s="2803"/>
      <c r="B20" s="2804"/>
      <c r="C20" s="2805"/>
      <c r="D20" s="2808"/>
      <c r="E20" s="2808"/>
      <c r="F20" s="2809"/>
      <c r="G20" s="2450"/>
      <c r="H20" s="2450"/>
      <c r="I20" s="2772"/>
      <c r="J20" s="2772"/>
      <c r="K20" s="2442"/>
      <c r="L20" s="2442"/>
      <c r="M20" s="2827"/>
      <c r="N20" s="2444"/>
      <c r="O20" s="2772"/>
      <c r="P20" s="2442"/>
      <c r="Q20" s="2818"/>
      <c r="R20" s="2820"/>
      <c r="S20" s="2442"/>
      <c r="T20" s="2822"/>
      <c r="U20" s="2435" t="s">
        <v>250</v>
      </c>
      <c r="V20" s="2830">
        <v>12000000</v>
      </c>
      <c r="W20" s="2828"/>
      <c r="X20" s="2444"/>
      <c r="Y20" s="2833"/>
      <c r="Z20" s="2833"/>
      <c r="AA20" s="2792"/>
      <c r="AB20" s="2792"/>
      <c r="AC20" s="2474"/>
      <c r="AD20" s="2792"/>
      <c r="AE20" s="2792"/>
      <c r="AF20" s="401"/>
      <c r="AG20" s="401"/>
      <c r="AH20" s="401"/>
      <c r="AI20" s="401"/>
      <c r="AJ20" s="401"/>
      <c r="AK20" s="401"/>
      <c r="AL20" s="401"/>
      <c r="AM20" s="401"/>
      <c r="AN20" s="2795"/>
      <c r="AO20" s="2798"/>
      <c r="AP20" s="2798"/>
      <c r="AQ20" s="2459"/>
    </row>
    <row r="21" spans="1:43" ht="36" customHeight="1">
      <c r="A21" s="2803"/>
      <c r="B21" s="2804"/>
      <c r="C21" s="2805"/>
      <c r="D21" s="2808"/>
      <c r="E21" s="2808"/>
      <c r="F21" s="2809"/>
      <c r="G21" s="2450"/>
      <c r="H21" s="2450"/>
      <c r="I21" s="2772"/>
      <c r="J21" s="2772"/>
      <c r="K21" s="2442"/>
      <c r="L21" s="2442"/>
      <c r="M21" s="2827"/>
      <c r="N21" s="2464"/>
      <c r="O21" s="2772"/>
      <c r="P21" s="2442"/>
      <c r="Q21" s="2818"/>
      <c r="R21" s="2820"/>
      <c r="S21" s="2442"/>
      <c r="T21" s="2836"/>
      <c r="U21" s="2835"/>
      <c r="V21" s="2830"/>
      <c r="W21" s="2829"/>
      <c r="X21" s="2464"/>
      <c r="Y21" s="2834"/>
      <c r="Z21" s="2834"/>
      <c r="AA21" s="2793"/>
      <c r="AB21" s="2793"/>
      <c r="AC21" s="2743"/>
      <c r="AD21" s="2793"/>
      <c r="AE21" s="2793"/>
      <c r="AF21" s="402"/>
      <c r="AG21" s="402"/>
      <c r="AH21" s="402"/>
      <c r="AI21" s="402"/>
      <c r="AJ21" s="402"/>
      <c r="AK21" s="402"/>
      <c r="AL21" s="402"/>
      <c r="AM21" s="402"/>
      <c r="AN21" s="2796"/>
      <c r="AO21" s="2799"/>
      <c r="AP21" s="2799"/>
      <c r="AQ21" s="2838"/>
    </row>
    <row r="22" spans="1:43" ht="58.5" customHeight="1">
      <c r="A22" s="2803"/>
      <c r="B22" s="2804"/>
      <c r="C22" s="2805"/>
      <c r="D22" s="2808"/>
      <c r="E22" s="2808"/>
      <c r="F22" s="2809"/>
      <c r="G22" s="2450"/>
      <c r="H22" s="2450"/>
      <c r="I22" s="2772"/>
      <c r="J22" s="2771">
        <v>40</v>
      </c>
      <c r="K22" s="2441" t="s">
        <v>251</v>
      </c>
      <c r="L22" s="2441" t="s">
        <v>252</v>
      </c>
      <c r="M22" s="2825">
        <v>0.4</v>
      </c>
      <c r="N22" s="403"/>
      <c r="O22" s="2443" t="s">
        <v>253</v>
      </c>
      <c r="P22" s="2441" t="s">
        <v>254</v>
      </c>
      <c r="Q22" s="2817">
        <f>(V22+V23)/R22</f>
        <v>0.2896174863387978</v>
      </c>
      <c r="R22" s="2819">
        <f>SUM(V22:V30)</f>
        <v>183000000</v>
      </c>
      <c r="S22" s="2441" t="s">
        <v>255</v>
      </c>
      <c r="T22" s="2821" t="s">
        <v>256</v>
      </c>
      <c r="U22" s="404" t="s">
        <v>257</v>
      </c>
      <c r="V22" s="405">
        <v>3200000</v>
      </c>
      <c r="W22" s="2823" t="s">
        <v>63</v>
      </c>
      <c r="X22" s="2432" t="s">
        <v>242</v>
      </c>
      <c r="Y22" s="2794">
        <v>193964</v>
      </c>
      <c r="Z22" s="2794">
        <v>129308</v>
      </c>
      <c r="AA22" s="2791"/>
      <c r="AB22" s="2791"/>
      <c r="AC22" s="2742">
        <v>323272</v>
      </c>
      <c r="AD22" s="2791"/>
      <c r="AE22" s="2791"/>
      <c r="AF22" s="400"/>
      <c r="AG22" s="400"/>
      <c r="AH22" s="400"/>
      <c r="AI22" s="400"/>
      <c r="AJ22" s="400"/>
      <c r="AK22" s="400"/>
      <c r="AL22" s="400"/>
      <c r="AM22" s="400"/>
      <c r="AN22" s="2794">
        <f>+Y22+Z22</f>
        <v>323272</v>
      </c>
      <c r="AO22" s="2797">
        <v>43111</v>
      </c>
      <c r="AP22" s="2797">
        <v>43465</v>
      </c>
      <c r="AQ22" s="2458" t="s">
        <v>243</v>
      </c>
    </row>
    <row r="23" spans="1:43" ht="37.5" customHeight="1">
      <c r="A23" s="2803"/>
      <c r="B23" s="2804"/>
      <c r="C23" s="2805"/>
      <c r="D23" s="2808"/>
      <c r="E23" s="2808"/>
      <c r="F23" s="2809"/>
      <c r="G23" s="2450"/>
      <c r="H23" s="2450"/>
      <c r="I23" s="2772"/>
      <c r="J23" s="2772"/>
      <c r="K23" s="2442"/>
      <c r="L23" s="2442"/>
      <c r="M23" s="2826"/>
      <c r="N23" s="403"/>
      <c r="O23" s="2444"/>
      <c r="P23" s="2442"/>
      <c r="Q23" s="2818"/>
      <c r="R23" s="2820"/>
      <c r="S23" s="2442"/>
      <c r="T23" s="2822"/>
      <c r="U23" s="2441" t="s">
        <v>258</v>
      </c>
      <c r="V23" s="2819">
        <v>49800000</v>
      </c>
      <c r="W23" s="2823"/>
      <c r="X23" s="2432"/>
      <c r="Y23" s="2795"/>
      <c r="Z23" s="2795"/>
      <c r="AA23" s="2792"/>
      <c r="AB23" s="2792"/>
      <c r="AC23" s="2474"/>
      <c r="AD23" s="2792"/>
      <c r="AE23" s="2792"/>
      <c r="AF23" s="401"/>
      <c r="AG23" s="401"/>
      <c r="AH23" s="401"/>
      <c r="AI23" s="401"/>
      <c r="AJ23" s="401"/>
      <c r="AK23" s="401"/>
      <c r="AL23" s="401"/>
      <c r="AM23" s="401"/>
      <c r="AN23" s="2795"/>
      <c r="AO23" s="2798"/>
      <c r="AP23" s="2798"/>
      <c r="AQ23" s="2459"/>
    </row>
    <row r="24" spans="1:43" ht="22.5" customHeight="1">
      <c r="A24" s="2803"/>
      <c r="B24" s="2804"/>
      <c r="C24" s="2805"/>
      <c r="D24" s="2808"/>
      <c r="E24" s="2808"/>
      <c r="F24" s="2809"/>
      <c r="G24" s="2450"/>
      <c r="H24" s="2450"/>
      <c r="I24" s="2772"/>
      <c r="J24" s="2772"/>
      <c r="K24" s="2442"/>
      <c r="L24" s="2442"/>
      <c r="M24" s="2826"/>
      <c r="N24" s="403" t="s">
        <v>259</v>
      </c>
      <c r="O24" s="2444"/>
      <c r="P24" s="2442"/>
      <c r="Q24" s="2818"/>
      <c r="R24" s="2820"/>
      <c r="S24" s="2442"/>
      <c r="T24" s="2822"/>
      <c r="U24" s="2463"/>
      <c r="V24" s="2837"/>
      <c r="W24" s="2823"/>
      <c r="X24" s="2432"/>
      <c r="Y24" s="2795"/>
      <c r="Z24" s="2795"/>
      <c r="AA24" s="2792"/>
      <c r="AB24" s="2792"/>
      <c r="AC24" s="2474"/>
      <c r="AD24" s="2792"/>
      <c r="AE24" s="2792"/>
      <c r="AF24" s="401"/>
      <c r="AG24" s="401"/>
      <c r="AH24" s="401"/>
      <c r="AI24" s="401"/>
      <c r="AJ24" s="401"/>
      <c r="AK24" s="401"/>
      <c r="AL24" s="401"/>
      <c r="AM24" s="401"/>
      <c r="AN24" s="2795"/>
      <c r="AO24" s="2798"/>
      <c r="AP24" s="2798"/>
      <c r="AQ24" s="2459"/>
    </row>
    <row r="25" spans="1:43" ht="38.25" customHeight="1">
      <c r="A25" s="2803"/>
      <c r="B25" s="2804"/>
      <c r="C25" s="2805"/>
      <c r="D25" s="2808"/>
      <c r="E25" s="2808"/>
      <c r="F25" s="2809"/>
      <c r="G25" s="2450"/>
      <c r="H25" s="2450"/>
      <c r="I25" s="2772"/>
      <c r="J25" s="2771">
        <v>41</v>
      </c>
      <c r="K25" s="2441" t="s">
        <v>260</v>
      </c>
      <c r="L25" s="2441" t="s">
        <v>261</v>
      </c>
      <c r="M25" s="2443">
        <v>1</v>
      </c>
      <c r="N25" s="403"/>
      <c r="O25" s="2444"/>
      <c r="P25" s="2442"/>
      <c r="Q25" s="2817">
        <f>(V25)/R22</f>
        <v>0.1366120218579235</v>
      </c>
      <c r="R25" s="2820"/>
      <c r="S25" s="2442"/>
      <c r="T25" s="2821" t="s">
        <v>262</v>
      </c>
      <c r="U25" s="2435" t="s">
        <v>263</v>
      </c>
      <c r="V25" s="2830">
        <v>25000000</v>
      </c>
      <c r="W25" s="2823"/>
      <c r="X25" s="2432"/>
      <c r="Y25" s="2795"/>
      <c r="Z25" s="2795"/>
      <c r="AA25" s="2792"/>
      <c r="AB25" s="2792"/>
      <c r="AC25" s="2474"/>
      <c r="AD25" s="2792"/>
      <c r="AE25" s="2792"/>
      <c r="AF25" s="401"/>
      <c r="AG25" s="401"/>
      <c r="AH25" s="401"/>
      <c r="AI25" s="401"/>
      <c r="AJ25" s="401"/>
      <c r="AK25" s="401"/>
      <c r="AL25" s="401"/>
      <c r="AM25" s="401"/>
      <c r="AN25" s="2795"/>
      <c r="AO25" s="2798"/>
      <c r="AP25" s="2798"/>
      <c r="AQ25" s="2459"/>
    </row>
    <row r="26" spans="1:43" ht="36" customHeight="1">
      <c r="A26" s="2803"/>
      <c r="B26" s="2804"/>
      <c r="C26" s="2805"/>
      <c r="D26" s="2808"/>
      <c r="E26" s="2808"/>
      <c r="F26" s="2809"/>
      <c r="G26" s="2450"/>
      <c r="H26" s="2450"/>
      <c r="I26" s="2772"/>
      <c r="J26" s="2772"/>
      <c r="K26" s="2442"/>
      <c r="L26" s="2442"/>
      <c r="M26" s="2444"/>
      <c r="N26" s="403" t="s">
        <v>264</v>
      </c>
      <c r="O26" s="2444"/>
      <c r="P26" s="2442"/>
      <c r="Q26" s="2818"/>
      <c r="R26" s="2820"/>
      <c r="S26" s="2442"/>
      <c r="T26" s="2822"/>
      <c r="U26" s="2438"/>
      <c r="V26" s="2830"/>
      <c r="W26" s="2823"/>
      <c r="X26" s="2432"/>
      <c r="Y26" s="2795"/>
      <c r="Z26" s="2795"/>
      <c r="AA26" s="2792"/>
      <c r="AB26" s="2792"/>
      <c r="AC26" s="2474"/>
      <c r="AD26" s="2792"/>
      <c r="AE26" s="2792"/>
      <c r="AF26" s="401"/>
      <c r="AG26" s="401"/>
      <c r="AH26" s="401"/>
      <c r="AI26" s="401"/>
      <c r="AJ26" s="401"/>
      <c r="AK26" s="401"/>
      <c r="AL26" s="401"/>
      <c r="AM26" s="401"/>
      <c r="AN26" s="2795"/>
      <c r="AO26" s="2798"/>
      <c r="AP26" s="2798"/>
      <c r="AQ26" s="2459"/>
    </row>
    <row r="27" spans="1:43" ht="28.5" customHeight="1">
      <c r="A27" s="2803"/>
      <c r="B27" s="2804"/>
      <c r="C27" s="2805"/>
      <c r="D27" s="2808"/>
      <c r="E27" s="2808"/>
      <c r="F27" s="2809"/>
      <c r="G27" s="2450"/>
      <c r="H27" s="2450"/>
      <c r="I27" s="2772"/>
      <c r="J27" s="2772"/>
      <c r="K27" s="2442"/>
      <c r="L27" s="2442"/>
      <c r="M27" s="2444"/>
      <c r="N27" s="403"/>
      <c r="O27" s="2444"/>
      <c r="P27" s="2442"/>
      <c r="Q27" s="2818"/>
      <c r="R27" s="2820"/>
      <c r="S27" s="2442"/>
      <c r="T27" s="2822"/>
      <c r="U27" s="2835"/>
      <c r="V27" s="2830"/>
      <c r="W27" s="2823"/>
      <c r="X27" s="2432"/>
      <c r="Y27" s="2795"/>
      <c r="Z27" s="2795"/>
      <c r="AA27" s="2792"/>
      <c r="AB27" s="2792"/>
      <c r="AC27" s="2474"/>
      <c r="AD27" s="2792"/>
      <c r="AE27" s="2792"/>
      <c r="AF27" s="401"/>
      <c r="AG27" s="401"/>
      <c r="AH27" s="401"/>
      <c r="AI27" s="401"/>
      <c r="AJ27" s="401"/>
      <c r="AK27" s="401"/>
      <c r="AL27" s="401"/>
      <c r="AM27" s="401"/>
      <c r="AN27" s="2795"/>
      <c r="AO27" s="2798"/>
      <c r="AP27" s="2798"/>
      <c r="AQ27" s="2459"/>
    </row>
    <row r="28" spans="1:43" ht="25.5" customHeight="1">
      <c r="A28" s="2803"/>
      <c r="B28" s="2804"/>
      <c r="C28" s="2805"/>
      <c r="D28" s="2808"/>
      <c r="E28" s="2808"/>
      <c r="F28" s="2809"/>
      <c r="G28" s="2450"/>
      <c r="H28" s="2450"/>
      <c r="I28" s="2772"/>
      <c r="J28" s="2771">
        <v>42</v>
      </c>
      <c r="K28" s="2441" t="s">
        <v>265</v>
      </c>
      <c r="L28" s="2441" t="s">
        <v>266</v>
      </c>
      <c r="M28" s="2443">
        <v>1</v>
      </c>
      <c r="N28" s="403"/>
      <c r="O28" s="2444"/>
      <c r="P28" s="2442"/>
      <c r="Q28" s="2817">
        <f>(V28)/R22</f>
        <v>0.5737704918032787</v>
      </c>
      <c r="R28" s="2820"/>
      <c r="S28" s="2442"/>
      <c r="T28" s="2822"/>
      <c r="U28" s="2435" t="s">
        <v>267</v>
      </c>
      <c r="V28" s="2830">
        <f>35000000+70000000</f>
        <v>105000000</v>
      </c>
      <c r="W28" s="2823"/>
      <c r="X28" s="2432"/>
      <c r="Y28" s="2795"/>
      <c r="Z28" s="2795"/>
      <c r="AA28" s="2792"/>
      <c r="AB28" s="2792"/>
      <c r="AC28" s="2474"/>
      <c r="AD28" s="2792"/>
      <c r="AE28" s="2792"/>
      <c r="AF28" s="401"/>
      <c r="AG28" s="401"/>
      <c r="AH28" s="401"/>
      <c r="AI28" s="401"/>
      <c r="AJ28" s="401"/>
      <c r="AK28" s="401"/>
      <c r="AL28" s="401"/>
      <c r="AM28" s="401"/>
      <c r="AN28" s="2795"/>
      <c r="AO28" s="2798"/>
      <c r="AP28" s="2798"/>
      <c r="AQ28" s="2459"/>
    </row>
    <row r="29" spans="1:43" ht="42" customHeight="1">
      <c r="A29" s="2803"/>
      <c r="B29" s="2804"/>
      <c r="C29" s="2805"/>
      <c r="D29" s="2808"/>
      <c r="E29" s="2808"/>
      <c r="F29" s="2809"/>
      <c r="G29" s="2450"/>
      <c r="H29" s="2450"/>
      <c r="I29" s="2772"/>
      <c r="J29" s="2772"/>
      <c r="K29" s="2442"/>
      <c r="L29" s="2442"/>
      <c r="M29" s="2444"/>
      <c r="N29" s="403"/>
      <c r="O29" s="2444"/>
      <c r="P29" s="2442"/>
      <c r="Q29" s="2818"/>
      <c r="R29" s="2820"/>
      <c r="S29" s="2442"/>
      <c r="T29" s="2822"/>
      <c r="U29" s="2438"/>
      <c r="V29" s="2830"/>
      <c r="W29" s="2823"/>
      <c r="X29" s="2432"/>
      <c r="Y29" s="2795"/>
      <c r="Z29" s="2795"/>
      <c r="AA29" s="2792"/>
      <c r="AB29" s="2792"/>
      <c r="AC29" s="2474"/>
      <c r="AD29" s="2792"/>
      <c r="AE29" s="2792"/>
      <c r="AF29" s="401"/>
      <c r="AG29" s="401"/>
      <c r="AH29" s="401"/>
      <c r="AI29" s="401"/>
      <c r="AJ29" s="401"/>
      <c r="AK29" s="401"/>
      <c r="AL29" s="401"/>
      <c r="AM29" s="401"/>
      <c r="AN29" s="2795"/>
      <c r="AO29" s="2798"/>
      <c r="AP29" s="2798"/>
      <c r="AQ29" s="2459"/>
    </row>
    <row r="30" spans="1:43" ht="33" customHeight="1">
      <c r="A30" s="2803"/>
      <c r="B30" s="2804"/>
      <c r="C30" s="2805"/>
      <c r="D30" s="2808"/>
      <c r="E30" s="2808"/>
      <c r="F30" s="2809"/>
      <c r="G30" s="2810"/>
      <c r="H30" s="2810"/>
      <c r="I30" s="2811"/>
      <c r="J30" s="2772"/>
      <c r="K30" s="2442"/>
      <c r="L30" s="2442"/>
      <c r="M30" s="2444"/>
      <c r="N30" s="403"/>
      <c r="O30" s="2444"/>
      <c r="P30" s="2442"/>
      <c r="Q30" s="2818"/>
      <c r="R30" s="2820"/>
      <c r="S30" s="2442"/>
      <c r="T30" s="2836"/>
      <c r="U30" s="2438"/>
      <c r="V30" s="2830"/>
      <c r="W30" s="2824"/>
      <c r="X30" s="2443"/>
      <c r="Y30" s="2796"/>
      <c r="Z30" s="2796"/>
      <c r="AA30" s="2793"/>
      <c r="AB30" s="2793"/>
      <c r="AC30" s="2743"/>
      <c r="AD30" s="2793"/>
      <c r="AE30" s="2793"/>
      <c r="AF30" s="402"/>
      <c r="AG30" s="402"/>
      <c r="AH30" s="402"/>
      <c r="AI30" s="402"/>
      <c r="AJ30" s="402"/>
      <c r="AK30" s="402"/>
      <c r="AL30" s="402"/>
      <c r="AM30" s="402"/>
      <c r="AN30" s="2796"/>
      <c r="AO30" s="2799"/>
      <c r="AP30" s="2799"/>
      <c r="AQ30" s="2459"/>
    </row>
    <row r="31" spans="1:43" ht="22.5" customHeight="1">
      <c r="A31" s="2803"/>
      <c r="B31" s="2804"/>
      <c r="C31" s="2805"/>
      <c r="D31" s="2808"/>
      <c r="E31" s="2808"/>
      <c r="F31" s="2809"/>
      <c r="G31" s="385">
        <v>9</v>
      </c>
      <c r="H31" s="386" t="s">
        <v>268</v>
      </c>
      <c r="I31" s="386"/>
      <c r="J31" s="387"/>
      <c r="K31" s="388"/>
      <c r="L31" s="388"/>
      <c r="M31" s="387"/>
      <c r="N31" s="395"/>
      <c r="O31" s="390"/>
      <c r="P31" s="388"/>
      <c r="Q31" s="391"/>
      <c r="R31" s="392"/>
      <c r="S31" s="388"/>
      <c r="T31" s="406"/>
      <c r="U31" s="406"/>
      <c r="V31" s="407"/>
      <c r="W31" s="394"/>
      <c r="X31" s="395"/>
      <c r="Y31" s="396"/>
      <c r="Z31" s="396"/>
      <c r="AA31" s="387"/>
      <c r="AB31" s="387"/>
      <c r="AC31" s="387"/>
      <c r="AD31" s="387"/>
      <c r="AE31" s="387"/>
      <c r="AF31" s="387"/>
      <c r="AG31" s="387"/>
      <c r="AH31" s="387"/>
      <c r="AI31" s="387"/>
      <c r="AJ31" s="387"/>
      <c r="AK31" s="387"/>
      <c r="AL31" s="387"/>
      <c r="AM31" s="387"/>
      <c r="AN31" s="396"/>
      <c r="AO31" s="408"/>
      <c r="AP31" s="408"/>
      <c r="AQ31" s="409"/>
    </row>
    <row r="32" spans="1:43" ht="21.75" customHeight="1">
      <c r="A32" s="2803"/>
      <c r="B32" s="2804"/>
      <c r="C32" s="2805"/>
      <c r="D32" s="2808"/>
      <c r="E32" s="2808"/>
      <c r="F32" s="2809"/>
      <c r="G32" s="2839"/>
      <c r="H32" s="2806"/>
      <c r="I32" s="2807"/>
      <c r="J32" s="2432">
        <v>44</v>
      </c>
      <c r="K32" s="2434" t="s">
        <v>269</v>
      </c>
      <c r="L32" s="2434" t="s">
        <v>270</v>
      </c>
      <c r="M32" s="2432">
        <v>1</v>
      </c>
      <c r="N32" s="411"/>
      <c r="O32" s="2444" t="s">
        <v>271</v>
      </c>
      <c r="P32" s="2442" t="s">
        <v>272</v>
      </c>
      <c r="Q32" s="2817">
        <f>(V32+V35)/R32</f>
        <v>0.19617364063548892</v>
      </c>
      <c r="R32" s="2820">
        <f>SUM(V32:V49)</f>
        <v>357520000</v>
      </c>
      <c r="S32" s="2442" t="s">
        <v>273</v>
      </c>
      <c r="T32" s="2821" t="s">
        <v>274</v>
      </c>
      <c r="U32" s="2435" t="s">
        <v>275</v>
      </c>
      <c r="V32" s="2844">
        <v>55136000</v>
      </c>
      <c r="W32" s="2823" t="s">
        <v>63</v>
      </c>
      <c r="X32" s="2432" t="s">
        <v>276</v>
      </c>
      <c r="Y32" s="2795">
        <v>193964</v>
      </c>
      <c r="Z32" s="2795">
        <v>129308</v>
      </c>
      <c r="AA32" s="2792"/>
      <c r="AB32" s="2792"/>
      <c r="AC32" s="2474">
        <v>323272</v>
      </c>
      <c r="AD32" s="2792"/>
      <c r="AE32" s="2847"/>
      <c r="AF32" s="412"/>
      <c r="AG32" s="412"/>
      <c r="AH32" s="412"/>
      <c r="AI32" s="412"/>
      <c r="AJ32" s="412"/>
      <c r="AK32" s="412"/>
      <c r="AL32" s="412"/>
      <c r="AM32" s="412"/>
      <c r="AN32" s="2850">
        <f>+Y32+Z32</f>
        <v>323272</v>
      </c>
      <c r="AO32" s="2798">
        <v>43110</v>
      </c>
      <c r="AP32" s="2797">
        <v>43465</v>
      </c>
      <c r="AQ32" s="2459" t="s">
        <v>243</v>
      </c>
    </row>
    <row r="33" spans="1:43" ht="27" customHeight="1">
      <c r="A33" s="2803"/>
      <c r="B33" s="2804"/>
      <c r="C33" s="2805"/>
      <c r="D33" s="2808"/>
      <c r="E33" s="2808"/>
      <c r="F33" s="2809"/>
      <c r="G33" s="2840"/>
      <c r="H33" s="2808"/>
      <c r="I33" s="2809"/>
      <c r="J33" s="2432"/>
      <c r="K33" s="2434"/>
      <c r="L33" s="2434"/>
      <c r="M33" s="2432"/>
      <c r="N33" s="411"/>
      <c r="O33" s="2444"/>
      <c r="P33" s="2442"/>
      <c r="Q33" s="2818"/>
      <c r="R33" s="2820"/>
      <c r="S33" s="2442"/>
      <c r="T33" s="2822"/>
      <c r="U33" s="2438"/>
      <c r="V33" s="2844"/>
      <c r="W33" s="2823"/>
      <c r="X33" s="2432"/>
      <c r="Y33" s="2795"/>
      <c r="Z33" s="2795"/>
      <c r="AA33" s="2792"/>
      <c r="AB33" s="2792"/>
      <c r="AC33" s="2474"/>
      <c r="AD33" s="2792"/>
      <c r="AE33" s="2848"/>
      <c r="AF33" s="412"/>
      <c r="AG33" s="412"/>
      <c r="AH33" s="412"/>
      <c r="AI33" s="412"/>
      <c r="AJ33" s="412"/>
      <c r="AK33" s="412"/>
      <c r="AL33" s="412"/>
      <c r="AM33" s="412"/>
      <c r="AN33" s="2850"/>
      <c r="AO33" s="2798"/>
      <c r="AP33" s="2798"/>
      <c r="AQ33" s="2459"/>
    </row>
    <row r="34" spans="1:43" ht="44.25" customHeight="1">
      <c r="A34" s="2803"/>
      <c r="B34" s="2804"/>
      <c r="C34" s="2805"/>
      <c r="D34" s="2808"/>
      <c r="E34" s="2808"/>
      <c r="F34" s="2809"/>
      <c r="G34" s="2840"/>
      <c r="H34" s="2808"/>
      <c r="I34" s="2809"/>
      <c r="J34" s="2432"/>
      <c r="K34" s="2434"/>
      <c r="L34" s="2434"/>
      <c r="M34" s="2432"/>
      <c r="N34" s="411"/>
      <c r="O34" s="2444"/>
      <c r="P34" s="2442"/>
      <c r="Q34" s="2818"/>
      <c r="R34" s="2820"/>
      <c r="S34" s="2442"/>
      <c r="T34" s="2822"/>
      <c r="U34" s="2438"/>
      <c r="V34" s="2852"/>
      <c r="W34" s="2823"/>
      <c r="X34" s="2432"/>
      <c r="Y34" s="2795"/>
      <c r="Z34" s="2795"/>
      <c r="AA34" s="2792"/>
      <c r="AB34" s="2792"/>
      <c r="AC34" s="2474"/>
      <c r="AD34" s="2792"/>
      <c r="AE34" s="2848"/>
      <c r="AF34" s="412"/>
      <c r="AG34" s="412"/>
      <c r="AH34" s="412"/>
      <c r="AI34" s="412"/>
      <c r="AJ34" s="412"/>
      <c r="AK34" s="412"/>
      <c r="AL34" s="412"/>
      <c r="AM34" s="412"/>
      <c r="AN34" s="2850"/>
      <c r="AO34" s="2798"/>
      <c r="AP34" s="2798"/>
      <c r="AQ34" s="2459"/>
    </row>
    <row r="35" spans="1:43" ht="30.75" customHeight="1">
      <c r="A35" s="2803"/>
      <c r="B35" s="2804"/>
      <c r="C35" s="2805"/>
      <c r="D35" s="2808"/>
      <c r="E35" s="2808"/>
      <c r="F35" s="2809"/>
      <c r="G35" s="2840"/>
      <c r="H35" s="2808"/>
      <c r="I35" s="2809"/>
      <c r="J35" s="2432"/>
      <c r="K35" s="2434"/>
      <c r="L35" s="2434"/>
      <c r="M35" s="2432"/>
      <c r="N35" s="411"/>
      <c r="O35" s="2444"/>
      <c r="P35" s="2442"/>
      <c r="Q35" s="2818"/>
      <c r="R35" s="2820"/>
      <c r="S35" s="2442"/>
      <c r="T35" s="2822"/>
      <c r="U35" s="2435" t="s">
        <v>277</v>
      </c>
      <c r="V35" s="2844">
        <v>15000000</v>
      </c>
      <c r="W35" s="2823"/>
      <c r="X35" s="2432"/>
      <c r="Y35" s="2795"/>
      <c r="Z35" s="2795"/>
      <c r="AA35" s="2792"/>
      <c r="AB35" s="2792"/>
      <c r="AC35" s="2474"/>
      <c r="AD35" s="2792"/>
      <c r="AE35" s="2848"/>
      <c r="AF35" s="412"/>
      <c r="AG35" s="412"/>
      <c r="AH35" s="412"/>
      <c r="AI35" s="412"/>
      <c r="AJ35" s="412"/>
      <c r="AK35" s="412"/>
      <c r="AL35" s="412"/>
      <c r="AM35" s="412"/>
      <c r="AN35" s="2850"/>
      <c r="AO35" s="2798"/>
      <c r="AP35" s="2798"/>
      <c r="AQ35" s="2459"/>
    </row>
    <row r="36" spans="1:43" ht="32.25" customHeight="1">
      <c r="A36" s="2803"/>
      <c r="B36" s="2804"/>
      <c r="C36" s="2805"/>
      <c r="D36" s="2808"/>
      <c r="E36" s="2808"/>
      <c r="F36" s="2809"/>
      <c r="G36" s="2840"/>
      <c r="H36" s="2808"/>
      <c r="I36" s="2809"/>
      <c r="J36" s="2432"/>
      <c r="K36" s="2434"/>
      <c r="L36" s="2434"/>
      <c r="M36" s="2432"/>
      <c r="N36" s="411"/>
      <c r="O36" s="2444"/>
      <c r="P36" s="2442"/>
      <c r="Q36" s="2818"/>
      <c r="R36" s="2820"/>
      <c r="S36" s="2442"/>
      <c r="T36" s="2822"/>
      <c r="U36" s="2438"/>
      <c r="V36" s="2844"/>
      <c r="W36" s="2823"/>
      <c r="X36" s="2432"/>
      <c r="Y36" s="2795"/>
      <c r="Z36" s="2795"/>
      <c r="AA36" s="2792"/>
      <c r="AB36" s="2792"/>
      <c r="AC36" s="2474"/>
      <c r="AD36" s="2792"/>
      <c r="AE36" s="2848"/>
      <c r="AF36" s="412"/>
      <c r="AG36" s="412"/>
      <c r="AH36" s="412"/>
      <c r="AI36" s="412"/>
      <c r="AJ36" s="412"/>
      <c r="AK36" s="412"/>
      <c r="AL36" s="412"/>
      <c r="AM36" s="412"/>
      <c r="AN36" s="2850"/>
      <c r="AO36" s="2798"/>
      <c r="AP36" s="2798"/>
      <c r="AQ36" s="2459"/>
    </row>
    <row r="37" spans="1:43" ht="53.25" customHeight="1">
      <c r="A37" s="2803"/>
      <c r="B37" s="2804"/>
      <c r="C37" s="2805"/>
      <c r="D37" s="2808"/>
      <c r="E37" s="2808"/>
      <c r="F37" s="2809"/>
      <c r="G37" s="2840"/>
      <c r="H37" s="2808"/>
      <c r="I37" s="2809"/>
      <c r="J37" s="2432"/>
      <c r="K37" s="2434"/>
      <c r="L37" s="2434"/>
      <c r="M37" s="2432"/>
      <c r="N37" s="411"/>
      <c r="O37" s="2444"/>
      <c r="P37" s="2442"/>
      <c r="Q37" s="2854"/>
      <c r="R37" s="2820"/>
      <c r="S37" s="2442"/>
      <c r="T37" s="2822"/>
      <c r="U37" s="2835"/>
      <c r="V37" s="2844"/>
      <c r="W37" s="2823"/>
      <c r="X37" s="2432"/>
      <c r="Y37" s="2795"/>
      <c r="Z37" s="2795"/>
      <c r="AA37" s="2792"/>
      <c r="AB37" s="2792"/>
      <c r="AC37" s="2474"/>
      <c r="AD37" s="2792"/>
      <c r="AE37" s="2848"/>
      <c r="AF37" s="412"/>
      <c r="AG37" s="412"/>
      <c r="AH37" s="412"/>
      <c r="AI37" s="412"/>
      <c r="AJ37" s="412"/>
      <c r="AK37" s="412"/>
      <c r="AL37" s="412"/>
      <c r="AM37" s="412"/>
      <c r="AN37" s="2850"/>
      <c r="AO37" s="2798"/>
      <c r="AP37" s="2798"/>
      <c r="AQ37" s="2459"/>
    </row>
    <row r="38" spans="1:43" ht="29.25" customHeight="1">
      <c r="A38" s="2803"/>
      <c r="B38" s="2804"/>
      <c r="C38" s="2805"/>
      <c r="D38" s="2808"/>
      <c r="E38" s="2808"/>
      <c r="F38" s="2809"/>
      <c r="G38" s="2840"/>
      <c r="H38" s="2808"/>
      <c r="I38" s="2809"/>
      <c r="J38" s="2432">
        <v>43</v>
      </c>
      <c r="K38" s="2434" t="s">
        <v>278</v>
      </c>
      <c r="L38" s="2434" t="s">
        <v>279</v>
      </c>
      <c r="M38" s="2432">
        <v>3</v>
      </c>
      <c r="N38" s="411"/>
      <c r="O38" s="2444"/>
      <c r="P38" s="2442"/>
      <c r="Q38" s="2845">
        <f>(V38)/R32</f>
        <v>0.0858581338106959</v>
      </c>
      <c r="R38" s="2820"/>
      <c r="S38" s="2442"/>
      <c r="T38" s="2846" t="s">
        <v>280</v>
      </c>
      <c r="U38" s="2455" t="s">
        <v>281</v>
      </c>
      <c r="V38" s="2837">
        <v>30696000</v>
      </c>
      <c r="W38" s="2823"/>
      <c r="X38" s="2432"/>
      <c r="Y38" s="2795"/>
      <c r="Z38" s="2795"/>
      <c r="AA38" s="2792"/>
      <c r="AB38" s="2792"/>
      <c r="AC38" s="2474"/>
      <c r="AD38" s="2792"/>
      <c r="AE38" s="2848"/>
      <c r="AF38" s="412"/>
      <c r="AG38" s="412"/>
      <c r="AH38" s="412"/>
      <c r="AI38" s="412"/>
      <c r="AJ38" s="412"/>
      <c r="AK38" s="412"/>
      <c r="AL38" s="412"/>
      <c r="AM38" s="412"/>
      <c r="AN38" s="2850"/>
      <c r="AO38" s="2798"/>
      <c r="AP38" s="2798"/>
      <c r="AQ38" s="2459"/>
    </row>
    <row r="39" spans="1:43" ht="27" customHeight="1">
      <c r="A39" s="2803"/>
      <c r="B39" s="2804"/>
      <c r="C39" s="2805"/>
      <c r="D39" s="2808"/>
      <c r="E39" s="2808"/>
      <c r="F39" s="2809"/>
      <c r="G39" s="2840"/>
      <c r="H39" s="2808"/>
      <c r="I39" s="2809"/>
      <c r="J39" s="2432"/>
      <c r="K39" s="2434"/>
      <c r="L39" s="2434"/>
      <c r="M39" s="2432"/>
      <c r="N39" s="2444" t="s">
        <v>282</v>
      </c>
      <c r="O39" s="2444"/>
      <c r="P39" s="2442"/>
      <c r="Q39" s="2845"/>
      <c r="R39" s="2820"/>
      <c r="S39" s="2442"/>
      <c r="T39" s="2846"/>
      <c r="U39" s="2455"/>
      <c r="V39" s="2830"/>
      <c r="W39" s="2823"/>
      <c r="X39" s="2432"/>
      <c r="Y39" s="2795"/>
      <c r="Z39" s="2795"/>
      <c r="AA39" s="2792"/>
      <c r="AB39" s="2792"/>
      <c r="AC39" s="2474"/>
      <c r="AD39" s="2792"/>
      <c r="AE39" s="2848"/>
      <c r="AF39" s="412"/>
      <c r="AG39" s="412"/>
      <c r="AH39" s="412"/>
      <c r="AI39" s="412"/>
      <c r="AJ39" s="412"/>
      <c r="AK39" s="412"/>
      <c r="AL39" s="412"/>
      <c r="AM39" s="412"/>
      <c r="AN39" s="2850"/>
      <c r="AO39" s="2798"/>
      <c r="AP39" s="2798"/>
      <c r="AQ39" s="2459"/>
    </row>
    <row r="40" spans="1:43" ht="30.75" customHeight="1">
      <c r="A40" s="2803"/>
      <c r="B40" s="2804"/>
      <c r="C40" s="2805"/>
      <c r="D40" s="2808"/>
      <c r="E40" s="2808"/>
      <c r="F40" s="2809"/>
      <c r="G40" s="2840"/>
      <c r="H40" s="2808"/>
      <c r="I40" s="2809"/>
      <c r="J40" s="2432"/>
      <c r="K40" s="2434"/>
      <c r="L40" s="2434"/>
      <c r="M40" s="2432"/>
      <c r="N40" s="2444"/>
      <c r="O40" s="2444"/>
      <c r="P40" s="2442"/>
      <c r="Q40" s="2845"/>
      <c r="R40" s="2820"/>
      <c r="S40" s="2442"/>
      <c r="T40" s="2846"/>
      <c r="U40" s="2455"/>
      <c r="V40" s="2830"/>
      <c r="W40" s="2823"/>
      <c r="X40" s="2432"/>
      <c r="Y40" s="2795"/>
      <c r="Z40" s="2795"/>
      <c r="AA40" s="2792"/>
      <c r="AB40" s="2792"/>
      <c r="AC40" s="2474"/>
      <c r="AD40" s="2792"/>
      <c r="AE40" s="2848"/>
      <c r="AF40" s="412"/>
      <c r="AG40" s="412"/>
      <c r="AH40" s="412"/>
      <c r="AI40" s="412"/>
      <c r="AJ40" s="412"/>
      <c r="AK40" s="412"/>
      <c r="AL40" s="412"/>
      <c r="AM40" s="412"/>
      <c r="AN40" s="2850"/>
      <c r="AO40" s="2798"/>
      <c r="AP40" s="2798"/>
      <c r="AQ40" s="2459"/>
    </row>
    <row r="41" spans="1:43" ht="27" customHeight="1">
      <c r="A41" s="2803"/>
      <c r="B41" s="2804"/>
      <c r="C41" s="2805"/>
      <c r="D41" s="2808"/>
      <c r="E41" s="2808"/>
      <c r="F41" s="2809"/>
      <c r="G41" s="2840"/>
      <c r="H41" s="2808"/>
      <c r="I41" s="2809"/>
      <c r="J41" s="2432"/>
      <c r="K41" s="2434"/>
      <c r="L41" s="2434"/>
      <c r="M41" s="2432"/>
      <c r="N41" s="411"/>
      <c r="O41" s="2444"/>
      <c r="P41" s="2442"/>
      <c r="Q41" s="2845"/>
      <c r="R41" s="2820"/>
      <c r="S41" s="2442"/>
      <c r="T41" s="2846"/>
      <c r="U41" s="2455"/>
      <c r="V41" s="2830"/>
      <c r="W41" s="2823"/>
      <c r="X41" s="2432"/>
      <c r="Y41" s="2795"/>
      <c r="Z41" s="2795"/>
      <c r="AA41" s="2792"/>
      <c r="AB41" s="2792"/>
      <c r="AC41" s="2474"/>
      <c r="AD41" s="2792"/>
      <c r="AE41" s="2848"/>
      <c r="AF41" s="412"/>
      <c r="AG41" s="412"/>
      <c r="AH41" s="412"/>
      <c r="AI41" s="412"/>
      <c r="AJ41" s="412"/>
      <c r="AK41" s="412"/>
      <c r="AL41" s="412"/>
      <c r="AM41" s="412"/>
      <c r="AN41" s="2850"/>
      <c r="AO41" s="2798"/>
      <c r="AP41" s="2798"/>
      <c r="AQ41" s="2459"/>
    </row>
    <row r="42" spans="1:43" ht="32.25" customHeight="1">
      <c r="A42" s="2803"/>
      <c r="B42" s="2804"/>
      <c r="C42" s="2805"/>
      <c r="D42" s="2808"/>
      <c r="E42" s="2808"/>
      <c r="F42" s="2809"/>
      <c r="G42" s="2840"/>
      <c r="H42" s="2808"/>
      <c r="I42" s="2809"/>
      <c r="J42" s="2432">
        <v>45</v>
      </c>
      <c r="K42" s="2434" t="s">
        <v>283</v>
      </c>
      <c r="L42" s="2434" t="s">
        <v>279</v>
      </c>
      <c r="M42" s="2432">
        <v>3</v>
      </c>
      <c r="N42" s="403" t="s">
        <v>284</v>
      </c>
      <c r="O42" s="2444"/>
      <c r="P42" s="2442"/>
      <c r="Q42" s="2845">
        <f>(V42)/R32</f>
        <v>0.3540109644215708</v>
      </c>
      <c r="R42" s="2820"/>
      <c r="S42" s="2442"/>
      <c r="T42" s="2846"/>
      <c r="U42" s="2853" t="s">
        <v>285</v>
      </c>
      <c r="V42" s="2830">
        <v>126566000</v>
      </c>
      <c r="W42" s="2823"/>
      <c r="X42" s="2432"/>
      <c r="Y42" s="2795"/>
      <c r="Z42" s="2795"/>
      <c r="AA42" s="2792"/>
      <c r="AB42" s="2792"/>
      <c r="AC42" s="2474"/>
      <c r="AD42" s="2792"/>
      <c r="AE42" s="2848"/>
      <c r="AF42" s="412"/>
      <c r="AG42" s="412"/>
      <c r="AH42" s="412"/>
      <c r="AI42" s="412"/>
      <c r="AJ42" s="412"/>
      <c r="AK42" s="412"/>
      <c r="AL42" s="412"/>
      <c r="AM42" s="412"/>
      <c r="AN42" s="2850"/>
      <c r="AO42" s="2798"/>
      <c r="AP42" s="2798"/>
      <c r="AQ42" s="2459"/>
    </row>
    <row r="43" spans="1:43" ht="32.25" customHeight="1">
      <c r="A43" s="2803"/>
      <c r="B43" s="2804"/>
      <c r="C43" s="2805"/>
      <c r="D43" s="2808"/>
      <c r="E43" s="2808"/>
      <c r="F43" s="2809"/>
      <c r="G43" s="2840"/>
      <c r="H43" s="2808"/>
      <c r="I43" s="2809"/>
      <c r="J43" s="2432"/>
      <c r="K43" s="2434"/>
      <c r="L43" s="2434"/>
      <c r="M43" s="2432"/>
      <c r="N43" s="411"/>
      <c r="O43" s="2444"/>
      <c r="P43" s="2442"/>
      <c r="Q43" s="2845"/>
      <c r="R43" s="2820"/>
      <c r="S43" s="2442"/>
      <c r="T43" s="2846"/>
      <c r="U43" s="2853"/>
      <c r="V43" s="2830"/>
      <c r="W43" s="2823"/>
      <c r="X43" s="2432"/>
      <c r="Y43" s="2795"/>
      <c r="Z43" s="2795"/>
      <c r="AA43" s="2792"/>
      <c r="AB43" s="2792"/>
      <c r="AC43" s="2474"/>
      <c r="AD43" s="2792"/>
      <c r="AE43" s="2848"/>
      <c r="AF43" s="412"/>
      <c r="AG43" s="412"/>
      <c r="AH43" s="412"/>
      <c r="AI43" s="412"/>
      <c r="AJ43" s="412"/>
      <c r="AK43" s="412"/>
      <c r="AL43" s="412"/>
      <c r="AM43" s="412"/>
      <c r="AN43" s="2850"/>
      <c r="AO43" s="2798"/>
      <c r="AP43" s="2798"/>
      <c r="AQ43" s="2459"/>
    </row>
    <row r="44" spans="1:43" ht="23.25" customHeight="1">
      <c r="A44" s="2803"/>
      <c r="B44" s="2804"/>
      <c r="C44" s="2805"/>
      <c r="D44" s="2808"/>
      <c r="E44" s="2808"/>
      <c r="F44" s="2809"/>
      <c r="G44" s="2840"/>
      <c r="H44" s="2808"/>
      <c r="I44" s="2809"/>
      <c r="J44" s="2432"/>
      <c r="K44" s="2434"/>
      <c r="L44" s="2434"/>
      <c r="M44" s="2432"/>
      <c r="N44" s="411"/>
      <c r="O44" s="2444"/>
      <c r="P44" s="2442"/>
      <c r="Q44" s="2845"/>
      <c r="R44" s="2820"/>
      <c r="S44" s="2442"/>
      <c r="T44" s="2846"/>
      <c r="U44" s="2853"/>
      <c r="V44" s="2830"/>
      <c r="W44" s="2823"/>
      <c r="X44" s="2432"/>
      <c r="Y44" s="2795"/>
      <c r="Z44" s="2795"/>
      <c r="AA44" s="2792"/>
      <c r="AB44" s="2792"/>
      <c r="AC44" s="2474"/>
      <c r="AD44" s="2792"/>
      <c r="AE44" s="2848"/>
      <c r="AF44" s="412"/>
      <c r="AG44" s="412"/>
      <c r="AH44" s="412"/>
      <c r="AI44" s="412"/>
      <c r="AJ44" s="412"/>
      <c r="AK44" s="412"/>
      <c r="AL44" s="412"/>
      <c r="AM44" s="412"/>
      <c r="AN44" s="2850"/>
      <c r="AO44" s="2798"/>
      <c r="AP44" s="2798"/>
      <c r="AQ44" s="2459"/>
    </row>
    <row r="45" spans="1:43" ht="21.75" customHeight="1">
      <c r="A45" s="2803"/>
      <c r="B45" s="2804"/>
      <c r="C45" s="2805"/>
      <c r="D45" s="2808"/>
      <c r="E45" s="2808"/>
      <c r="F45" s="2809"/>
      <c r="G45" s="2840"/>
      <c r="H45" s="2808"/>
      <c r="I45" s="2809"/>
      <c r="J45" s="2432"/>
      <c r="K45" s="2434"/>
      <c r="L45" s="2434"/>
      <c r="M45" s="2432"/>
      <c r="N45" s="411"/>
      <c r="O45" s="2444"/>
      <c r="P45" s="2442"/>
      <c r="Q45" s="2845"/>
      <c r="R45" s="2820"/>
      <c r="S45" s="2442"/>
      <c r="T45" s="2846"/>
      <c r="U45" s="2853"/>
      <c r="V45" s="2830"/>
      <c r="W45" s="2823"/>
      <c r="X45" s="2432"/>
      <c r="Y45" s="2795"/>
      <c r="Z45" s="2795"/>
      <c r="AA45" s="2792"/>
      <c r="AB45" s="2792"/>
      <c r="AC45" s="2474"/>
      <c r="AD45" s="2792"/>
      <c r="AE45" s="2848"/>
      <c r="AF45" s="412"/>
      <c r="AG45" s="412"/>
      <c r="AH45" s="412"/>
      <c r="AI45" s="412"/>
      <c r="AJ45" s="412"/>
      <c r="AK45" s="412"/>
      <c r="AL45" s="412"/>
      <c r="AM45" s="412"/>
      <c r="AN45" s="2850"/>
      <c r="AO45" s="2798"/>
      <c r="AP45" s="2798"/>
      <c r="AQ45" s="2459"/>
    </row>
    <row r="46" spans="1:43" ht="34.5" customHeight="1">
      <c r="A46" s="2803"/>
      <c r="B46" s="2804"/>
      <c r="C46" s="2805"/>
      <c r="D46" s="2808"/>
      <c r="E46" s="2808"/>
      <c r="F46" s="2809"/>
      <c r="G46" s="2840"/>
      <c r="H46" s="2808"/>
      <c r="I46" s="2809"/>
      <c r="J46" s="2443">
        <v>46</v>
      </c>
      <c r="K46" s="2441" t="s">
        <v>286</v>
      </c>
      <c r="L46" s="2441" t="s">
        <v>287</v>
      </c>
      <c r="M46" s="2443">
        <v>1</v>
      </c>
      <c r="N46" s="411"/>
      <c r="O46" s="2444"/>
      <c r="P46" s="2442"/>
      <c r="Q46" s="2817">
        <f>(V46)/R32</f>
        <v>0.36395726113224436</v>
      </c>
      <c r="R46" s="2820"/>
      <c r="S46" s="2442"/>
      <c r="T46" s="2846"/>
      <c r="U46" s="2835" t="s">
        <v>288</v>
      </c>
      <c r="V46" s="2830">
        <v>130122000</v>
      </c>
      <c r="W46" s="2823"/>
      <c r="X46" s="2432"/>
      <c r="Y46" s="2795"/>
      <c r="Z46" s="2795"/>
      <c r="AA46" s="2792"/>
      <c r="AB46" s="2792"/>
      <c r="AC46" s="2474"/>
      <c r="AD46" s="2792"/>
      <c r="AE46" s="2848"/>
      <c r="AF46" s="412"/>
      <c r="AG46" s="412"/>
      <c r="AH46" s="412"/>
      <c r="AI46" s="412"/>
      <c r="AJ46" s="412"/>
      <c r="AK46" s="412"/>
      <c r="AL46" s="412"/>
      <c r="AM46" s="412"/>
      <c r="AN46" s="2850"/>
      <c r="AO46" s="2798"/>
      <c r="AP46" s="2798"/>
      <c r="AQ46" s="2459"/>
    </row>
    <row r="47" spans="1:43" ht="30.75" customHeight="1">
      <c r="A47" s="2803"/>
      <c r="B47" s="2804"/>
      <c r="C47" s="2805"/>
      <c r="D47" s="2808"/>
      <c r="E47" s="2808"/>
      <c r="F47" s="2809"/>
      <c r="G47" s="2840"/>
      <c r="H47" s="2808"/>
      <c r="I47" s="2809"/>
      <c r="J47" s="2444"/>
      <c r="K47" s="2442"/>
      <c r="L47" s="2442"/>
      <c r="M47" s="2444"/>
      <c r="N47" s="411"/>
      <c r="O47" s="2444"/>
      <c r="P47" s="2442"/>
      <c r="Q47" s="2818"/>
      <c r="R47" s="2820"/>
      <c r="S47" s="2442"/>
      <c r="T47" s="2846"/>
      <c r="U47" s="2455"/>
      <c r="V47" s="2830"/>
      <c r="W47" s="2823"/>
      <c r="X47" s="2432"/>
      <c r="Y47" s="2795"/>
      <c r="Z47" s="2795"/>
      <c r="AA47" s="2792"/>
      <c r="AB47" s="2792"/>
      <c r="AC47" s="2474"/>
      <c r="AD47" s="2792"/>
      <c r="AE47" s="2848"/>
      <c r="AF47" s="412"/>
      <c r="AG47" s="412"/>
      <c r="AH47" s="412"/>
      <c r="AI47" s="412"/>
      <c r="AJ47" s="412"/>
      <c r="AK47" s="412"/>
      <c r="AL47" s="412"/>
      <c r="AM47" s="412"/>
      <c r="AN47" s="2850"/>
      <c r="AO47" s="2798"/>
      <c r="AP47" s="2798"/>
      <c r="AQ47" s="2459"/>
    </row>
    <row r="48" spans="1:43" ht="29.25" customHeight="1">
      <c r="A48" s="2803"/>
      <c r="B48" s="2804"/>
      <c r="C48" s="2805"/>
      <c r="D48" s="2808"/>
      <c r="E48" s="2808"/>
      <c r="F48" s="2809"/>
      <c r="G48" s="2840"/>
      <c r="H48" s="2808"/>
      <c r="I48" s="2809"/>
      <c r="J48" s="2444"/>
      <c r="K48" s="2442"/>
      <c r="L48" s="2442"/>
      <c r="M48" s="2444"/>
      <c r="N48" s="411"/>
      <c r="O48" s="2444"/>
      <c r="P48" s="2442"/>
      <c r="Q48" s="2818"/>
      <c r="R48" s="2820"/>
      <c r="S48" s="2442"/>
      <c r="T48" s="2846"/>
      <c r="U48" s="2455"/>
      <c r="V48" s="2830"/>
      <c r="W48" s="2823"/>
      <c r="X48" s="2432"/>
      <c r="Y48" s="2795"/>
      <c r="Z48" s="2795"/>
      <c r="AA48" s="2792"/>
      <c r="AB48" s="2792"/>
      <c r="AC48" s="2474"/>
      <c r="AD48" s="2792"/>
      <c r="AE48" s="2848"/>
      <c r="AF48" s="412"/>
      <c r="AG48" s="412"/>
      <c r="AH48" s="412"/>
      <c r="AI48" s="412"/>
      <c r="AJ48" s="412"/>
      <c r="AK48" s="412"/>
      <c r="AL48" s="412"/>
      <c r="AM48" s="412"/>
      <c r="AN48" s="2850"/>
      <c r="AO48" s="2798"/>
      <c r="AP48" s="2798"/>
      <c r="AQ48" s="2459"/>
    </row>
    <row r="49" spans="1:43" ht="53.25" customHeight="1">
      <c r="A49" s="2803"/>
      <c r="B49" s="2804"/>
      <c r="C49" s="2805"/>
      <c r="D49" s="2808"/>
      <c r="E49" s="2808"/>
      <c r="F49" s="2809"/>
      <c r="G49" s="2841"/>
      <c r="H49" s="2842"/>
      <c r="I49" s="2843"/>
      <c r="J49" s="2444"/>
      <c r="K49" s="2442"/>
      <c r="L49" s="2442"/>
      <c r="M49" s="2444"/>
      <c r="N49" s="411"/>
      <c r="O49" s="2444"/>
      <c r="P49" s="2442"/>
      <c r="Q49" s="2818"/>
      <c r="R49" s="2820"/>
      <c r="S49" s="2442"/>
      <c r="T49" s="2846"/>
      <c r="U49" s="2455"/>
      <c r="V49" s="2830"/>
      <c r="W49" s="2824"/>
      <c r="X49" s="2443"/>
      <c r="Y49" s="2796"/>
      <c r="Z49" s="2796"/>
      <c r="AA49" s="2793"/>
      <c r="AB49" s="2793"/>
      <c r="AC49" s="2743"/>
      <c r="AD49" s="2793"/>
      <c r="AE49" s="2849"/>
      <c r="AF49" s="413"/>
      <c r="AG49" s="413"/>
      <c r="AH49" s="413"/>
      <c r="AI49" s="413"/>
      <c r="AJ49" s="413"/>
      <c r="AK49" s="413"/>
      <c r="AL49" s="413"/>
      <c r="AM49" s="413"/>
      <c r="AN49" s="2851"/>
      <c r="AO49" s="2799"/>
      <c r="AP49" s="2799"/>
      <c r="AQ49" s="2459"/>
    </row>
    <row r="50" spans="1:43" ht="18.75" customHeight="1">
      <c r="A50" s="2803"/>
      <c r="B50" s="2804"/>
      <c r="C50" s="2805"/>
      <c r="D50" s="2808"/>
      <c r="E50" s="2808"/>
      <c r="F50" s="2809"/>
      <c r="G50" s="385">
        <v>10</v>
      </c>
      <c r="H50" s="386" t="s">
        <v>289</v>
      </c>
      <c r="I50" s="386"/>
      <c r="J50" s="387"/>
      <c r="K50" s="388"/>
      <c r="L50" s="388"/>
      <c r="M50" s="387"/>
      <c r="N50" s="395"/>
      <c r="O50" s="390"/>
      <c r="P50" s="388"/>
      <c r="Q50" s="391"/>
      <c r="R50" s="392"/>
      <c r="S50" s="388"/>
      <c r="T50" s="388"/>
      <c r="U50" s="388"/>
      <c r="V50" s="407"/>
      <c r="W50" s="394"/>
      <c r="X50" s="395"/>
      <c r="Y50" s="396"/>
      <c r="Z50" s="396"/>
      <c r="AA50" s="387"/>
      <c r="AB50" s="387"/>
      <c r="AC50" s="387"/>
      <c r="AD50" s="387"/>
      <c r="AE50" s="387"/>
      <c r="AF50" s="387"/>
      <c r="AG50" s="387"/>
      <c r="AH50" s="387"/>
      <c r="AI50" s="387"/>
      <c r="AJ50" s="387"/>
      <c r="AK50" s="387"/>
      <c r="AL50" s="387"/>
      <c r="AM50" s="387"/>
      <c r="AN50" s="396"/>
      <c r="AO50" s="408"/>
      <c r="AP50" s="408"/>
      <c r="AQ50" s="409"/>
    </row>
    <row r="51" spans="1:43" ht="36" customHeight="1">
      <c r="A51" s="2803"/>
      <c r="B51" s="2804"/>
      <c r="C51" s="2805"/>
      <c r="D51" s="2808"/>
      <c r="E51" s="2808"/>
      <c r="F51" s="2809"/>
      <c r="G51" s="2855"/>
      <c r="H51" s="2856"/>
      <c r="I51" s="2857"/>
      <c r="J51" s="2443">
        <v>47</v>
      </c>
      <c r="K51" s="2441" t="s">
        <v>290</v>
      </c>
      <c r="L51" s="2441" t="s">
        <v>291</v>
      </c>
      <c r="M51" s="2443">
        <v>36</v>
      </c>
      <c r="N51" s="414"/>
      <c r="O51" s="2443" t="s">
        <v>292</v>
      </c>
      <c r="P51" s="2441" t="s">
        <v>293</v>
      </c>
      <c r="Q51" s="2817">
        <f>(V51)/R51</f>
        <v>0.38959028108623156</v>
      </c>
      <c r="R51" s="2819">
        <f>SUM(V51:V59)</f>
        <v>335840000</v>
      </c>
      <c r="S51" s="2441" t="s">
        <v>294</v>
      </c>
      <c r="T51" s="2821" t="s">
        <v>295</v>
      </c>
      <c r="U51" s="2435" t="s">
        <v>296</v>
      </c>
      <c r="V51" s="2830">
        <f>55000000+75840000</f>
        <v>130840000</v>
      </c>
      <c r="W51" s="2824" t="s">
        <v>297</v>
      </c>
      <c r="X51" s="2443" t="s">
        <v>298</v>
      </c>
      <c r="Y51" s="2794">
        <v>193964</v>
      </c>
      <c r="Z51" s="2794">
        <v>129308</v>
      </c>
      <c r="AA51" s="2791"/>
      <c r="AB51" s="2791"/>
      <c r="AC51" s="2742">
        <v>323272</v>
      </c>
      <c r="AD51" s="2791"/>
      <c r="AE51" s="2791"/>
      <c r="AF51" s="400"/>
      <c r="AG51" s="400"/>
      <c r="AH51" s="400"/>
      <c r="AI51" s="400"/>
      <c r="AJ51" s="400"/>
      <c r="AK51" s="400"/>
      <c r="AL51" s="400"/>
      <c r="AM51" s="400"/>
      <c r="AN51" s="2794">
        <f>+Y51+Z51</f>
        <v>323272</v>
      </c>
      <c r="AO51" s="2797">
        <v>43109</v>
      </c>
      <c r="AP51" s="2797">
        <v>43465</v>
      </c>
      <c r="AQ51" s="2458" t="s">
        <v>243</v>
      </c>
    </row>
    <row r="52" spans="1:43" ht="21.75" customHeight="1">
      <c r="A52" s="2803"/>
      <c r="B52" s="2804"/>
      <c r="C52" s="2805"/>
      <c r="D52" s="2808"/>
      <c r="E52" s="2808"/>
      <c r="F52" s="2809"/>
      <c r="G52" s="2858"/>
      <c r="H52" s="2859"/>
      <c r="I52" s="2860"/>
      <c r="J52" s="2444"/>
      <c r="K52" s="2442"/>
      <c r="L52" s="2442"/>
      <c r="M52" s="2444"/>
      <c r="N52" s="403"/>
      <c r="O52" s="2444"/>
      <c r="P52" s="2442"/>
      <c r="Q52" s="2818"/>
      <c r="R52" s="2820"/>
      <c r="S52" s="2442"/>
      <c r="T52" s="2822"/>
      <c r="U52" s="2438"/>
      <c r="V52" s="2830"/>
      <c r="W52" s="2828"/>
      <c r="X52" s="2444"/>
      <c r="Y52" s="2795"/>
      <c r="Z52" s="2795"/>
      <c r="AA52" s="2792"/>
      <c r="AB52" s="2792"/>
      <c r="AC52" s="2474"/>
      <c r="AD52" s="2792"/>
      <c r="AE52" s="2792"/>
      <c r="AF52" s="401"/>
      <c r="AG52" s="401"/>
      <c r="AH52" s="401"/>
      <c r="AI52" s="401"/>
      <c r="AJ52" s="401"/>
      <c r="AK52" s="401"/>
      <c r="AL52" s="401"/>
      <c r="AM52" s="401"/>
      <c r="AN52" s="2795"/>
      <c r="AO52" s="2798"/>
      <c r="AP52" s="2798"/>
      <c r="AQ52" s="2459"/>
    </row>
    <row r="53" spans="1:43" ht="43.5" customHeight="1">
      <c r="A53" s="2803"/>
      <c r="B53" s="2804"/>
      <c r="C53" s="2805"/>
      <c r="D53" s="2808"/>
      <c r="E53" s="2808"/>
      <c r="F53" s="2809"/>
      <c r="G53" s="2858"/>
      <c r="H53" s="2859"/>
      <c r="I53" s="2860"/>
      <c r="J53" s="2444"/>
      <c r="K53" s="2442"/>
      <c r="L53" s="2442"/>
      <c r="M53" s="2444"/>
      <c r="N53" s="403"/>
      <c r="O53" s="2444"/>
      <c r="P53" s="2442"/>
      <c r="Q53" s="2818"/>
      <c r="R53" s="2820"/>
      <c r="S53" s="2442"/>
      <c r="T53" s="2822"/>
      <c r="U53" s="2835"/>
      <c r="V53" s="2830"/>
      <c r="W53" s="2828"/>
      <c r="X53" s="2444"/>
      <c r="Y53" s="2795"/>
      <c r="Z53" s="2795"/>
      <c r="AA53" s="2792"/>
      <c r="AB53" s="2792"/>
      <c r="AC53" s="2474"/>
      <c r="AD53" s="2792"/>
      <c r="AE53" s="2792"/>
      <c r="AF53" s="401"/>
      <c r="AG53" s="401"/>
      <c r="AH53" s="401"/>
      <c r="AI53" s="401"/>
      <c r="AJ53" s="401"/>
      <c r="AK53" s="401"/>
      <c r="AL53" s="401"/>
      <c r="AM53" s="401"/>
      <c r="AN53" s="2795"/>
      <c r="AO53" s="2798"/>
      <c r="AP53" s="2798"/>
      <c r="AQ53" s="2459"/>
    </row>
    <row r="54" spans="1:43" ht="36" customHeight="1">
      <c r="A54" s="2803"/>
      <c r="B54" s="2804"/>
      <c r="C54" s="2805"/>
      <c r="D54" s="2808"/>
      <c r="E54" s="2808"/>
      <c r="F54" s="2809"/>
      <c r="G54" s="2858"/>
      <c r="H54" s="2859"/>
      <c r="I54" s="2860"/>
      <c r="J54" s="2443">
        <v>48</v>
      </c>
      <c r="K54" s="2441" t="s">
        <v>299</v>
      </c>
      <c r="L54" s="2441" t="s">
        <v>300</v>
      </c>
      <c r="M54" s="2443">
        <v>1</v>
      </c>
      <c r="N54" s="403" t="s">
        <v>301</v>
      </c>
      <c r="O54" s="2444"/>
      <c r="P54" s="2442"/>
      <c r="Q54" s="2817">
        <f>(V54)/R51</f>
        <v>0.5955216769890423</v>
      </c>
      <c r="R54" s="2820"/>
      <c r="S54" s="2442"/>
      <c r="T54" s="2821" t="s">
        <v>302</v>
      </c>
      <c r="U54" s="2435" t="s">
        <v>303</v>
      </c>
      <c r="V54" s="2830">
        <v>200000000</v>
      </c>
      <c r="W54" s="2828"/>
      <c r="X54" s="2444"/>
      <c r="Y54" s="2795"/>
      <c r="Z54" s="2795"/>
      <c r="AA54" s="2792"/>
      <c r="AB54" s="2792"/>
      <c r="AC54" s="2474"/>
      <c r="AD54" s="2792"/>
      <c r="AE54" s="2792"/>
      <c r="AF54" s="401"/>
      <c r="AG54" s="401"/>
      <c r="AH54" s="401"/>
      <c r="AI54" s="401"/>
      <c r="AJ54" s="401"/>
      <c r="AK54" s="401"/>
      <c r="AL54" s="401"/>
      <c r="AM54" s="401"/>
      <c r="AN54" s="2795"/>
      <c r="AO54" s="2798"/>
      <c r="AP54" s="2798"/>
      <c r="AQ54" s="2459"/>
    </row>
    <row r="55" spans="1:43" ht="18" customHeight="1">
      <c r="A55" s="2803"/>
      <c r="B55" s="2804"/>
      <c r="C55" s="2805"/>
      <c r="D55" s="2808"/>
      <c r="E55" s="2808"/>
      <c r="F55" s="2809"/>
      <c r="G55" s="2858"/>
      <c r="H55" s="2859"/>
      <c r="I55" s="2860"/>
      <c r="J55" s="2444"/>
      <c r="K55" s="2442"/>
      <c r="L55" s="2442"/>
      <c r="M55" s="2444"/>
      <c r="N55" s="403"/>
      <c r="O55" s="2444"/>
      <c r="P55" s="2442"/>
      <c r="Q55" s="2818"/>
      <c r="R55" s="2820"/>
      <c r="S55" s="2442"/>
      <c r="T55" s="2822"/>
      <c r="U55" s="2438"/>
      <c r="V55" s="2830"/>
      <c r="W55" s="2828"/>
      <c r="X55" s="2444"/>
      <c r="Y55" s="2795"/>
      <c r="Z55" s="2795"/>
      <c r="AA55" s="2792"/>
      <c r="AB55" s="2792"/>
      <c r="AC55" s="2474"/>
      <c r="AD55" s="2792"/>
      <c r="AE55" s="2792"/>
      <c r="AF55" s="401"/>
      <c r="AG55" s="401"/>
      <c r="AH55" s="401"/>
      <c r="AI55" s="401"/>
      <c r="AJ55" s="401"/>
      <c r="AK55" s="401"/>
      <c r="AL55" s="401"/>
      <c r="AM55" s="401"/>
      <c r="AN55" s="2795"/>
      <c r="AO55" s="2798"/>
      <c r="AP55" s="2798"/>
      <c r="AQ55" s="2459"/>
    </row>
    <row r="56" spans="1:43" ht="28.5" customHeight="1">
      <c r="A56" s="2803"/>
      <c r="B56" s="2804"/>
      <c r="C56" s="2805"/>
      <c r="D56" s="2808"/>
      <c r="E56" s="2808"/>
      <c r="F56" s="2809"/>
      <c r="G56" s="2858"/>
      <c r="H56" s="2859"/>
      <c r="I56" s="2860"/>
      <c r="J56" s="2444"/>
      <c r="K56" s="2442"/>
      <c r="L56" s="2442"/>
      <c r="M56" s="2444"/>
      <c r="N56" s="403" t="s">
        <v>304</v>
      </c>
      <c r="O56" s="2444"/>
      <c r="P56" s="2442"/>
      <c r="Q56" s="2818"/>
      <c r="R56" s="2820"/>
      <c r="S56" s="2442"/>
      <c r="T56" s="2822"/>
      <c r="U56" s="2835"/>
      <c r="V56" s="2830"/>
      <c r="W56" s="2828"/>
      <c r="X56" s="2444"/>
      <c r="Y56" s="2795"/>
      <c r="Z56" s="2795"/>
      <c r="AA56" s="2792"/>
      <c r="AB56" s="2792"/>
      <c r="AC56" s="2474"/>
      <c r="AD56" s="2792"/>
      <c r="AE56" s="2792"/>
      <c r="AF56" s="401"/>
      <c r="AG56" s="401"/>
      <c r="AH56" s="401"/>
      <c r="AI56" s="401"/>
      <c r="AJ56" s="401"/>
      <c r="AK56" s="401"/>
      <c r="AL56" s="401"/>
      <c r="AM56" s="401"/>
      <c r="AN56" s="2795"/>
      <c r="AO56" s="2798"/>
      <c r="AP56" s="2798"/>
      <c r="AQ56" s="2459"/>
    </row>
    <row r="57" spans="1:43" ht="53.25" customHeight="1">
      <c r="A57" s="2803"/>
      <c r="B57" s="2804"/>
      <c r="C57" s="2805"/>
      <c r="D57" s="2808"/>
      <c r="E57" s="2808"/>
      <c r="F57" s="2809"/>
      <c r="G57" s="2858"/>
      <c r="H57" s="2859"/>
      <c r="I57" s="2860"/>
      <c r="J57" s="2443">
        <v>49</v>
      </c>
      <c r="K57" s="2441" t="s">
        <v>305</v>
      </c>
      <c r="L57" s="2441" t="s">
        <v>306</v>
      </c>
      <c r="M57" s="2443">
        <v>1</v>
      </c>
      <c r="N57" s="403"/>
      <c r="O57" s="2444"/>
      <c r="P57" s="2442"/>
      <c r="Q57" s="2817">
        <f>(V57)/R51</f>
        <v>0.01488804192472606</v>
      </c>
      <c r="R57" s="2820"/>
      <c r="S57" s="2442"/>
      <c r="T57" s="2822"/>
      <c r="U57" s="2435" t="s">
        <v>307</v>
      </c>
      <c r="V57" s="2830">
        <v>5000000</v>
      </c>
      <c r="W57" s="2828"/>
      <c r="X57" s="2444"/>
      <c r="Y57" s="2795"/>
      <c r="Z57" s="2795"/>
      <c r="AA57" s="2792"/>
      <c r="AB57" s="2792"/>
      <c r="AC57" s="2474"/>
      <c r="AD57" s="2792"/>
      <c r="AE57" s="2792"/>
      <c r="AF57" s="401"/>
      <c r="AG57" s="401"/>
      <c r="AH57" s="401"/>
      <c r="AI57" s="401"/>
      <c r="AJ57" s="401"/>
      <c r="AK57" s="401"/>
      <c r="AL57" s="401"/>
      <c r="AM57" s="401"/>
      <c r="AN57" s="2795"/>
      <c r="AO57" s="2798"/>
      <c r="AP57" s="2798"/>
      <c r="AQ57" s="2459"/>
    </row>
    <row r="58" spans="1:43" ht="53.25" customHeight="1">
      <c r="A58" s="2803"/>
      <c r="B58" s="2804"/>
      <c r="C58" s="2805"/>
      <c r="D58" s="2808"/>
      <c r="E58" s="2808"/>
      <c r="F58" s="2809"/>
      <c r="G58" s="2858"/>
      <c r="H58" s="2859"/>
      <c r="I58" s="2860"/>
      <c r="J58" s="2444"/>
      <c r="K58" s="2442"/>
      <c r="L58" s="2442"/>
      <c r="M58" s="2444"/>
      <c r="N58" s="403"/>
      <c r="O58" s="2444"/>
      <c r="P58" s="2442"/>
      <c r="Q58" s="2818"/>
      <c r="R58" s="2820"/>
      <c r="S58" s="2442"/>
      <c r="T58" s="2822"/>
      <c r="U58" s="2438"/>
      <c r="V58" s="2830"/>
      <c r="W58" s="2828"/>
      <c r="X58" s="2444"/>
      <c r="Y58" s="2795"/>
      <c r="Z58" s="2795"/>
      <c r="AA58" s="2792"/>
      <c r="AB58" s="2792"/>
      <c r="AC58" s="2474"/>
      <c r="AD58" s="2792"/>
      <c r="AE58" s="2792"/>
      <c r="AF58" s="401"/>
      <c r="AG58" s="401"/>
      <c r="AH58" s="401"/>
      <c r="AI58" s="401"/>
      <c r="AJ58" s="401"/>
      <c r="AK58" s="401"/>
      <c r="AL58" s="401"/>
      <c r="AM58" s="401"/>
      <c r="AN58" s="2795"/>
      <c r="AO58" s="2798"/>
      <c r="AP58" s="2798"/>
      <c r="AQ58" s="2459"/>
    </row>
    <row r="59" spans="1:43" ht="53.25" customHeight="1">
      <c r="A59" s="2803"/>
      <c r="B59" s="2804"/>
      <c r="C59" s="2805"/>
      <c r="D59" s="2808"/>
      <c r="E59" s="2808"/>
      <c r="F59" s="2809"/>
      <c r="G59" s="2858"/>
      <c r="H59" s="2859"/>
      <c r="I59" s="2860"/>
      <c r="J59" s="2464"/>
      <c r="K59" s="2463"/>
      <c r="L59" s="2463"/>
      <c r="M59" s="2464"/>
      <c r="N59" s="415"/>
      <c r="O59" s="2464"/>
      <c r="P59" s="2463"/>
      <c r="Q59" s="2854"/>
      <c r="R59" s="2837"/>
      <c r="S59" s="2463"/>
      <c r="T59" s="2836"/>
      <c r="U59" s="2835"/>
      <c r="V59" s="2830"/>
      <c r="W59" s="2829"/>
      <c r="X59" s="2464"/>
      <c r="Y59" s="2796"/>
      <c r="Z59" s="2796"/>
      <c r="AA59" s="2793"/>
      <c r="AB59" s="2793"/>
      <c r="AC59" s="2743"/>
      <c r="AD59" s="2793"/>
      <c r="AE59" s="2793"/>
      <c r="AF59" s="402"/>
      <c r="AG59" s="402"/>
      <c r="AH59" s="402"/>
      <c r="AI59" s="402"/>
      <c r="AJ59" s="402"/>
      <c r="AK59" s="402"/>
      <c r="AL59" s="402"/>
      <c r="AM59" s="402"/>
      <c r="AN59" s="2796"/>
      <c r="AO59" s="2799"/>
      <c r="AP59" s="2799"/>
      <c r="AQ59" s="2838"/>
    </row>
    <row r="60" spans="1:43" ht="21" customHeight="1">
      <c r="A60" s="2803"/>
      <c r="B60" s="2804"/>
      <c r="C60" s="2805"/>
      <c r="D60" s="371">
        <v>3</v>
      </c>
      <c r="E60" s="372" t="s">
        <v>308</v>
      </c>
      <c r="F60" s="372"/>
      <c r="G60" s="372"/>
      <c r="H60" s="372"/>
      <c r="I60" s="372"/>
      <c r="J60" s="373"/>
      <c r="K60" s="374"/>
      <c r="L60" s="374"/>
      <c r="M60" s="373"/>
      <c r="N60" s="380"/>
      <c r="O60" s="375"/>
      <c r="P60" s="374"/>
      <c r="Q60" s="376"/>
      <c r="R60" s="377"/>
      <c r="S60" s="374"/>
      <c r="T60" s="374"/>
      <c r="U60" s="374"/>
      <c r="V60" s="416"/>
      <c r="W60" s="379"/>
      <c r="X60" s="380"/>
      <c r="Y60" s="381"/>
      <c r="Z60" s="381"/>
      <c r="AA60" s="373"/>
      <c r="AB60" s="373"/>
      <c r="AC60" s="373"/>
      <c r="AD60" s="373"/>
      <c r="AE60" s="373"/>
      <c r="AF60" s="373"/>
      <c r="AG60" s="373"/>
      <c r="AH60" s="373"/>
      <c r="AI60" s="373"/>
      <c r="AJ60" s="373"/>
      <c r="AK60" s="373"/>
      <c r="AL60" s="373"/>
      <c r="AM60" s="373"/>
      <c r="AN60" s="381"/>
      <c r="AO60" s="417"/>
      <c r="AP60" s="417"/>
      <c r="AQ60" s="418"/>
    </row>
    <row r="61" spans="1:43" ht="24.75" customHeight="1">
      <c r="A61" s="2803"/>
      <c r="B61" s="2804"/>
      <c r="C61" s="2805"/>
      <c r="D61" s="2863"/>
      <c r="E61" s="2864"/>
      <c r="F61" s="2865"/>
      <c r="G61" s="385">
        <v>11</v>
      </c>
      <c r="H61" s="386" t="s">
        <v>309</v>
      </c>
      <c r="I61" s="386"/>
      <c r="J61" s="387"/>
      <c r="K61" s="388"/>
      <c r="L61" s="388"/>
      <c r="M61" s="387"/>
      <c r="N61" s="395"/>
      <c r="O61" s="390"/>
      <c r="P61" s="388"/>
      <c r="Q61" s="391"/>
      <c r="R61" s="392"/>
      <c r="S61" s="388"/>
      <c r="T61" s="388"/>
      <c r="U61" s="388"/>
      <c r="V61" s="407"/>
      <c r="W61" s="394"/>
      <c r="X61" s="395"/>
      <c r="Y61" s="396"/>
      <c r="Z61" s="396"/>
      <c r="AA61" s="387"/>
      <c r="AB61" s="387"/>
      <c r="AC61" s="387"/>
      <c r="AD61" s="387"/>
      <c r="AE61" s="387"/>
      <c r="AF61" s="387"/>
      <c r="AG61" s="387"/>
      <c r="AH61" s="387"/>
      <c r="AI61" s="387"/>
      <c r="AJ61" s="387"/>
      <c r="AK61" s="387"/>
      <c r="AL61" s="387"/>
      <c r="AM61" s="387"/>
      <c r="AN61" s="396"/>
      <c r="AO61" s="408"/>
      <c r="AP61" s="408"/>
      <c r="AQ61" s="409"/>
    </row>
    <row r="62" spans="1:43" ht="39" customHeight="1">
      <c r="A62" s="2803"/>
      <c r="B62" s="2804"/>
      <c r="C62" s="2805"/>
      <c r="D62" s="2866"/>
      <c r="E62" s="2867"/>
      <c r="F62" s="2868"/>
      <c r="G62" s="345"/>
      <c r="H62" s="345"/>
      <c r="I62" s="345"/>
      <c r="J62" s="2444">
        <v>50</v>
      </c>
      <c r="K62" s="2442" t="s">
        <v>310</v>
      </c>
      <c r="L62" s="2442" t="s">
        <v>311</v>
      </c>
      <c r="M62" s="2444">
        <v>5</v>
      </c>
      <c r="N62" s="2443" t="s">
        <v>312</v>
      </c>
      <c r="O62" s="2443" t="s">
        <v>313</v>
      </c>
      <c r="P62" s="2441" t="s">
        <v>314</v>
      </c>
      <c r="Q62" s="2818">
        <f>(V62)/R62</f>
        <v>0.8</v>
      </c>
      <c r="R62" s="2861">
        <f>SUM(V62:V66)</f>
        <v>150000000</v>
      </c>
      <c r="S62" s="2441" t="s">
        <v>315</v>
      </c>
      <c r="T62" s="2821" t="s">
        <v>316</v>
      </c>
      <c r="U62" s="2435" t="s">
        <v>317</v>
      </c>
      <c r="V62" s="2871">
        <v>120000000</v>
      </c>
      <c r="W62" s="2824">
        <v>20</v>
      </c>
      <c r="X62" s="2443" t="s">
        <v>318</v>
      </c>
      <c r="Y62" s="2794">
        <v>193964</v>
      </c>
      <c r="Z62" s="2794">
        <v>129308</v>
      </c>
      <c r="AA62" s="2791"/>
      <c r="AB62" s="2791"/>
      <c r="AC62" s="2742">
        <v>323272</v>
      </c>
      <c r="AD62" s="2791"/>
      <c r="AE62" s="2791"/>
      <c r="AF62" s="400"/>
      <c r="AG62" s="400"/>
      <c r="AH62" s="400"/>
      <c r="AI62" s="400"/>
      <c r="AJ62" s="400"/>
      <c r="AK62" s="400"/>
      <c r="AL62" s="400"/>
      <c r="AM62" s="400"/>
      <c r="AN62" s="2794">
        <f>+Y62+Z62</f>
        <v>323272</v>
      </c>
      <c r="AO62" s="2797">
        <v>43109</v>
      </c>
      <c r="AP62" s="419"/>
      <c r="AQ62" s="2458" t="s">
        <v>243</v>
      </c>
    </row>
    <row r="63" spans="1:43" ht="25.5" customHeight="1">
      <c r="A63" s="2803"/>
      <c r="B63" s="2804"/>
      <c r="C63" s="2805"/>
      <c r="D63" s="2866"/>
      <c r="E63" s="2867"/>
      <c r="F63" s="2868"/>
      <c r="G63" s="345"/>
      <c r="H63" s="345"/>
      <c r="I63" s="345"/>
      <c r="J63" s="2444"/>
      <c r="K63" s="2442"/>
      <c r="L63" s="2442"/>
      <c r="M63" s="2444"/>
      <c r="N63" s="2444"/>
      <c r="O63" s="2444"/>
      <c r="P63" s="2442"/>
      <c r="Q63" s="2818"/>
      <c r="R63" s="2862"/>
      <c r="S63" s="2442"/>
      <c r="T63" s="2822"/>
      <c r="U63" s="2438"/>
      <c r="V63" s="2871"/>
      <c r="W63" s="2828"/>
      <c r="X63" s="2444"/>
      <c r="Y63" s="2795"/>
      <c r="Z63" s="2795"/>
      <c r="AA63" s="2792"/>
      <c r="AB63" s="2792"/>
      <c r="AC63" s="2474"/>
      <c r="AD63" s="2792"/>
      <c r="AE63" s="2792"/>
      <c r="AF63" s="401"/>
      <c r="AG63" s="401"/>
      <c r="AH63" s="401"/>
      <c r="AI63" s="401"/>
      <c r="AJ63" s="401"/>
      <c r="AK63" s="401"/>
      <c r="AL63" s="401"/>
      <c r="AM63" s="401"/>
      <c r="AN63" s="2795"/>
      <c r="AO63" s="2798"/>
      <c r="AP63" s="420"/>
      <c r="AQ63" s="2459"/>
    </row>
    <row r="64" spans="1:43" ht="15.75" customHeight="1">
      <c r="A64" s="2803"/>
      <c r="B64" s="2804"/>
      <c r="C64" s="2805"/>
      <c r="D64" s="2866"/>
      <c r="E64" s="2867"/>
      <c r="F64" s="2868"/>
      <c r="G64" s="345"/>
      <c r="H64" s="345"/>
      <c r="I64" s="345"/>
      <c r="J64" s="2444"/>
      <c r="K64" s="2442"/>
      <c r="L64" s="2442"/>
      <c r="M64" s="2444"/>
      <c r="N64" s="2444"/>
      <c r="O64" s="2444"/>
      <c r="P64" s="2442"/>
      <c r="Q64" s="2818"/>
      <c r="R64" s="2862"/>
      <c r="S64" s="2442"/>
      <c r="T64" s="2822"/>
      <c r="U64" s="2438"/>
      <c r="V64" s="2871"/>
      <c r="W64" s="2828"/>
      <c r="X64" s="2444"/>
      <c r="Y64" s="2795"/>
      <c r="Z64" s="2795"/>
      <c r="AA64" s="2792"/>
      <c r="AB64" s="2792"/>
      <c r="AC64" s="2474"/>
      <c r="AD64" s="2792"/>
      <c r="AE64" s="2792"/>
      <c r="AF64" s="401"/>
      <c r="AG64" s="401"/>
      <c r="AH64" s="401"/>
      <c r="AI64" s="401"/>
      <c r="AJ64" s="401"/>
      <c r="AK64" s="401"/>
      <c r="AL64" s="401"/>
      <c r="AM64" s="401"/>
      <c r="AN64" s="2795"/>
      <c r="AO64" s="2798"/>
      <c r="AP64" s="420">
        <v>43465</v>
      </c>
      <c r="AQ64" s="2459"/>
    </row>
    <row r="65" spans="1:43" ht="32.25" customHeight="1">
      <c r="A65" s="2803"/>
      <c r="B65" s="2804"/>
      <c r="C65" s="2805"/>
      <c r="D65" s="2866"/>
      <c r="E65" s="2867"/>
      <c r="F65" s="2868"/>
      <c r="G65" s="345"/>
      <c r="H65" s="345"/>
      <c r="I65" s="345"/>
      <c r="J65" s="2443">
        <v>51</v>
      </c>
      <c r="K65" s="2441" t="s">
        <v>319</v>
      </c>
      <c r="L65" s="2441" t="s">
        <v>320</v>
      </c>
      <c r="M65" s="2443">
        <v>1</v>
      </c>
      <c r="N65" s="2444"/>
      <c r="O65" s="2444"/>
      <c r="P65" s="2442"/>
      <c r="Q65" s="2817">
        <f>(V65)/R62</f>
        <v>0.2</v>
      </c>
      <c r="R65" s="2862"/>
      <c r="S65" s="2442"/>
      <c r="T65" s="2822"/>
      <c r="U65" s="2435" t="s">
        <v>321</v>
      </c>
      <c r="V65" s="2871">
        <v>30000000</v>
      </c>
      <c r="W65" s="2828"/>
      <c r="X65" s="2444"/>
      <c r="Y65" s="2795"/>
      <c r="Z65" s="2795"/>
      <c r="AA65" s="2792"/>
      <c r="AB65" s="2792"/>
      <c r="AC65" s="2474"/>
      <c r="AD65" s="2792"/>
      <c r="AE65" s="2792"/>
      <c r="AF65" s="401"/>
      <c r="AG65" s="401"/>
      <c r="AH65" s="401"/>
      <c r="AI65" s="401"/>
      <c r="AJ65" s="401"/>
      <c r="AK65" s="401"/>
      <c r="AL65" s="401"/>
      <c r="AM65" s="401"/>
      <c r="AN65" s="2795"/>
      <c r="AO65" s="2798"/>
      <c r="AP65" s="420"/>
      <c r="AQ65" s="2459"/>
    </row>
    <row r="66" spans="1:43" ht="21" customHeight="1">
      <c r="A66" s="2803"/>
      <c r="B66" s="2804"/>
      <c r="C66" s="2805"/>
      <c r="D66" s="2866"/>
      <c r="E66" s="2867"/>
      <c r="F66" s="2868"/>
      <c r="G66" s="345"/>
      <c r="H66" s="345"/>
      <c r="I66" s="345"/>
      <c r="J66" s="2444"/>
      <c r="K66" s="2442"/>
      <c r="L66" s="2442"/>
      <c r="M66" s="2444"/>
      <c r="N66" s="2464"/>
      <c r="O66" s="2464"/>
      <c r="P66" s="2463"/>
      <c r="Q66" s="2818"/>
      <c r="R66" s="2862"/>
      <c r="S66" s="2442"/>
      <c r="T66" s="2822"/>
      <c r="U66" s="2835"/>
      <c r="V66" s="2871"/>
      <c r="W66" s="2829"/>
      <c r="X66" s="2464"/>
      <c r="Y66" s="2796"/>
      <c r="Z66" s="2796"/>
      <c r="AA66" s="2793"/>
      <c r="AB66" s="2793"/>
      <c r="AC66" s="2743"/>
      <c r="AD66" s="2793"/>
      <c r="AE66" s="2793"/>
      <c r="AF66" s="402"/>
      <c r="AG66" s="402"/>
      <c r="AH66" s="402"/>
      <c r="AI66" s="402"/>
      <c r="AJ66" s="402"/>
      <c r="AK66" s="402"/>
      <c r="AL66" s="402"/>
      <c r="AM66" s="402"/>
      <c r="AN66" s="2796"/>
      <c r="AO66" s="2799"/>
      <c r="AP66" s="421"/>
      <c r="AQ66" s="2838"/>
    </row>
    <row r="67" spans="1:43" ht="23.25" customHeight="1">
      <c r="A67" s="2803"/>
      <c r="B67" s="2804"/>
      <c r="C67" s="2805"/>
      <c r="D67" s="2866"/>
      <c r="E67" s="2867"/>
      <c r="F67" s="2868"/>
      <c r="G67" s="385">
        <v>12</v>
      </c>
      <c r="H67" s="386" t="s">
        <v>322</v>
      </c>
      <c r="I67" s="386"/>
      <c r="J67" s="387"/>
      <c r="K67" s="388"/>
      <c r="L67" s="388"/>
      <c r="M67" s="387"/>
      <c r="N67" s="422"/>
      <c r="O67" s="390"/>
      <c r="P67" s="388"/>
      <c r="Q67" s="391"/>
      <c r="R67" s="392"/>
      <c r="S67" s="388"/>
      <c r="T67" s="388"/>
      <c r="U67" s="388"/>
      <c r="V67" s="407"/>
      <c r="W67" s="394"/>
      <c r="X67" s="395"/>
      <c r="Y67" s="396"/>
      <c r="Z67" s="396"/>
      <c r="AA67" s="387"/>
      <c r="AB67" s="387"/>
      <c r="AC67" s="387"/>
      <c r="AD67" s="387"/>
      <c r="AE67" s="387"/>
      <c r="AF67" s="387"/>
      <c r="AG67" s="387"/>
      <c r="AH67" s="387"/>
      <c r="AI67" s="387"/>
      <c r="AJ67" s="387"/>
      <c r="AK67" s="387"/>
      <c r="AL67" s="387"/>
      <c r="AM67" s="387"/>
      <c r="AN67" s="396"/>
      <c r="AO67" s="408"/>
      <c r="AP67" s="408"/>
      <c r="AQ67" s="409"/>
    </row>
    <row r="68" spans="1:43" ht="30.75" customHeight="1">
      <c r="A68" s="2803"/>
      <c r="B68" s="2804"/>
      <c r="C68" s="2805"/>
      <c r="D68" s="2866"/>
      <c r="E68" s="2867"/>
      <c r="F68" s="2868"/>
      <c r="G68" s="2864"/>
      <c r="H68" s="2864"/>
      <c r="I68" s="2865"/>
      <c r="J68" s="2443">
        <v>52</v>
      </c>
      <c r="K68" s="2441" t="s">
        <v>323</v>
      </c>
      <c r="L68" s="2441" t="s">
        <v>324</v>
      </c>
      <c r="M68" s="2873">
        <v>3</v>
      </c>
      <c r="N68" s="423"/>
      <c r="O68" s="2771" t="s">
        <v>325</v>
      </c>
      <c r="P68" s="2441" t="s">
        <v>326</v>
      </c>
      <c r="Q68" s="2817">
        <f>(V68+V70+V72+V74+V76+V78)/R68</f>
        <v>1</v>
      </c>
      <c r="R68" s="2819">
        <f>SUM(V68:V79)</f>
        <v>256640000</v>
      </c>
      <c r="S68" s="2441" t="s">
        <v>327</v>
      </c>
      <c r="T68" s="2821" t="s">
        <v>328</v>
      </c>
      <c r="U68" s="2435" t="s">
        <v>329</v>
      </c>
      <c r="V68" s="2830">
        <v>34852000</v>
      </c>
      <c r="W68" s="2824" t="s">
        <v>63</v>
      </c>
      <c r="X68" s="2443" t="s">
        <v>242</v>
      </c>
      <c r="Y68" s="2794">
        <v>193964</v>
      </c>
      <c r="Z68" s="2794">
        <v>129308</v>
      </c>
      <c r="AA68" s="2791"/>
      <c r="AB68" s="2791"/>
      <c r="AC68" s="2742">
        <v>323272</v>
      </c>
      <c r="AD68" s="2791"/>
      <c r="AE68" s="2340"/>
      <c r="AF68" s="424"/>
      <c r="AG68" s="424"/>
      <c r="AH68" s="424"/>
      <c r="AI68" s="424"/>
      <c r="AJ68" s="424"/>
      <c r="AK68" s="424"/>
      <c r="AL68" s="424"/>
      <c r="AM68" s="424"/>
      <c r="AN68" s="2794">
        <f>+Y68+Z68</f>
        <v>323272</v>
      </c>
      <c r="AO68" s="2797">
        <v>43109</v>
      </c>
      <c r="AP68" s="2797">
        <v>43465</v>
      </c>
      <c r="AQ68" s="2458" t="s">
        <v>243</v>
      </c>
    </row>
    <row r="69" spans="1:43" ht="38.25" customHeight="1">
      <c r="A69" s="2803"/>
      <c r="B69" s="2804"/>
      <c r="C69" s="2805"/>
      <c r="D69" s="2866"/>
      <c r="E69" s="2867"/>
      <c r="F69" s="2868"/>
      <c r="G69" s="2867"/>
      <c r="H69" s="2867"/>
      <c r="I69" s="2868"/>
      <c r="J69" s="2444"/>
      <c r="K69" s="2442"/>
      <c r="L69" s="2442"/>
      <c r="M69" s="2827"/>
      <c r="N69" s="403"/>
      <c r="O69" s="2772"/>
      <c r="P69" s="2442"/>
      <c r="Q69" s="2818"/>
      <c r="R69" s="2820"/>
      <c r="S69" s="2442"/>
      <c r="T69" s="2822"/>
      <c r="U69" s="2835"/>
      <c r="V69" s="2830"/>
      <c r="W69" s="2828"/>
      <c r="X69" s="2444"/>
      <c r="Y69" s="2795"/>
      <c r="Z69" s="2795"/>
      <c r="AA69" s="2792"/>
      <c r="AB69" s="2792"/>
      <c r="AC69" s="2474"/>
      <c r="AD69" s="2792"/>
      <c r="AE69" s="2341"/>
      <c r="AF69" s="425"/>
      <c r="AG69" s="425"/>
      <c r="AH69" s="425"/>
      <c r="AI69" s="425"/>
      <c r="AJ69" s="425"/>
      <c r="AK69" s="425"/>
      <c r="AL69" s="425"/>
      <c r="AM69" s="425"/>
      <c r="AN69" s="2795"/>
      <c r="AO69" s="2798"/>
      <c r="AP69" s="2798"/>
      <c r="AQ69" s="2459"/>
    </row>
    <row r="70" spans="1:43" ht="29.25" customHeight="1">
      <c r="A70" s="2803"/>
      <c r="B70" s="2804"/>
      <c r="C70" s="2805"/>
      <c r="D70" s="2866"/>
      <c r="E70" s="2867"/>
      <c r="F70" s="2868"/>
      <c r="G70" s="2867"/>
      <c r="H70" s="2867"/>
      <c r="I70" s="2868"/>
      <c r="J70" s="2444"/>
      <c r="K70" s="2442"/>
      <c r="L70" s="2442"/>
      <c r="M70" s="2827"/>
      <c r="N70" s="403"/>
      <c r="O70" s="2772"/>
      <c r="P70" s="2442"/>
      <c r="Q70" s="2818"/>
      <c r="R70" s="2820"/>
      <c r="S70" s="2442"/>
      <c r="T70" s="2822"/>
      <c r="U70" s="2435" t="s">
        <v>330</v>
      </c>
      <c r="V70" s="2830">
        <v>25000000</v>
      </c>
      <c r="W70" s="2828"/>
      <c r="X70" s="2444"/>
      <c r="Y70" s="2795"/>
      <c r="Z70" s="2795"/>
      <c r="AA70" s="2792"/>
      <c r="AB70" s="2792"/>
      <c r="AC70" s="2474"/>
      <c r="AD70" s="2792"/>
      <c r="AE70" s="2341"/>
      <c r="AF70" s="425"/>
      <c r="AG70" s="425"/>
      <c r="AH70" s="425"/>
      <c r="AI70" s="425"/>
      <c r="AJ70" s="425"/>
      <c r="AK70" s="425"/>
      <c r="AL70" s="425"/>
      <c r="AM70" s="425"/>
      <c r="AN70" s="2795"/>
      <c r="AO70" s="2798"/>
      <c r="AP70" s="2798"/>
      <c r="AQ70" s="2459"/>
    </row>
    <row r="71" spans="1:43" ht="33" customHeight="1">
      <c r="A71" s="2803"/>
      <c r="B71" s="2804"/>
      <c r="C71" s="2805"/>
      <c r="D71" s="2866"/>
      <c r="E71" s="2867"/>
      <c r="F71" s="2868"/>
      <c r="G71" s="2867"/>
      <c r="H71" s="2867"/>
      <c r="I71" s="2868"/>
      <c r="J71" s="2444"/>
      <c r="K71" s="2442"/>
      <c r="L71" s="2442"/>
      <c r="M71" s="2827"/>
      <c r="N71" s="403"/>
      <c r="O71" s="2772"/>
      <c r="P71" s="2442"/>
      <c r="Q71" s="2818"/>
      <c r="R71" s="2820"/>
      <c r="S71" s="2442"/>
      <c r="T71" s="2822"/>
      <c r="U71" s="2835"/>
      <c r="V71" s="2830"/>
      <c r="W71" s="2828"/>
      <c r="X71" s="2444"/>
      <c r="Y71" s="2795"/>
      <c r="Z71" s="2795"/>
      <c r="AA71" s="2792"/>
      <c r="AB71" s="2792"/>
      <c r="AC71" s="2474"/>
      <c r="AD71" s="2792"/>
      <c r="AE71" s="2341"/>
      <c r="AF71" s="425"/>
      <c r="AG71" s="425"/>
      <c r="AH71" s="425"/>
      <c r="AI71" s="425"/>
      <c r="AJ71" s="425"/>
      <c r="AK71" s="425"/>
      <c r="AL71" s="425"/>
      <c r="AM71" s="425"/>
      <c r="AN71" s="2795"/>
      <c r="AO71" s="2798"/>
      <c r="AP71" s="2798"/>
      <c r="AQ71" s="2459"/>
    </row>
    <row r="72" spans="1:43" ht="33" customHeight="1">
      <c r="A72" s="2803"/>
      <c r="B72" s="2804"/>
      <c r="C72" s="2805"/>
      <c r="D72" s="2866"/>
      <c r="E72" s="2867"/>
      <c r="F72" s="2868"/>
      <c r="G72" s="2867"/>
      <c r="H72" s="2867"/>
      <c r="I72" s="2868"/>
      <c r="J72" s="2444"/>
      <c r="K72" s="2442"/>
      <c r="L72" s="2442"/>
      <c r="M72" s="2827"/>
      <c r="N72" s="403" t="s">
        <v>331</v>
      </c>
      <c r="O72" s="2772"/>
      <c r="P72" s="2442"/>
      <c r="Q72" s="2818"/>
      <c r="R72" s="2820"/>
      <c r="S72" s="2442"/>
      <c r="T72" s="2822"/>
      <c r="U72" s="2435" t="s">
        <v>332</v>
      </c>
      <c r="V72" s="2830">
        <v>29440000</v>
      </c>
      <c r="W72" s="2828"/>
      <c r="X72" s="2444"/>
      <c r="Y72" s="2795"/>
      <c r="Z72" s="2795"/>
      <c r="AA72" s="2792"/>
      <c r="AB72" s="2792"/>
      <c r="AC72" s="2474"/>
      <c r="AD72" s="2792"/>
      <c r="AE72" s="2341"/>
      <c r="AF72" s="425"/>
      <c r="AG72" s="425"/>
      <c r="AH72" s="425"/>
      <c r="AI72" s="425"/>
      <c r="AJ72" s="425"/>
      <c r="AK72" s="425"/>
      <c r="AL72" s="425"/>
      <c r="AM72" s="425"/>
      <c r="AN72" s="2795"/>
      <c r="AO72" s="2798"/>
      <c r="AP72" s="2798"/>
      <c r="AQ72" s="2459"/>
    </row>
    <row r="73" spans="1:43" ht="21" customHeight="1">
      <c r="A73" s="2803"/>
      <c r="B73" s="2804"/>
      <c r="C73" s="2805"/>
      <c r="D73" s="2866"/>
      <c r="E73" s="2867"/>
      <c r="F73" s="2868"/>
      <c r="G73" s="2867"/>
      <c r="H73" s="2867"/>
      <c r="I73" s="2868"/>
      <c r="J73" s="2444"/>
      <c r="K73" s="2442"/>
      <c r="L73" s="2442"/>
      <c r="M73" s="2827"/>
      <c r="N73" s="403"/>
      <c r="O73" s="2772"/>
      <c r="P73" s="2442"/>
      <c r="Q73" s="2818"/>
      <c r="R73" s="2820"/>
      <c r="S73" s="2442"/>
      <c r="T73" s="2822"/>
      <c r="U73" s="2835"/>
      <c r="V73" s="2830"/>
      <c r="W73" s="2828"/>
      <c r="X73" s="2444"/>
      <c r="Y73" s="2795"/>
      <c r="Z73" s="2795"/>
      <c r="AA73" s="2792"/>
      <c r="AB73" s="2792"/>
      <c r="AC73" s="2474"/>
      <c r="AD73" s="2792"/>
      <c r="AE73" s="2341"/>
      <c r="AF73" s="425"/>
      <c r="AG73" s="425"/>
      <c r="AH73" s="425"/>
      <c r="AI73" s="425"/>
      <c r="AJ73" s="425"/>
      <c r="AK73" s="425"/>
      <c r="AL73" s="425"/>
      <c r="AM73" s="425"/>
      <c r="AN73" s="2795"/>
      <c r="AO73" s="2798"/>
      <c r="AP73" s="2798"/>
      <c r="AQ73" s="2459"/>
    </row>
    <row r="74" spans="1:43" ht="53.25" customHeight="1">
      <c r="A74" s="2803"/>
      <c r="B74" s="2804"/>
      <c r="C74" s="2805"/>
      <c r="D74" s="2866"/>
      <c r="E74" s="2867"/>
      <c r="F74" s="2868"/>
      <c r="G74" s="2867"/>
      <c r="H74" s="2867"/>
      <c r="I74" s="2868"/>
      <c r="J74" s="2444"/>
      <c r="K74" s="2442"/>
      <c r="L74" s="2442"/>
      <c r="M74" s="2827"/>
      <c r="N74" s="403" t="s">
        <v>333</v>
      </c>
      <c r="O74" s="2772"/>
      <c r="P74" s="2442"/>
      <c r="Q74" s="2818"/>
      <c r="R74" s="2820"/>
      <c r="S74" s="2442"/>
      <c r="T74" s="2822"/>
      <c r="U74" s="2435" t="s">
        <v>334</v>
      </c>
      <c r="V74" s="2830">
        <v>13700000</v>
      </c>
      <c r="W74" s="2828"/>
      <c r="X74" s="2444"/>
      <c r="Y74" s="2795"/>
      <c r="Z74" s="2795"/>
      <c r="AA74" s="2792"/>
      <c r="AB74" s="2792"/>
      <c r="AC74" s="2474"/>
      <c r="AD74" s="2792"/>
      <c r="AE74" s="2341"/>
      <c r="AF74" s="425"/>
      <c r="AG74" s="425"/>
      <c r="AH74" s="425"/>
      <c r="AI74" s="425"/>
      <c r="AJ74" s="425"/>
      <c r="AK74" s="425"/>
      <c r="AL74" s="425"/>
      <c r="AM74" s="425"/>
      <c r="AN74" s="2795"/>
      <c r="AO74" s="2798"/>
      <c r="AP74" s="2798"/>
      <c r="AQ74" s="2459"/>
    </row>
    <row r="75" spans="1:43" ht="18" customHeight="1">
      <c r="A75" s="2803"/>
      <c r="B75" s="2804"/>
      <c r="C75" s="2805"/>
      <c r="D75" s="2866"/>
      <c r="E75" s="2867"/>
      <c r="F75" s="2868"/>
      <c r="G75" s="2867"/>
      <c r="H75" s="2867"/>
      <c r="I75" s="2868"/>
      <c r="J75" s="2444"/>
      <c r="K75" s="2442"/>
      <c r="L75" s="2442"/>
      <c r="M75" s="2827"/>
      <c r="N75" s="403"/>
      <c r="O75" s="2772"/>
      <c r="P75" s="2442"/>
      <c r="Q75" s="2818"/>
      <c r="R75" s="2820"/>
      <c r="S75" s="2442"/>
      <c r="T75" s="2822"/>
      <c r="U75" s="2835"/>
      <c r="V75" s="2830"/>
      <c r="W75" s="2828"/>
      <c r="X75" s="2444"/>
      <c r="Y75" s="2795"/>
      <c r="Z75" s="2795"/>
      <c r="AA75" s="2792"/>
      <c r="AB75" s="2792"/>
      <c r="AC75" s="2474"/>
      <c r="AD75" s="2792"/>
      <c r="AE75" s="2341"/>
      <c r="AF75" s="425"/>
      <c r="AG75" s="425"/>
      <c r="AH75" s="425"/>
      <c r="AI75" s="425"/>
      <c r="AJ75" s="425"/>
      <c r="AK75" s="425"/>
      <c r="AL75" s="425"/>
      <c r="AM75" s="425"/>
      <c r="AN75" s="2795"/>
      <c r="AO75" s="2798"/>
      <c r="AP75" s="2798"/>
      <c r="AQ75" s="2459"/>
    </row>
    <row r="76" spans="1:43" ht="53.25" customHeight="1">
      <c r="A76" s="2803"/>
      <c r="B76" s="2804"/>
      <c r="C76" s="2805"/>
      <c r="D76" s="2866"/>
      <c r="E76" s="2867"/>
      <c r="F76" s="2868"/>
      <c r="G76" s="2867"/>
      <c r="H76" s="2867"/>
      <c r="I76" s="2868"/>
      <c r="J76" s="2444"/>
      <c r="K76" s="2442"/>
      <c r="L76" s="2442"/>
      <c r="M76" s="2827"/>
      <c r="N76" s="403"/>
      <c r="O76" s="2772"/>
      <c r="P76" s="2442"/>
      <c r="Q76" s="2818"/>
      <c r="R76" s="2820"/>
      <c r="S76" s="2442"/>
      <c r="T76" s="2822"/>
      <c r="U76" s="2435" t="s">
        <v>335</v>
      </c>
      <c r="V76" s="2830">
        <v>42300000</v>
      </c>
      <c r="W76" s="2828"/>
      <c r="X76" s="2444"/>
      <c r="Y76" s="2795"/>
      <c r="Z76" s="2795"/>
      <c r="AA76" s="2792"/>
      <c r="AB76" s="2792"/>
      <c r="AC76" s="2474"/>
      <c r="AD76" s="2792"/>
      <c r="AE76" s="2341"/>
      <c r="AF76" s="425"/>
      <c r="AG76" s="425"/>
      <c r="AH76" s="425"/>
      <c r="AI76" s="425"/>
      <c r="AJ76" s="425"/>
      <c r="AK76" s="425"/>
      <c r="AL76" s="425"/>
      <c r="AM76" s="425"/>
      <c r="AN76" s="2795"/>
      <c r="AO76" s="2798"/>
      <c r="AP76" s="2798"/>
      <c r="AQ76" s="2459"/>
    </row>
    <row r="77" spans="1:43" ht="19.5" customHeight="1">
      <c r="A77" s="2803"/>
      <c r="B77" s="2804"/>
      <c r="C77" s="2805"/>
      <c r="D77" s="2866"/>
      <c r="E77" s="2867"/>
      <c r="F77" s="2868"/>
      <c r="G77" s="2867"/>
      <c r="H77" s="2867"/>
      <c r="I77" s="2868"/>
      <c r="J77" s="2444"/>
      <c r="K77" s="2442"/>
      <c r="L77" s="2442"/>
      <c r="M77" s="2827"/>
      <c r="N77" s="403"/>
      <c r="O77" s="2772"/>
      <c r="P77" s="2442"/>
      <c r="Q77" s="2818"/>
      <c r="R77" s="2820"/>
      <c r="S77" s="2442"/>
      <c r="T77" s="2822"/>
      <c r="U77" s="2835"/>
      <c r="V77" s="2830"/>
      <c r="W77" s="2828"/>
      <c r="X77" s="2444"/>
      <c r="Y77" s="2795"/>
      <c r="Z77" s="2795"/>
      <c r="AA77" s="2792"/>
      <c r="AB77" s="2792"/>
      <c r="AC77" s="2474"/>
      <c r="AD77" s="2792"/>
      <c r="AE77" s="2341"/>
      <c r="AF77" s="425"/>
      <c r="AG77" s="425"/>
      <c r="AH77" s="425"/>
      <c r="AI77" s="425"/>
      <c r="AJ77" s="425"/>
      <c r="AK77" s="425"/>
      <c r="AL77" s="425"/>
      <c r="AM77" s="425"/>
      <c r="AN77" s="2795"/>
      <c r="AO77" s="2798"/>
      <c r="AP77" s="2798"/>
      <c r="AQ77" s="2459"/>
    </row>
    <row r="78" spans="1:43" ht="48.75" customHeight="1">
      <c r="A78" s="2803"/>
      <c r="B78" s="2804"/>
      <c r="C78" s="2805"/>
      <c r="D78" s="2866"/>
      <c r="E78" s="2867"/>
      <c r="F78" s="2868"/>
      <c r="G78" s="2867"/>
      <c r="H78" s="2867"/>
      <c r="I78" s="2868"/>
      <c r="J78" s="2444"/>
      <c r="K78" s="2442"/>
      <c r="L78" s="2442"/>
      <c r="M78" s="2827"/>
      <c r="N78" s="403"/>
      <c r="O78" s="2772"/>
      <c r="P78" s="2442"/>
      <c r="Q78" s="2818"/>
      <c r="R78" s="2820"/>
      <c r="S78" s="2442"/>
      <c r="T78" s="2822"/>
      <c r="U78" s="2435" t="s">
        <v>336</v>
      </c>
      <c r="V78" s="2830">
        <v>111348000</v>
      </c>
      <c r="W78" s="2828"/>
      <c r="X78" s="2444"/>
      <c r="Y78" s="2795"/>
      <c r="Z78" s="2795"/>
      <c r="AA78" s="2792"/>
      <c r="AB78" s="2792"/>
      <c r="AC78" s="2474"/>
      <c r="AD78" s="2792"/>
      <c r="AE78" s="2341"/>
      <c r="AF78" s="425"/>
      <c r="AG78" s="425"/>
      <c r="AH78" s="425"/>
      <c r="AI78" s="425"/>
      <c r="AJ78" s="425"/>
      <c r="AK78" s="425"/>
      <c r="AL78" s="425"/>
      <c r="AM78" s="425"/>
      <c r="AN78" s="2795"/>
      <c r="AO78" s="2798"/>
      <c r="AP78" s="2798"/>
      <c r="AQ78" s="2459"/>
    </row>
    <row r="79" spans="1:43" ht="53.25" customHeight="1">
      <c r="A79" s="2803"/>
      <c r="B79" s="2804"/>
      <c r="C79" s="2805"/>
      <c r="D79" s="2866"/>
      <c r="E79" s="2867"/>
      <c r="F79" s="2868"/>
      <c r="G79" s="2869"/>
      <c r="H79" s="2869"/>
      <c r="I79" s="2870"/>
      <c r="J79" s="2464"/>
      <c r="K79" s="2463"/>
      <c r="L79" s="2463"/>
      <c r="M79" s="2874"/>
      <c r="N79" s="415"/>
      <c r="O79" s="2811"/>
      <c r="P79" s="2463"/>
      <c r="Q79" s="2854"/>
      <c r="R79" s="2837"/>
      <c r="S79" s="2463"/>
      <c r="T79" s="2836"/>
      <c r="U79" s="2835"/>
      <c r="V79" s="2830"/>
      <c r="W79" s="2829"/>
      <c r="X79" s="2464"/>
      <c r="Y79" s="2796"/>
      <c r="Z79" s="2796"/>
      <c r="AA79" s="2793"/>
      <c r="AB79" s="2793"/>
      <c r="AC79" s="2743"/>
      <c r="AD79" s="2793"/>
      <c r="AE79" s="2872"/>
      <c r="AF79" s="426"/>
      <c r="AG79" s="426"/>
      <c r="AH79" s="426"/>
      <c r="AI79" s="426"/>
      <c r="AJ79" s="426"/>
      <c r="AK79" s="426"/>
      <c r="AL79" s="426"/>
      <c r="AM79" s="426"/>
      <c r="AN79" s="2796"/>
      <c r="AO79" s="2799"/>
      <c r="AP79" s="2799"/>
      <c r="AQ79" s="2838"/>
    </row>
    <row r="80" spans="1:43" ht="18" customHeight="1">
      <c r="A80" s="2803"/>
      <c r="B80" s="2804"/>
      <c r="C80" s="2805"/>
      <c r="D80" s="2866"/>
      <c r="E80" s="2867"/>
      <c r="F80" s="2868"/>
      <c r="G80" s="385">
        <v>13</v>
      </c>
      <c r="H80" s="386" t="s">
        <v>337</v>
      </c>
      <c r="I80" s="386"/>
      <c r="J80" s="427"/>
      <c r="K80" s="428"/>
      <c r="L80" s="428"/>
      <c r="M80" s="427"/>
      <c r="N80" s="429"/>
      <c r="O80" s="430"/>
      <c r="P80" s="428"/>
      <c r="Q80" s="431"/>
      <c r="R80" s="432"/>
      <c r="S80" s="428"/>
      <c r="T80" s="428"/>
      <c r="U80" s="428"/>
      <c r="V80" s="407"/>
      <c r="W80" s="433"/>
      <c r="X80" s="434"/>
      <c r="Y80" s="435"/>
      <c r="Z80" s="435"/>
      <c r="AA80" s="427"/>
      <c r="AB80" s="427"/>
      <c r="AC80" s="427"/>
      <c r="AD80" s="427"/>
      <c r="AE80" s="427"/>
      <c r="AF80" s="427"/>
      <c r="AG80" s="427"/>
      <c r="AH80" s="427"/>
      <c r="AI80" s="427"/>
      <c r="AJ80" s="427"/>
      <c r="AK80" s="427"/>
      <c r="AL80" s="427"/>
      <c r="AM80" s="427"/>
      <c r="AN80" s="435"/>
      <c r="AO80" s="436"/>
      <c r="AP80" s="436"/>
      <c r="AQ80" s="437"/>
    </row>
    <row r="81" spans="1:43" ht="70.5" customHeight="1">
      <c r="A81" s="2803"/>
      <c r="B81" s="2804"/>
      <c r="C81" s="2805"/>
      <c r="D81" s="2866"/>
      <c r="E81" s="2867"/>
      <c r="F81" s="2868"/>
      <c r="G81" s="2863"/>
      <c r="H81" s="2864"/>
      <c r="I81" s="2865"/>
      <c r="J81" s="2444">
        <v>53</v>
      </c>
      <c r="K81" s="2441" t="s">
        <v>338</v>
      </c>
      <c r="L81" s="2441" t="s">
        <v>339</v>
      </c>
      <c r="M81" s="2443">
        <v>1</v>
      </c>
      <c r="N81" s="2443" t="s">
        <v>340</v>
      </c>
      <c r="O81" s="2443" t="s">
        <v>341</v>
      </c>
      <c r="P81" s="2441" t="s">
        <v>342</v>
      </c>
      <c r="Q81" s="2817">
        <f>(V81+V83)/R81</f>
        <v>1</v>
      </c>
      <c r="R81" s="2861">
        <f>V81+V83</f>
        <v>1088713698</v>
      </c>
      <c r="S81" s="2441" t="s">
        <v>343</v>
      </c>
      <c r="T81" s="2821" t="s">
        <v>344</v>
      </c>
      <c r="U81" s="2435" t="s">
        <v>345</v>
      </c>
      <c r="V81" s="2844">
        <v>938713698</v>
      </c>
      <c r="W81" s="2340" t="s">
        <v>346</v>
      </c>
      <c r="X81" s="2443" t="s">
        <v>347</v>
      </c>
      <c r="Y81" s="2876">
        <v>193964</v>
      </c>
      <c r="Z81" s="2794">
        <v>129308</v>
      </c>
      <c r="AA81" s="2791"/>
      <c r="AB81" s="2791"/>
      <c r="AC81" s="2742">
        <v>323272</v>
      </c>
      <c r="AD81" s="2791"/>
      <c r="AE81" s="2340"/>
      <c r="AF81" s="424"/>
      <c r="AG81" s="424"/>
      <c r="AH81" s="424"/>
      <c r="AI81" s="424"/>
      <c r="AJ81" s="424"/>
      <c r="AK81" s="424"/>
      <c r="AL81" s="424"/>
      <c r="AM81" s="424"/>
      <c r="AN81" s="2794">
        <f>+Y81+Z81</f>
        <v>323272</v>
      </c>
      <c r="AO81" s="2797">
        <v>43109</v>
      </c>
      <c r="AP81" s="2797">
        <v>43465</v>
      </c>
      <c r="AQ81" s="2458" t="s">
        <v>243</v>
      </c>
    </row>
    <row r="82" spans="1:43" ht="57" customHeight="1">
      <c r="A82" s="2803"/>
      <c r="B82" s="2804"/>
      <c r="C82" s="2805"/>
      <c r="D82" s="2866"/>
      <c r="E82" s="2867"/>
      <c r="F82" s="2868"/>
      <c r="G82" s="2866"/>
      <c r="H82" s="2867"/>
      <c r="I82" s="2868"/>
      <c r="J82" s="2444"/>
      <c r="K82" s="2442"/>
      <c r="L82" s="2442"/>
      <c r="M82" s="2444"/>
      <c r="N82" s="2444"/>
      <c r="O82" s="2444"/>
      <c r="P82" s="2442"/>
      <c r="Q82" s="2818"/>
      <c r="R82" s="2862"/>
      <c r="S82" s="2442"/>
      <c r="T82" s="2822"/>
      <c r="U82" s="2835"/>
      <c r="V82" s="2844"/>
      <c r="W82" s="2341"/>
      <c r="X82" s="2444"/>
      <c r="Y82" s="2877"/>
      <c r="Z82" s="2795"/>
      <c r="AA82" s="2792"/>
      <c r="AB82" s="2792"/>
      <c r="AC82" s="2474"/>
      <c r="AD82" s="2792"/>
      <c r="AE82" s="2341"/>
      <c r="AF82" s="425"/>
      <c r="AG82" s="425"/>
      <c r="AH82" s="425"/>
      <c r="AI82" s="425"/>
      <c r="AJ82" s="425"/>
      <c r="AK82" s="425"/>
      <c r="AL82" s="425"/>
      <c r="AM82" s="425"/>
      <c r="AN82" s="2795"/>
      <c r="AO82" s="2798"/>
      <c r="AP82" s="2798"/>
      <c r="AQ82" s="2459"/>
    </row>
    <row r="83" spans="1:43" ht="64.5" customHeight="1">
      <c r="A83" s="2803"/>
      <c r="B83" s="2804"/>
      <c r="C83" s="2805"/>
      <c r="D83" s="2866"/>
      <c r="E83" s="2867"/>
      <c r="F83" s="2868"/>
      <c r="G83" s="2866"/>
      <c r="H83" s="2867"/>
      <c r="I83" s="2868"/>
      <c r="J83" s="2444"/>
      <c r="K83" s="2442"/>
      <c r="L83" s="2442"/>
      <c r="M83" s="2444"/>
      <c r="N83" s="2444"/>
      <c r="O83" s="2444"/>
      <c r="P83" s="2442"/>
      <c r="Q83" s="2818"/>
      <c r="R83" s="2862"/>
      <c r="S83" s="2442"/>
      <c r="T83" s="2822"/>
      <c r="U83" s="2435" t="s">
        <v>348</v>
      </c>
      <c r="V83" s="2844">
        <v>150000000</v>
      </c>
      <c r="W83" s="2341"/>
      <c r="X83" s="2444"/>
      <c r="Y83" s="2877"/>
      <c r="Z83" s="2795"/>
      <c r="AA83" s="2792"/>
      <c r="AB83" s="2792"/>
      <c r="AC83" s="2474"/>
      <c r="AD83" s="2792"/>
      <c r="AE83" s="2341"/>
      <c r="AF83" s="425"/>
      <c r="AG83" s="425"/>
      <c r="AH83" s="425"/>
      <c r="AI83" s="425"/>
      <c r="AJ83" s="425"/>
      <c r="AK83" s="425"/>
      <c r="AL83" s="425"/>
      <c r="AM83" s="425"/>
      <c r="AN83" s="2795"/>
      <c r="AO83" s="2798"/>
      <c r="AP83" s="2798"/>
      <c r="AQ83" s="2459"/>
    </row>
    <row r="84" spans="1:43" ht="39.75" customHeight="1" thickBot="1">
      <c r="A84" s="2803"/>
      <c r="B84" s="2804"/>
      <c r="C84" s="2805"/>
      <c r="D84" s="2866"/>
      <c r="E84" s="2867"/>
      <c r="F84" s="2868"/>
      <c r="G84" s="2866"/>
      <c r="H84" s="2867"/>
      <c r="I84" s="2868"/>
      <c r="J84" s="2444"/>
      <c r="K84" s="2442"/>
      <c r="L84" s="2442"/>
      <c r="M84" s="2444"/>
      <c r="N84" s="2444"/>
      <c r="O84" s="2444"/>
      <c r="P84" s="2442"/>
      <c r="Q84" s="2818"/>
      <c r="R84" s="2862"/>
      <c r="S84" s="2442"/>
      <c r="T84" s="2822"/>
      <c r="U84" s="2438"/>
      <c r="V84" s="2844"/>
      <c r="W84" s="2341"/>
      <c r="X84" s="2444"/>
      <c r="Y84" s="2877"/>
      <c r="Z84" s="2795"/>
      <c r="AA84" s="2792"/>
      <c r="AB84" s="2792"/>
      <c r="AC84" s="2474"/>
      <c r="AD84" s="2792"/>
      <c r="AE84" s="2341"/>
      <c r="AF84" s="425"/>
      <c r="AG84" s="425"/>
      <c r="AH84" s="425"/>
      <c r="AI84" s="425"/>
      <c r="AJ84" s="425"/>
      <c r="AK84" s="425"/>
      <c r="AL84" s="425"/>
      <c r="AM84" s="425"/>
      <c r="AN84" s="2795"/>
      <c r="AO84" s="2798"/>
      <c r="AP84" s="2798"/>
      <c r="AQ84" s="2459"/>
    </row>
    <row r="85" spans="1:43" ht="21.75" customHeight="1" thickBot="1">
      <c r="A85" s="438"/>
      <c r="B85" s="439"/>
      <c r="C85" s="439"/>
      <c r="D85" s="439"/>
      <c r="E85" s="439"/>
      <c r="F85" s="439"/>
      <c r="G85" s="439"/>
      <c r="H85" s="439"/>
      <c r="I85" s="439"/>
      <c r="J85" s="439"/>
      <c r="K85" s="440"/>
      <c r="L85" s="441"/>
      <c r="M85" s="442"/>
      <c r="N85" s="442"/>
      <c r="O85" s="443"/>
      <c r="P85" s="444" t="s">
        <v>225</v>
      </c>
      <c r="Q85" s="445"/>
      <c r="R85" s="446">
        <f>R81+R68+R62+R51+R32+R22+R12</f>
        <v>2481713698</v>
      </c>
      <c r="S85" s="447"/>
      <c r="T85" s="440"/>
      <c r="U85" s="448"/>
      <c r="V85" s="449">
        <f>SUM(V12:V84)</f>
        <v>2481713698</v>
      </c>
      <c r="W85" s="450"/>
      <c r="X85" s="451"/>
      <c r="Y85" s="452"/>
      <c r="Z85" s="452"/>
      <c r="AA85" s="439"/>
      <c r="AB85" s="439"/>
      <c r="AC85" s="439"/>
      <c r="AD85" s="439"/>
      <c r="AE85" s="439"/>
      <c r="AF85" s="439"/>
      <c r="AG85" s="439"/>
      <c r="AH85" s="439"/>
      <c r="AI85" s="439"/>
      <c r="AJ85" s="439"/>
      <c r="AK85" s="439"/>
      <c r="AL85" s="439"/>
      <c r="AM85" s="439"/>
      <c r="AN85" s="452"/>
      <c r="AO85" s="453"/>
      <c r="AP85" s="453"/>
      <c r="AQ85" s="454"/>
    </row>
    <row r="86" ht="11.25" customHeight="1">
      <c r="V86" s="460"/>
    </row>
    <row r="91" spans="4:10" ht="22.5" customHeight="1">
      <c r="D91" s="466"/>
      <c r="E91" s="466"/>
      <c r="F91" s="466"/>
      <c r="G91" s="466"/>
      <c r="H91" s="466"/>
      <c r="I91" s="466"/>
      <c r="J91" s="466"/>
    </row>
    <row r="92" spans="4:10" ht="22.5" customHeight="1">
      <c r="D92" s="2875" t="s">
        <v>349</v>
      </c>
      <c r="E92" s="2875"/>
      <c r="F92" s="2875"/>
      <c r="G92" s="2875"/>
      <c r="H92" s="2875"/>
      <c r="I92" s="2875"/>
      <c r="J92" s="2875"/>
    </row>
    <row r="93" spans="4:6" ht="22.5" customHeight="1">
      <c r="D93" s="468" t="s">
        <v>350</v>
      </c>
      <c r="E93" s="468"/>
      <c r="F93" s="468"/>
    </row>
    <row r="94" ht="22.5" customHeight="1"/>
    <row r="95" ht="22.5" customHeight="1"/>
  </sheetData>
  <sheetProtection password="CBEB" sheet="1" objects="1" scenarios="1"/>
  <mergeCells count="307">
    <mergeCell ref="AQ81:AQ84"/>
    <mergeCell ref="U83:U84"/>
    <mergeCell ref="V83:V84"/>
    <mergeCell ref="D92:J92"/>
    <mergeCell ref="AA81:AA84"/>
    <mergeCell ref="AB81:AB84"/>
    <mergeCell ref="AC81:AC84"/>
    <mergeCell ref="AD81:AD84"/>
    <mergeCell ref="AE81:AE84"/>
    <mergeCell ref="AN81:AN84"/>
    <mergeCell ref="U81:U82"/>
    <mergeCell ref="V81:V82"/>
    <mergeCell ref="W81:W84"/>
    <mergeCell ref="X81:X84"/>
    <mergeCell ref="Y81:Y84"/>
    <mergeCell ref="Z81:Z84"/>
    <mergeCell ref="O81:O84"/>
    <mergeCell ref="P81:P84"/>
    <mergeCell ref="Q81:Q84"/>
    <mergeCell ref="R81:R84"/>
    <mergeCell ref="S81:S84"/>
    <mergeCell ref="T81:T84"/>
    <mergeCell ref="AP68:AP79"/>
    <mergeCell ref="T68:T79"/>
    <mergeCell ref="M68:M79"/>
    <mergeCell ref="O68:O79"/>
    <mergeCell ref="P68:P79"/>
    <mergeCell ref="Q68:Q79"/>
    <mergeCell ref="R68:R79"/>
    <mergeCell ref="S68:S79"/>
    <mergeCell ref="AO81:AO84"/>
    <mergeCell ref="AP81:AP84"/>
    <mergeCell ref="AQ68:AQ79"/>
    <mergeCell ref="U70:U71"/>
    <mergeCell ref="V70:V71"/>
    <mergeCell ref="U72:U73"/>
    <mergeCell ref="V72:V73"/>
    <mergeCell ref="U74:U75"/>
    <mergeCell ref="V74:V75"/>
    <mergeCell ref="Z68:Z79"/>
    <mergeCell ref="AA68:AA79"/>
    <mergeCell ref="AB68:AB79"/>
    <mergeCell ref="AC68:AC79"/>
    <mergeCell ref="AD68:AD79"/>
    <mergeCell ref="AE68:AE79"/>
    <mergeCell ref="U68:U69"/>
    <mergeCell ref="V68:V69"/>
    <mergeCell ref="W68:W79"/>
    <mergeCell ref="X68:X79"/>
    <mergeCell ref="Y68:Y79"/>
    <mergeCell ref="U76:U77"/>
    <mergeCell ref="V76:V77"/>
    <mergeCell ref="U78:U79"/>
    <mergeCell ref="V78:V79"/>
    <mergeCell ref="AN68:AN79"/>
    <mergeCell ref="AO68:AO79"/>
    <mergeCell ref="AO62:AO66"/>
    <mergeCell ref="AQ62:AQ66"/>
    <mergeCell ref="J65:J66"/>
    <mergeCell ref="K65:K66"/>
    <mergeCell ref="L65:L66"/>
    <mergeCell ref="M65:M66"/>
    <mergeCell ref="Q65:Q66"/>
    <mergeCell ref="U65:U66"/>
    <mergeCell ref="V65:V66"/>
    <mergeCell ref="AA62:AA66"/>
    <mergeCell ref="AB62:AB66"/>
    <mergeCell ref="AC62:AC66"/>
    <mergeCell ref="AD62:AD66"/>
    <mergeCell ref="AE62:AE66"/>
    <mergeCell ref="AN62:AN66"/>
    <mergeCell ref="U62:U64"/>
    <mergeCell ref="V62:V64"/>
    <mergeCell ref="W62:W66"/>
    <mergeCell ref="X62:X66"/>
    <mergeCell ref="Y62:Y66"/>
    <mergeCell ref="Z62:Z66"/>
    <mergeCell ref="O62:O66"/>
    <mergeCell ref="P62:P66"/>
    <mergeCell ref="Q62:Q64"/>
    <mergeCell ref="R62:R66"/>
    <mergeCell ref="S62:S66"/>
    <mergeCell ref="T62:T66"/>
    <mergeCell ref="D61:F84"/>
    <mergeCell ref="J62:J64"/>
    <mergeCell ref="K62:K64"/>
    <mergeCell ref="L62:L64"/>
    <mergeCell ref="M62:M64"/>
    <mergeCell ref="N62:N66"/>
    <mergeCell ref="G68:I79"/>
    <mergeCell ref="J68:J79"/>
    <mergeCell ref="K68:K79"/>
    <mergeCell ref="L68:L79"/>
    <mergeCell ref="G81:I84"/>
    <mergeCell ref="J81:J84"/>
    <mergeCell ref="K81:K84"/>
    <mergeCell ref="L81:L84"/>
    <mergeCell ref="M81:M84"/>
    <mergeCell ref="N81:N84"/>
    <mergeCell ref="AP51:AP59"/>
    <mergeCell ref="AQ51:AQ59"/>
    <mergeCell ref="J54:J56"/>
    <mergeCell ref="K54:K56"/>
    <mergeCell ref="L54:L56"/>
    <mergeCell ref="M54:M56"/>
    <mergeCell ref="Q54:Q56"/>
    <mergeCell ref="T54:T59"/>
    <mergeCell ref="U54:U56"/>
    <mergeCell ref="V54:V56"/>
    <mergeCell ref="AB51:AB59"/>
    <mergeCell ref="AC51:AC59"/>
    <mergeCell ref="AD51:AD59"/>
    <mergeCell ref="AE51:AE59"/>
    <mergeCell ref="AN51:AN59"/>
    <mergeCell ref="AO51:AO59"/>
    <mergeCell ref="V51:V53"/>
    <mergeCell ref="W51:W59"/>
    <mergeCell ref="X51:X59"/>
    <mergeCell ref="Y51:Y59"/>
    <mergeCell ref="Z51:Z59"/>
    <mergeCell ref="AA51:AA59"/>
    <mergeCell ref="V57:V59"/>
    <mergeCell ref="P51:P59"/>
    <mergeCell ref="Q51:Q53"/>
    <mergeCell ref="R51:R59"/>
    <mergeCell ref="S51:S59"/>
    <mergeCell ref="T51:T53"/>
    <mergeCell ref="U51:U53"/>
    <mergeCell ref="Q57:Q59"/>
    <mergeCell ref="U57:U59"/>
    <mergeCell ref="G51:I59"/>
    <mergeCell ref="J51:J53"/>
    <mergeCell ref="K51:K53"/>
    <mergeCell ref="L51:L53"/>
    <mergeCell ref="M51:M53"/>
    <mergeCell ref="O51:O59"/>
    <mergeCell ref="J57:J59"/>
    <mergeCell ref="K57:K59"/>
    <mergeCell ref="L57:L59"/>
    <mergeCell ref="M57:M59"/>
    <mergeCell ref="Q42:Q45"/>
    <mergeCell ref="U42:U45"/>
    <mergeCell ref="V42:V45"/>
    <mergeCell ref="J46:J49"/>
    <mergeCell ref="K46:K49"/>
    <mergeCell ref="L46:L49"/>
    <mergeCell ref="M46:M49"/>
    <mergeCell ref="Q46:Q49"/>
    <mergeCell ref="U46:U49"/>
    <mergeCell ref="P32:P49"/>
    <mergeCell ref="Q32:Q37"/>
    <mergeCell ref="R32:R49"/>
    <mergeCell ref="S32:S49"/>
    <mergeCell ref="T32:T37"/>
    <mergeCell ref="U32:U34"/>
    <mergeCell ref="U38:U41"/>
    <mergeCell ref="AP32:AP49"/>
    <mergeCell ref="AQ32:AQ49"/>
    <mergeCell ref="U35:U37"/>
    <mergeCell ref="V35:V37"/>
    <mergeCell ref="J38:J41"/>
    <mergeCell ref="K38:K41"/>
    <mergeCell ref="L38:L41"/>
    <mergeCell ref="M38:M41"/>
    <mergeCell ref="Q38:Q41"/>
    <mergeCell ref="T38:T49"/>
    <mergeCell ref="AB32:AB49"/>
    <mergeCell ref="AC32:AC49"/>
    <mergeCell ref="AD32:AD49"/>
    <mergeCell ref="AE32:AE49"/>
    <mergeCell ref="AN32:AN49"/>
    <mergeCell ref="AO32:AO49"/>
    <mergeCell ref="V32:V34"/>
    <mergeCell ref="W32:W49"/>
    <mergeCell ref="X32:X49"/>
    <mergeCell ref="Y32:Y49"/>
    <mergeCell ref="Z32:Z49"/>
    <mergeCell ref="AA32:AA49"/>
    <mergeCell ref="V38:V41"/>
    <mergeCell ref="V46:V49"/>
    <mergeCell ref="G32:I49"/>
    <mergeCell ref="J32:J37"/>
    <mergeCell ref="K32:K37"/>
    <mergeCell ref="L32:L37"/>
    <mergeCell ref="M32:M37"/>
    <mergeCell ref="O32:O49"/>
    <mergeCell ref="N39:N40"/>
    <mergeCell ref="J42:J45"/>
    <mergeCell ref="K42:K45"/>
    <mergeCell ref="L42:L45"/>
    <mergeCell ref="M42:M45"/>
    <mergeCell ref="J25:J27"/>
    <mergeCell ref="K25:K27"/>
    <mergeCell ref="L25:L27"/>
    <mergeCell ref="M25:M27"/>
    <mergeCell ref="Q25:Q27"/>
    <mergeCell ref="T25:T30"/>
    <mergeCell ref="J28:J30"/>
    <mergeCell ref="K28:K30"/>
    <mergeCell ref="L28:L30"/>
    <mergeCell ref="M28:M30"/>
    <mergeCell ref="Q28:Q30"/>
    <mergeCell ref="T12:T21"/>
    <mergeCell ref="U12:U13"/>
    <mergeCell ref="V12:V13"/>
    <mergeCell ref="AE22:AE30"/>
    <mergeCell ref="AN22:AN30"/>
    <mergeCell ref="AO22:AO30"/>
    <mergeCell ref="AP22:AP30"/>
    <mergeCell ref="AQ22:AQ30"/>
    <mergeCell ref="U23:U24"/>
    <mergeCell ref="V23:V24"/>
    <mergeCell ref="U25:U27"/>
    <mergeCell ref="V25:V27"/>
    <mergeCell ref="U28:U30"/>
    <mergeCell ref="Y22:Y30"/>
    <mergeCell ref="Z22:Z30"/>
    <mergeCell ref="AA22:AA30"/>
    <mergeCell ref="AB22:AB30"/>
    <mergeCell ref="AC22:AC30"/>
    <mergeCell ref="AD22:AD30"/>
    <mergeCell ref="X22:X30"/>
    <mergeCell ref="V28:V30"/>
    <mergeCell ref="AP12:AP21"/>
    <mergeCell ref="AQ12:AQ21"/>
    <mergeCell ref="X12:X21"/>
    <mergeCell ref="Y12:Y21"/>
    <mergeCell ref="Z12:Z21"/>
    <mergeCell ref="AA12:AA21"/>
    <mergeCell ref="AB12:AB21"/>
    <mergeCell ref="AC12:AC21"/>
    <mergeCell ref="U18:U19"/>
    <mergeCell ref="V18:V19"/>
    <mergeCell ref="U20:U21"/>
    <mergeCell ref="V20:V21"/>
    <mergeCell ref="W22:W30"/>
    <mergeCell ref="P12:P21"/>
    <mergeCell ref="Q12:Q15"/>
    <mergeCell ref="AK7:AM7"/>
    <mergeCell ref="AN7:AN8"/>
    <mergeCell ref="J22:J24"/>
    <mergeCell ref="K22:K24"/>
    <mergeCell ref="L22:L24"/>
    <mergeCell ref="M22:M24"/>
    <mergeCell ref="O22:O30"/>
    <mergeCell ref="P22:P30"/>
    <mergeCell ref="J16:J21"/>
    <mergeCell ref="K16:K21"/>
    <mergeCell ref="L16:L21"/>
    <mergeCell ref="M16:M21"/>
    <mergeCell ref="N16:N21"/>
    <mergeCell ref="W12:W21"/>
    <mergeCell ref="U14:U15"/>
    <mergeCell ref="V14:V15"/>
    <mergeCell ref="U16:U17"/>
    <mergeCell ref="V16:V17"/>
    <mergeCell ref="Q16:Q21"/>
    <mergeCell ref="R12:R21"/>
    <mergeCell ref="S12:S21"/>
    <mergeCell ref="AN12:AN21"/>
    <mergeCell ref="AO12:AO21"/>
    <mergeCell ref="A10:C84"/>
    <mergeCell ref="D11:F59"/>
    <mergeCell ref="G12:I30"/>
    <mergeCell ref="J12:J15"/>
    <mergeCell ref="K12:K15"/>
    <mergeCell ref="V7:V8"/>
    <mergeCell ref="W7:W8"/>
    <mergeCell ref="X7:X8"/>
    <mergeCell ref="Y7:Z7"/>
    <mergeCell ref="P7:P8"/>
    <mergeCell ref="Q7:Q8"/>
    <mergeCell ref="R7:R8"/>
    <mergeCell ref="S7:S8"/>
    <mergeCell ref="T7:T8"/>
    <mergeCell ref="U7:U8"/>
    <mergeCell ref="J7:J8"/>
    <mergeCell ref="K7:K8"/>
    <mergeCell ref="L7:L8"/>
    <mergeCell ref="Q22:Q24"/>
    <mergeCell ref="R22:R30"/>
    <mergeCell ref="S22:S30"/>
    <mergeCell ref="T22:T24"/>
    <mergeCell ref="M7:M8"/>
    <mergeCell ref="N7:N8"/>
    <mergeCell ref="L12:L15"/>
    <mergeCell ref="M12:M15"/>
    <mergeCell ref="N12:N15"/>
    <mergeCell ref="O12:O21"/>
    <mergeCell ref="A1:AO4"/>
    <mergeCell ref="A5:M6"/>
    <mergeCell ref="N5:AQ5"/>
    <mergeCell ref="Y6:AM6"/>
    <mergeCell ref="A7:A8"/>
    <mergeCell ref="B7:C8"/>
    <mergeCell ref="D7:D8"/>
    <mergeCell ref="E7:F8"/>
    <mergeCell ref="G7:G8"/>
    <mergeCell ref="H7:I8"/>
    <mergeCell ref="AP7:AP8"/>
    <mergeCell ref="AQ7:AQ8"/>
    <mergeCell ref="AA7:AD7"/>
    <mergeCell ref="AE7:AJ7"/>
    <mergeCell ref="AO7:AO8"/>
    <mergeCell ref="O7:O8"/>
    <mergeCell ref="AD12:AD21"/>
    <mergeCell ref="AE12:AE2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Q78"/>
  <sheetViews>
    <sheetView showGridLines="0" zoomScale="60" zoomScaleNormal="60" zoomScalePageLayoutView="0" workbookViewId="0" topLeftCell="U1">
      <selection activeCell="AP1" sqref="AP1"/>
    </sheetView>
  </sheetViews>
  <sheetFormatPr defaultColWidth="11.421875" defaultRowHeight="15"/>
  <cols>
    <col min="1" max="1" width="14.57421875" style="131" customWidth="1"/>
    <col min="2" max="2" width="16.28125" style="131" customWidth="1"/>
    <col min="3" max="3" width="8.8515625" style="131" customWidth="1"/>
    <col min="4" max="4" width="17.421875" style="131" customWidth="1"/>
    <col min="5" max="5" width="15.421875" style="131" customWidth="1"/>
    <col min="6" max="6" width="8.57421875" style="131" customWidth="1"/>
    <col min="7" max="7" width="16.421875" style="131" customWidth="1"/>
    <col min="8" max="8" width="19.00390625" style="131" customWidth="1"/>
    <col min="9" max="9" width="9.00390625" style="131" customWidth="1"/>
    <col min="10" max="10" width="18.140625" style="131" customWidth="1"/>
    <col min="11" max="11" width="71.57421875" style="230" customWidth="1"/>
    <col min="12" max="12" width="43.28125" style="230" customWidth="1"/>
    <col min="13" max="13" width="27.7109375" style="1396" customWidth="1"/>
    <col min="14" max="14" width="38.7109375" style="231" customWidth="1"/>
    <col min="15" max="15" width="25.421875" style="131" customWidth="1"/>
    <col min="16" max="16" width="36.421875" style="230" customWidth="1"/>
    <col min="17" max="17" width="29.8515625" style="131" customWidth="1"/>
    <col min="18" max="18" width="28.28125" style="131" customWidth="1"/>
    <col min="19" max="19" width="45.7109375" style="230" customWidth="1"/>
    <col min="20" max="20" width="44.28125" style="230" customWidth="1"/>
    <col min="21" max="21" width="38.57421875" style="230" customWidth="1"/>
    <col min="22" max="22" width="27.7109375" style="232" customWidth="1"/>
    <col min="23" max="23" width="14.421875" style="131" customWidth="1"/>
    <col min="24" max="24" width="31.421875" style="131" customWidth="1"/>
    <col min="25" max="39" width="11.421875" style="131" customWidth="1"/>
    <col min="40" max="40" width="16.7109375" style="131" customWidth="1"/>
    <col min="41" max="42" width="20.8515625" style="131" customWidth="1"/>
    <col min="43" max="43" width="27.28125" style="131" customWidth="1"/>
    <col min="44" max="16384" width="11.421875" style="131" customWidth="1"/>
  </cols>
  <sheetData>
    <row r="1" spans="1:43" ht="15.75" customHeight="1">
      <c r="A1" s="2275" t="s">
        <v>1911</v>
      </c>
      <c r="B1" s="2276"/>
      <c r="C1" s="2276"/>
      <c r="D1" s="2276"/>
      <c r="E1" s="2276"/>
      <c r="F1" s="2276"/>
      <c r="G1" s="2276"/>
      <c r="H1" s="2276"/>
      <c r="I1" s="2276"/>
      <c r="J1" s="2276"/>
      <c r="K1" s="2276"/>
      <c r="L1" s="2276"/>
      <c r="M1" s="2276"/>
      <c r="N1" s="2276"/>
      <c r="O1" s="2276"/>
      <c r="P1" s="2276"/>
      <c r="Q1" s="2276"/>
      <c r="R1" s="2276"/>
      <c r="S1" s="2276"/>
      <c r="T1" s="2276"/>
      <c r="U1" s="2276"/>
      <c r="V1" s="2276"/>
      <c r="W1" s="2276"/>
      <c r="X1" s="2276"/>
      <c r="Y1" s="2276"/>
      <c r="Z1" s="2276"/>
      <c r="AA1" s="2276"/>
      <c r="AB1" s="2276"/>
      <c r="AC1" s="2276"/>
      <c r="AD1" s="2276"/>
      <c r="AE1" s="2276"/>
      <c r="AF1" s="2276"/>
      <c r="AG1" s="2276"/>
      <c r="AH1" s="2276"/>
      <c r="AI1" s="2276"/>
      <c r="AJ1" s="2276"/>
      <c r="AK1" s="2276"/>
      <c r="AL1" s="2276"/>
      <c r="AM1" s="2276"/>
      <c r="AN1" s="2276"/>
      <c r="AO1" s="2276"/>
      <c r="AP1" s="1388" t="s">
        <v>1</v>
      </c>
      <c r="AQ1" s="1389" t="s">
        <v>2</v>
      </c>
    </row>
    <row r="2" spans="1:43" ht="15.75" customHeight="1">
      <c r="A2" s="2277"/>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278"/>
      <c r="AP2" s="1390" t="s">
        <v>3</v>
      </c>
      <c r="AQ2" s="1391" t="s">
        <v>135</v>
      </c>
    </row>
    <row r="3" spans="1:43" ht="15.75" customHeight="1">
      <c r="A3" s="2277"/>
      <c r="B3" s="2278"/>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c r="AB3" s="2278"/>
      <c r="AC3" s="2278"/>
      <c r="AD3" s="2278"/>
      <c r="AE3" s="2278"/>
      <c r="AF3" s="2278"/>
      <c r="AG3" s="2278"/>
      <c r="AH3" s="2278"/>
      <c r="AI3" s="2278"/>
      <c r="AJ3" s="2278"/>
      <c r="AK3" s="2278"/>
      <c r="AL3" s="2278"/>
      <c r="AM3" s="2278"/>
      <c r="AN3" s="2278"/>
      <c r="AO3" s="2278"/>
      <c r="AP3" s="830" t="s">
        <v>5</v>
      </c>
      <c r="AQ3" s="1392" t="s">
        <v>6</v>
      </c>
    </row>
    <row r="4" spans="1:43" ht="15.75" customHeight="1">
      <c r="A4" s="2279"/>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830" t="s">
        <v>7</v>
      </c>
      <c r="AQ4" s="1393" t="s">
        <v>8</v>
      </c>
    </row>
    <row r="5" spans="1:43" ht="15.75">
      <c r="A5" s="2281" t="s">
        <v>9</v>
      </c>
      <c r="B5" s="2282"/>
      <c r="C5" s="2282"/>
      <c r="D5" s="2282"/>
      <c r="E5" s="2282"/>
      <c r="F5" s="2282"/>
      <c r="G5" s="2282"/>
      <c r="H5" s="2282"/>
      <c r="I5" s="2282"/>
      <c r="J5" s="2282"/>
      <c r="K5" s="2282"/>
      <c r="L5" s="2282"/>
      <c r="M5" s="2282"/>
      <c r="N5" s="2285" t="s">
        <v>10</v>
      </c>
      <c r="O5" s="2285"/>
      <c r="P5" s="2285"/>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c r="AP5" s="2285"/>
      <c r="AQ5" s="2286"/>
    </row>
    <row r="6" spans="1:43" ht="15.75">
      <c r="A6" s="2283"/>
      <c r="B6" s="2284"/>
      <c r="C6" s="2284"/>
      <c r="D6" s="2284"/>
      <c r="E6" s="2284"/>
      <c r="F6" s="2284"/>
      <c r="G6" s="2284"/>
      <c r="H6" s="2284"/>
      <c r="I6" s="2284"/>
      <c r="J6" s="2284"/>
      <c r="K6" s="2284"/>
      <c r="L6" s="2284"/>
      <c r="M6" s="2284"/>
      <c r="N6" s="475"/>
      <c r="O6" s="142"/>
      <c r="P6" s="138"/>
      <c r="Q6" s="142"/>
      <c r="R6" s="142"/>
      <c r="S6" s="138"/>
      <c r="T6" s="138"/>
      <c r="U6" s="138"/>
      <c r="V6" s="140"/>
      <c r="W6" s="142"/>
      <c r="X6" s="142"/>
      <c r="Y6" s="2287" t="s">
        <v>11</v>
      </c>
      <c r="Z6" s="2284"/>
      <c r="AA6" s="2284"/>
      <c r="AB6" s="2284"/>
      <c r="AC6" s="2284"/>
      <c r="AD6" s="2284"/>
      <c r="AE6" s="2284"/>
      <c r="AF6" s="2284"/>
      <c r="AG6" s="2284"/>
      <c r="AH6" s="2284"/>
      <c r="AI6" s="2284"/>
      <c r="AJ6" s="2284"/>
      <c r="AK6" s="2284"/>
      <c r="AL6" s="2284"/>
      <c r="AM6" s="2288"/>
      <c r="AN6" s="142"/>
      <c r="AO6" s="142"/>
      <c r="AP6" s="142"/>
      <c r="AQ6" s="143"/>
    </row>
    <row r="7" spans="1:43" ht="30" customHeight="1">
      <c r="A7" s="2491" t="s">
        <v>12</v>
      </c>
      <c r="B7" s="2529" t="s">
        <v>13</v>
      </c>
      <c r="C7" s="2529"/>
      <c r="D7" s="2358" t="s">
        <v>12</v>
      </c>
      <c r="E7" s="2358" t="s">
        <v>14</v>
      </c>
      <c r="F7" s="2358"/>
      <c r="G7" s="2358" t="s">
        <v>12</v>
      </c>
      <c r="H7" s="2358" t="s">
        <v>15</v>
      </c>
      <c r="I7" s="2358"/>
      <c r="J7" s="2271" t="s">
        <v>12</v>
      </c>
      <c r="K7" s="2358" t="s">
        <v>16</v>
      </c>
      <c r="L7" s="2358" t="s">
        <v>17</v>
      </c>
      <c r="M7" s="2271" t="s">
        <v>18</v>
      </c>
      <c r="N7" s="2358" t="s">
        <v>19</v>
      </c>
      <c r="O7" s="2358" t="s">
        <v>20</v>
      </c>
      <c r="P7" s="2358" t="s">
        <v>10</v>
      </c>
      <c r="Q7" s="2533" t="s">
        <v>21</v>
      </c>
      <c r="R7" s="2534" t="s">
        <v>22</v>
      </c>
      <c r="S7" s="2885" t="s">
        <v>23</v>
      </c>
      <c r="T7" s="2885" t="s">
        <v>24</v>
      </c>
      <c r="U7" s="2885" t="s">
        <v>25</v>
      </c>
      <c r="V7" s="1394" t="s">
        <v>22</v>
      </c>
      <c r="W7" s="1084"/>
      <c r="X7" s="2358" t="s">
        <v>26</v>
      </c>
      <c r="Y7" s="2812" t="s">
        <v>27</v>
      </c>
      <c r="Z7" s="2812"/>
      <c r="AA7" s="2181" t="s">
        <v>28</v>
      </c>
      <c r="AB7" s="2181"/>
      <c r="AC7" s="2181"/>
      <c r="AD7" s="2181"/>
      <c r="AE7" s="2182" t="s">
        <v>29</v>
      </c>
      <c r="AF7" s="2183"/>
      <c r="AG7" s="2183"/>
      <c r="AH7" s="2183"/>
      <c r="AI7" s="2183"/>
      <c r="AJ7" s="2183"/>
      <c r="AK7" s="2180" t="s">
        <v>30</v>
      </c>
      <c r="AL7" s="2181"/>
      <c r="AM7" s="2181"/>
      <c r="AN7" s="2291" t="s">
        <v>31</v>
      </c>
      <c r="AO7" s="2884" t="s">
        <v>32</v>
      </c>
      <c r="AP7" s="2884" t="s">
        <v>33</v>
      </c>
      <c r="AQ7" s="2363" t="s">
        <v>34</v>
      </c>
    </row>
    <row r="8" spans="1:43" s="1396" customFormat="1" ht="123.75" customHeight="1">
      <c r="A8" s="2491"/>
      <c r="B8" s="2529"/>
      <c r="C8" s="2529"/>
      <c r="D8" s="2358"/>
      <c r="E8" s="2358"/>
      <c r="F8" s="2358"/>
      <c r="G8" s="2358"/>
      <c r="H8" s="2358"/>
      <c r="I8" s="2358"/>
      <c r="J8" s="2272"/>
      <c r="K8" s="2358"/>
      <c r="L8" s="2358"/>
      <c r="M8" s="2272"/>
      <c r="N8" s="2358"/>
      <c r="O8" s="2358"/>
      <c r="P8" s="2358"/>
      <c r="Q8" s="2533"/>
      <c r="R8" s="2534"/>
      <c r="S8" s="2885"/>
      <c r="T8" s="2885"/>
      <c r="U8" s="2885"/>
      <c r="V8" s="1395" t="s">
        <v>51</v>
      </c>
      <c r="W8" s="1084" t="s">
        <v>12</v>
      </c>
      <c r="X8" s="2358"/>
      <c r="Y8" s="154" t="s">
        <v>35</v>
      </c>
      <c r="Z8" s="155" t="s">
        <v>36</v>
      </c>
      <c r="AA8" s="154" t="s">
        <v>37</v>
      </c>
      <c r="AB8" s="154" t="s">
        <v>137</v>
      </c>
      <c r="AC8" s="154" t="s">
        <v>138</v>
      </c>
      <c r="AD8" s="154" t="s">
        <v>139</v>
      </c>
      <c r="AE8" s="154" t="s">
        <v>41</v>
      </c>
      <c r="AF8" s="154" t="s">
        <v>42</v>
      </c>
      <c r="AG8" s="154" t="s">
        <v>43</v>
      </c>
      <c r="AH8" s="154" t="s">
        <v>44</v>
      </c>
      <c r="AI8" s="154" t="s">
        <v>45</v>
      </c>
      <c r="AJ8" s="154" t="s">
        <v>46</v>
      </c>
      <c r="AK8" s="154" t="s">
        <v>47</v>
      </c>
      <c r="AL8" s="154" t="s">
        <v>48</v>
      </c>
      <c r="AM8" s="154" t="s">
        <v>49</v>
      </c>
      <c r="AN8" s="2293"/>
      <c r="AO8" s="2884"/>
      <c r="AP8" s="2884"/>
      <c r="AQ8" s="2363"/>
    </row>
    <row r="9" spans="1:43" ht="27" customHeight="1">
      <c r="A9" s="156">
        <v>1</v>
      </c>
      <c r="B9" s="157"/>
      <c r="C9" s="157" t="s">
        <v>1707</v>
      </c>
      <c r="D9" s="157"/>
      <c r="E9" s="157"/>
      <c r="F9" s="157"/>
      <c r="G9" s="157"/>
      <c r="H9" s="157"/>
      <c r="I9" s="157"/>
      <c r="J9" s="157"/>
      <c r="K9" s="159"/>
      <c r="L9" s="159"/>
      <c r="M9" s="160"/>
      <c r="N9" s="160"/>
      <c r="O9" s="160"/>
      <c r="P9" s="159"/>
      <c r="Q9" s="161"/>
      <c r="R9" s="1397"/>
      <c r="S9" s="159"/>
      <c r="T9" s="159"/>
      <c r="U9" s="159"/>
      <c r="V9" s="162"/>
      <c r="W9" s="164"/>
      <c r="X9" s="160"/>
      <c r="Y9" s="157"/>
      <c r="Z9" s="157"/>
      <c r="AA9" s="157"/>
      <c r="AB9" s="157"/>
      <c r="AC9" s="157"/>
      <c r="AD9" s="157"/>
      <c r="AE9" s="157"/>
      <c r="AF9" s="157"/>
      <c r="AG9" s="157"/>
      <c r="AH9" s="157"/>
      <c r="AI9" s="157"/>
      <c r="AJ9" s="157"/>
      <c r="AK9" s="157"/>
      <c r="AL9" s="157"/>
      <c r="AM9" s="157"/>
      <c r="AN9" s="157"/>
      <c r="AO9" s="165"/>
      <c r="AP9" s="165"/>
      <c r="AQ9" s="166"/>
    </row>
    <row r="10" spans="1:43" ht="22.5" customHeight="1">
      <c r="A10" s="167"/>
      <c r="B10" s="168"/>
      <c r="C10" s="168"/>
      <c r="D10" s="1398">
        <v>1</v>
      </c>
      <c r="E10" s="170" t="s">
        <v>1708</v>
      </c>
      <c r="F10" s="170"/>
      <c r="G10" s="170"/>
      <c r="H10" s="170"/>
      <c r="I10" s="170"/>
      <c r="J10" s="170"/>
      <c r="K10" s="171"/>
      <c r="L10" s="171"/>
      <c r="M10" s="172"/>
      <c r="N10" s="172"/>
      <c r="O10" s="172"/>
      <c r="P10" s="171"/>
      <c r="Q10" s="174"/>
      <c r="R10" s="1399"/>
      <c r="S10" s="171"/>
      <c r="T10" s="171"/>
      <c r="U10" s="171"/>
      <c r="V10" s="175"/>
      <c r="W10" s="177"/>
      <c r="X10" s="172"/>
      <c r="Y10" s="170"/>
      <c r="Z10" s="170"/>
      <c r="AA10" s="170"/>
      <c r="AB10" s="170"/>
      <c r="AC10" s="170"/>
      <c r="AD10" s="170"/>
      <c r="AE10" s="170"/>
      <c r="AF10" s="170"/>
      <c r="AG10" s="170"/>
      <c r="AH10" s="170"/>
      <c r="AI10" s="170"/>
      <c r="AJ10" s="170"/>
      <c r="AK10" s="170"/>
      <c r="AL10" s="170"/>
      <c r="AM10" s="170"/>
      <c r="AN10" s="170"/>
      <c r="AO10" s="178"/>
      <c r="AP10" s="178"/>
      <c r="AQ10" s="179"/>
    </row>
    <row r="11" spans="1:43" ht="24.75" customHeight="1">
      <c r="A11" s="167"/>
      <c r="B11" s="168"/>
      <c r="C11" s="168"/>
      <c r="D11" s="180"/>
      <c r="E11" s="168"/>
      <c r="F11" s="168"/>
      <c r="G11" s="1400">
        <v>1</v>
      </c>
      <c r="H11" s="182" t="s">
        <v>1709</v>
      </c>
      <c r="I11" s="182"/>
      <c r="J11" s="182"/>
      <c r="K11" s="505"/>
      <c r="L11" s="505"/>
      <c r="M11" s="606"/>
      <c r="N11" s="606"/>
      <c r="O11" s="606"/>
      <c r="P11" s="505"/>
      <c r="Q11" s="1305"/>
      <c r="R11" s="1401"/>
      <c r="S11" s="505"/>
      <c r="T11" s="505"/>
      <c r="U11" s="505"/>
      <c r="V11" s="1402"/>
      <c r="W11" s="189"/>
      <c r="X11" s="184"/>
      <c r="Y11" s="182"/>
      <c r="Z11" s="182"/>
      <c r="AA11" s="182"/>
      <c r="AB11" s="182"/>
      <c r="AC11" s="182"/>
      <c r="AD11" s="182"/>
      <c r="AE11" s="182"/>
      <c r="AF11" s="182"/>
      <c r="AG11" s="182"/>
      <c r="AH11" s="182"/>
      <c r="AI11" s="182"/>
      <c r="AJ11" s="182"/>
      <c r="AK11" s="182"/>
      <c r="AL11" s="182"/>
      <c r="AM11" s="182"/>
      <c r="AN11" s="182"/>
      <c r="AO11" s="545"/>
      <c r="AP11" s="545"/>
      <c r="AQ11" s="1403"/>
    </row>
    <row r="12" spans="1:43" ht="41.25" customHeight="1">
      <c r="A12" s="193"/>
      <c r="B12" s="194"/>
      <c r="C12" s="194"/>
      <c r="D12" s="195"/>
      <c r="E12" s="194"/>
      <c r="F12" s="194"/>
      <c r="G12" s="196"/>
      <c r="H12" s="194"/>
      <c r="I12" s="194"/>
      <c r="J12" s="2299">
        <v>1</v>
      </c>
      <c r="K12" s="2300" t="s">
        <v>1710</v>
      </c>
      <c r="L12" s="2300" t="s">
        <v>1711</v>
      </c>
      <c r="M12" s="2468">
        <v>1</v>
      </c>
      <c r="N12" s="2298" t="s">
        <v>1712</v>
      </c>
      <c r="O12" s="2414" t="s">
        <v>1713</v>
      </c>
      <c r="P12" s="2337" t="s">
        <v>1714</v>
      </c>
      <c r="Q12" s="2898">
        <f>+(V12+V13)/R12</f>
        <v>0.23529411764705882</v>
      </c>
      <c r="R12" s="2900">
        <f>SUM(V12:V18)</f>
        <v>85000000</v>
      </c>
      <c r="S12" s="2337" t="s">
        <v>1715</v>
      </c>
      <c r="T12" s="2422" t="s">
        <v>1716</v>
      </c>
      <c r="U12" s="742" t="s">
        <v>1717</v>
      </c>
      <c r="V12" s="1364">
        <v>10000000</v>
      </c>
      <c r="W12" s="1404">
        <v>20</v>
      </c>
      <c r="X12" s="200" t="s">
        <v>1718</v>
      </c>
      <c r="Y12" s="2878">
        <v>35373</v>
      </c>
      <c r="Z12" s="2881">
        <v>33985</v>
      </c>
      <c r="AA12" s="2894">
        <v>16632</v>
      </c>
      <c r="AB12" s="2897">
        <v>3361</v>
      </c>
      <c r="AC12" s="2897">
        <v>39432</v>
      </c>
      <c r="AD12" s="2897">
        <v>9933</v>
      </c>
      <c r="AE12" s="2890"/>
      <c r="AF12" s="2890"/>
      <c r="AG12" s="2890"/>
      <c r="AH12" s="2891"/>
      <c r="AI12" s="2891"/>
      <c r="AJ12" s="2891"/>
      <c r="AK12" s="2890"/>
      <c r="AL12" s="2890"/>
      <c r="AM12" s="2886"/>
      <c r="AN12" s="2887">
        <f>SUM(Y12:Z18)</f>
        <v>69358</v>
      </c>
      <c r="AO12" s="2888">
        <v>43101</v>
      </c>
      <c r="AP12" s="2888">
        <v>43465</v>
      </c>
      <c r="AQ12" s="2889" t="s">
        <v>1720</v>
      </c>
    </row>
    <row r="13" spans="1:43" ht="77.25" customHeight="1">
      <c r="A13" s="193"/>
      <c r="B13" s="2333"/>
      <c r="C13" s="2339"/>
      <c r="D13" s="195"/>
      <c r="E13" s="719"/>
      <c r="F13" s="706"/>
      <c r="G13" s="195"/>
      <c r="H13" s="719"/>
      <c r="I13" s="706"/>
      <c r="J13" s="2336"/>
      <c r="K13" s="2300"/>
      <c r="L13" s="2300"/>
      <c r="M13" s="2768"/>
      <c r="N13" s="2298"/>
      <c r="O13" s="2385"/>
      <c r="P13" s="2318"/>
      <c r="Q13" s="2899"/>
      <c r="R13" s="2900"/>
      <c r="S13" s="2318"/>
      <c r="T13" s="2423"/>
      <c r="U13" s="1405" t="s">
        <v>1721</v>
      </c>
      <c r="V13" s="1368">
        <v>10000000</v>
      </c>
      <c r="W13" s="1404">
        <v>20</v>
      </c>
      <c r="X13" s="200" t="s">
        <v>1718</v>
      </c>
      <c r="Y13" s="2879"/>
      <c r="Z13" s="2882"/>
      <c r="AA13" s="2895"/>
      <c r="AB13" s="2897"/>
      <c r="AC13" s="2897"/>
      <c r="AD13" s="2897"/>
      <c r="AE13" s="2890"/>
      <c r="AF13" s="2890"/>
      <c r="AG13" s="2890"/>
      <c r="AH13" s="2892"/>
      <c r="AI13" s="2892"/>
      <c r="AJ13" s="2892"/>
      <c r="AK13" s="2890"/>
      <c r="AL13" s="2890"/>
      <c r="AM13" s="2886"/>
      <c r="AN13" s="2887"/>
      <c r="AO13" s="2888"/>
      <c r="AP13" s="2888"/>
      <c r="AQ13" s="2889"/>
    </row>
    <row r="14" spans="1:43" ht="72" customHeight="1">
      <c r="A14" s="193"/>
      <c r="B14" s="194"/>
      <c r="C14" s="194"/>
      <c r="D14" s="195"/>
      <c r="E14" s="194"/>
      <c r="F14" s="194"/>
      <c r="G14" s="195"/>
      <c r="H14" s="194"/>
      <c r="I14" s="194"/>
      <c r="J14" s="200">
        <v>2</v>
      </c>
      <c r="K14" s="201" t="s">
        <v>1722</v>
      </c>
      <c r="L14" s="201" t="s">
        <v>1723</v>
      </c>
      <c r="M14" s="1369">
        <v>4</v>
      </c>
      <c r="N14" s="2298"/>
      <c r="O14" s="2385"/>
      <c r="P14" s="2318"/>
      <c r="Q14" s="1406">
        <f>(+V14)/$R$12</f>
        <v>0.11764705882352941</v>
      </c>
      <c r="R14" s="2900"/>
      <c r="S14" s="2318"/>
      <c r="T14" s="2424"/>
      <c r="U14" s="742" t="s">
        <v>1724</v>
      </c>
      <c r="V14" s="1370">
        <v>10000000</v>
      </c>
      <c r="W14" s="1404">
        <v>20</v>
      </c>
      <c r="X14" s="200" t="s">
        <v>1718</v>
      </c>
      <c r="Y14" s="2879"/>
      <c r="Z14" s="2882"/>
      <c r="AA14" s="2895"/>
      <c r="AB14" s="2897"/>
      <c r="AC14" s="2897"/>
      <c r="AD14" s="2897"/>
      <c r="AE14" s="2890"/>
      <c r="AF14" s="2890"/>
      <c r="AG14" s="2890"/>
      <c r="AH14" s="2892"/>
      <c r="AI14" s="2892"/>
      <c r="AJ14" s="2892"/>
      <c r="AK14" s="2890"/>
      <c r="AL14" s="2890"/>
      <c r="AM14" s="2886"/>
      <c r="AN14" s="2887"/>
      <c r="AO14" s="2888"/>
      <c r="AP14" s="2888"/>
      <c r="AQ14" s="2889"/>
    </row>
    <row r="15" spans="1:43" ht="81" customHeight="1">
      <c r="A15" s="193"/>
      <c r="B15" s="194"/>
      <c r="C15" s="194"/>
      <c r="D15" s="195"/>
      <c r="E15" s="194"/>
      <c r="F15" s="194"/>
      <c r="G15" s="195"/>
      <c r="H15" s="194"/>
      <c r="I15" s="194"/>
      <c r="J15" s="200">
        <v>3</v>
      </c>
      <c r="K15" s="201" t="s">
        <v>1725</v>
      </c>
      <c r="L15" s="404" t="s">
        <v>1726</v>
      </c>
      <c r="M15" s="1369">
        <v>1</v>
      </c>
      <c r="N15" s="2298"/>
      <c r="O15" s="2385"/>
      <c r="P15" s="2318"/>
      <c r="Q15" s="1406">
        <f>(+V15)/$R$12</f>
        <v>0.07058823529411765</v>
      </c>
      <c r="R15" s="2900"/>
      <c r="S15" s="2318"/>
      <c r="T15" s="2337" t="s">
        <v>1727</v>
      </c>
      <c r="U15" s="1407" t="s">
        <v>1728</v>
      </c>
      <c r="V15" s="1368">
        <v>6000000</v>
      </c>
      <c r="W15" s="1404">
        <v>20</v>
      </c>
      <c r="X15" s="200" t="s">
        <v>1718</v>
      </c>
      <c r="Y15" s="2879"/>
      <c r="Z15" s="2882"/>
      <c r="AA15" s="2895"/>
      <c r="AB15" s="2897"/>
      <c r="AC15" s="2897"/>
      <c r="AD15" s="2897"/>
      <c r="AE15" s="2890"/>
      <c r="AF15" s="2890"/>
      <c r="AG15" s="2890"/>
      <c r="AH15" s="2892"/>
      <c r="AI15" s="2892"/>
      <c r="AJ15" s="2892"/>
      <c r="AK15" s="2890"/>
      <c r="AL15" s="2890"/>
      <c r="AM15" s="2886"/>
      <c r="AN15" s="2887"/>
      <c r="AO15" s="2888"/>
      <c r="AP15" s="2888"/>
      <c r="AQ15" s="2889"/>
    </row>
    <row r="16" spans="1:43" ht="75">
      <c r="A16" s="193"/>
      <c r="B16" s="194"/>
      <c r="C16" s="194"/>
      <c r="D16" s="195"/>
      <c r="E16" s="194"/>
      <c r="F16" s="194"/>
      <c r="G16" s="195"/>
      <c r="H16" s="194"/>
      <c r="I16" s="194"/>
      <c r="J16" s="200">
        <v>4</v>
      </c>
      <c r="K16" s="201" t="s">
        <v>1729</v>
      </c>
      <c r="L16" s="404" t="s">
        <v>1730</v>
      </c>
      <c r="M16" s="1369">
        <v>1</v>
      </c>
      <c r="N16" s="2298"/>
      <c r="O16" s="2385"/>
      <c r="P16" s="2318"/>
      <c r="Q16" s="1406">
        <f>(+V16)/$R$12</f>
        <v>0.24705882352941178</v>
      </c>
      <c r="R16" s="2900"/>
      <c r="S16" s="2318"/>
      <c r="T16" s="2318"/>
      <c r="U16" s="742" t="s">
        <v>1731</v>
      </c>
      <c r="V16" s="1368">
        <v>21000000</v>
      </c>
      <c r="W16" s="1404">
        <v>20</v>
      </c>
      <c r="X16" s="200" t="s">
        <v>1718</v>
      </c>
      <c r="Y16" s="2879"/>
      <c r="Z16" s="2882"/>
      <c r="AA16" s="2895"/>
      <c r="AB16" s="2897"/>
      <c r="AC16" s="2897"/>
      <c r="AD16" s="2897"/>
      <c r="AE16" s="2890"/>
      <c r="AF16" s="2890"/>
      <c r="AG16" s="2890"/>
      <c r="AH16" s="2892"/>
      <c r="AI16" s="2892"/>
      <c r="AJ16" s="2892"/>
      <c r="AK16" s="2890"/>
      <c r="AL16" s="2890"/>
      <c r="AM16" s="2886"/>
      <c r="AN16" s="2887"/>
      <c r="AO16" s="2888"/>
      <c r="AP16" s="2888"/>
      <c r="AQ16" s="2889"/>
    </row>
    <row r="17" spans="1:43" ht="93" customHeight="1">
      <c r="A17" s="193"/>
      <c r="B17" s="194"/>
      <c r="C17" s="194"/>
      <c r="D17" s="195"/>
      <c r="E17" s="194"/>
      <c r="F17" s="194"/>
      <c r="G17" s="1408"/>
      <c r="H17" s="194"/>
      <c r="I17" s="194"/>
      <c r="J17" s="200">
        <v>5</v>
      </c>
      <c r="K17" s="201" t="s">
        <v>1732</v>
      </c>
      <c r="L17" s="404" t="s">
        <v>1733</v>
      </c>
      <c r="M17" s="1369">
        <v>2</v>
      </c>
      <c r="N17" s="2298"/>
      <c r="O17" s="2385"/>
      <c r="P17" s="2318"/>
      <c r="Q17" s="1406">
        <f>(+V17)/$R$12</f>
        <v>0.24705882352941178</v>
      </c>
      <c r="R17" s="2900"/>
      <c r="S17" s="2318"/>
      <c r="T17" s="2318"/>
      <c r="U17" s="1407" t="s">
        <v>1734</v>
      </c>
      <c r="V17" s="1368">
        <v>21000000</v>
      </c>
      <c r="W17" s="1404">
        <v>20</v>
      </c>
      <c r="X17" s="200" t="s">
        <v>1718</v>
      </c>
      <c r="Y17" s="2879"/>
      <c r="Z17" s="2882"/>
      <c r="AA17" s="2895"/>
      <c r="AB17" s="2897"/>
      <c r="AC17" s="2897"/>
      <c r="AD17" s="2897"/>
      <c r="AE17" s="2890"/>
      <c r="AF17" s="2890"/>
      <c r="AG17" s="2890"/>
      <c r="AH17" s="2892"/>
      <c r="AI17" s="2892"/>
      <c r="AJ17" s="2892"/>
      <c r="AK17" s="2890"/>
      <c r="AL17" s="2890"/>
      <c r="AM17" s="2886"/>
      <c r="AN17" s="2887"/>
      <c r="AO17" s="2888"/>
      <c r="AP17" s="2888"/>
      <c r="AQ17" s="2889"/>
    </row>
    <row r="18" spans="1:43" ht="92.25" customHeight="1">
      <c r="A18" s="193"/>
      <c r="B18" s="2333"/>
      <c r="C18" s="2339"/>
      <c r="D18" s="195"/>
      <c r="E18" s="719"/>
      <c r="F18" s="706"/>
      <c r="G18" s="195"/>
      <c r="H18" s="719"/>
      <c r="I18" s="706"/>
      <c r="J18" s="200">
        <v>6</v>
      </c>
      <c r="K18" s="201" t="s">
        <v>1735</v>
      </c>
      <c r="L18" s="404" t="s">
        <v>1736</v>
      </c>
      <c r="M18" s="1369">
        <v>12</v>
      </c>
      <c r="N18" s="2298"/>
      <c r="O18" s="2386"/>
      <c r="P18" s="2319"/>
      <c r="Q18" s="1406">
        <f>(+V18)/$R$12</f>
        <v>0.08235294117647059</v>
      </c>
      <c r="R18" s="2900"/>
      <c r="S18" s="2319"/>
      <c r="T18" s="2319"/>
      <c r="U18" s="1407" t="s">
        <v>1737</v>
      </c>
      <c r="V18" s="1409">
        <v>7000000</v>
      </c>
      <c r="W18" s="1404">
        <v>20</v>
      </c>
      <c r="X18" s="200" t="s">
        <v>1718</v>
      </c>
      <c r="Y18" s="2880"/>
      <c r="Z18" s="2883"/>
      <c r="AA18" s="2896"/>
      <c r="AB18" s="2897"/>
      <c r="AC18" s="2897"/>
      <c r="AD18" s="2897"/>
      <c r="AE18" s="2890"/>
      <c r="AF18" s="2890"/>
      <c r="AG18" s="2890"/>
      <c r="AH18" s="2893"/>
      <c r="AI18" s="2893"/>
      <c r="AJ18" s="2893"/>
      <c r="AK18" s="2890"/>
      <c r="AL18" s="2890"/>
      <c r="AM18" s="2886"/>
      <c r="AN18" s="2887"/>
      <c r="AO18" s="2888"/>
      <c r="AP18" s="2888"/>
      <c r="AQ18" s="2889"/>
    </row>
    <row r="19" spans="1:43" ht="15.75">
      <c r="A19" s="1410"/>
      <c r="B19" s="1411"/>
      <c r="C19" s="1411"/>
      <c r="D19" s="195"/>
      <c r="E19" s="1411"/>
      <c r="F19" s="1412"/>
      <c r="G19" s="1400">
        <v>2</v>
      </c>
      <c r="H19" s="182" t="s">
        <v>1738</v>
      </c>
      <c r="I19" s="182"/>
      <c r="J19" s="182"/>
      <c r="K19" s="505"/>
      <c r="L19" s="505"/>
      <c r="M19" s="606"/>
      <c r="N19" s="606"/>
      <c r="O19" s="606"/>
      <c r="P19" s="505"/>
      <c r="Q19" s="1413"/>
      <c r="R19" s="1414"/>
      <c r="S19" s="505"/>
      <c r="T19" s="505"/>
      <c r="U19" s="505"/>
      <c r="V19" s="1415"/>
      <c r="W19" s="1416"/>
      <c r="X19" s="1417"/>
      <c r="Y19" s="606"/>
      <c r="Z19" s="606"/>
      <c r="AA19" s="606"/>
      <c r="AB19" s="606"/>
      <c r="AC19" s="606"/>
      <c r="AD19" s="606"/>
      <c r="AE19" s="606"/>
      <c r="AF19" s="606"/>
      <c r="AG19" s="606"/>
      <c r="AH19" s="606"/>
      <c r="AI19" s="606"/>
      <c r="AJ19" s="606"/>
      <c r="AK19" s="606"/>
      <c r="AL19" s="606"/>
      <c r="AM19" s="606"/>
      <c r="AN19" s="182"/>
      <c r="AO19" s="546"/>
      <c r="AP19" s="545"/>
      <c r="AQ19" s="1403"/>
    </row>
    <row r="20" spans="1:43" ht="108" customHeight="1">
      <c r="A20" s="1418"/>
      <c r="B20" s="130"/>
      <c r="C20" s="130"/>
      <c r="D20" s="2909"/>
      <c r="E20" s="2910"/>
      <c r="F20" s="2911"/>
      <c r="G20" s="2917"/>
      <c r="H20" s="2917"/>
      <c r="I20" s="2917"/>
      <c r="J20" s="200">
        <v>8</v>
      </c>
      <c r="K20" s="201" t="s">
        <v>1739</v>
      </c>
      <c r="L20" s="404" t="s">
        <v>1740</v>
      </c>
      <c r="M20" s="292">
        <v>1</v>
      </c>
      <c r="N20" s="2382" t="s">
        <v>1741</v>
      </c>
      <c r="O20" s="2919" t="s">
        <v>1742</v>
      </c>
      <c r="P20" s="2337" t="s">
        <v>1743</v>
      </c>
      <c r="Q20" s="1406">
        <f>V20*1/R20</f>
        <v>0.19</v>
      </c>
      <c r="R20" s="2921">
        <f>SUM(V20:V21)</f>
        <v>200000000</v>
      </c>
      <c r="S20" s="2375" t="s">
        <v>1744</v>
      </c>
      <c r="T20" s="2405" t="s">
        <v>1745</v>
      </c>
      <c r="U20" s="1154" t="s">
        <v>1746</v>
      </c>
      <c r="V20" s="1419">
        <v>38000000</v>
      </c>
      <c r="W20" s="1420">
        <v>20</v>
      </c>
      <c r="X20" s="292" t="s">
        <v>80</v>
      </c>
      <c r="Y20" s="2901">
        <v>252568</v>
      </c>
      <c r="Z20" s="2903">
        <v>243650</v>
      </c>
      <c r="AA20" s="2905">
        <v>97896</v>
      </c>
      <c r="AB20" s="2907">
        <v>53351</v>
      </c>
      <c r="AC20" s="2907">
        <v>140316</v>
      </c>
      <c r="AD20" s="2907">
        <v>30825</v>
      </c>
      <c r="AE20" s="2926"/>
      <c r="AF20" s="2926"/>
      <c r="AG20" s="2926"/>
      <c r="AH20" s="2926"/>
      <c r="AI20" s="2926"/>
      <c r="AJ20" s="2926"/>
      <c r="AK20" s="2926"/>
      <c r="AL20" s="2926"/>
      <c r="AM20" s="2926"/>
      <c r="AN20" s="2887">
        <f>SUM(Y20:Z21)</f>
        <v>496218</v>
      </c>
      <c r="AO20" s="2922">
        <v>43101</v>
      </c>
      <c r="AP20" s="2922">
        <v>43465</v>
      </c>
      <c r="AQ20" s="2923" t="s">
        <v>1720</v>
      </c>
    </row>
    <row r="21" spans="1:43" ht="53.25" customHeight="1">
      <c r="A21" s="1418"/>
      <c r="B21" s="130"/>
      <c r="C21" s="130"/>
      <c r="D21" s="2912"/>
      <c r="E21" s="2770"/>
      <c r="F21" s="2913"/>
      <c r="G21" s="2917"/>
      <c r="H21" s="2917"/>
      <c r="I21" s="2917"/>
      <c r="J21" s="200">
        <v>7</v>
      </c>
      <c r="K21" s="201" t="s">
        <v>1747</v>
      </c>
      <c r="L21" s="404" t="s">
        <v>1748</v>
      </c>
      <c r="M21" s="292">
        <v>1</v>
      </c>
      <c r="N21" s="2918"/>
      <c r="O21" s="2920"/>
      <c r="P21" s="2319"/>
      <c r="Q21" s="1406">
        <f>V21*1/R20</f>
        <v>0.81</v>
      </c>
      <c r="R21" s="2921"/>
      <c r="S21" s="2377"/>
      <c r="T21" s="2405"/>
      <c r="U21" s="1154" t="s">
        <v>1747</v>
      </c>
      <c r="V21" s="1421">
        <f>62000000+100000000</f>
        <v>162000000</v>
      </c>
      <c r="W21" s="1420" t="s">
        <v>63</v>
      </c>
      <c r="X21" s="292" t="s">
        <v>1749</v>
      </c>
      <c r="Y21" s="2902"/>
      <c r="Z21" s="2904"/>
      <c r="AA21" s="2906"/>
      <c r="AB21" s="2908"/>
      <c r="AC21" s="2908"/>
      <c r="AD21" s="2908"/>
      <c r="AE21" s="2926"/>
      <c r="AF21" s="2926"/>
      <c r="AG21" s="2926"/>
      <c r="AH21" s="2926"/>
      <c r="AI21" s="2926"/>
      <c r="AJ21" s="2926"/>
      <c r="AK21" s="2926"/>
      <c r="AL21" s="2926"/>
      <c r="AM21" s="2926"/>
      <c r="AN21" s="2887"/>
      <c r="AO21" s="2922"/>
      <c r="AP21" s="2922"/>
      <c r="AQ21" s="2923"/>
    </row>
    <row r="22" spans="1:43" ht="15.75">
      <c r="A22" s="1410"/>
      <c r="B22" s="1411"/>
      <c r="C22" s="1411"/>
      <c r="D22" s="2914"/>
      <c r="E22" s="2915"/>
      <c r="F22" s="2916"/>
      <c r="G22" s="1422">
        <v>3</v>
      </c>
      <c r="H22" s="182" t="s">
        <v>1750</v>
      </c>
      <c r="I22" s="182"/>
      <c r="J22" s="182"/>
      <c r="K22" s="505"/>
      <c r="L22" s="505"/>
      <c r="M22" s="606"/>
      <c r="N22" s="606"/>
      <c r="O22" s="606"/>
      <c r="P22" s="505"/>
      <c r="Q22" s="1413"/>
      <c r="R22" s="1414"/>
      <c r="S22" s="505"/>
      <c r="T22" s="505"/>
      <c r="U22" s="505"/>
      <c r="V22" s="1415"/>
      <c r="W22" s="1416"/>
      <c r="X22" s="1417"/>
      <c r="Y22" s="606"/>
      <c r="Z22" s="606"/>
      <c r="AA22" s="606"/>
      <c r="AB22" s="606"/>
      <c r="AC22" s="606"/>
      <c r="AD22" s="606"/>
      <c r="AE22" s="606"/>
      <c r="AF22" s="606"/>
      <c r="AG22" s="606"/>
      <c r="AH22" s="606"/>
      <c r="AI22" s="606"/>
      <c r="AJ22" s="606"/>
      <c r="AK22" s="606"/>
      <c r="AL22" s="606"/>
      <c r="AM22" s="606"/>
      <c r="AN22" s="182"/>
      <c r="AO22" s="546"/>
      <c r="AP22" s="545"/>
      <c r="AQ22" s="1403"/>
    </row>
    <row r="23" spans="1:43" s="1424" customFormat="1" ht="41.25" customHeight="1">
      <c r="A23" s="1423"/>
      <c r="D23" s="2924"/>
      <c r="E23" s="2924"/>
      <c r="F23" s="2924"/>
      <c r="G23" s="2917"/>
      <c r="H23" s="2917"/>
      <c r="I23" s="2917"/>
      <c r="J23" s="2299">
        <v>14</v>
      </c>
      <c r="K23" s="2337" t="s">
        <v>1751</v>
      </c>
      <c r="L23" s="2337" t="s">
        <v>1752</v>
      </c>
      <c r="M23" s="2925">
        <v>6</v>
      </c>
      <c r="N23" s="2404" t="s">
        <v>1753</v>
      </c>
      <c r="O23" s="2919" t="s">
        <v>1754</v>
      </c>
      <c r="P23" s="2375" t="s">
        <v>1755</v>
      </c>
      <c r="Q23" s="2930">
        <f>SUM(V23:V25)/R23</f>
        <v>1</v>
      </c>
      <c r="R23" s="2933">
        <v>1122162444</v>
      </c>
      <c r="S23" s="2375" t="s">
        <v>1744</v>
      </c>
      <c r="T23" s="2405" t="s">
        <v>1756</v>
      </c>
      <c r="U23" s="735" t="s">
        <v>1757</v>
      </c>
      <c r="V23" s="1374">
        <v>180725334</v>
      </c>
      <c r="W23" s="1425">
        <v>20</v>
      </c>
      <c r="X23" s="1426" t="s">
        <v>1718</v>
      </c>
      <c r="Y23" s="2928">
        <v>35373</v>
      </c>
      <c r="Z23" s="2927">
        <v>33985</v>
      </c>
      <c r="AA23" s="2887">
        <v>16632</v>
      </c>
      <c r="AB23" s="2927">
        <v>3361</v>
      </c>
      <c r="AC23" s="2927">
        <v>39432</v>
      </c>
      <c r="AD23" s="2927">
        <v>9933</v>
      </c>
      <c r="AE23" s="2927"/>
      <c r="AF23" s="2927"/>
      <c r="AG23" s="2927"/>
      <c r="AH23" s="2927"/>
      <c r="AI23" s="2927"/>
      <c r="AJ23" s="2927"/>
      <c r="AK23" s="2927"/>
      <c r="AL23" s="2927"/>
      <c r="AM23" s="2927"/>
      <c r="AN23" s="2887">
        <f>SUM(AA23:AM25)</f>
        <v>69358</v>
      </c>
      <c r="AO23" s="2888">
        <v>43101</v>
      </c>
      <c r="AP23" s="2888">
        <v>43435</v>
      </c>
      <c r="AQ23" s="2923" t="s">
        <v>1720</v>
      </c>
    </row>
    <row r="24" spans="1:43" s="1424" customFormat="1" ht="45">
      <c r="A24" s="1423"/>
      <c r="D24" s="2924"/>
      <c r="E24" s="2924"/>
      <c r="F24" s="2924"/>
      <c r="G24" s="2917"/>
      <c r="H24" s="2917"/>
      <c r="I24" s="2917"/>
      <c r="J24" s="2336"/>
      <c r="K24" s="2318"/>
      <c r="L24" s="2318"/>
      <c r="M24" s="2925"/>
      <c r="N24" s="2404"/>
      <c r="O24" s="2929"/>
      <c r="P24" s="2376"/>
      <c r="Q24" s="2931"/>
      <c r="R24" s="2933"/>
      <c r="S24" s="2376"/>
      <c r="T24" s="2405"/>
      <c r="U24" s="735" t="s">
        <v>1758</v>
      </c>
      <c r="V24" s="1374">
        <v>180725334</v>
      </c>
      <c r="W24" s="1425">
        <v>20</v>
      </c>
      <c r="X24" s="1426" t="s">
        <v>1718</v>
      </c>
      <c r="Y24" s="2928"/>
      <c r="Z24" s="2927"/>
      <c r="AA24" s="2887"/>
      <c r="AB24" s="2927"/>
      <c r="AC24" s="2927"/>
      <c r="AD24" s="2927"/>
      <c r="AE24" s="2927"/>
      <c r="AF24" s="2927"/>
      <c r="AG24" s="2927"/>
      <c r="AH24" s="2927"/>
      <c r="AI24" s="2927"/>
      <c r="AJ24" s="2927"/>
      <c r="AK24" s="2927"/>
      <c r="AL24" s="2927"/>
      <c r="AM24" s="2927"/>
      <c r="AN24" s="2887"/>
      <c r="AO24" s="2888"/>
      <c r="AP24" s="2888"/>
      <c r="AQ24" s="2923"/>
    </row>
    <row r="25" spans="1:43" ht="50.25" customHeight="1">
      <c r="A25" s="1418"/>
      <c r="B25" s="130"/>
      <c r="C25" s="130"/>
      <c r="D25" s="2924"/>
      <c r="E25" s="2924"/>
      <c r="F25" s="2924"/>
      <c r="G25" s="2917"/>
      <c r="H25" s="2917"/>
      <c r="I25" s="2917"/>
      <c r="J25" s="2334"/>
      <c r="K25" s="2319"/>
      <c r="L25" s="2319"/>
      <c r="M25" s="2925"/>
      <c r="N25" s="2404"/>
      <c r="O25" s="2920"/>
      <c r="P25" s="2377"/>
      <c r="Q25" s="2932"/>
      <c r="R25" s="2933"/>
      <c r="S25" s="2377"/>
      <c r="T25" s="2405"/>
      <c r="U25" s="742" t="s">
        <v>1759</v>
      </c>
      <c r="V25" s="1374">
        <v>760711776</v>
      </c>
      <c r="W25" s="1420">
        <v>20</v>
      </c>
      <c r="X25" s="292" t="s">
        <v>1718</v>
      </c>
      <c r="Y25" s="2928"/>
      <c r="Z25" s="2927"/>
      <c r="AA25" s="2887"/>
      <c r="AB25" s="2927"/>
      <c r="AC25" s="2927"/>
      <c r="AD25" s="2927"/>
      <c r="AE25" s="2927"/>
      <c r="AF25" s="2927"/>
      <c r="AG25" s="2927"/>
      <c r="AH25" s="2927"/>
      <c r="AI25" s="2927"/>
      <c r="AJ25" s="2927"/>
      <c r="AK25" s="2927"/>
      <c r="AL25" s="2927"/>
      <c r="AM25" s="2927"/>
      <c r="AN25" s="2887"/>
      <c r="AO25" s="2888"/>
      <c r="AP25" s="2888"/>
      <c r="AQ25" s="2923"/>
    </row>
    <row r="26" spans="1:43" ht="64.5" customHeight="1">
      <c r="A26" s="1418"/>
      <c r="B26" s="130"/>
      <c r="C26" s="130"/>
      <c r="D26" s="2924"/>
      <c r="E26" s="2924"/>
      <c r="F26" s="2924"/>
      <c r="G26" s="2917"/>
      <c r="H26" s="2917"/>
      <c r="I26" s="2917"/>
      <c r="J26" s="2905">
        <v>15</v>
      </c>
      <c r="K26" s="2337" t="s">
        <v>1760</v>
      </c>
      <c r="L26" s="2337" t="s">
        <v>1761</v>
      </c>
      <c r="M26" s="2432">
        <v>2</v>
      </c>
      <c r="N26" s="2378" t="s">
        <v>1762</v>
      </c>
      <c r="O26" s="2919" t="s">
        <v>1763</v>
      </c>
      <c r="P26" s="2337" t="s">
        <v>1764</v>
      </c>
      <c r="Q26" s="2936">
        <f>SUM(V26:V27)/R26</f>
        <v>0.7874015748031497</v>
      </c>
      <c r="R26" s="2933">
        <f>SUM(V26:V31)</f>
        <v>228600000</v>
      </c>
      <c r="S26" s="2405" t="s">
        <v>1765</v>
      </c>
      <c r="T26" s="2393" t="s">
        <v>1766</v>
      </c>
      <c r="U26" s="197" t="s">
        <v>1767</v>
      </c>
      <c r="V26" s="1419">
        <v>170000000</v>
      </c>
      <c r="W26" s="1427">
        <v>20</v>
      </c>
      <c r="X26" s="1428" t="s">
        <v>1718</v>
      </c>
      <c r="Y26" s="2934">
        <v>40906</v>
      </c>
      <c r="Z26" s="2935">
        <v>37728</v>
      </c>
      <c r="AA26" s="2887">
        <v>16790</v>
      </c>
      <c r="AB26" s="2935">
        <v>8871</v>
      </c>
      <c r="AC26" s="2935">
        <v>46240</v>
      </c>
      <c r="AD26" s="2935">
        <v>10814</v>
      </c>
      <c r="AE26" s="2887"/>
      <c r="AF26" s="2887"/>
      <c r="AG26" s="2887"/>
      <c r="AH26" s="2887"/>
      <c r="AI26" s="2887"/>
      <c r="AJ26" s="2887"/>
      <c r="AK26" s="2887"/>
      <c r="AL26" s="2887"/>
      <c r="AM26" s="2887"/>
      <c r="AN26" s="2887">
        <f>SUM(Y26:Z31)</f>
        <v>78634</v>
      </c>
      <c r="AO26" s="2888" t="s">
        <v>1768</v>
      </c>
      <c r="AP26" s="2888">
        <v>43435</v>
      </c>
      <c r="AQ26" s="2923" t="s">
        <v>1720</v>
      </c>
    </row>
    <row r="27" spans="1:43" ht="65.25" customHeight="1">
      <c r="A27" s="1418"/>
      <c r="B27" s="130"/>
      <c r="C27" s="130"/>
      <c r="D27" s="2924"/>
      <c r="E27" s="2924"/>
      <c r="F27" s="2924"/>
      <c r="G27" s="2917"/>
      <c r="H27" s="2917"/>
      <c r="I27" s="2917"/>
      <c r="J27" s="2906"/>
      <c r="K27" s="2318"/>
      <c r="L27" s="2319"/>
      <c r="M27" s="2432"/>
      <c r="N27" s="2373"/>
      <c r="O27" s="2929"/>
      <c r="P27" s="2318"/>
      <c r="Q27" s="2936"/>
      <c r="R27" s="2933"/>
      <c r="S27" s="2405"/>
      <c r="T27" s="2394"/>
      <c r="U27" s="197" t="s">
        <v>1769</v>
      </c>
      <c r="V27" s="1419">
        <v>10000000</v>
      </c>
      <c r="W27" s="1420">
        <v>20</v>
      </c>
      <c r="X27" s="296" t="s">
        <v>1718</v>
      </c>
      <c r="Y27" s="2934"/>
      <c r="Z27" s="2935"/>
      <c r="AA27" s="2887"/>
      <c r="AB27" s="2935"/>
      <c r="AC27" s="2935"/>
      <c r="AD27" s="2935"/>
      <c r="AE27" s="2887"/>
      <c r="AF27" s="2887"/>
      <c r="AG27" s="2887"/>
      <c r="AH27" s="2887"/>
      <c r="AI27" s="2887"/>
      <c r="AJ27" s="2887"/>
      <c r="AK27" s="2887"/>
      <c r="AL27" s="2887"/>
      <c r="AM27" s="2887"/>
      <c r="AN27" s="2887"/>
      <c r="AO27" s="2888"/>
      <c r="AP27" s="2888"/>
      <c r="AQ27" s="2923"/>
    </row>
    <row r="28" spans="1:43" ht="98.25" customHeight="1">
      <c r="A28" s="1418"/>
      <c r="B28" s="130"/>
      <c r="C28" s="130"/>
      <c r="D28" s="2924"/>
      <c r="E28" s="2924"/>
      <c r="F28" s="2924"/>
      <c r="G28" s="2917"/>
      <c r="H28" s="2917"/>
      <c r="I28" s="2917"/>
      <c r="J28" s="1143">
        <v>16</v>
      </c>
      <c r="K28" s="1203" t="s">
        <v>1770</v>
      </c>
      <c r="L28" s="404" t="s">
        <v>1771</v>
      </c>
      <c r="M28" s="1372">
        <v>4</v>
      </c>
      <c r="N28" s="2373"/>
      <c r="O28" s="2929"/>
      <c r="P28" s="2318"/>
      <c r="Q28" s="1429">
        <f>V28/$R$26</f>
        <v>0.026246719160104987</v>
      </c>
      <c r="R28" s="2933"/>
      <c r="S28" s="2405"/>
      <c r="T28" s="2394"/>
      <c r="U28" s="315" t="s">
        <v>1772</v>
      </c>
      <c r="V28" s="1419">
        <v>6000000</v>
      </c>
      <c r="W28" s="1420">
        <v>20</v>
      </c>
      <c r="X28" s="296" t="s">
        <v>1718</v>
      </c>
      <c r="Y28" s="2934"/>
      <c r="Z28" s="2935"/>
      <c r="AA28" s="2887"/>
      <c r="AB28" s="2935"/>
      <c r="AC28" s="2935"/>
      <c r="AD28" s="2935"/>
      <c r="AE28" s="2887"/>
      <c r="AF28" s="2887"/>
      <c r="AG28" s="2887"/>
      <c r="AH28" s="2887"/>
      <c r="AI28" s="2887"/>
      <c r="AJ28" s="2887"/>
      <c r="AK28" s="2887"/>
      <c r="AL28" s="2887"/>
      <c r="AM28" s="2887"/>
      <c r="AN28" s="2887"/>
      <c r="AO28" s="2888"/>
      <c r="AP28" s="2888"/>
      <c r="AQ28" s="2923"/>
    </row>
    <row r="29" spans="1:43" ht="66" customHeight="1">
      <c r="A29" s="1418"/>
      <c r="B29" s="130"/>
      <c r="C29" s="130"/>
      <c r="D29" s="2924"/>
      <c r="E29" s="2924"/>
      <c r="F29" s="2924"/>
      <c r="G29" s="2917"/>
      <c r="H29" s="2917"/>
      <c r="I29" s="2917"/>
      <c r="J29" s="1143">
        <v>18</v>
      </c>
      <c r="K29" s="77" t="s">
        <v>1773</v>
      </c>
      <c r="L29" s="404" t="s">
        <v>1774</v>
      </c>
      <c r="M29" s="1372">
        <v>7</v>
      </c>
      <c r="N29" s="2373"/>
      <c r="O29" s="2929"/>
      <c r="P29" s="2318"/>
      <c r="Q29" s="1429">
        <f>V29/$R$26</f>
        <v>0.12510936132983377</v>
      </c>
      <c r="R29" s="2933"/>
      <c r="S29" s="2405"/>
      <c r="T29" s="2395"/>
      <c r="U29" s="1430" t="s">
        <v>1775</v>
      </c>
      <c r="V29" s="1419">
        <v>28600000</v>
      </c>
      <c r="W29" s="1420">
        <v>20</v>
      </c>
      <c r="X29" s="296" t="s">
        <v>1718</v>
      </c>
      <c r="Y29" s="2934"/>
      <c r="Z29" s="2935"/>
      <c r="AA29" s="2887"/>
      <c r="AB29" s="2935"/>
      <c r="AC29" s="2935"/>
      <c r="AD29" s="2935"/>
      <c r="AE29" s="2887"/>
      <c r="AF29" s="2887"/>
      <c r="AG29" s="2887"/>
      <c r="AH29" s="2887"/>
      <c r="AI29" s="2887"/>
      <c r="AJ29" s="2887"/>
      <c r="AK29" s="2887"/>
      <c r="AL29" s="2887"/>
      <c r="AM29" s="2887"/>
      <c r="AN29" s="2887"/>
      <c r="AO29" s="2888"/>
      <c r="AP29" s="2888"/>
      <c r="AQ29" s="2923"/>
    </row>
    <row r="30" spans="1:43" ht="89.25" customHeight="1">
      <c r="A30" s="1418"/>
      <c r="B30" s="130"/>
      <c r="C30" s="130"/>
      <c r="D30" s="2924"/>
      <c r="E30" s="2924"/>
      <c r="F30" s="2924"/>
      <c r="G30" s="2917"/>
      <c r="H30" s="2917"/>
      <c r="I30" s="2917"/>
      <c r="J30" s="1143">
        <v>19</v>
      </c>
      <c r="K30" s="201" t="s">
        <v>1776</v>
      </c>
      <c r="L30" s="404" t="s">
        <v>1777</v>
      </c>
      <c r="M30" s="1372">
        <v>9</v>
      </c>
      <c r="N30" s="2373"/>
      <c r="O30" s="2929"/>
      <c r="P30" s="2318"/>
      <c r="Q30" s="1429">
        <f>V30/$R$26</f>
        <v>0.03062117235345582</v>
      </c>
      <c r="R30" s="2933"/>
      <c r="S30" s="2405"/>
      <c r="T30" s="1431" t="s">
        <v>1778</v>
      </c>
      <c r="U30" s="1432" t="s">
        <v>1779</v>
      </c>
      <c r="V30" s="1419">
        <v>7000000</v>
      </c>
      <c r="W30" s="1420">
        <v>20</v>
      </c>
      <c r="X30" s="296" t="s">
        <v>1718</v>
      </c>
      <c r="Y30" s="2934"/>
      <c r="Z30" s="2935"/>
      <c r="AA30" s="2887"/>
      <c r="AB30" s="2935"/>
      <c r="AC30" s="2935"/>
      <c r="AD30" s="2935"/>
      <c r="AE30" s="2887"/>
      <c r="AF30" s="2887"/>
      <c r="AG30" s="2887"/>
      <c r="AH30" s="2887"/>
      <c r="AI30" s="2887"/>
      <c r="AJ30" s="2887"/>
      <c r="AK30" s="2887"/>
      <c r="AL30" s="2887"/>
      <c r="AM30" s="2887"/>
      <c r="AN30" s="2887"/>
      <c r="AO30" s="2888"/>
      <c r="AP30" s="2888"/>
      <c r="AQ30" s="2923"/>
    </row>
    <row r="31" spans="1:43" ht="112.5" customHeight="1">
      <c r="A31" s="1418"/>
      <c r="B31" s="130"/>
      <c r="C31" s="130"/>
      <c r="D31" s="2924"/>
      <c r="E31" s="2924"/>
      <c r="F31" s="2924"/>
      <c r="G31" s="2917"/>
      <c r="H31" s="2917"/>
      <c r="I31" s="2917"/>
      <c r="J31" s="1143">
        <v>20</v>
      </c>
      <c r="K31" s="201" t="s">
        <v>1780</v>
      </c>
      <c r="L31" s="404" t="s">
        <v>1781</v>
      </c>
      <c r="M31" s="80">
        <v>70</v>
      </c>
      <c r="N31" s="2374"/>
      <c r="O31" s="2920"/>
      <c r="P31" s="2319"/>
      <c r="Q31" s="1429">
        <f>V31/$R$26</f>
        <v>0.03062117235345582</v>
      </c>
      <c r="R31" s="2933"/>
      <c r="S31" s="2405"/>
      <c r="T31" s="1431" t="s">
        <v>1782</v>
      </c>
      <c r="U31" s="201" t="s">
        <v>1783</v>
      </c>
      <c r="V31" s="1419">
        <v>7000000</v>
      </c>
      <c r="W31" s="1420">
        <v>20</v>
      </c>
      <c r="X31" s="296" t="s">
        <v>1718</v>
      </c>
      <c r="Y31" s="2934"/>
      <c r="Z31" s="2935"/>
      <c r="AA31" s="2887"/>
      <c r="AB31" s="2935"/>
      <c r="AC31" s="2935"/>
      <c r="AD31" s="2935"/>
      <c r="AE31" s="2887"/>
      <c r="AF31" s="2887"/>
      <c r="AG31" s="2887"/>
      <c r="AH31" s="2887"/>
      <c r="AI31" s="2887"/>
      <c r="AJ31" s="2887"/>
      <c r="AK31" s="2887"/>
      <c r="AL31" s="2887"/>
      <c r="AM31" s="2887"/>
      <c r="AN31" s="2887"/>
      <c r="AO31" s="2888"/>
      <c r="AP31" s="2888"/>
      <c r="AQ31" s="2923"/>
    </row>
    <row r="32" spans="1:43" ht="15.75">
      <c r="A32" s="156">
        <v>2</v>
      </c>
      <c r="B32" s="157" t="s">
        <v>230</v>
      </c>
      <c r="C32" s="157"/>
      <c r="D32" s="157"/>
      <c r="E32" s="157"/>
      <c r="F32" s="157"/>
      <c r="G32" s="157"/>
      <c r="H32" s="157"/>
      <c r="I32" s="157"/>
      <c r="J32" s="157"/>
      <c r="K32" s="159"/>
      <c r="L32" s="159"/>
      <c r="M32" s="160"/>
      <c r="N32" s="160"/>
      <c r="O32" s="160"/>
      <c r="P32" s="159"/>
      <c r="Q32" s="1433"/>
      <c r="R32" s="1434"/>
      <c r="S32" s="159"/>
      <c r="T32" s="159"/>
      <c r="U32" s="159"/>
      <c r="V32" s="1435"/>
      <c r="W32" s="1436"/>
      <c r="X32" s="1437"/>
      <c r="Y32" s="160"/>
      <c r="Z32" s="160"/>
      <c r="AA32" s="160"/>
      <c r="AB32" s="160"/>
      <c r="AC32" s="160"/>
      <c r="AD32" s="160"/>
      <c r="AE32" s="160"/>
      <c r="AF32" s="160"/>
      <c r="AG32" s="160"/>
      <c r="AH32" s="160"/>
      <c r="AI32" s="160"/>
      <c r="AJ32" s="160"/>
      <c r="AK32" s="160"/>
      <c r="AL32" s="160"/>
      <c r="AM32" s="160"/>
      <c r="AN32" s="157"/>
      <c r="AO32" s="1438"/>
      <c r="AP32" s="165"/>
      <c r="AQ32" s="166"/>
    </row>
    <row r="33" spans="1:43" ht="15.75">
      <c r="A33" s="1439"/>
      <c r="B33" s="1440"/>
      <c r="C33" s="1441"/>
      <c r="D33" s="1442">
        <v>2</v>
      </c>
      <c r="E33" s="273" t="s">
        <v>231</v>
      </c>
      <c r="F33" s="273"/>
      <c r="G33" s="170"/>
      <c r="H33" s="170"/>
      <c r="I33" s="170"/>
      <c r="J33" s="170"/>
      <c r="K33" s="171"/>
      <c r="L33" s="171"/>
      <c r="M33" s="172"/>
      <c r="N33" s="172"/>
      <c r="O33" s="172"/>
      <c r="P33" s="171"/>
      <c r="Q33" s="1443"/>
      <c r="R33" s="1444"/>
      <c r="S33" s="171"/>
      <c r="T33" s="171"/>
      <c r="U33" s="171"/>
      <c r="V33" s="1445"/>
      <c r="W33" s="177"/>
      <c r="X33" s="172"/>
      <c r="Y33" s="172"/>
      <c r="Z33" s="172"/>
      <c r="AA33" s="172"/>
      <c r="AB33" s="172"/>
      <c r="AC33" s="172"/>
      <c r="AD33" s="172"/>
      <c r="AE33" s="172"/>
      <c r="AF33" s="172"/>
      <c r="AG33" s="172"/>
      <c r="AH33" s="172"/>
      <c r="AI33" s="172"/>
      <c r="AJ33" s="172"/>
      <c r="AK33" s="172"/>
      <c r="AL33" s="172"/>
      <c r="AM33" s="172"/>
      <c r="AN33" s="170"/>
      <c r="AO33" s="1446"/>
      <c r="AP33" s="178"/>
      <c r="AQ33" s="179"/>
    </row>
    <row r="34" spans="1:43" ht="15.75">
      <c r="A34" s="167"/>
      <c r="B34" s="168"/>
      <c r="C34" s="168"/>
      <c r="D34" s="180"/>
      <c r="E34" s="1440"/>
      <c r="F34" s="1441"/>
      <c r="G34" s="1422">
        <v>4</v>
      </c>
      <c r="H34" s="182" t="s">
        <v>1784</v>
      </c>
      <c r="I34" s="182"/>
      <c r="J34" s="182"/>
      <c r="K34" s="505"/>
      <c r="L34" s="505"/>
      <c r="M34" s="606"/>
      <c r="N34" s="606"/>
      <c r="O34" s="606"/>
      <c r="P34" s="505"/>
      <c r="Q34" s="1413"/>
      <c r="R34" s="1414"/>
      <c r="S34" s="505"/>
      <c r="T34" s="505"/>
      <c r="U34" s="505"/>
      <c r="V34" s="1415"/>
      <c r="W34" s="189"/>
      <c r="X34" s="184"/>
      <c r="Y34" s="606"/>
      <c r="Z34" s="606"/>
      <c r="AA34" s="606"/>
      <c r="AB34" s="606"/>
      <c r="AC34" s="606"/>
      <c r="AD34" s="606"/>
      <c r="AE34" s="606"/>
      <c r="AF34" s="606"/>
      <c r="AG34" s="606"/>
      <c r="AH34" s="606"/>
      <c r="AI34" s="606"/>
      <c r="AJ34" s="606"/>
      <c r="AK34" s="606"/>
      <c r="AL34" s="606"/>
      <c r="AM34" s="606"/>
      <c r="AN34" s="182"/>
      <c r="AO34" s="546"/>
      <c r="AP34" s="545"/>
      <c r="AQ34" s="1403"/>
    </row>
    <row r="35" spans="1:43" ht="69" customHeight="1">
      <c r="A35" s="1418"/>
      <c r="B35" s="130"/>
      <c r="C35" s="130"/>
      <c r="D35" s="520"/>
      <c r="E35" s="130"/>
      <c r="F35" s="521"/>
      <c r="G35" s="511"/>
      <c r="H35" s="1447"/>
      <c r="I35" s="512"/>
      <c r="J35" s="2378">
        <v>21</v>
      </c>
      <c r="K35" s="2375" t="s">
        <v>1785</v>
      </c>
      <c r="L35" s="2375" t="s">
        <v>1786</v>
      </c>
      <c r="M35" s="2443">
        <v>100</v>
      </c>
      <c r="N35" s="2382" t="s">
        <v>1787</v>
      </c>
      <c r="O35" s="2919" t="s">
        <v>1788</v>
      </c>
      <c r="P35" s="2337" t="s">
        <v>1789</v>
      </c>
      <c r="Q35" s="2937">
        <f>SUM(V35:V36)*1/R35</f>
        <v>0.18028169014084508</v>
      </c>
      <c r="R35" s="2933">
        <f>SUM(V35:V42)</f>
        <v>355000000</v>
      </c>
      <c r="S35" s="2375" t="s">
        <v>1790</v>
      </c>
      <c r="T35" s="2729" t="s">
        <v>1791</v>
      </c>
      <c r="U35" s="742" t="s">
        <v>1792</v>
      </c>
      <c r="V35" s="1374">
        <f>30000000+20000000</f>
        <v>50000000</v>
      </c>
      <c r="W35" s="1420" t="s">
        <v>1460</v>
      </c>
      <c r="X35" s="292" t="s">
        <v>1793</v>
      </c>
      <c r="Y35" s="2940">
        <v>40</v>
      </c>
      <c r="Z35" s="2465">
        <v>60</v>
      </c>
      <c r="AA35" s="2905">
        <v>10</v>
      </c>
      <c r="AB35" s="2887">
        <v>20</v>
      </c>
      <c r="AC35" s="2887">
        <v>30</v>
      </c>
      <c r="AD35" s="2887">
        <v>40</v>
      </c>
      <c r="AE35" s="2887">
        <v>5</v>
      </c>
      <c r="AF35" s="2298"/>
      <c r="AG35" s="2298"/>
      <c r="AH35" s="2298"/>
      <c r="AI35" s="2298"/>
      <c r="AJ35" s="2298"/>
      <c r="AK35" s="2260">
        <v>5</v>
      </c>
      <c r="AL35" s="2298"/>
      <c r="AM35" s="2298"/>
      <c r="AN35" s="2887">
        <v>100</v>
      </c>
      <c r="AO35" s="2888">
        <v>43101</v>
      </c>
      <c r="AP35" s="2888">
        <v>43435</v>
      </c>
      <c r="AQ35" s="2923" t="s">
        <v>1720</v>
      </c>
    </row>
    <row r="36" spans="1:43" ht="75.75" customHeight="1">
      <c r="A36" s="1418"/>
      <c r="B36" s="130"/>
      <c r="C36" s="130"/>
      <c r="D36" s="520"/>
      <c r="E36" s="130"/>
      <c r="F36" s="521"/>
      <c r="G36" s="520"/>
      <c r="H36" s="130"/>
      <c r="I36" s="521"/>
      <c r="J36" s="2374"/>
      <c r="K36" s="2377"/>
      <c r="L36" s="2377"/>
      <c r="M36" s="2464"/>
      <c r="N36" s="2339"/>
      <c r="O36" s="2929"/>
      <c r="P36" s="2318"/>
      <c r="Q36" s="2938"/>
      <c r="R36" s="2933"/>
      <c r="S36" s="2376"/>
      <c r="T36" s="2762"/>
      <c r="U36" s="742" t="s">
        <v>1794</v>
      </c>
      <c r="V36" s="1374">
        <v>14000000</v>
      </c>
      <c r="W36" s="1420">
        <v>20</v>
      </c>
      <c r="X36" s="292" t="s">
        <v>1718</v>
      </c>
      <c r="Y36" s="2941"/>
      <c r="Z36" s="2466"/>
      <c r="AA36" s="2939"/>
      <c r="AB36" s="2887"/>
      <c r="AC36" s="2887"/>
      <c r="AD36" s="2887"/>
      <c r="AE36" s="2887"/>
      <c r="AF36" s="2298"/>
      <c r="AG36" s="2298"/>
      <c r="AH36" s="2298"/>
      <c r="AI36" s="2298"/>
      <c r="AJ36" s="2298"/>
      <c r="AK36" s="2260"/>
      <c r="AL36" s="2298"/>
      <c r="AM36" s="2298"/>
      <c r="AN36" s="2887"/>
      <c r="AO36" s="2888"/>
      <c r="AP36" s="2888"/>
      <c r="AQ36" s="2923"/>
    </row>
    <row r="37" spans="1:43" ht="94.5" customHeight="1">
      <c r="A37" s="1418"/>
      <c r="B37" s="130"/>
      <c r="C37" s="130"/>
      <c r="D37" s="520"/>
      <c r="E37" s="130"/>
      <c r="F37" s="521"/>
      <c r="G37" s="520"/>
      <c r="H37" s="130"/>
      <c r="I37" s="521"/>
      <c r="J37" s="2443">
        <v>22</v>
      </c>
      <c r="K37" s="2434" t="s">
        <v>1795</v>
      </c>
      <c r="L37" s="2434" t="s">
        <v>1796</v>
      </c>
      <c r="M37" s="2432">
        <v>2</v>
      </c>
      <c r="N37" s="2339"/>
      <c r="O37" s="2929"/>
      <c r="P37" s="2318"/>
      <c r="Q37" s="2937">
        <f>SUM(V37:V38)*1/R35</f>
        <v>0.07887323943661972</v>
      </c>
      <c r="R37" s="2933"/>
      <c r="S37" s="2376"/>
      <c r="T37" s="2762"/>
      <c r="U37" s="315" t="s">
        <v>1797</v>
      </c>
      <c r="V37" s="1368">
        <v>10000000</v>
      </c>
      <c r="W37" s="1420">
        <v>20</v>
      </c>
      <c r="X37" s="292" t="s">
        <v>1718</v>
      </c>
      <c r="Y37" s="2941"/>
      <c r="Z37" s="2466"/>
      <c r="AA37" s="2939"/>
      <c r="AB37" s="2887"/>
      <c r="AC37" s="2887"/>
      <c r="AD37" s="2887"/>
      <c r="AE37" s="2887"/>
      <c r="AF37" s="2298"/>
      <c r="AG37" s="2298"/>
      <c r="AH37" s="2298"/>
      <c r="AI37" s="2298"/>
      <c r="AJ37" s="2298"/>
      <c r="AK37" s="2260"/>
      <c r="AL37" s="2298"/>
      <c r="AM37" s="2298"/>
      <c r="AN37" s="2887"/>
      <c r="AO37" s="2888"/>
      <c r="AP37" s="2888"/>
      <c r="AQ37" s="2923"/>
    </row>
    <row r="38" spans="1:43" s="1424" customFormat="1" ht="87.75" customHeight="1">
      <c r="A38" s="1423"/>
      <c r="D38" s="1448"/>
      <c r="F38" s="1449"/>
      <c r="G38" s="1448"/>
      <c r="I38" s="1449"/>
      <c r="J38" s="2464"/>
      <c r="K38" s="2434"/>
      <c r="L38" s="2434"/>
      <c r="M38" s="2432"/>
      <c r="N38" s="2339"/>
      <c r="O38" s="2929"/>
      <c r="P38" s="2318"/>
      <c r="Q38" s="2938"/>
      <c r="R38" s="2933"/>
      <c r="S38" s="2376"/>
      <c r="T38" s="2730"/>
      <c r="U38" s="1450" t="s">
        <v>1798</v>
      </c>
      <c r="V38" s="1378">
        <v>18000000</v>
      </c>
      <c r="W38" s="1425">
        <v>20</v>
      </c>
      <c r="X38" s="1426" t="s">
        <v>1718</v>
      </c>
      <c r="Y38" s="2941"/>
      <c r="Z38" s="2466"/>
      <c r="AA38" s="2939"/>
      <c r="AB38" s="2887"/>
      <c r="AC38" s="2887"/>
      <c r="AD38" s="2887"/>
      <c r="AE38" s="2887"/>
      <c r="AF38" s="2298"/>
      <c r="AG38" s="2298"/>
      <c r="AH38" s="2298"/>
      <c r="AI38" s="2298"/>
      <c r="AJ38" s="2298"/>
      <c r="AK38" s="2260"/>
      <c r="AL38" s="2298"/>
      <c r="AM38" s="2298"/>
      <c r="AN38" s="2887"/>
      <c r="AO38" s="2888"/>
      <c r="AP38" s="2888"/>
      <c r="AQ38" s="2923"/>
    </row>
    <row r="39" spans="1:43" ht="83.25" customHeight="1">
      <c r="A39" s="1418"/>
      <c r="B39" s="130"/>
      <c r="C39" s="130"/>
      <c r="D39" s="520"/>
      <c r="E39" s="130"/>
      <c r="F39" s="521"/>
      <c r="G39" s="520"/>
      <c r="H39" s="130"/>
      <c r="I39" s="521"/>
      <c r="J39" s="2443">
        <v>23</v>
      </c>
      <c r="K39" s="2441" t="s">
        <v>1799</v>
      </c>
      <c r="L39" s="2441" t="s">
        <v>1800</v>
      </c>
      <c r="M39" s="2122">
        <v>1</v>
      </c>
      <c r="N39" s="2339"/>
      <c r="O39" s="2929"/>
      <c r="P39" s="2318"/>
      <c r="Q39" s="2936">
        <f>SUM(V39:V41)*1/R35</f>
        <v>0.4056338028169014</v>
      </c>
      <c r="R39" s="2933"/>
      <c r="S39" s="2376"/>
      <c r="T39" s="2337" t="s">
        <v>1801</v>
      </c>
      <c r="U39" s="742" t="s">
        <v>1802</v>
      </c>
      <c r="V39" s="1419">
        <v>60000000</v>
      </c>
      <c r="W39" s="1420">
        <v>20</v>
      </c>
      <c r="X39" s="292" t="s">
        <v>1718</v>
      </c>
      <c r="Y39" s="2941"/>
      <c r="Z39" s="2466"/>
      <c r="AA39" s="2939"/>
      <c r="AB39" s="2887"/>
      <c r="AC39" s="2887"/>
      <c r="AD39" s="2887"/>
      <c r="AE39" s="2887"/>
      <c r="AF39" s="2298"/>
      <c r="AG39" s="2298"/>
      <c r="AH39" s="2298"/>
      <c r="AI39" s="2298"/>
      <c r="AJ39" s="2298"/>
      <c r="AK39" s="2260"/>
      <c r="AL39" s="2298"/>
      <c r="AM39" s="2298"/>
      <c r="AN39" s="2887"/>
      <c r="AO39" s="2888"/>
      <c r="AP39" s="2888"/>
      <c r="AQ39" s="2923"/>
    </row>
    <row r="40" spans="1:43" ht="94.5" customHeight="1">
      <c r="A40" s="1418"/>
      <c r="B40" s="130"/>
      <c r="C40" s="130"/>
      <c r="D40" s="520"/>
      <c r="E40" s="130"/>
      <c r="F40" s="521"/>
      <c r="G40" s="520"/>
      <c r="H40" s="130"/>
      <c r="I40" s="521"/>
      <c r="J40" s="2444"/>
      <c r="K40" s="2442"/>
      <c r="L40" s="2442"/>
      <c r="M40" s="2122"/>
      <c r="N40" s="2339"/>
      <c r="O40" s="2929"/>
      <c r="P40" s="2318"/>
      <c r="Q40" s="2936"/>
      <c r="R40" s="2933"/>
      <c r="S40" s="2376"/>
      <c r="T40" s="2318"/>
      <c r="U40" s="1203" t="s">
        <v>1803</v>
      </c>
      <c r="V40" s="1421">
        <f>14000000+20000000</f>
        <v>34000000</v>
      </c>
      <c r="W40" s="1420" t="s">
        <v>1460</v>
      </c>
      <c r="X40" s="292" t="s">
        <v>1793</v>
      </c>
      <c r="Y40" s="2941"/>
      <c r="Z40" s="2466"/>
      <c r="AA40" s="2939"/>
      <c r="AB40" s="2887"/>
      <c r="AC40" s="2887"/>
      <c r="AD40" s="2887"/>
      <c r="AE40" s="2887"/>
      <c r="AF40" s="2298"/>
      <c r="AG40" s="2298"/>
      <c r="AH40" s="2298"/>
      <c r="AI40" s="2298"/>
      <c r="AJ40" s="2298"/>
      <c r="AK40" s="2260"/>
      <c r="AL40" s="2298"/>
      <c r="AM40" s="2298"/>
      <c r="AN40" s="2887"/>
      <c r="AO40" s="2888"/>
      <c r="AP40" s="2888"/>
      <c r="AQ40" s="2923"/>
    </row>
    <row r="41" spans="1:43" ht="58.5" customHeight="1">
      <c r="A41" s="1418"/>
      <c r="B41" s="130"/>
      <c r="C41" s="130"/>
      <c r="D41" s="520"/>
      <c r="E41" s="130"/>
      <c r="F41" s="521"/>
      <c r="G41" s="520"/>
      <c r="H41" s="130"/>
      <c r="I41" s="521"/>
      <c r="J41" s="2464"/>
      <c r="K41" s="2463"/>
      <c r="L41" s="2463"/>
      <c r="M41" s="2122"/>
      <c r="N41" s="2339"/>
      <c r="O41" s="2929"/>
      <c r="P41" s="2318"/>
      <c r="Q41" s="2936"/>
      <c r="R41" s="2933"/>
      <c r="S41" s="2376"/>
      <c r="T41" s="2318"/>
      <c r="U41" s="742" t="s">
        <v>1804</v>
      </c>
      <c r="V41" s="1374">
        <f>40000000+10000000</f>
        <v>50000000</v>
      </c>
      <c r="W41" s="1420" t="s">
        <v>1460</v>
      </c>
      <c r="X41" s="292" t="s">
        <v>1793</v>
      </c>
      <c r="Y41" s="2941"/>
      <c r="Z41" s="2466"/>
      <c r="AA41" s="2939"/>
      <c r="AB41" s="2887"/>
      <c r="AC41" s="2887"/>
      <c r="AD41" s="2887"/>
      <c r="AE41" s="2887"/>
      <c r="AF41" s="2298"/>
      <c r="AG41" s="2298"/>
      <c r="AH41" s="2298"/>
      <c r="AI41" s="2298"/>
      <c r="AJ41" s="2298"/>
      <c r="AK41" s="2260"/>
      <c r="AL41" s="2298"/>
      <c r="AM41" s="2298"/>
      <c r="AN41" s="2887"/>
      <c r="AO41" s="2888"/>
      <c r="AP41" s="2888"/>
      <c r="AQ41" s="2923"/>
    </row>
    <row r="42" spans="1:43" ht="142.5" customHeight="1">
      <c r="A42" s="1418"/>
      <c r="B42" s="130"/>
      <c r="C42" s="130"/>
      <c r="D42" s="520"/>
      <c r="E42" s="130"/>
      <c r="F42" s="521"/>
      <c r="G42" s="532"/>
      <c r="H42" s="1451"/>
      <c r="I42" s="533"/>
      <c r="J42" s="1372">
        <v>24</v>
      </c>
      <c r="K42" s="404" t="s">
        <v>1805</v>
      </c>
      <c r="L42" s="404" t="s">
        <v>1806</v>
      </c>
      <c r="M42" s="1372">
        <v>1</v>
      </c>
      <c r="N42" s="2918"/>
      <c r="O42" s="2920"/>
      <c r="P42" s="2319"/>
      <c r="Q42" s="1429">
        <f>V42*1/R35</f>
        <v>0.3352112676056338</v>
      </c>
      <c r="R42" s="2933"/>
      <c r="S42" s="2377"/>
      <c r="T42" s="2319"/>
      <c r="U42" s="201" t="s">
        <v>1807</v>
      </c>
      <c r="V42" s="1421">
        <v>119000000</v>
      </c>
      <c r="W42" s="1420" t="s">
        <v>1460</v>
      </c>
      <c r="X42" s="292" t="s">
        <v>1793</v>
      </c>
      <c r="Y42" s="2942"/>
      <c r="Z42" s="2467"/>
      <c r="AA42" s="2906"/>
      <c r="AB42" s="2887"/>
      <c r="AC42" s="2887"/>
      <c r="AD42" s="2887"/>
      <c r="AE42" s="2887"/>
      <c r="AF42" s="2298"/>
      <c r="AG42" s="2298"/>
      <c r="AH42" s="2298"/>
      <c r="AI42" s="2298"/>
      <c r="AJ42" s="2298"/>
      <c r="AK42" s="2260"/>
      <c r="AL42" s="2298"/>
      <c r="AM42" s="2298"/>
      <c r="AN42" s="2887"/>
      <c r="AO42" s="2888"/>
      <c r="AP42" s="2888"/>
      <c r="AQ42" s="2923"/>
    </row>
    <row r="43" spans="1:43" ht="15.75">
      <c r="A43" s="167"/>
      <c r="B43" s="168"/>
      <c r="C43" s="168"/>
      <c r="D43" s="1452"/>
      <c r="E43" s="168"/>
      <c r="F43" s="1453"/>
      <c r="G43" s="1454">
        <v>5</v>
      </c>
      <c r="H43" s="190" t="s">
        <v>1808</v>
      </c>
      <c r="I43" s="190"/>
      <c r="J43" s="182"/>
      <c r="K43" s="505"/>
      <c r="L43" s="505"/>
      <c r="M43" s="606"/>
      <c r="N43" s="606"/>
      <c r="O43" s="606"/>
      <c r="P43" s="505"/>
      <c r="Q43" s="1413"/>
      <c r="R43" s="1414"/>
      <c r="S43" s="505"/>
      <c r="T43" s="505"/>
      <c r="U43" s="505"/>
      <c r="V43" s="1415"/>
      <c r="W43" s="1455"/>
      <c r="X43" s="1131"/>
      <c r="Y43" s="606"/>
      <c r="Z43" s="606"/>
      <c r="AA43" s="606"/>
      <c r="AB43" s="606"/>
      <c r="AC43" s="606"/>
      <c r="AD43" s="606"/>
      <c r="AE43" s="606"/>
      <c r="AF43" s="606"/>
      <c r="AG43" s="606"/>
      <c r="AH43" s="606"/>
      <c r="AI43" s="606"/>
      <c r="AJ43" s="606"/>
      <c r="AK43" s="606"/>
      <c r="AL43" s="606"/>
      <c r="AM43" s="606"/>
      <c r="AN43" s="182"/>
      <c r="AO43" s="546"/>
      <c r="AP43" s="545"/>
      <c r="AQ43" s="1403"/>
    </row>
    <row r="44" spans="1:43" ht="105" customHeight="1">
      <c r="A44" s="1418"/>
      <c r="B44" s="130"/>
      <c r="C44" s="130"/>
      <c r="D44" s="520"/>
      <c r="E44" s="130"/>
      <c r="F44" s="130"/>
      <c r="G44" s="511"/>
      <c r="H44" s="1447"/>
      <c r="I44" s="512"/>
      <c r="J44" s="2771">
        <v>25</v>
      </c>
      <c r="K44" s="2441" t="s">
        <v>1809</v>
      </c>
      <c r="L44" s="2441" t="s">
        <v>1810</v>
      </c>
      <c r="M44" s="2432">
        <v>2</v>
      </c>
      <c r="N44" s="2378" t="s">
        <v>1811</v>
      </c>
      <c r="O44" s="2919" t="s">
        <v>1812</v>
      </c>
      <c r="P44" s="2375" t="s">
        <v>1813</v>
      </c>
      <c r="Q44" s="2936">
        <f>(V44+V45)/R44</f>
        <v>0.30060120240480964</v>
      </c>
      <c r="R44" s="2945">
        <f>SUM(V44:V50)</f>
        <v>499000000</v>
      </c>
      <c r="S44" s="2405" t="s">
        <v>1814</v>
      </c>
      <c r="T44" s="2375" t="s">
        <v>1815</v>
      </c>
      <c r="U44" s="289" t="s">
        <v>1816</v>
      </c>
      <c r="V44" s="1456">
        <v>130000000</v>
      </c>
      <c r="W44" s="296">
        <v>20</v>
      </c>
      <c r="X44" s="1126" t="s">
        <v>80</v>
      </c>
      <c r="Y44" s="2905">
        <v>600</v>
      </c>
      <c r="Z44" s="2905">
        <v>600</v>
      </c>
      <c r="AA44" s="2905">
        <v>125</v>
      </c>
      <c r="AB44" s="2905">
        <v>75</v>
      </c>
      <c r="AC44" s="2905">
        <v>300</v>
      </c>
      <c r="AD44" s="2905">
        <v>700</v>
      </c>
      <c r="AE44" s="2905">
        <v>50</v>
      </c>
      <c r="AF44" s="2905">
        <v>30</v>
      </c>
      <c r="AG44" s="2935"/>
      <c r="AH44" s="2935"/>
      <c r="AI44" s="2935"/>
      <c r="AJ44" s="2935"/>
      <c r="AK44" s="2944">
        <v>10</v>
      </c>
      <c r="AL44" s="2944">
        <v>10</v>
      </c>
      <c r="AM44" s="2905"/>
      <c r="AN44" s="2887">
        <f>SUM(Y44:Z50)</f>
        <v>1200</v>
      </c>
      <c r="AO44" s="2888">
        <v>43101</v>
      </c>
      <c r="AP44" s="2888">
        <v>43435</v>
      </c>
      <c r="AQ44" s="2943" t="s">
        <v>1720</v>
      </c>
    </row>
    <row r="45" spans="1:43" ht="72.75" customHeight="1">
      <c r="A45" s="1418"/>
      <c r="B45" s="130"/>
      <c r="C45" s="130"/>
      <c r="D45" s="520"/>
      <c r="E45" s="130"/>
      <c r="F45" s="130"/>
      <c r="G45" s="520"/>
      <c r="H45" s="130"/>
      <c r="I45" s="521"/>
      <c r="J45" s="2772"/>
      <c r="K45" s="2442"/>
      <c r="L45" s="2442"/>
      <c r="M45" s="2432"/>
      <c r="N45" s="2373"/>
      <c r="O45" s="2929"/>
      <c r="P45" s="2376"/>
      <c r="Q45" s="2936"/>
      <c r="R45" s="2946"/>
      <c r="S45" s="2405"/>
      <c r="T45" s="2376"/>
      <c r="U45" s="2378" t="s">
        <v>1817</v>
      </c>
      <c r="V45" s="2948">
        <v>20000000</v>
      </c>
      <c r="W45" s="296">
        <v>20</v>
      </c>
      <c r="X45" s="1126" t="s">
        <v>80</v>
      </c>
      <c r="Y45" s="2939"/>
      <c r="Z45" s="2939"/>
      <c r="AA45" s="2939"/>
      <c r="AB45" s="2939"/>
      <c r="AC45" s="2939"/>
      <c r="AD45" s="2939"/>
      <c r="AE45" s="2939"/>
      <c r="AF45" s="2939"/>
      <c r="AG45" s="2935"/>
      <c r="AH45" s="2935"/>
      <c r="AI45" s="2935"/>
      <c r="AJ45" s="2935"/>
      <c r="AK45" s="2944"/>
      <c r="AL45" s="2944"/>
      <c r="AM45" s="2939"/>
      <c r="AN45" s="2887"/>
      <c r="AO45" s="2888"/>
      <c r="AP45" s="2888"/>
      <c r="AQ45" s="2943"/>
    </row>
    <row r="46" spans="1:43" ht="62.25" customHeight="1">
      <c r="A46" s="1418"/>
      <c r="B46" s="130"/>
      <c r="C46" s="130"/>
      <c r="D46" s="520"/>
      <c r="E46" s="130"/>
      <c r="F46" s="130"/>
      <c r="G46" s="520"/>
      <c r="H46" s="130"/>
      <c r="I46" s="521"/>
      <c r="J46" s="2772"/>
      <c r="K46" s="2442"/>
      <c r="L46" s="2442"/>
      <c r="M46" s="2432"/>
      <c r="N46" s="2373"/>
      <c r="O46" s="2929"/>
      <c r="P46" s="2376"/>
      <c r="Q46" s="2936"/>
      <c r="R46" s="2946"/>
      <c r="S46" s="2405"/>
      <c r="T46" s="2376"/>
      <c r="U46" s="2374"/>
      <c r="V46" s="2949"/>
      <c r="W46" s="296">
        <v>20</v>
      </c>
      <c r="X46" s="1126" t="s">
        <v>80</v>
      </c>
      <c r="Y46" s="2939"/>
      <c r="Z46" s="2939"/>
      <c r="AA46" s="2939"/>
      <c r="AB46" s="2939"/>
      <c r="AC46" s="2939"/>
      <c r="AD46" s="2939"/>
      <c r="AE46" s="2939"/>
      <c r="AF46" s="2939"/>
      <c r="AG46" s="2935"/>
      <c r="AH46" s="2935"/>
      <c r="AI46" s="2935"/>
      <c r="AJ46" s="2935"/>
      <c r="AK46" s="2944"/>
      <c r="AL46" s="2944"/>
      <c r="AM46" s="2939"/>
      <c r="AN46" s="2887"/>
      <c r="AO46" s="2888"/>
      <c r="AP46" s="2888"/>
      <c r="AQ46" s="2943"/>
    </row>
    <row r="47" spans="1:43" ht="75" customHeight="1">
      <c r="A47" s="1418"/>
      <c r="B47" s="130"/>
      <c r="C47" s="130"/>
      <c r="D47" s="520"/>
      <c r="E47" s="130"/>
      <c r="F47" s="130"/>
      <c r="G47" s="520"/>
      <c r="H47" s="130"/>
      <c r="I47" s="521"/>
      <c r="J47" s="2443">
        <v>26</v>
      </c>
      <c r="K47" s="2441" t="s">
        <v>1818</v>
      </c>
      <c r="L47" s="2441" t="s">
        <v>1819</v>
      </c>
      <c r="M47" s="2443">
        <v>2</v>
      </c>
      <c r="N47" s="2373"/>
      <c r="O47" s="2929"/>
      <c r="P47" s="2376"/>
      <c r="Q47" s="2937">
        <f>(V47+V48)/R44</f>
        <v>0.056112224448897796</v>
      </c>
      <c r="R47" s="2946"/>
      <c r="S47" s="2405"/>
      <c r="T47" s="2375" t="s">
        <v>1820</v>
      </c>
      <c r="U47" s="694" t="s">
        <v>1821</v>
      </c>
      <c r="V47" s="1456">
        <v>25000000</v>
      </c>
      <c r="W47" s="296">
        <v>20</v>
      </c>
      <c r="X47" s="1126" t="s">
        <v>80</v>
      </c>
      <c r="Y47" s="2939"/>
      <c r="Z47" s="2939"/>
      <c r="AA47" s="2939"/>
      <c r="AB47" s="2939"/>
      <c r="AC47" s="2939"/>
      <c r="AD47" s="2939"/>
      <c r="AE47" s="2939"/>
      <c r="AF47" s="2939"/>
      <c r="AG47" s="2935"/>
      <c r="AH47" s="2935"/>
      <c r="AI47" s="2935"/>
      <c r="AJ47" s="2935"/>
      <c r="AK47" s="2944"/>
      <c r="AL47" s="2944"/>
      <c r="AM47" s="2939"/>
      <c r="AN47" s="2887"/>
      <c r="AO47" s="2888"/>
      <c r="AP47" s="2888"/>
      <c r="AQ47" s="2943"/>
    </row>
    <row r="48" spans="1:43" ht="65.25" customHeight="1">
      <c r="A48" s="1418"/>
      <c r="B48" s="130"/>
      <c r="C48" s="130"/>
      <c r="D48" s="520"/>
      <c r="E48" s="130"/>
      <c r="F48" s="130"/>
      <c r="G48" s="520"/>
      <c r="H48" s="130"/>
      <c r="I48" s="521"/>
      <c r="J48" s="2464"/>
      <c r="K48" s="2463"/>
      <c r="L48" s="2463"/>
      <c r="M48" s="2464"/>
      <c r="N48" s="2373"/>
      <c r="O48" s="2929"/>
      <c r="P48" s="2376"/>
      <c r="Q48" s="2938"/>
      <c r="R48" s="2946"/>
      <c r="S48" s="2405"/>
      <c r="T48" s="2377"/>
      <c r="U48" s="291" t="s">
        <v>1822</v>
      </c>
      <c r="V48" s="1456">
        <v>3000000</v>
      </c>
      <c r="W48" s="296">
        <v>20</v>
      </c>
      <c r="X48" s="1126" t="s">
        <v>80</v>
      </c>
      <c r="Y48" s="2939"/>
      <c r="Z48" s="2939"/>
      <c r="AA48" s="2939"/>
      <c r="AB48" s="2939"/>
      <c r="AC48" s="2939"/>
      <c r="AD48" s="2939"/>
      <c r="AE48" s="2939"/>
      <c r="AF48" s="2939"/>
      <c r="AG48" s="2935"/>
      <c r="AH48" s="2935"/>
      <c r="AI48" s="2935"/>
      <c r="AJ48" s="2935"/>
      <c r="AK48" s="2944"/>
      <c r="AL48" s="2944"/>
      <c r="AM48" s="2939"/>
      <c r="AN48" s="2887"/>
      <c r="AO48" s="2888"/>
      <c r="AP48" s="2888"/>
      <c r="AQ48" s="2943"/>
    </row>
    <row r="49" spans="1:43" ht="73.5" customHeight="1">
      <c r="A49" s="1418"/>
      <c r="B49" s="130"/>
      <c r="C49" s="130"/>
      <c r="D49" s="520"/>
      <c r="E49" s="130"/>
      <c r="F49" s="130"/>
      <c r="G49" s="520"/>
      <c r="H49" s="130"/>
      <c r="I49" s="521"/>
      <c r="J49" s="1379">
        <v>27</v>
      </c>
      <c r="K49" s="404" t="s">
        <v>1823</v>
      </c>
      <c r="L49" s="77" t="s">
        <v>1824</v>
      </c>
      <c r="M49" s="80">
        <v>2</v>
      </c>
      <c r="N49" s="2373"/>
      <c r="O49" s="2929"/>
      <c r="P49" s="2376"/>
      <c r="Q49" s="1429">
        <f>V49/R44</f>
        <v>0.6012024048096193</v>
      </c>
      <c r="R49" s="2946"/>
      <c r="S49" s="2405"/>
      <c r="T49" s="737" t="s">
        <v>1825</v>
      </c>
      <c r="U49" s="289" t="s">
        <v>1826</v>
      </c>
      <c r="V49" s="1456">
        <v>300000000</v>
      </c>
      <c r="W49" s="296">
        <v>20</v>
      </c>
      <c r="X49" s="1126" t="s">
        <v>80</v>
      </c>
      <c r="Y49" s="2939"/>
      <c r="Z49" s="2939"/>
      <c r="AA49" s="2939"/>
      <c r="AB49" s="2939"/>
      <c r="AC49" s="2939"/>
      <c r="AD49" s="2939"/>
      <c r="AE49" s="2939"/>
      <c r="AF49" s="2939"/>
      <c r="AG49" s="2935"/>
      <c r="AH49" s="2935"/>
      <c r="AI49" s="2935"/>
      <c r="AJ49" s="2935"/>
      <c r="AK49" s="2944"/>
      <c r="AL49" s="2944"/>
      <c r="AM49" s="2939"/>
      <c r="AN49" s="2887"/>
      <c r="AO49" s="2888"/>
      <c r="AP49" s="2888"/>
      <c r="AQ49" s="2943"/>
    </row>
    <row r="50" spans="1:43" ht="87" customHeight="1">
      <c r="A50" s="1418"/>
      <c r="B50" s="130"/>
      <c r="C50" s="130"/>
      <c r="D50" s="520"/>
      <c r="E50" s="130"/>
      <c r="F50" s="130"/>
      <c r="G50" s="520"/>
      <c r="H50" s="130"/>
      <c r="I50" s="521"/>
      <c r="J50" s="1379">
        <v>28</v>
      </c>
      <c r="K50" s="289" t="s">
        <v>1827</v>
      </c>
      <c r="L50" s="404" t="s">
        <v>1828</v>
      </c>
      <c r="M50" s="1372">
        <v>2</v>
      </c>
      <c r="N50" s="2374"/>
      <c r="O50" s="2920"/>
      <c r="P50" s="2377"/>
      <c r="Q50" s="1429">
        <f>V50/R44</f>
        <v>0.04208416833667335</v>
      </c>
      <c r="R50" s="2947"/>
      <c r="S50" s="2405"/>
      <c r="T50" s="1274"/>
      <c r="U50" s="291" t="s">
        <v>1829</v>
      </c>
      <c r="V50" s="1456">
        <v>21000000</v>
      </c>
      <c r="W50" s="296">
        <v>20</v>
      </c>
      <c r="X50" s="1126" t="s">
        <v>80</v>
      </c>
      <c r="Y50" s="2906"/>
      <c r="Z50" s="2906"/>
      <c r="AA50" s="2906"/>
      <c r="AB50" s="2906"/>
      <c r="AC50" s="2906"/>
      <c r="AD50" s="2906"/>
      <c r="AE50" s="2906"/>
      <c r="AF50" s="2906"/>
      <c r="AG50" s="2935"/>
      <c r="AH50" s="2935"/>
      <c r="AI50" s="2935"/>
      <c r="AJ50" s="2935"/>
      <c r="AK50" s="2944"/>
      <c r="AL50" s="2944"/>
      <c r="AM50" s="2906"/>
      <c r="AN50" s="2887"/>
      <c r="AO50" s="2888"/>
      <c r="AP50" s="2888"/>
      <c r="AQ50" s="2943"/>
    </row>
    <row r="51" spans="1:43" ht="119.25" customHeight="1">
      <c r="A51" s="1418"/>
      <c r="B51" s="130"/>
      <c r="C51" s="130"/>
      <c r="D51" s="520"/>
      <c r="E51" s="130"/>
      <c r="F51" s="130"/>
      <c r="G51" s="520"/>
      <c r="H51" s="130"/>
      <c r="I51" s="521"/>
      <c r="J51" s="1379">
        <v>29</v>
      </c>
      <c r="K51" s="404" t="s">
        <v>1830</v>
      </c>
      <c r="L51" s="404" t="s">
        <v>1831</v>
      </c>
      <c r="M51" s="1372">
        <v>1</v>
      </c>
      <c r="N51" s="1457" t="s">
        <v>1832</v>
      </c>
      <c r="O51" s="296" t="s">
        <v>1833</v>
      </c>
      <c r="P51" s="1274" t="s">
        <v>1834</v>
      </c>
      <c r="Q51" s="1429">
        <v>1</v>
      </c>
      <c r="R51" s="1458">
        <f>SUM(V51)</f>
        <v>14000000</v>
      </c>
      <c r="S51" s="289" t="s">
        <v>1835</v>
      </c>
      <c r="T51" s="289" t="s">
        <v>1836</v>
      </c>
      <c r="U51" s="291" t="s">
        <v>1837</v>
      </c>
      <c r="V51" s="1456">
        <v>14000000</v>
      </c>
      <c r="W51" s="296">
        <v>20</v>
      </c>
      <c r="X51" s="1126" t="s">
        <v>80</v>
      </c>
      <c r="Y51" s="1143">
        <v>210</v>
      </c>
      <c r="Z51" s="1396">
        <v>140</v>
      </c>
      <c r="AA51" s="1143"/>
      <c r="AB51" s="1143"/>
      <c r="AC51" s="1143"/>
      <c r="AD51" s="1143"/>
      <c r="AE51" s="1143"/>
      <c r="AF51" s="1143"/>
      <c r="AG51" s="1143"/>
      <c r="AH51" s="1143"/>
      <c r="AI51" s="1143"/>
      <c r="AJ51" s="1143"/>
      <c r="AK51" s="1143"/>
      <c r="AL51" s="1143"/>
      <c r="AM51" s="1143"/>
      <c r="AN51" s="1143">
        <f>SUM(Y51:AM51)</f>
        <v>350</v>
      </c>
      <c r="AO51" s="1459">
        <v>43101</v>
      </c>
      <c r="AP51" s="1460">
        <v>43435</v>
      </c>
      <c r="AQ51" s="1461" t="s">
        <v>1720</v>
      </c>
    </row>
    <row r="52" spans="1:43" ht="93" customHeight="1">
      <c r="A52" s="1418"/>
      <c r="B52" s="130"/>
      <c r="C52" s="130"/>
      <c r="D52" s="520"/>
      <c r="E52" s="130"/>
      <c r="F52" s="130"/>
      <c r="G52" s="520"/>
      <c r="H52" s="130"/>
      <c r="I52" s="521"/>
      <c r="J52" s="2443">
        <v>30</v>
      </c>
      <c r="K52" s="2434" t="s">
        <v>1838</v>
      </c>
      <c r="L52" s="2434" t="s">
        <v>1839</v>
      </c>
      <c r="M52" s="2122">
        <v>1</v>
      </c>
      <c r="N52" s="2404" t="s">
        <v>1840</v>
      </c>
      <c r="O52" s="2950" t="s">
        <v>1841</v>
      </c>
      <c r="P52" s="2375" t="s">
        <v>1842</v>
      </c>
      <c r="Q52" s="2936">
        <v>1</v>
      </c>
      <c r="R52" s="2933">
        <f>SUM(V52:V53)</f>
        <v>64000000</v>
      </c>
      <c r="S52" s="2405" t="s">
        <v>1843</v>
      </c>
      <c r="T52" s="1150" t="s">
        <v>1844</v>
      </c>
      <c r="U52" s="291" t="s">
        <v>1845</v>
      </c>
      <c r="V52" s="1456">
        <v>10000000</v>
      </c>
      <c r="W52" s="296">
        <v>20</v>
      </c>
      <c r="X52" s="1126" t="s">
        <v>80</v>
      </c>
      <c r="Y52" s="2951">
        <v>8</v>
      </c>
      <c r="Z52" s="2953">
        <v>12</v>
      </c>
      <c r="AA52" s="2298"/>
      <c r="AB52" s="2298"/>
      <c r="AC52" s="2298"/>
      <c r="AD52" s="2951"/>
      <c r="AE52" s="2298"/>
      <c r="AF52" s="2298"/>
      <c r="AG52" s="2298"/>
      <c r="AH52" s="2298"/>
      <c r="AI52" s="2298"/>
      <c r="AJ52" s="2298"/>
      <c r="AK52" s="2298"/>
      <c r="AL52" s="2298"/>
      <c r="AM52" s="2298"/>
      <c r="AN52" s="2939">
        <f>SUM(Y52:AM53)</f>
        <v>20</v>
      </c>
      <c r="AO52" s="2888">
        <v>43101</v>
      </c>
      <c r="AP52" s="2888">
        <v>43435</v>
      </c>
      <c r="AQ52" s="2923" t="s">
        <v>1720</v>
      </c>
    </row>
    <row r="53" spans="1:43" ht="92.25" customHeight="1">
      <c r="A53" s="1418"/>
      <c r="B53" s="130"/>
      <c r="C53" s="130"/>
      <c r="D53" s="520"/>
      <c r="E53" s="130"/>
      <c r="F53" s="130"/>
      <c r="G53" s="532"/>
      <c r="H53" s="1451"/>
      <c r="I53" s="533"/>
      <c r="J53" s="2464"/>
      <c r="K53" s="2434"/>
      <c r="L53" s="2434"/>
      <c r="M53" s="2122"/>
      <c r="N53" s="2404"/>
      <c r="O53" s="2950"/>
      <c r="P53" s="2377"/>
      <c r="Q53" s="2936"/>
      <c r="R53" s="2933"/>
      <c r="S53" s="2405"/>
      <c r="T53" s="1150" t="s">
        <v>1846</v>
      </c>
      <c r="U53" s="291" t="s">
        <v>1847</v>
      </c>
      <c r="V53" s="1456">
        <f>4000000+50000000</f>
        <v>54000000</v>
      </c>
      <c r="W53" s="296" t="s">
        <v>63</v>
      </c>
      <c r="X53" s="1126" t="s">
        <v>1848</v>
      </c>
      <c r="Y53" s="2952"/>
      <c r="Z53" s="2954"/>
      <c r="AA53" s="2298"/>
      <c r="AB53" s="2298"/>
      <c r="AC53" s="2298"/>
      <c r="AD53" s="2952"/>
      <c r="AE53" s="2298"/>
      <c r="AF53" s="2298"/>
      <c r="AG53" s="2298"/>
      <c r="AH53" s="2298"/>
      <c r="AI53" s="2298"/>
      <c r="AJ53" s="2298"/>
      <c r="AK53" s="2298"/>
      <c r="AL53" s="2298"/>
      <c r="AM53" s="2298"/>
      <c r="AN53" s="2906"/>
      <c r="AO53" s="2888"/>
      <c r="AP53" s="2888"/>
      <c r="AQ53" s="2923"/>
    </row>
    <row r="54" spans="1:43" ht="16.5" thickBot="1">
      <c r="A54" s="167"/>
      <c r="B54" s="168"/>
      <c r="C54" s="168"/>
      <c r="D54" s="1452"/>
      <c r="E54" s="168"/>
      <c r="F54" s="1453"/>
      <c r="G54" s="1462">
        <v>6</v>
      </c>
      <c r="H54" s="1254" t="s">
        <v>1849</v>
      </c>
      <c r="I54" s="1254"/>
      <c r="J54" s="182"/>
      <c r="K54" s="505"/>
      <c r="L54" s="505"/>
      <c r="M54" s="606"/>
      <c r="N54" s="606"/>
      <c r="O54" s="606"/>
      <c r="P54" s="505"/>
      <c r="Q54" s="1413"/>
      <c r="R54" s="1414"/>
      <c r="S54" s="505"/>
      <c r="T54" s="505"/>
      <c r="U54" s="505"/>
      <c r="V54" s="1415"/>
      <c r="W54" s="1313"/>
      <c r="X54" s="606"/>
      <c r="Y54" s="606"/>
      <c r="Z54" s="606"/>
      <c r="AA54" s="606"/>
      <c r="AB54" s="606"/>
      <c r="AC54" s="606"/>
      <c r="AD54" s="606"/>
      <c r="AE54" s="606"/>
      <c r="AF54" s="606"/>
      <c r="AG54" s="606"/>
      <c r="AH54" s="606"/>
      <c r="AI54" s="606"/>
      <c r="AJ54" s="606"/>
      <c r="AK54" s="606"/>
      <c r="AL54" s="606"/>
      <c r="AM54" s="606"/>
      <c r="AN54" s="182"/>
      <c r="AO54" s="546"/>
      <c r="AP54" s="545"/>
      <c r="AQ54" s="1403"/>
    </row>
    <row r="55" spans="1:43" ht="203.25" customHeight="1">
      <c r="A55" s="1418"/>
      <c r="B55" s="130"/>
      <c r="C55" s="130"/>
      <c r="D55" s="520"/>
      <c r="E55" s="130"/>
      <c r="F55" s="521"/>
      <c r="G55" s="511"/>
      <c r="H55" s="1447"/>
      <c r="I55" s="512"/>
      <c r="J55" s="1156">
        <v>31</v>
      </c>
      <c r="K55" s="289" t="s">
        <v>1850</v>
      </c>
      <c r="L55" s="404" t="s">
        <v>1851</v>
      </c>
      <c r="M55" s="1381">
        <v>4</v>
      </c>
      <c r="N55" s="2382" t="s">
        <v>1852</v>
      </c>
      <c r="O55" s="2958" t="s">
        <v>1853</v>
      </c>
      <c r="P55" s="2337" t="s">
        <v>1854</v>
      </c>
      <c r="Q55" s="1429">
        <f>V55*1/R55</f>
        <v>0.27157894736842103</v>
      </c>
      <c r="R55" s="2933">
        <f>SUM(V55:V58)</f>
        <v>475000000</v>
      </c>
      <c r="S55" s="2405" t="s">
        <v>1855</v>
      </c>
      <c r="T55" s="1150" t="s">
        <v>1856</v>
      </c>
      <c r="U55" s="291" t="s">
        <v>1857</v>
      </c>
      <c r="V55" s="1456">
        <v>129000000</v>
      </c>
      <c r="W55" s="296">
        <v>20</v>
      </c>
      <c r="X55" s="1126" t="s">
        <v>80</v>
      </c>
      <c r="Y55" s="2905">
        <f>150+20</f>
        <v>170</v>
      </c>
      <c r="Z55" s="2905">
        <v>200</v>
      </c>
      <c r="AA55" s="2887"/>
      <c r="AB55" s="2887"/>
      <c r="AC55" s="2905">
        <v>300</v>
      </c>
      <c r="AD55" s="2905">
        <v>10</v>
      </c>
      <c r="AE55" s="2887"/>
      <c r="AF55" s="2887"/>
      <c r="AG55" s="2887"/>
      <c r="AH55" s="2887"/>
      <c r="AI55" s="2887"/>
      <c r="AJ55" s="2887"/>
      <c r="AK55" s="2887"/>
      <c r="AL55" s="2887"/>
      <c r="AM55" s="2887"/>
      <c r="AN55" s="2905">
        <v>370</v>
      </c>
      <c r="AO55" s="2564">
        <f>$AO$52</f>
        <v>43101</v>
      </c>
      <c r="AP55" s="2922">
        <f>$AP$52</f>
        <v>43435</v>
      </c>
      <c r="AQ55" s="2955" t="s">
        <v>1720</v>
      </c>
    </row>
    <row r="56" spans="1:43" ht="144.75" customHeight="1">
      <c r="A56" s="1418"/>
      <c r="B56" s="130"/>
      <c r="C56" s="130"/>
      <c r="D56" s="520"/>
      <c r="E56" s="130"/>
      <c r="F56" s="521"/>
      <c r="G56" s="520"/>
      <c r="H56" s="130"/>
      <c r="I56" s="521"/>
      <c r="J56" s="1156">
        <v>32</v>
      </c>
      <c r="K56" s="289" t="s">
        <v>1858</v>
      </c>
      <c r="L56" s="404" t="s">
        <v>1859</v>
      </c>
      <c r="M56" s="1372">
        <v>30</v>
      </c>
      <c r="N56" s="2339"/>
      <c r="O56" s="2959"/>
      <c r="P56" s="2318"/>
      <c r="Q56" s="1429">
        <f>V56*1/R55</f>
        <v>0.6105263157894737</v>
      </c>
      <c r="R56" s="2933"/>
      <c r="S56" s="2405"/>
      <c r="T56" s="1150" t="s">
        <v>1860</v>
      </c>
      <c r="U56" s="289" t="s">
        <v>1861</v>
      </c>
      <c r="V56" s="1456">
        <v>290000000</v>
      </c>
      <c r="W56" s="296">
        <v>20</v>
      </c>
      <c r="X56" s="1126" t="s">
        <v>80</v>
      </c>
      <c r="Y56" s="2939"/>
      <c r="Z56" s="2939"/>
      <c r="AA56" s="2887"/>
      <c r="AB56" s="2887"/>
      <c r="AC56" s="2939"/>
      <c r="AD56" s="2939"/>
      <c r="AE56" s="2887"/>
      <c r="AF56" s="2887"/>
      <c r="AG56" s="2887"/>
      <c r="AH56" s="2887"/>
      <c r="AI56" s="2887"/>
      <c r="AJ56" s="2887"/>
      <c r="AK56" s="2887"/>
      <c r="AL56" s="2887"/>
      <c r="AM56" s="2887"/>
      <c r="AN56" s="2939"/>
      <c r="AO56" s="2939"/>
      <c r="AP56" s="2887"/>
      <c r="AQ56" s="2956"/>
    </row>
    <row r="57" spans="1:43" ht="90" customHeight="1">
      <c r="A57" s="1418"/>
      <c r="B57" s="130"/>
      <c r="C57" s="130"/>
      <c r="D57" s="520"/>
      <c r="E57" s="130"/>
      <c r="F57" s="521"/>
      <c r="G57" s="520"/>
      <c r="H57" s="130"/>
      <c r="I57" s="521"/>
      <c r="J57" s="1156">
        <v>33</v>
      </c>
      <c r="K57" s="289" t="s">
        <v>1862</v>
      </c>
      <c r="L57" s="404" t="s">
        <v>1863</v>
      </c>
      <c r="M57" s="1372">
        <v>400</v>
      </c>
      <c r="N57" s="2339"/>
      <c r="O57" s="2959"/>
      <c r="P57" s="2318"/>
      <c r="Q57" s="1429">
        <f>V57*1/R55</f>
        <v>0.05894736842105263</v>
      </c>
      <c r="R57" s="2933"/>
      <c r="S57" s="2405"/>
      <c r="T57" s="2434" t="s">
        <v>1864</v>
      </c>
      <c r="U57" s="289" t="s">
        <v>1865</v>
      </c>
      <c r="V57" s="1456">
        <v>28000000</v>
      </c>
      <c r="W57" s="296">
        <v>20</v>
      </c>
      <c r="X57" s="1126" t="s">
        <v>80</v>
      </c>
      <c r="Y57" s="2939"/>
      <c r="Z57" s="2939"/>
      <c r="AA57" s="2887"/>
      <c r="AB57" s="2887"/>
      <c r="AC57" s="2939"/>
      <c r="AD57" s="2939"/>
      <c r="AE57" s="2887"/>
      <c r="AF57" s="2887"/>
      <c r="AG57" s="2887"/>
      <c r="AH57" s="2887"/>
      <c r="AI57" s="2887"/>
      <c r="AJ57" s="2887"/>
      <c r="AK57" s="2887"/>
      <c r="AL57" s="2887"/>
      <c r="AM57" s="2887"/>
      <c r="AN57" s="2939"/>
      <c r="AO57" s="2939"/>
      <c r="AP57" s="2887"/>
      <c r="AQ57" s="2956"/>
    </row>
    <row r="58" spans="1:43" ht="148.5" customHeight="1">
      <c r="A58" s="1418"/>
      <c r="B58" s="130"/>
      <c r="C58" s="130"/>
      <c r="D58" s="520"/>
      <c r="E58" s="130"/>
      <c r="F58" s="521"/>
      <c r="G58" s="532"/>
      <c r="H58" s="1451"/>
      <c r="I58" s="533"/>
      <c r="J58" s="1156">
        <v>34</v>
      </c>
      <c r="K58" s="289" t="s">
        <v>1866</v>
      </c>
      <c r="L58" s="404" t="s">
        <v>1867</v>
      </c>
      <c r="M58" s="1372">
        <v>600</v>
      </c>
      <c r="N58" s="2918"/>
      <c r="O58" s="2960"/>
      <c r="P58" s="2319"/>
      <c r="Q58" s="1429">
        <f>V58*1/R55</f>
        <v>0.05894736842105263</v>
      </c>
      <c r="R58" s="2933"/>
      <c r="S58" s="2405"/>
      <c r="T58" s="2434"/>
      <c r="U58" s="291" t="s">
        <v>1868</v>
      </c>
      <c r="V58" s="1382">
        <v>28000000</v>
      </c>
      <c r="W58" s="296">
        <v>20</v>
      </c>
      <c r="X58" s="1126" t="s">
        <v>80</v>
      </c>
      <c r="Y58" s="2906"/>
      <c r="Z58" s="2906"/>
      <c r="AA58" s="2887"/>
      <c r="AB58" s="2887"/>
      <c r="AC58" s="2906"/>
      <c r="AD58" s="2906"/>
      <c r="AE58" s="2887"/>
      <c r="AF58" s="2887"/>
      <c r="AG58" s="2887"/>
      <c r="AH58" s="2887"/>
      <c r="AI58" s="2887"/>
      <c r="AJ58" s="2887"/>
      <c r="AK58" s="2887"/>
      <c r="AL58" s="2887"/>
      <c r="AM58" s="2887"/>
      <c r="AN58" s="2906"/>
      <c r="AO58" s="2906"/>
      <c r="AP58" s="2887"/>
      <c r="AQ58" s="2957"/>
    </row>
    <row r="59" spans="1:43" ht="15.75">
      <c r="A59" s="167"/>
      <c r="B59" s="168"/>
      <c r="C59" s="168"/>
      <c r="D59" s="1452"/>
      <c r="E59" s="168"/>
      <c r="F59" s="1453"/>
      <c r="G59" s="1422">
        <v>7</v>
      </c>
      <c r="H59" s="182" t="s">
        <v>1869</v>
      </c>
      <c r="I59" s="182"/>
      <c r="J59" s="182"/>
      <c r="K59" s="505"/>
      <c r="L59" s="505"/>
      <c r="M59" s="606"/>
      <c r="N59" s="606"/>
      <c r="O59" s="606"/>
      <c r="P59" s="505"/>
      <c r="Q59" s="1413"/>
      <c r="R59" s="1414"/>
      <c r="S59" s="505"/>
      <c r="T59" s="505"/>
      <c r="U59" s="505"/>
      <c r="V59" s="1415"/>
      <c r="W59" s="1313"/>
      <c r="X59" s="606"/>
      <c r="Y59" s="606"/>
      <c r="Z59" s="606"/>
      <c r="AA59" s="606"/>
      <c r="AB59" s="606"/>
      <c r="AC59" s="606"/>
      <c r="AD59" s="606"/>
      <c r="AE59" s="606"/>
      <c r="AF59" s="606"/>
      <c r="AG59" s="606"/>
      <c r="AH59" s="606"/>
      <c r="AI59" s="606"/>
      <c r="AJ59" s="606"/>
      <c r="AK59" s="606"/>
      <c r="AL59" s="606"/>
      <c r="AM59" s="606"/>
      <c r="AN59" s="182"/>
      <c r="AO59" s="546"/>
      <c r="AP59" s="545"/>
      <c r="AQ59" s="1403"/>
    </row>
    <row r="60" spans="1:43" ht="72.75" customHeight="1">
      <c r="A60" s="1418"/>
      <c r="B60" s="130"/>
      <c r="C60" s="130"/>
      <c r="D60" s="520"/>
      <c r="E60" s="130"/>
      <c r="F60" s="521"/>
      <c r="G60" s="511"/>
      <c r="H60" s="1447"/>
      <c r="I60" s="512"/>
      <c r="J60" s="292">
        <v>35</v>
      </c>
      <c r="K60" s="289" t="s">
        <v>1870</v>
      </c>
      <c r="L60" s="404" t="s">
        <v>1819</v>
      </c>
      <c r="M60" s="1383">
        <v>5</v>
      </c>
      <c r="N60" s="2378" t="s">
        <v>1871</v>
      </c>
      <c r="O60" s="2919" t="s">
        <v>1872</v>
      </c>
      <c r="P60" s="2337" t="s">
        <v>1873</v>
      </c>
      <c r="Q60" s="1429">
        <f>V60*1/R60</f>
        <v>0.32592592592592595</v>
      </c>
      <c r="R60" s="2933">
        <f>SUM(V60:V62)</f>
        <v>135000000</v>
      </c>
      <c r="S60" s="2405" t="s">
        <v>1874</v>
      </c>
      <c r="T60" s="1150" t="s">
        <v>1875</v>
      </c>
      <c r="U60" s="291" t="s">
        <v>1876</v>
      </c>
      <c r="V60" s="1382">
        <v>44000000</v>
      </c>
      <c r="W60" s="296">
        <v>20</v>
      </c>
      <c r="X60" s="1126" t="s">
        <v>80</v>
      </c>
      <c r="Y60" s="2887">
        <v>100</v>
      </c>
      <c r="Z60" s="2887">
        <v>60</v>
      </c>
      <c r="AA60" s="2887"/>
      <c r="AB60" s="2887"/>
      <c r="AC60" s="2887">
        <v>110</v>
      </c>
      <c r="AD60" s="2887">
        <v>50</v>
      </c>
      <c r="AE60" s="2887"/>
      <c r="AF60" s="2887"/>
      <c r="AG60" s="2887"/>
      <c r="AH60" s="2887"/>
      <c r="AI60" s="2887"/>
      <c r="AJ60" s="2887"/>
      <c r="AK60" s="2887"/>
      <c r="AL60" s="2887"/>
      <c r="AM60" s="2887"/>
      <c r="AN60" s="2905">
        <v>160</v>
      </c>
      <c r="AO60" s="2888">
        <v>43101</v>
      </c>
      <c r="AP60" s="2961">
        <v>43435</v>
      </c>
      <c r="AQ60" s="2923" t="s">
        <v>1720</v>
      </c>
    </row>
    <row r="61" spans="1:43" ht="93.75" customHeight="1">
      <c r="A61" s="1418"/>
      <c r="B61" s="130"/>
      <c r="C61" s="130"/>
      <c r="D61" s="520"/>
      <c r="E61" s="130"/>
      <c r="F61" s="521"/>
      <c r="G61" s="520"/>
      <c r="H61" s="130"/>
      <c r="I61" s="521"/>
      <c r="J61" s="292">
        <v>36</v>
      </c>
      <c r="K61" s="289" t="s">
        <v>1877</v>
      </c>
      <c r="L61" s="77" t="s">
        <v>1878</v>
      </c>
      <c r="M61" s="1372">
        <v>1</v>
      </c>
      <c r="N61" s="2373"/>
      <c r="O61" s="2929"/>
      <c r="P61" s="2318"/>
      <c r="Q61" s="1429">
        <f>V61*1/R60</f>
        <v>0.21481481481481482</v>
      </c>
      <c r="R61" s="2933"/>
      <c r="S61" s="2405"/>
      <c r="T61" s="2375" t="s">
        <v>1879</v>
      </c>
      <c r="U61" s="291" t="s">
        <v>1880</v>
      </c>
      <c r="V61" s="1382">
        <v>29000000</v>
      </c>
      <c r="W61" s="296">
        <v>20</v>
      </c>
      <c r="X61" s="1126" t="s">
        <v>80</v>
      </c>
      <c r="Y61" s="2887"/>
      <c r="Z61" s="2887"/>
      <c r="AA61" s="2887"/>
      <c r="AB61" s="2887"/>
      <c r="AC61" s="2887"/>
      <c r="AD61" s="2887"/>
      <c r="AE61" s="2887"/>
      <c r="AF61" s="2887"/>
      <c r="AG61" s="2887"/>
      <c r="AH61" s="2887"/>
      <c r="AI61" s="2887"/>
      <c r="AJ61" s="2887"/>
      <c r="AK61" s="2887"/>
      <c r="AL61" s="2887"/>
      <c r="AM61" s="2887"/>
      <c r="AN61" s="2939"/>
      <c r="AO61" s="2888"/>
      <c r="AP61" s="2961"/>
      <c r="AQ61" s="2923"/>
    </row>
    <row r="62" spans="1:43" ht="98.25" customHeight="1">
      <c r="A62" s="1463"/>
      <c r="B62" s="1451"/>
      <c r="C62" s="1451"/>
      <c r="D62" s="532"/>
      <c r="E62" s="1451"/>
      <c r="F62" s="533"/>
      <c r="G62" s="532"/>
      <c r="H62" s="1451"/>
      <c r="I62" s="533"/>
      <c r="J62" s="292">
        <v>37</v>
      </c>
      <c r="K62" s="404" t="s">
        <v>1881</v>
      </c>
      <c r="L62" s="404" t="s">
        <v>1882</v>
      </c>
      <c r="M62" s="1372">
        <v>1</v>
      </c>
      <c r="N62" s="2374"/>
      <c r="O62" s="2920"/>
      <c r="P62" s="2319"/>
      <c r="Q62" s="1429">
        <f>V62*1/R60</f>
        <v>0.45925925925925926</v>
      </c>
      <c r="R62" s="2933"/>
      <c r="S62" s="2405"/>
      <c r="T62" s="2377"/>
      <c r="U62" s="291" t="s">
        <v>1883</v>
      </c>
      <c r="V62" s="1456">
        <v>62000000</v>
      </c>
      <c r="W62" s="296">
        <v>20</v>
      </c>
      <c r="X62" s="1126" t="s">
        <v>1884</v>
      </c>
      <c r="Y62" s="2887"/>
      <c r="Z62" s="2887"/>
      <c r="AA62" s="2887"/>
      <c r="AB62" s="2887"/>
      <c r="AC62" s="2887"/>
      <c r="AD62" s="2887"/>
      <c r="AE62" s="2887"/>
      <c r="AF62" s="2887"/>
      <c r="AG62" s="2887"/>
      <c r="AH62" s="2887"/>
      <c r="AI62" s="2887"/>
      <c r="AJ62" s="2887"/>
      <c r="AK62" s="2887"/>
      <c r="AL62" s="2887"/>
      <c r="AM62" s="2887"/>
      <c r="AN62" s="2906"/>
      <c r="AO62" s="2888"/>
      <c r="AP62" s="2961"/>
      <c r="AQ62" s="2923"/>
    </row>
    <row r="63" spans="1:43" ht="15.75">
      <c r="A63" s="156">
        <v>3</v>
      </c>
      <c r="B63" s="157" t="s">
        <v>904</v>
      </c>
      <c r="C63" s="157"/>
      <c r="D63" s="1464"/>
      <c r="E63" s="1464"/>
      <c r="F63" s="1464"/>
      <c r="G63" s="157"/>
      <c r="H63" s="157"/>
      <c r="I63" s="157"/>
      <c r="J63" s="157"/>
      <c r="K63" s="159"/>
      <c r="L63" s="159"/>
      <c r="M63" s="160"/>
      <c r="N63" s="160"/>
      <c r="O63" s="160"/>
      <c r="P63" s="159"/>
      <c r="Q63" s="1433"/>
      <c r="R63" s="1434"/>
      <c r="S63" s="159"/>
      <c r="T63" s="159"/>
      <c r="U63" s="159"/>
      <c r="V63" s="1435"/>
      <c r="W63" s="164"/>
      <c r="X63" s="160"/>
      <c r="Y63" s="160"/>
      <c r="Z63" s="160"/>
      <c r="AA63" s="160"/>
      <c r="AB63" s="160"/>
      <c r="AC63" s="160"/>
      <c r="AD63" s="160"/>
      <c r="AE63" s="160"/>
      <c r="AF63" s="160"/>
      <c r="AG63" s="160"/>
      <c r="AH63" s="160"/>
      <c r="AI63" s="160"/>
      <c r="AJ63" s="160"/>
      <c r="AK63" s="160"/>
      <c r="AL63" s="160"/>
      <c r="AM63" s="160"/>
      <c r="AN63" s="157"/>
      <c r="AO63" s="1438"/>
      <c r="AP63" s="165"/>
      <c r="AQ63" s="166"/>
    </row>
    <row r="64" spans="1:43" ht="15.75">
      <c r="A64" s="1439"/>
      <c r="B64" s="1440"/>
      <c r="C64" s="1441"/>
      <c r="D64" s="1465">
        <v>11</v>
      </c>
      <c r="E64" s="170" t="s">
        <v>905</v>
      </c>
      <c r="F64" s="170"/>
      <c r="G64" s="170"/>
      <c r="H64" s="170"/>
      <c r="I64" s="170"/>
      <c r="J64" s="170"/>
      <c r="K64" s="171"/>
      <c r="L64" s="171"/>
      <c r="M64" s="172"/>
      <c r="N64" s="172"/>
      <c r="O64" s="172"/>
      <c r="P64" s="171"/>
      <c r="Q64" s="1443"/>
      <c r="R64" s="1444"/>
      <c r="S64" s="171"/>
      <c r="T64" s="171"/>
      <c r="U64" s="171"/>
      <c r="V64" s="1445"/>
      <c r="W64" s="177"/>
      <c r="X64" s="172"/>
      <c r="Y64" s="172"/>
      <c r="Z64" s="172"/>
      <c r="AA64" s="172"/>
      <c r="AB64" s="172"/>
      <c r="AC64" s="172"/>
      <c r="AD64" s="172"/>
      <c r="AE64" s="172"/>
      <c r="AF64" s="172"/>
      <c r="AG64" s="172"/>
      <c r="AH64" s="172"/>
      <c r="AI64" s="172"/>
      <c r="AJ64" s="172"/>
      <c r="AK64" s="172"/>
      <c r="AL64" s="172"/>
      <c r="AM64" s="172"/>
      <c r="AN64" s="170"/>
      <c r="AO64" s="1446"/>
      <c r="AP64" s="178"/>
      <c r="AQ64" s="179"/>
    </row>
    <row r="65" spans="1:43" ht="15.75">
      <c r="A65" s="167"/>
      <c r="B65" s="168"/>
      <c r="C65" s="1453"/>
      <c r="D65" s="180"/>
      <c r="E65" s="1440"/>
      <c r="F65" s="1441"/>
      <c r="G65" s="1422">
        <v>34</v>
      </c>
      <c r="H65" s="182" t="s">
        <v>1885</v>
      </c>
      <c r="I65" s="182"/>
      <c r="J65" s="182"/>
      <c r="K65" s="505"/>
      <c r="L65" s="505"/>
      <c r="M65" s="606"/>
      <c r="N65" s="606"/>
      <c r="O65" s="606"/>
      <c r="P65" s="505"/>
      <c r="Q65" s="1413"/>
      <c r="R65" s="1414"/>
      <c r="S65" s="505"/>
      <c r="T65" s="505"/>
      <c r="U65" s="505"/>
      <c r="V65" s="1415"/>
      <c r="W65" s="1313"/>
      <c r="X65" s="184"/>
      <c r="Y65" s="606"/>
      <c r="Z65" s="606"/>
      <c r="AA65" s="606"/>
      <c r="AB65" s="606"/>
      <c r="AC65" s="606"/>
      <c r="AD65" s="606"/>
      <c r="AE65" s="606"/>
      <c r="AF65" s="606"/>
      <c r="AG65" s="606"/>
      <c r="AH65" s="606"/>
      <c r="AI65" s="606"/>
      <c r="AJ65" s="606"/>
      <c r="AK65" s="606"/>
      <c r="AL65" s="606"/>
      <c r="AM65" s="606"/>
      <c r="AN65" s="182"/>
      <c r="AO65" s="546"/>
      <c r="AP65" s="545"/>
      <c r="AQ65" s="1403"/>
    </row>
    <row r="66" spans="1:43" ht="80.25" customHeight="1">
      <c r="A66" s="1418"/>
      <c r="B66" s="130"/>
      <c r="C66" s="521"/>
      <c r="D66" s="520"/>
      <c r="E66" s="130"/>
      <c r="F66" s="521"/>
      <c r="G66" s="511"/>
      <c r="H66" s="1447"/>
      <c r="I66" s="512"/>
      <c r="J66" s="2378">
        <v>122</v>
      </c>
      <c r="K66" s="2375" t="s">
        <v>1886</v>
      </c>
      <c r="L66" s="2441" t="s">
        <v>1887</v>
      </c>
      <c r="M66" s="2432">
        <v>1</v>
      </c>
      <c r="N66" s="2404" t="s">
        <v>1888</v>
      </c>
      <c r="O66" s="2950" t="s">
        <v>1889</v>
      </c>
      <c r="P66" s="2405" t="s">
        <v>1890</v>
      </c>
      <c r="Q66" s="2937">
        <f>(V66+V67)/R66</f>
        <v>0.6419816103448276</v>
      </c>
      <c r="R66" s="2933">
        <f>SUM(V66:V75)</f>
        <v>290000000</v>
      </c>
      <c r="S66" s="2405" t="s">
        <v>1891</v>
      </c>
      <c r="T66" s="2375" t="s">
        <v>1886</v>
      </c>
      <c r="U66" s="293" t="s">
        <v>1892</v>
      </c>
      <c r="V66" s="1458">
        <v>154740667</v>
      </c>
      <c r="W66" s="2965" t="s">
        <v>1893</v>
      </c>
      <c r="X66" s="2404" t="s">
        <v>1894</v>
      </c>
      <c r="Y66" s="2905">
        <v>4608</v>
      </c>
      <c r="Z66" s="2905">
        <v>4992</v>
      </c>
      <c r="AA66" s="2905">
        <v>2741</v>
      </c>
      <c r="AB66" s="2905">
        <v>765</v>
      </c>
      <c r="AC66" s="2905">
        <v>5500</v>
      </c>
      <c r="AD66" s="2905">
        <v>594</v>
      </c>
      <c r="AE66" s="2905">
        <v>40</v>
      </c>
      <c r="AF66" s="2905">
        <v>50</v>
      </c>
      <c r="AG66" s="2905"/>
      <c r="AH66" s="2905"/>
      <c r="AI66" s="2905"/>
      <c r="AJ66" s="2905"/>
      <c r="AK66" s="2905">
        <v>100</v>
      </c>
      <c r="AL66" s="2905">
        <v>10</v>
      </c>
      <c r="AM66" s="2905"/>
      <c r="AN66" s="2905">
        <v>9600</v>
      </c>
      <c r="AO66" s="2888">
        <v>43101</v>
      </c>
      <c r="AP66" s="2888">
        <v>43435</v>
      </c>
      <c r="AQ66" s="2923" t="s">
        <v>1720</v>
      </c>
    </row>
    <row r="67" spans="1:43" ht="132.75" customHeight="1">
      <c r="A67" s="1418"/>
      <c r="B67" s="130"/>
      <c r="C67" s="521"/>
      <c r="D67" s="520"/>
      <c r="E67" s="130"/>
      <c r="F67" s="521"/>
      <c r="G67" s="520"/>
      <c r="H67" s="130"/>
      <c r="I67" s="521"/>
      <c r="J67" s="2374"/>
      <c r="K67" s="2377"/>
      <c r="L67" s="2463"/>
      <c r="M67" s="2432"/>
      <c r="N67" s="2404"/>
      <c r="O67" s="2950"/>
      <c r="P67" s="2405"/>
      <c r="Q67" s="2938"/>
      <c r="R67" s="2933"/>
      <c r="S67" s="2405"/>
      <c r="T67" s="2377"/>
      <c r="U67" s="1456" t="s">
        <v>1895</v>
      </c>
      <c r="V67" s="1458">
        <v>31434000</v>
      </c>
      <c r="W67" s="2965"/>
      <c r="X67" s="2404"/>
      <c r="Y67" s="2939"/>
      <c r="Z67" s="2939"/>
      <c r="AA67" s="2939"/>
      <c r="AB67" s="2939"/>
      <c r="AC67" s="2939"/>
      <c r="AD67" s="2939"/>
      <c r="AE67" s="2939"/>
      <c r="AF67" s="2939"/>
      <c r="AG67" s="2939"/>
      <c r="AH67" s="2939"/>
      <c r="AI67" s="2939"/>
      <c r="AJ67" s="2939"/>
      <c r="AK67" s="2939"/>
      <c r="AL67" s="2939"/>
      <c r="AM67" s="2939"/>
      <c r="AN67" s="2939"/>
      <c r="AO67" s="2888"/>
      <c r="AP67" s="2888"/>
      <c r="AQ67" s="2923"/>
    </row>
    <row r="68" spans="1:43" ht="56.25" customHeight="1">
      <c r="A68" s="1418"/>
      <c r="B68" s="130"/>
      <c r="C68" s="521"/>
      <c r="D68" s="520"/>
      <c r="E68" s="130"/>
      <c r="F68" s="521"/>
      <c r="G68" s="520"/>
      <c r="H68" s="130"/>
      <c r="I68" s="521"/>
      <c r="J68" s="2443">
        <v>123</v>
      </c>
      <c r="K68" s="2441" t="s">
        <v>1896</v>
      </c>
      <c r="L68" s="2441" t="s">
        <v>1897</v>
      </c>
      <c r="M68" s="2432">
        <v>4</v>
      </c>
      <c r="N68" s="2404"/>
      <c r="O68" s="2950"/>
      <c r="P68" s="2405"/>
      <c r="Q68" s="2937">
        <f>V68/R66</f>
        <v>0.041379310344827586</v>
      </c>
      <c r="R68" s="2933"/>
      <c r="S68" s="2405"/>
      <c r="T68" s="2441" t="s">
        <v>1896</v>
      </c>
      <c r="U68" s="2964" t="s">
        <v>1898</v>
      </c>
      <c r="V68" s="2962">
        <v>12000000</v>
      </c>
      <c r="W68" s="2950">
        <v>20</v>
      </c>
      <c r="X68" s="2373" t="s">
        <v>80</v>
      </c>
      <c r="Y68" s="2939"/>
      <c r="Z68" s="2939"/>
      <c r="AA68" s="2939"/>
      <c r="AB68" s="2939"/>
      <c r="AC68" s="2939"/>
      <c r="AD68" s="2939"/>
      <c r="AE68" s="2939"/>
      <c r="AF68" s="2939"/>
      <c r="AG68" s="2939"/>
      <c r="AH68" s="2939"/>
      <c r="AI68" s="2939"/>
      <c r="AJ68" s="2939"/>
      <c r="AK68" s="2939"/>
      <c r="AL68" s="2939"/>
      <c r="AM68" s="2939"/>
      <c r="AN68" s="2939"/>
      <c r="AO68" s="2888"/>
      <c r="AP68" s="2888"/>
      <c r="AQ68" s="2923"/>
    </row>
    <row r="69" spans="1:43" ht="47.25" customHeight="1">
      <c r="A69" s="1418"/>
      <c r="B69" s="130"/>
      <c r="C69" s="521"/>
      <c r="D69" s="520"/>
      <c r="E69" s="130"/>
      <c r="F69" s="521"/>
      <c r="G69" s="520"/>
      <c r="H69" s="130"/>
      <c r="I69" s="521"/>
      <c r="J69" s="2444"/>
      <c r="K69" s="2442"/>
      <c r="L69" s="2442"/>
      <c r="M69" s="2432"/>
      <c r="N69" s="2404"/>
      <c r="O69" s="2950"/>
      <c r="P69" s="2405"/>
      <c r="Q69" s="2963"/>
      <c r="R69" s="2933"/>
      <c r="S69" s="2405"/>
      <c r="T69" s="2442"/>
      <c r="U69" s="2964"/>
      <c r="V69" s="2962"/>
      <c r="W69" s="2950"/>
      <c r="X69" s="2373"/>
      <c r="Y69" s="2939"/>
      <c r="Z69" s="2939"/>
      <c r="AA69" s="2939"/>
      <c r="AB69" s="2939"/>
      <c r="AC69" s="2939"/>
      <c r="AD69" s="2939"/>
      <c r="AE69" s="2939"/>
      <c r="AF69" s="2939"/>
      <c r="AG69" s="2939"/>
      <c r="AH69" s="2939"/>
      <c r="AI69" s="2939"/>
      <c r="AJ69" s="2939"/>
      <c r="AK69" s="2939"/>
      <c r="AL69" s="2939"/>
      <c r="AM69" s="2939"/>
      <c r="AN69" s="2939"/>
      <c r="AO69" s="2888"/>
      <c r="AP69" s="2888"/>
      <c r="AQ69" s="2923"/>
    </row>
    <row r="70" spans="1:43" ht="53.25" customHeight="1">
      <c r="A70" s="1418"/>
      <c r="B70" s="130"/>
      <c r="C70" s="521"/>
      <c r="D70" s="520"/>
      <c r="E70" s="130"/>
      <c r="F70" s="521"/>
      <c r="G70" s="520"/>
      <c r="H70" s="130"/>
      <c r="I70" s="521"/>
      <c r="J70" s="2464"/>
      <c r="K70" s="2463"/>
      <c r="L70" s="2463"/>
      <c r="M70" s="2432"/>
      <c r="N70" s="2404"/>
      <c r="O70" s="2950"/>
      <c r="P70" s="2405"/>
      <c r="Q70" s="2938"/>
      <c r="R70" s="2933"/>
      <c r="S70" s="2405"/>
      <c r="T70" s="2463"/>
      <c r="U70" s="2964"/>
      <c r="V70" s="2962"/>
      <c r="W70" s="2950"/>
      <c r="X70" s="2374"/>
      <c r="Y70" s="2939"/>
      <c r="Z70" s="2939"/>
      <c r="AA70" s="2939"/>
      <c r="AB70" s="2939"/>
      <c r="AC70" s="2939"/>
      <c r="AD70" s="2939"/>
      <c r="AE70" s="2939"/>
      <c r="AF70" s="2939"/>
      <c r="AG70" s="2939"/>
      <c r="AH70" s="2939"/>
      <c r="AI70" s="2939"/>
      <c r="AJ70" s="2939"/>
      <c r="AK70" s="2939"/>
      <c r="AL70" s="2939"/>
      <c r="AM70" s="2939"/>
      <c r="AN70" s="2939"/>
      <c r="AO70" s="2888"/>
      <c r="AP70" s="2888"/>
      <c r="AQ70" s="2923"/>
    </row>
    <row r="71" spans="1:43" ht="101.25" customHeight="1">
      <c r="A71" s="1418"/>
      <c r="B71" s="130"/>
      <c r="C71" s="521"/>
      <c r="D71" s="520"/>
      <c r="E71" s="130"/>
      <c r="F71" s="521"/>
      <c r="G71" s="520"/>
      <c r="H71" s="130"/>
      <c r="I71" s="521"/>
      <c r="J71" s="2443">
        <v>124</v>
      </c>
      <c r="K71" s="2441" t="s">
        <v>1899</v>
      </c>
      <c r="L71" s="2441" t="s">
        <v>1900</v>
      </c>
      <c r="M71" s="2432">
        <v>200</v>
      </c>
      <c r="N71" s="2404"/>
      <c r="O71" s="2950"/>
      <c r="P71" s="2405"/>
      <c r="Q71" s="2937">
        <f>(V71+V72)/R66</f>
        <v>0.2</v>
      </c>
      <c r="R71" s="2933"/>
      <c r="S71" s="2405"/>
      <c r="T71" s="2441" t="s">
        <v>1896</v>
      </c>
      <c r="U71" s="291" t="s">
        <v>1901</v>
      </c>
      <c r="V71" s="1458">
        <v>32934000</v>
      </c>
      <c r="W71" s="2950" t="s">
        <v>1893</v>
      </c>
      <c r="X71" s="2378" t="s">
        <v>1902</v>
      </c>
      <c r="Y71" s="2939"/>
      <c r="Z71" s="2939"/>
      <c r="AA71" s="2939"/>
      <c r="AB71" s="2939"/>
      <c r="AC71" s="2939"/>
      <c r="AD71" s="2939"/>
      <c r="AE71" s="2939"/>
      <c r="AF71" s="2939"/>
      <c r="AG71" s="2939"/>
      <c r="AH71" s="2939"/>
      <c r="AI71" s="2939"/>
      <c r="AJ71" s="2939"/>
      <c r="AK71" s="2939"/>
      <c r="AL71" s="2939"/>
      <c r="AM71" s="2939"/>
      <c r="AN71" s="2939"/>
      <c r="AO71" s="2888"/>
      <c r="AP71" s="2888"/>
      <c r="AQ71" s="2923"/>
    </row>
    <row r="72" spans="1:43" ht="133.5" customHeight="1">
      <c r="A72" s="1418"/>
      <c r="B72" s="130"/>
      <c r="C72" s="521"/>
      <c r="D72" s="520"/>
      <c r="E72" s="130"/>
      <c r="F72" s="521"/>
      <c r="G72" s="520"/>
      <c r="H72" s="130"/>
      <c r="I72" s="521"/>
      <c r="J72" s="2464"/>
      <c r="K72" s="2463"/>
      <c r="L72" s="2463"/>
      <c r="M72" s="2432"/>
      <c r="N72" s="2404"/>
      <c r="O72" s="2950"/>
      <c r="P72" s="2405"/>
      <c r="Q72" s="2938"/>
      <c r="R72" s="2933"/>
      <c r="S72" s="2405"/>
      <c r="T72" s="2463"/>
      <c r="U72" s="1456" t="s">
        <v>1895</v>
      </c>
      <c r="V72" s="1458">
        <v>25066000</v>
      </c>
      <c r="W72" s="2950"/>
      <c r="X72" s="2374"/>
      <c r="Y72" s="2939"/>
      <c r="Z72" s="2939"/>
      <c r="AA72" s="2939"/>
      <c r="AB72" s="2939"/>
      <c r="AC72" s="2939"/>
      <c r="AD72" s="2939"/>
      <c r="AE72" s="2939"/>
      <c r="AF72" s="2939"/>
      <c r="AG72" s="2939"/>
      <c r="AH72" s="2939"/>
      <c r="AI72" s="2939"/>
      <c r="AJ72" s="2939"/>
      <c r="AK72" s="2939"/>
      <c r="AL72" s="2939"/>
      <c r="AM72" s="2939"/>
      <c r="AN72" s="2939"/>
      <c r="AO72" s="2888"/>
      <c r="AP72" s="2888"/>
      <c r="AQ72" s="2923"/>
    </row>
    <row r="73" spans="1:43" ht="83.25" customHeight="1">
      <c r="A73" s="1418"/>
      <c r="B73" s="130"/>
      <c r="C73" s="521"/>
      <c r="D73" s="520"/>
      <c r="E73" s="130"/>
      <c r="F73" s="521"/>
      <c r="G73" s="520"/>
      <c r="H73" s="130"/>
      <c r="I73" s="521"/>
      <c r="J73" s="2378">
        <v>125</v>
      </c>
      <c r="K73" s="2405" t="s">
        <v>1903</v>
      </c>
      <c r="L73" s="2405" t="s">
        <v>1904</v>
      </c>
      <c r="M73" s="2967">
        <v>761</v>
      </c>
      <c r="N73" s="2404"/>
      <c r="O73" s="2950"/>
      <c r="P73" s="2405"/>
      <c r="Q73" s="2936">
        <f>(V73+V74)/R66</f>
        <v>0.09594942413793103</v>
      </c>
      <c r="R73" s="2933"/>
      <c r="S73" s="2405"/>
      <c r="T73" s="2375" t="s">
        <v>1903</v>
      </c>
      <c r="U73" s="404" t="s">
        <v>1905</v>
      </c>
      <c r="V73" s="1456">
        <v>17825333</v>
      </c>
      <c r="W73" s="296">
        <v>20</v>
      </c>
      <c r="X73" s="1126" t="s">
        <v>80</v>
      </c>
      <c r="Y73" s="2939"/>
      <c r="Z73" s="2939"/>
      <c r="AA73" s="2939"/>
      <c r="AB73" s="2939"/>
      <c r="AC73" s="2939"/>
      <c r="AD73" s="2939"/>
      <c r="AE73" s="2939"/>
      <c r="AF73" s="2939"/>
      <c r="AG73" s="2939"/>
      <c r="AH73" s="2939"/>
      <c r="AI73" s="2939"/>
      <c r="AJ73" s="2939"/>
      <c r="AK73" s="2939"/>
      <c r="AL73" s="2939"/>
      <c r="AM73" s="2939"/>
      <c r="AN73" s="2939"/>
      <c r="AO73" s="2888"/>
      <c r="AP73" s="2888"/>
      <c r="AQ73" s="2923"/>
    </row>
    <row r="74" spans="1:43" ht="90.75" customHeight="1">
      <c r="A74" s="1418"/>
      <c r="B74" s="130"/>
      <c r="C74" s="521"/>
      <c r="D74" s="520"/>
      <c r="E74" s="130"/>
      <c r="F74" s="521"/>
      <c r="G74" s="520"/>
      <c r="H74" s="130"/>
      <c r="I74" s="521"/>
      <c r="J74" s="2374"/>
      <c r="K74" s="2405"/>
      <c r="L74" s="2405"/>
      <c r="M74" s="2967"/>
      <c r="N74" s="2404"/>
      <c r="O74" s="2950"/>
      <c r="P74" s="2405"/>
      <c r="Q74" s="2936"/>
      <c r="R74" s="2933"/>
      <c r="S74" s="2405"/>
      <c r="T74" s="2376"/>
      <c r="U74" s="404" t="s">
        <v>1906</v>
      </c>
      <c r="V74" s="1456">
        <v>10000000</v>
      </c>
      <c r="W74" s="296">
        <v>20</v>
      </c>
      <c r="X74" s="1126" t="s">
        <v>80</v>
      </c>
      <c r="Y74" s="2939"/>
      <c r="Z74" s="2939"/>
      <c r="AA74" s="2939"/>
      <c r="AB74" s="2939"/>
      <c r="AC74" s="2939"/>
      <c r="AD74" s="2939"/>
      <c r="AE74" s="2939"/>
      <c r="AF74" s="2939"/>
      <c r="AG74" s="2939"/>
      <c r="AH74" s="2939"/>
      <c r="AI74" s="2939"/>
      <c r="AJ74" s="2939"/>
      <c r="AK74" s="2939"/>
      <c r="AL74" s="2939"/>
      <c r="AM74" s="2939"/>
      <c r="AN74" s="2939"/>
      <c r="AO74" s="2888"/>
      <c r="AP74" s="2888"/>
      <c r="AQ74" s="2923"/>
    </row>
    <row r="75" spans="1:43" ht="77.25" customHeight="1" thickBot="1">
      <c r="A75" s="1418"/>
      <c r="B75" s="130"/>
      <c r="C75" s="521"/>
      <c r="D75" s="520"/>
      <c r="E75" s="130"/>
      <c r="F75" s="521"/>
      <c r="G75" s="520"/>
      <c r="H75" s="130"/>
      <c r="I75" s="521"/>
      <c r="J75" s="414">
        <v>126</v>
      </c>
      <c r="K75" s="743" t="s">
        <v>1907</v>
      </c>
      <c r="L75" s="743" t="s">
        <v>1908</v>
      </c>
      <c r="M75" s="80" t="s">
        <v>1909</v>
      </c>
      <c r="N75" s="2404"/>
      <c r="O75" s="2950"/>
      <c r="P75" s="2405"/>
      <c r="Q75" s="1429">
        <f>V75*1/R66</f>
        <v>0.020689655172413793</v>
      </c>
      <c r="R75" s="2933"/>
      <c r="S75" s="2405"/>
      <c r="T75" s="743" t="s">
        <v>1907</v>
      </c>
      <c r="U75" s="1466" t="s">
        <v>1912</v>
      </c>
      <c r="V75" s="1456">
        <v>6000000</v>
      </c>
      <c r="W75" s="296">
        <v>20</v>
      </c>
      <c r="X75" s="1166" t="s">
        <v>80</v>
      </c>
      <c r="Y75" s="2939"/>
      <c r="Z75" s="2939"/>
      <c r="AA75" s="2939"/>
      <c r="AB75" s="2939"/>
      <c r="AC75" s="2939"/>
      <c r="AD75" s="2939"/>
      <c r="AE75" s="2939"/>
      <c r="AF75" s="2939"/>
      <c r="AG75" s="2939"/>
      <c r="AH75" s="2939"/>
      <c r="AI75" s="2939"/>
      <c r="AJ75" s="2939"/>
      <c r="AK75" s="2939"/>
      <c r="AL75" s="2939"/>
      <c r="AM75" s="2939"/>
      <c r="AN75" s="2939"/>
      <c r="AO75" s="2888"/>
      <c r="AP75" s="2888"/>
      <c r="AQ75" s="2923"/>
    </row>
    <row r="76" spans="1:43" ht="27.75" customHeight="1" thickBot="1">
      <c r="A76" s="1467"/>
      <c r="B76" s="1468"/>
      <c r="C76" s="1468"/>
      <c r="D76" s="1468"/>
      <c r="E76" s="1468"/>
      <c r="F76" s="1468"/>
      <c r="G76" s="1468"/>
      <c r="H76" s="1468"/>
      <c r="I76" s="1468"/>
      <c r="J76" s="1468"/>
      <c r="K76" s="1469"/>
      <c r="L76" s="1469"/>
      <c r="M76" s="210"/>
      <c r="N76" s="1470"/>
      <c r="O76" s="1468"/>
      <c r="P76" s="1469"/>
      <c r="Q76" s="1471"/>
      <c r="R76" s="1472">
        <f>SUM(R12:R75)</f>
        <v>3467762444</v>
      </c>
      <c r="S76" s="1473"/>
      <c r="T76" s="1474"/>
      <c r="U76" s="1475"/>
      <c r="V76" s="212">
        <f>SUM(V11:V75)</f>
        <v>3467762444</v>
      </c>
      <c r="W76" s="1476"/>
      <c r="X76" s="1468"/>
      <c r="Y76" s="1477"/>
      <c r="Z76" s="1478"/>
      <c r="AA76" s="1478"/>
      <c r="AB76" s="1478"/>
      <c r="AC76" s="1478"/>
      <c r="AD76" s="1478"/>
      <c r="AE76" s="1478"/>
      <c r="AF76" s="1478"/>
      <c r="AG76" s="1478"/>
      <c r="AH76" s="1478"/>
      <c r="AI76" s="1478"/>
      <c r="AJ76" s="1478"/>
      <c r="AK76" s="1478"/>
      <c r="AL76" s="1478"/>
      <c r="AM76" s="1478"/>
      <c r="AN76" s="1479"/>
      <c r="AO76" s="1468"/>
      <c r="AP76" s="1468"/>
      <c r="AQ76" s="1471"/>
    </row>
    <row r="77" spans="1:10" ht="15">
      <c r="A77" s="2966"/>
      <c r="B77" s="2966"/>
      <c r="C77" s="2966"/>
      <c r="D77" s="2966"/>
      <c r="E77" s="2966"/>
      <c r="F77" s="2966"/>
      <c r="G77" s="2966"/>
      <c r="H77" s="2966"/>
      <c r="I77" s="2966"/>
      <c r="J77" s="2966"/>
    </row>
    <row r="78" spans="1:10" ht="15">
      <c r="A78" s="2657" t="s">
        <v>1910</v>
      </c>
      <c r="B78" s="2657"/>
      <c r="C78" s="2657"/>
      <c r="D78" s="2657"/>
      <c r="E78" s="2657"/>
      <c r="F78" s="2657"/>
      <c r="G78" s="2657"/>
      <c r="H78" s="2657"/>
      <c r="I78" s="2657"/>
      <c r="J78" s="2657"/>
    </row>
  </sheetData>
  <sheetProtection password="CBEB" sheet="1" objects="1" scenarios="1"/>
  <mergeCells count="369">
    <mergeCell ref="J71:J72"/>
    <mergeCell ref="K71:K72"/>
    <mergeCell ref="L71:L72"/>
    <mergeCell ref="M71:M72"/>
    <mergeCell ref="Q71:Q72"/>
    <mergeCell ref="T71:T72"/>
    <mergeCell ref="W71:W72"/>
    <mergeCell ref="A77:J77"/>
    <mergeCell ref="A78:J78"/>
    <mergeCell ref="J73:J74"/>
    <mergeCell ref="K73:K74"/>
    <mergeCell ref="L73:L74"/>
    <mergeCell ref="M73:M74"/>
    <mergeCell ref="Q73:Q74"/>
    <mergeCell ref="T73:T74"/>
    <mergeCell ref="AO66:AO75"/>
    <mergeCell ref="AP66:AP75"/>
    <mergeCell ref="AQ66:AQ75"/>
    <mergeCell ref="J68:J70"/>
    <mergeCell ref="K68:K70"/>
    <mergeCell ref="L68:L70"/>
    <mergeCell ref="M68:M70"/>
    <mergeCell ref="Q68:Q70"/>
    <mergeCell ref="T68:T70"/>
    <mergeCell ref="U68:U70"/>
    <mergeCell ref="AI66:AI75"/>
    <mergeCell ref="AJ66:AJ75"/>
    <mergeCell ref="AK66:AK75"/>
    <mergeCell ref="AL66:AL75"/>
    <mergeCell ref="AM66:AM75"/>
    <mergeCell ref="AN66:AN75"/>
    <mergeCell ref="AC66:AC75"/>
    <mergeCell ref="AD66:AD75"/>
    <mergeCell ref="AE66:AE75"/>
    <mergeCell ref="AF66:AF75"/>
    <mergeCell ref="AG66:AG75"/>
    <mergeCell ref="AH66:AH75"/>
    <mergeCell ref="W66:W67"/>
    <mergeCell ref="X66:X67"/>
    <mergeCell ref="AA66:AA75"/>
    <mergeCell ref="AB66:AB75"/>
    <mergeCell ref="X71:X72"/>
    <mergeCell ref="O66:O75"/>
    <mergeCell ref="P66:P75"/>
    <mergeCell ref="Q66:Q67"/>
    <mergeCell ref="R66:R75"/>
    <mergeCell ref="S66:S75"/>
    <mergeCell ref="T66:T67"/>
    <mergeCell ref="W68:W70"/>
    <mergeCell ref="X68:X70"/>
    <mergeCell ref="V68:V70"/>
    <mergeCell ref="AN60:AN62"/>
    <mergeCell ref="AO60:AO62"/>
    <mergeCell ref="AP60:AP62"/>
    <mergeCell ref="AQ60:AQ62"/>
    <mergeCell ref="T61:T62"/>
    <mergeCell ref="J66:J67"/>
    <mergeCell ref="K66:K67"/>
    <mergeCell ref="L66:L67"/>
    <mergeCell ref="M66:M67"/>
    <mergeCell ref="N66:N75"/>
    <mergeCell ref="AH60:AH62"/>
    <mergeCell ref="AI60:AI62"/>
    <mergeCell ref="AJ60:AJ62"/>
    <mergeCell ref="AK60:AK62"/>
    <mergeCell ref="AL60:AL62"/>
    <mergeCell ref="AM60:AM62"/>
    <mergeCell ref="AB60:AB62"/>
    <mergeCell ref="AC60:AC62"/>
    <mergeCell ref="AD60:AD62"/>
    <mergeCell ref="AE60:AE62"/>
    <mergeCell ref="AF60:AF62"/>
    <mergeCell ref="AG60:AG62"/>
    <mergeCell ref="Y66:Y75"/>
    <mergeCell ref="Z66:Z75"/>
    <mergeCell ref="AG55:AG58"/>
    <mergeCell ref="AH55:AH58"/>
    <mergeCell ref="AI55:AI58"/>
    <mergeCell ref="AJ55:AJ58"/>
    <mergeCell ref="AG52:AG53"/>
    <mergeCell ref="AH52:AH53"/>
    <mergeCell ref="AI52:AI53"/>
    <mergeCell ref="T57:T58"/>
    <mergeCell ref="N60:N62"/>
    <mergeCell ref="O60:O62"/>
    <mergeCell ref="P60:P62"/>
    <mergeCell ref="R60:R62"/>
    <mergeCell ref="S60:S62"/>
    <mergeCell ref="Y60:Y62"/>
    <mergeCell ref="Z60:Z62"/>
    <mergeCell ref="AA60:AA62"/>
    <mergeCell ref="Y55:Y58"/>
    <mergeCell ref="Z55:Z58"/>
    <mergeCell ref="N55:N58"/>
    <mergeCell ref="O55:O58"/>
    <mergeCell ref="P55:P58"/>
    <mergeCell ref="R55:R58"/>
    <mergeCell ref="S55:S58"/>
    <mergeCell ref="AA55:AA58"/>
    <mergeCell ref="AM52:AM53"/>
    <mergeCell ref="AN52:AN53"/>
    <mergeCell ref="AO52:AO53"/>
    <mergeCell ref="AP52:AP53"/>
    <mergeCell ref="AQ52:AQ53"/>
    <mergeCell ref="AK52:AK53"/>
    <mergeCell ref="AL52:AL53"/>
    <mergeCell ref="AQ55:AQ58"/>
    <mergeCell ref="AK55:AK58"/>
    <mergeCell ref="AL55:AL58"/>
    <mergeCell ref="AM55:AM58"/>
    <mergeCell ref="AN55:AN58"/>
    <mergeCell ref="AO55:AO58"/>
    <mergeCell ref="AP55:AP58"/>
    <mergeCell ref="AE52:AE53"/>
    <mergeCell ref="AF52:AF53"/>
    <mergeCell ref="P52:P53"/>
    <mergeCell ref="Q52:Q53"/>
    <mergeCell ref="R52:R53"/>
    <mergeCell ref="S52:S53"/>
    <mergeCell ref="Y52:Y53"/>
    <mergeCell ref="Z52:Z53"/>
    <mergeCell ref="AD55:AD58"/>
    <mergeCell ref="AE55:AE58"/>
    <mergeCell ref="AF55:AF58"/>
    <mergeCell ref="AB55:AB58"/>
    <mergeCell ref="AC55:AC58"/>
    <mergeCell ref="J52:J53"/>
    <mergeCell ref="K52:K53"/>
    <mergeCell ref="L52:L53"/>
    <mergeCell ref="M52:M53"/>
    <mergeCell ref="N52:N53"/>
    <mergeCell ref="O52:O53"/>
    <mergeCell ref="AL44:AL50"/>
    <mergeCell ref="J44:J46"/>
    <mergeCell ref="K44:K46"/>
    <mergeCell ref="L44:L46"/>
    <mergeCell ref="M44:M46"/>
    <mergeCell ref="N44:N50"/>
    <mergeCell ref="O44:O50"/>
    <mergeCell ref="J47:J48"/>
    <mergeCell ref="K47:K48"/>
    <mergeCell ref="L47:L48"/>
    <mergeCell ref="M47:M48"/>
    <mergeCell ref="AJ52:AJ53"/>
    <mergeCell ref="AA52:AA53"/>
    <mergeCell ref="AB52:AB53"/>
    <mergeCell ref="AC52:AC53"/>
    <mergeCell ref="AD52:AD53"/>
    <mergeCell ref="Z44:Z50"/>
    <mergeCell ref="AA44:AA50"/>
    <mergeCell ref="AB44:AB50"/>
    <mergeCell ref="AC44:AC50"/>
    <mergeCell ref="AD44:AD50"/>
    <mergeCell ref="AE44:AE50"/>
    <mergeCell ref="P44:P50"/>
    <mergeCell ref="Q44:Q46"/>
    <mergeCell ref="R44:R50"/>
    <mergeCell ref="S44:S50"/>
    <mergeCell ref="T44:T46"/>
    <mergeCell ref="Y44:Y50"/>
    <mergeCell ref="U45:U46"/>
    <mergeCell ref="V45:V46"/>
    <mergeCell ref="Q47:Q48"/>
    <mergeCell ref="T47:T48"/>
    <mergeCell ref="AO44:AO50"/>
    <mergeCell ref="AP44:AP50"/>
    <mergeCell ref="AQ44:AQ50"/>
    <mergeCell ref="AF44:AF50"/>
    <mergeCell ref="AG44:AG50"/>
    <mergeCell ref="AH44:AH50"/>
    <mergeCell ref="AI44:AI50"/>
    <mergeCell ref="AJ44:AJ50"/>
    <mergeCell ref="AK44:AK50"/>
    <mergeCell ref="AM44:AM50"/>
    <mergeCell ref="AN44:AN50"/>
    <mergeCell ref="J39:J41"/>
    <mergeCell ref="K39:K41"/>
    <mergeCell ref="L39:L41"/>
    <mergeCell ref="M39:M41"/>
    <mergeCell ref="Q39:Q41"/>
    <mergeCell ref="T39:T42"/>
    <mergeCell ref="AM35:AM42"/>
    <mergeCell ref="AN35:AN42"/>
    <mergeCell ref="AO35:AO42"/>
    <mergeCell ref="Z35:Z42"/>
    <mergeCell ref="AP35:AP42"/>
    <mergeCell ref="AQ35:AQ42"/>
    <mergeCell ref="J37:J38"/>
    <mergeCell ref="K37:K38"/>
    <mergeCell ref="L37:L38"/>
    <mergeCell ref="M37:M38"/>
    <mergeCell ref="Q37:Q38"/>
    <mergeCell ref="AG35:AG42"/>
    <mergeCell ref="AH35:AH42"/>
    <mergeCell ref="AI35:AI42"/>
    <mergeCell ref="AJ35:AJ42"/>
    <mergeCell ref="AK35:AK42"/>
    <mergeCell ref="AL35:AL42"/>
    <mergeCell ref="AA35:AA42"/>
    <mergeCell ref="AB35:AB42"/>
    <mergeCell ref="AC35:AC42"/>
    <mergeCell ref="AD35:AD42"/>
    <mergeCell ref="AE35:AE42"/>
    <mergeCell ref="AF35:AF42"/>
    <mergeCell ref="Q35:Q36"/>
    <mergeCell ref="R35:R42"/>
    <mergeCell ref="S35:S42"/>
    <mergeCell ref="T35:T38"/>
    <mergeCell ref="Y35:Y42"/>
    <mergeCell ref="AO26:AO31"/>
    <mergeCell ref="AP26:AP31"/>
    <mergeCell ref="AQ26:AQ31"/>
    <mergeCell ref="J35:J36"/>
    <mergeCell ref="K35:K36"/>
    <mergeCell ref="L35:L36"/>
    <mergeCell ref="M35:M36"/>
    <mergeCell ref="N35:N42"/>
    <mergeCell ref="O35:O42"/>
    <mergeCell ref="P35:P42"/>
    <mergeCell ref="AI26:AI31"/>
    <mergeCell ref="AJ26:AJ31"/>
    <mergeCell ref="AK26:AK31"/>
    <mergeCell ref="AL26:AL31"/>
    <mergeCell ref="AM26:AM31"/>
    <mergeCell ref="AN26:AN31"/>
    <mergeCell ref="AC26:AC31"/>
    <mergeCell ref="AD26:AD31"/>
    <mergeCell ref="AE26:AE31"/>
    <mergeCell ref="AF26:AF31"/>
    <mergeCell ref="AG26:AG31"/>
    <mergeCell ref="AH26:AH31"/>
    <mergeCell ref="S26:S31"/>
    <mergeCell ref="T26:T29"/>
    <mergeCell ref="Y26:Y31"/>
    <mergeCell ref="Z26:Z31"/>
    <mergeCell ref="AA26:AA31"/>
    <mergeCell ref="AB26:AB31"/>
    <mergeCell ref="AQ23:AQ25"/>
    <mergeCell ref="J26:J27"/>
    <mergeCell ref="K26:K27"/>
    <mergeCell ref="L26:L27"/>
    <mergeCell ref="M26:M27"/>
    <mergeCell ref="N26:N31"/>
    <mergeCell ref="O26:O31"/>
    <mergeCell ref="P26:P31"/>
    <mergeCell ref="Q26:Q27"/>
    <mergeCell ref="R26:R31"/>
    <mergeCell ref="AK23:AK25"/>
    <mergeCell ref="AL23:AL25"/>
    <mergeCell ref="AM23:AM25"/>
    <mergeCell ref="AN23:AN25"/>
    <mergeCell ref="AO23:AO25"/>
    <mergeCell ref="AP23:AP25"/>
    <mergeCell ref="AE23:AE25"/>
    <mergeCell ref="AF23:AF25"/>
    <mergeCell ref="AG23:AG25"/>
    <mergeCell ref="AH23:AH25"/>
    <mergeCell ref="AI23:AI25"/>
    <mergeCell ref="AJ23:AJ25"/>
    <mergeCell ref="Y23:Y25"/>
    <mergeCell ref="Z23:Z25"/>
    <mergeCell ref="AA23:AA25"/>
    <mergeCell ref="AB23:AB25"/>
    <mergeCell ref="AC23:AC25"/>
    <mergeCell ref="AD23:AD25"/>
    <mergeCell ref="O23:O25"/>
    <mergeCell ref="P23:P25"/>
    <mergeCell ref="Q23:Q25"/>
    <mergeCell ref="R23:R25"/>
    <mergeCell ref="S23:S25"/>
    <mergeCell ref="T23:T25"/>
    <mergeCell ref="AO20:AO21"/>
    <mergeCell ref="AP20:AP21"/>
    <mergeCell ref="AQ20:AQ21"/>
    <mergeCell ref="D23:F31"/>
    <mergeCell ref="G23:I31"/>
    <mergeCell ref="J23:J25"/>
    <mergeCell ref="K23:K25"/>
    <mergeCell ref="L23:L25"/>
    <mergeCell ref="M23:M25"/>
    <mergeCell ref="N23:N25"/>
    <mergeCell ref="AI20:AI21"/>
    <mergeCell ref="AJ20:AJ21"/>
    <mergeCell ref="AK20:AK21"/>
    <mergeCell ref="AL20:AL21"/>
    <mergeCell ref="AM20:AM21"/>
    <mergeCell ref="AN20:AN21"/>
    <mergeCell ref="AC20:AC21"/>
    <mergeCell ref="AD20:AD21"/>
    <mergeCell ref="AE20:AE21"/>
    <mergeCell ref="AF20:AF21"/>
    <mergeCell ref="AG20:AG21"/>
    <mergeCell ref="AH20:AH21"/>
    <mergeCell ref="S20:S21"/>
    <mergeCell ref="T20:T21"/>
    <mergeCell ref="Y20:Y21"/>
    <mergeCell ref="Z20:Z21"/>
    <mergeCell ref="AA20:AA21"/>
    <mergeCell ref="AB20:AB21"/>
    <mergeCell ref="D20:F22"/>
    <mergeCell ref="G20:I21"/>
    <mergeCell ref="N20:N21"/>
    <mergeCell ref="O20:O21"/>
    <mergeCell ref="P20:P21"/>
    <mergeCell ref="R20:R21"/>
    <mergeCell ref="AM12:AM18"/>
    <mergeCell ref="AN12:AN18"/>
    <mergeCell ref="AO12:AO18"/>
    <mergeCell ref="AP12:AP18"/>
    <mergeCell ref="AQ12:AQ18"/>
    <mergeCell ref="B13:C13"/>
    <mergeCell ref="T15:T18"/>
    <mergeCell ref="B18:C18"/>
    <mergeCell ref="AG12:AG18"/>
    <mergeCell ref="AH12:AH18"/>
    <mergeCell ref="AI12:AI18"/>
    <mergeCell ref="AJ12:AJ18"/>
    <mergeCell ref="AK12:AK18"/>
    <mergeCell ref="AL12:AL18"/>
    <mergeCell ref="AA12:AA18"/>
    <mergeCell ref="AB12:AB18"/>
    <mergeCell ref="AC12:AC18"/>
    <mergeCell ref="AD12:AD18"/>
    <mergeCell ref="AE12:AE18"/>
    <mergeCell ref="AF12:AF18"/>
    <mergeCell ref="Q12:Q13"/>
    <mergeCell ref="R12:R18"/>
    <mergeCell ref="S12:S18"/>
    <mergeCell ref="T12:T14"/>
    <mergeCell ref="Y12:Y18"/>
    <mergeCell ref="Z12:Z18"/>
    <mergeCell ref="AO7:AO8"/>
    <mergeCell ref="AP7:AP8"/>
    <mergeCell ref="AQ7:AQ8"/>
    <mergeCell ref="J12:J13"/>
    <mergeCell ref="K12:K13"/>
    <mergeCell ref="L12:L13"/>
    <mergeCell ref="M12:M13"/>
    <mergeCell ref="N12:N18"/>
    <mergeCell ref="O12:O18"/>
    <mergeCell ref="P12:P18"/>
    <mergeCell ref="X7:X8"/>
    <mergeCell ref="Y7:Z7"/>
    <mergeCell ref="AA7:AD7"/>
    <mergeCell ref="AE7:AJ7"/>
    <mergeCell ref="AK7:AM7"/>
    <mergeCell ref="AN7:AN8"/>
    <mergeCell ref="P7:P8"/>
    <mergeCell ref="Q7:Q8"/>
    <mergeCell ref="R7:R8"/>
    <mergeCell ref="S7:S8"/>
    <mergeCell ref="T7:T8"/>
    <mergeCell ref="U7:U8"/>
    <mergeCell ref="J7:J8"/>
    <mergeCell ref="K7:K8"/>
    <mergeCell ref="L7:L8"/>
    <mergeCell ref="M7:M8"/>
    <mergeCell ref="N7:N8"/>
    <mergeCell ref="O7:O8"/>
    <mergeCell ref="A1:AO4"/>
    <mergeCell ref="A5:M6"/>
    <mergeCell ref="N5:AQ5"/>
    <mergeCell ref="Y6:AM6"/>
    <mergeCell ref="A7:A8"/>
    <mergeCell ref="B7:C8"/>
    <mergeCell ref="D7:D8"/>
    <mergeCell ref="E7:F8"/>
    <mergeCell ref="G7:G8"/>
    <mergeCell ref="H7:I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W29"/>
  <sheetViews>
    <sheetView showGridLines="0" zoomScale="60" zoomScaleNormal="60" zoomScalePageLayoutView="0" workbookViewId="0" topLeftCell="S1">
      <selection activeCell="AO1" sqref="AO1"/>
    </sheetView>
  </sheetViews>
  <sheetFormatPr defaultColWidth="11.421875" defaultRowHeight="15"/>
  <cols>
    <col min="1" max="1" width="12.421875" style="131" customWidth="1"/>
    <col min="2" max="2" width="8.421875" style="131" customWidth="1"/>
    <col min="3" max="3" width="17.7109375" style="131" customWidth="1"/>
    <col min="4" max="4" width="13.8515625" style="131" customWidth="1"/>
    <col min="5" max="5" width="20.140625" style="131" customWidth="1"/>
    <col min="6" max="6" width="14.00390625" style="131" customWidth="1"/>
    <col min="7" max="7" width="23.8515625" style="131" customWidth="1"/>
    <col min="8" max="8" width="16.28125" style="131" customWidth="1"/>
    <col min="9" max="9" width="30.57421875" style="131" customWidth="1"/>
    <col min="10" max="10" width="20.8515625" style="131" customWidth="1"/>
    <col min="11" max="11" width="23.8515625" style="131" customWidth="1"/>
    <col min="12" max="12" width="38.421875" style="131" customWidth="1"/>
    <col min="13" max="13" width="26.7109375" style="131" customWidth="1"/>
    <col min="14" max="14" width="27.57421875" style="131" customWidth="1"/>
    <col min="15" max="15" width="16.8515625" style="131" customWidth="1"/>
    <col min="16" max="16" width="28.00390625" style="131" customWidth="1"/>
    <col min="17" max="17" width="30.28125" style="131" customWidth="1"/>
    <col min="18" max="18" width="28.7109375" style="131" customWidth="1"/>
    <col min="19" max="19" width="38.8515625" style="131" customWidth="1"/>
    <col min="20" max="20" width="32.140625" style="330" customWidth="1"/>
    <col min="21" max="21" width="10.7109375" style="131" customWidth="1"/>
    <col min="22" max="22" width="14.8515625" style="131" customWidth="1"/>
    <col min="23" max="23" width="14.00390625" style="131" customWidth="1"/>
    <col min="24" max="24" width="12.7109375" style="131" customWidth="1"/>
    <col min="25" max="25" width="11.28125" style="131" bestFit="1" customWidth="1"/>
    <col min="26" max="26" width="10.8515625" style="131" customWidth="1"/>
    <col min="27" max="27" width="14.8515625" style="131" customWidth="1"/>
    <col min="28" max="28" width="13.140625" style="131" customWidth="1"/>
    <col min="29" max="29" width="9.7109375" style="131" customWidth="1"/>
    <col min="30" max="30" width="9.8515625" style="131" bestFit="1" customWidth="1"/>
    <col min="31" max="31" width="11.421875" style="131" customWidth="1"/>
    <col min="32" max="32" width="10.00390625" style="131" customWidth="1"/>
    <col min="33" max="33" width="7.8515625" style="131" customWidth="1"/>
    <col min="34" max="34" width="9.57421875" style="131" customWidth="1"/>
    <col min="35" max="35" width="11.140625" style="131" customWidth="1"/>
    <col min="36" max="36" width="13.7109375" style="131" customWidth="1"/>
    <col min="37" max="37" width="11.00390625" style="131" customWidth="1"/>
    <col min="38" max="38" width="13.57421875" style="131" customWidth="1"/>
    <col min="39" max="39" width="18.8515625" style="131" customWidth="1"/>
    <col min="40" max="40" width="22.00390625" style="131" customWidth="1"/>
    <col min="41" max="41" width="22.140625" style="131" customWidth="1"/>
    <col min="42" max="54" width="14.8515625" style="131" customWidth="1"/>
    <col min="55" max="16384" width="11.421875" style="131" customWidth="1"/>
  </cols>
  <sheetData>
    <row r="1" spans="1:41" ht="15" customHeight="1">
      <c r="A1" s="2352" t="s">
        <v>183</v>
      </c>
      <c r="B1" s="2352"/>
      <c r="C1" s="2352"/>
      <c r="D1" s="2352"/>
      <c r="E1" s="2352"/>
      <c r="F1" s="2352"/>
      <c r="G1" s="2352"/>
      <c r="H1" s="2352"/>
      <c r="I1" s="2352"/>
      <c r="J1" s="2352"/>
      <c r="K1" s="2352"/>
      <c r="L1" s="2352"/>
      <c r="M1" s="2352"/>
      <c r="N1" s="2352"/>
      <c r="O1" s="2352"/>
      <c r="P1" s="2352"/>
      <c r="Q1" s="2352"/>
      <c r="R1" s="2352"/>
      <c r="S1" s="2352"/>
      <c r="T1" s="2352"/>
      <c r="U1" s="2352"/>
      <c r="V1" s="2352"/>
      <c r="W1" s="2352"/>
      <c r="X1" s="2352"/>
      <c r="Y1" s="2352"/>
      <c r="Z1" s="2352"/>
      <c r="AA1" s="2352"/>
      <c r="AB1" s="2352"/>
      <c r="AC1" s="2352"/>
      <c r="AD1" s="2352"/>
      <c r="AE1" s="2352"/>
      <c r="AF1" s="2352"/>
      <c r="AG1" s="2352"/>
      <c r="AH1" s="2352"/>
      <c r="AI1" s="2352"/>
      <c r="AJ1" s="2352"/>
      <c r="AK1" s="2352"/>
      <c r="AL1" s="2352"/>
      <c r="AM1" s="2352"/>
      <c r="AN1" s="242" t="s">
        <v>1</v>
      </c>
      <c r="AO1" s="242" t="s">
        <v>2</v>
      </c>
    </row>
    <row r="2" spans="1:41" ht="15" customHeight="1">
      <c r="A2" s="2352"/>
      <c r="B2" s="2352"/>
      <c r="C2" s="2352"/>
      <c r="D2" s="2352"/>
      <c r="E2" s="2352"/>
      <c r="F2" s="2352"/>
      <c r="G2" s="2352"/>
      <c r="H2" s="2352"/>
      <c r="I2" s="2352"/>
      <c r="J2" s="2352"/>
      <c r="K2" s="2352"/>
      <c r="L2" s="2352"/>
      <c r="M2" s="2352"/>
      <c r="N2" s="2352"/>
      <c r="O2" s="2352"/>
      <c r="P2" s="2352"/>
      <c r="Q2" s="2352"/>
      <c r="R2" s="2352"/>
      <c r="S2" s="2352"/>
      <c r="T2" s="2352"/>
      <c r="U2" s="2352"/>
      <c r="V2" s="2352"/>
      <c r="W2" s="2352"/>
      <c r="X2" s="2352"/>
      <c r="Y2" s="2352"/>
      <c r="Z2" s="2352"/>
      <c r="AA2" s="2352"/>
      <c r="AB2" s="2352"/>
      <c r="AC2" s="2352"/>
      <c r="AD2" s="2352"/>
      <c r="AE2" s="2352"/>
      <c r="AF2" s="2352"/>
      <c r="AG2" s="2352"/>
      <c r="AH2" s="2352"/>
      <c r="AI2" s="2352"/>
      <c r="AJ2" s="2352"/>
      <c r="AK2" s="2352"/>
      <c r="AL2" s="2352"/>
      <c r="AM2" s="2352"/>
      <c r="AN2" s="243" t="s">
        <v>3</v>
      </c>
      <c r="AO2" s="244">
        <v>6</v>
      </c>
    </row>
    <row r="3" spans="1:41" ht="15" customHeight="1">
      <c r="A3" s="2352"/>
      <c r="B3" s="2352"/>
      <c r="C3" s="2352"/>
      <c r="D3" s="2352"/>
      <c r="E3" s="2352"/>
      <c r="F3" s="2352"/>
      <c r="G3" s="2352"/>
      <c r="H3" s="2352"/>
      <c r="I3" s="2352"/>
      <c r="J3" s="2352"/>
      <c r="K3" s="2352"/>
      <c r="L3" s="2352"/>
      <c r="M3" s="2352"/>
      <c r="N3" s="2352"/>
      <c r="O3" s="2352"/>
      <c r="P3" s="2352"/>
      <c r="Q3" s="2352"/>
      <c r="R3" s="2352"/>
      <c r="S3" s="2352"/>
      <c r="T3" s="2352"/>
      <c r="U3" s="2352"/>
      <c r="V3" s="2352"/>
      <c r="W3" s="2352"/>
      <c r="X3" s="2352"/>
      <c r="Y3" s="2352"/>
      <c r="Z3" s="2352"/>
      <c r="AA3" s="2352"/>
      <c r="AB3" s="2352"/>
      <c r="AC3" s="2352"/>
      <c r="AD3" s="2352"/>
      <c r="AE3" s="2352"/>
      <c r="AF3" s="2352"/>
      <c r="AG3" s="2352"/>
      <c r="AH3" s="2352"/>
      <c r="AI3" s="2352"/>
      <c r="AJ3" s="2352"/>
      <c r="AK3" s="2352"/>
      <c r="AL3" s="2352"/>
      <c r="AM3" s="2352"/>
      <c r="AN3" s="242" t="s">
        <v>5</v>
      </c>
      <c r="AO3" s="245" t="s">
        <v>6</v>
      </c>
    </row>
    <row r="4" spans="1:41" s="247" customFormat="1" ht="15" customHeight="1">
      <c r="A4" s="2280"/>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134" t="s">
        <v>7</v>
      </c>
      <c r="AO4" s="246" t="s">
        <v>184</v>
      </c>
    </row>
    <row r="5" spans="1:41" ht="15.75">
      <c r="A5" s="2968" t="s">
        <v>9</v>
      </c>
      <c r="B5" s="2282"/>
      <c r="C5" s="2282"/>
      <c r="D5" s="2282"/>
      <c r="E5" s="2282"/>
      <c r="F5" s="2282"/>
      <c r="G5" s="2282"/>
      <c r="H5" s="2282"/>
      <c r="I5" s="2282"/>
      <c r="J5" s="2282"/>
      <c r="K5" s="2282"/>
      <c r="L5" s="248"/>
      <c r="M5" s="248"/>
      <c r="N5" s="2285" t="s">
        <v>10</v>
      </c>
      <c r="O5" s="2285"/>
      <c r="P5" s="2285"/>
      <c r="Q5" s="2285"/>
      <c r="R5" s="2285"/>
      <c r="S5" s="2285"/>
      <c r="T5" s="2285"/>
      <c r="U5" s="2285"/>
      <c r="V5" s="2285"/>
      <c r="W5" s="2285"/>
      <c r="X5" s="2285"/>
      <c r="Y5" s="2285"/>
      <c r="Z5" s="2285"/>
      <c r="AA5" s="2285"/>
      <c r="AB5" s="2285"/>
      <c r="AC5" s="2285"/>
      <c r="AD5" s="2285"/>
      <c r="AE5" s="2285"/>
      <c r="AF5" s="2285"/>
      <c r="AG5" s="2285"/>
      <c r="AH5" s="2285"/>
      <c r="AI5" s="2285"/>
      <c r="AJ5" s="2285"/>
      <c r="AK5" s="2285"/>
      <c r="AL5" s="2285"/>
      <c r="AM5" s="2285"/>
      <c r="AN5" s="2285"/>
      <c r="AO5" s="2285"/>
    </row>
    <row r="6" spans="1:41" ht="15.75">
      <c r="A6" s="2287"/>
      <c r="B6" s="2284"/>
      <c r="C6" s="2284"/>
      <c r="D6" s="2284"/>
      <c r="E6" s="2284"/>
      <c r="F6" s="2284"/>
      <c r="G6" s="2284"/>
      <c r="H6" s="2284"/>
      <c r="I6" s="2284"/>
      <c r="J6" s="2284"/>
      <c r="K6" s="2284"/>
      <c r="L6" s="248"/>
      <c r="M6" s="249"/>
      <c r="N6" s="2694"/>
      <c r="O6" s="2354"/>
      <c r="P6" s="2354"/>
      <c r="Q6" s="2354"/>
      <c r="R6" s="2354"/>
      <c r="S6" s="2354"/>
      <c r="T6" s="2354"/>
      <c r="U6" s="2354"/>
      <c r="V6" s="2356"/>
      <c r="W6" s="250"/>
      <c r="X6" s="250"/>
      <c r="Y6" s="250"/>
      <c r="Z6" s="250"/>
      <c r="AA6" s="250"/>
      <c r="AB6" s="250"/>
      <c r="AC6" s="250"/>
      <c r="AD6" s="250"/>
      <c r="AE6" s="250"/>
      <c r="AF6" s="250"/>
      <c r="AG6" s="250"/>
      <c r="AH6" s="250"/>
      <c r="AI6" s="250"/>
      <c r="AJ6" s="250"/>
      <c r="AK6" s="250"/>
      <c r="AL6" s="250"/>
      <c r="AM6" s="2694"/>
      <c r="AN6" s="2354"/>
      <c r="AO6" s="2356"/>
    </row>
    <row r="7" spans="1:41" ht="15.75">
      <c r="A7" s="2358" t="s">
        <v>12</v>
      </c>
      <c r="B7" s="2358" t="s">
        <v>13</v>
      </c>
      <c r="C7" s="2358"/>
      <c r="D7" s="2358" t="s">
        <v>12</v>
      </c>
      <c r="E7" s="2358" t="s">
        <v>14</v>
      </c>
      <c r="F7" s="2358" t="s">
        <v>12</v>
      </c>
      <c r="G7" s="2358" t="s">
        <v>15</v>
      </c>
      <c r="H7" s="2358" t="s">
        <v>12</v>
      </c>
      <c r="I7" s="2358" t="s">
        <v>16</v>
      </c>
      <c r="J7" s="2358" t="s">
        <v>17</v>
      </c>
      <c r="K7" s="2312" t="s">
        <v>18</v>
      </c>
      <c r="L7" s="2358" t="s">
        <v>19</v>
      </c>
      <c r="M7" s="2271" t="s">
        <v>185</v>
      </c>
      <c r="N7" s="2358" t="s">
        <v>10</v>
      </c>
      <c r="O7" s="2358" t="s">
        <v>21</v>
      </c>
      <c r="P7" s="2358" t="s">
        <v>22</v>
      </c>
      <c r="Q7" s="2358" t="s">
        <v>23</v>
      </c>
      <c r="R7" s="2358" t="s">
        <v>24</v>
      </c>
      <c r="S7" s="2358" t="s">
        <v>25</v>
      </c>
      <c r="T7" s="2312" t="s">
        <v>22</v>
      </c>
      <c r="U7" s="2271" t="s">
        <v>12</v>
      </c>
      <c r="V7" s="2358" t="s">
        <v>26</v>
      </c>
      <c r="W7" s="2178" t="s">
        <v>27</v>
      </c>
      <c r="X7" s="2179"/>
      <c r="Y7" s="2180" t="s">
        <v>28</v>
      </c>
      <c r="Z7" s="2181"/>
      <c r="AA7" s="2181"/>
      <c r="AB7" s="2181"/>
      <c r="AC7" s="2182" t="s">
        <v>29</v>
      </c>
      <c r="AD7" s="2183"/>
      <c r="AE7" s="2183"/>
      <c r="AF7" s="2183"/>
      <c r="AG7" s="2183"/>
      <c r="AH7" s="2183"/>
      <c r="AI7" s="2180" t="s">
        <v>30</v>
      </c>
      <c r="AJ7" s="2181"/>
      <c r="AK7" s="2181"/>
      <c r="AL7" s="2184" t="s">
        <v>31</v>
      </c>
      <c r="AM7" s="2698" t="s">
        <v>32</v>
      </c>
      <c r="AN7" s="2698" t="s">
        <v>33</v>
      </c>
      <c r="AO7" s="2506" t="s">
        <v>34</v>
      </c>
    </row>
    <row r="8" spans="1:41" ht="132.75" customHeight="1">
      <c r="A8" s="2358"/>
      <c r="B8" s="2358"/>
      <c r="C8" s="2358"/>
      <c r="D8" s="2358"/>
      <c r="E8" s="2358"/>
      <c r="F8" s="2358"/>
      <c r="G8" s="2358"/>
      <c r="H8" s="2358"/>
      <c r="I8" s="2358"/>
      <c r="J8" s="2358"/>
      <c r="K8" s="2969"/>
      <c r="L8" s="2358"/>
      <c r="M8" s="2272"/>
      <c r="N8" s="2358"/>
      <c r="O8" s="2358"/>
      <c r="P8" s="2358"/>
      <c r="Q8" s="2358"/>
      <c r="R8" s="2358"/>
      <c r="S8" s="2358"/>
      <c r="T8" s="2313"/>
      <c r="U8" s="2272"/>
      <c r="V8" s="2358"/>
      <c r="W8" s="251" t="s">
        <v>35</v>
      </c>
      <c r="X8" s="252" t="s">
        <v>36</v>
      </c>
      <c r="Y8" s="251" t="s">
        <v>37</v>
      </c>
      <c r="Z8" s="251" t="s">
        <v>137</v>
      </c>
      <c r="AA8" s="251" t="s">
        <v>138</v>
      </c>
      <c r="AB8" s="251" t="s">
        <v>139</v>
      </c>
      <c r="AC8" s="251" t="s">
        <v>41</v>
      </c>
      <c r="AD8" s="251" t="s">
        <v>42</v>
      </c>
      <c r="AE8" s="251" t="s">
        <v>43</v>
      </c>
      <c r="AF8" s="251" t="s">
        <v>44</v>
      </c>
      <c r="AG8" s="251" t="s">
        <v>45</v>
      </c>
      <c r="AH8" s="251" t="s">
        <v>46</v>
      </c>
      <c r="AI8" s="251" t="s">
        <v>47</v>
      </c>
      <c r="AJ8" s="251" t="s">
        <v>48</v>
      </c>
      <c r="AK8" s="251" t="s">
        <v>49</v>
      </c>
      <c r="AL8" s="2970"/>
      <c r="AM8" s="2700"/>
      <c r="AN8" s="2700"/>
      <c r="AO8" s="2506"/>
    </row>
    <row r="9" spans="1:41" ht="15.75" customHeight="1">
      <c r="A9" s="253">
        <v>5</v>
      </c>
      <c r="B9" s="254" t="s">
        <v>52</v>
      </c>
      <c r="C9" s="254"/>
      <c r="D9" s="254"/>
      <c r="E9" s="254"/>
      <c r="F9" s="254"/>
      <c r="G9" s="254"/>
      <c r="H9" s="254"/>
      <c r="I9" s="255"/>
      <c r="J9" s="255"/>
      <c r="K9" s="254"/>
      <c r="L9" s="256"/>
      <c r="M9" s="255"/>
      <c r="N9" s="257"/>
      <c r="O9" s="258"/>
      <c r="P9" s="255"/>
      <c r="Q9" s="255"/>
      <c r="R9" s="255"/>
      <c r="S9" s="259"/>
      <c r="T9" s="260"/>
      <c r="U9" s="254"/>
      <c r="V9" s="254"/>
      <c r="W9" s="254"/>
      <c r="X9" s="261"/>
      <c r="Y9" s="261"/>
      <c r="Z9" s="261"/>
      <c r="AA9" s="261"/>
      <c r="AB9" s="261"/>
      <c r="AC9" s="261"/>
      <c r="AD9" s="261"/>
      <c r="AE9" s="261"/>
      <c r="AF9" s="261"/>
      <c r="AG9" s="261"/>
      <c r="AH9" s="261"/>
      <c r="AI9" s="261"/>
      <c r="AJ9" s="261"/>
      <c r="AK9" s="261"/>
      <c r="AL9" s="261"/>
      <c r="AM9" s="261"/>
      <c r="AN9" s="261"/>
      <c r="AO9" s="262"/>
    </row>
    <row r="10" spans="1:41" s="130" customFormat="1" ht="15.75" customHeight="1">
      <c r="A10" s="263"/>
      <c r="B10" s="2971"/>
      <c r="C10" s="2372"/>
      <c r="D10" s="264">
        <v>26</v>
      </c>
      <c r="E10" s="265" t="s">
        <v>186</v>
      </c>
      <c r="F10" s="266"/>
      <c r="G10" s="266"/>
      <c r="H10" s="266"/>
      <c r="I10" s="267"/>
      <c r="J10" s="267"/>
      <c r="K10" s="266"/>
      <c r="L10" s="268"/>
      <c r="M10" s="267"/>
      <c r="N10" s="269"/>
      <c r="O10" s="270"/>
      <c r="P10" s="267"/>
      <c r="Q10" s="267"/>
      <c r="R10" s="267"/>
      <c r="S10" s="271"/>
      <c r="T10" s="272"/>
      <c r="U10" s="266"/>
      <c r="V10" s="266"/>
      <c r="W10" s="266"/>
      <c r="X10" s="273"/>
      <c r="Y10" s="273"/>
      <c r="Z10" s="273"/>
      <c r="AA10" s="273"/>
      <c r="AB10" s="273"/>
      <c r="AC10" s="274"/>
      <c r="AD10" s="275"/>
      <c r="AE10" s="274"/>
      <c r="AF10" s="274"/>
      <c r="AG10" s="275"/>
      <c r="AH10" s="276"/>
      <c r="AI10" s="274"/>
      <c r="AJ10" s="274"/>
      <c r="AK10" s="275"/>
      <c r="AL10" s="274"/>
      <c r="AM10" s="275"/>
      <c r="AN10" s="275"/>
      <c r="AO10" s="275"/>
    </row>
    <row r="11" spans="1:41" s="130" customFormat="1" ht="15.75" customHeight="1">
      <c r="A11" s="277"/>
      <c r="B11" s="2971"/>
      <c r="C11" s="2372"/>
      <c r="D11" s="2974"/>
      <c r="E11" s="2382"/>
      <c r="F11" s="278">
        <v>83</v>
      </c>
      <c r="G11" s="279" t="s">
        <v>187</v>
      </c>
      <c r="H11" s="280"/>
      <c r="I11" s="281"/>
      <c r="J11" s="281"/>
      <c r="K11" s="282"/>
      <c r="L11" s="283"/>
      <c r="M11" s="281"/>
      <c r="N11" s="284"/>
      <c r="O11" s="285"/>
      <c r="P11" s="281"/>
      <c r="Q11" s="281"/>
      <c r="R11" s="281"/>
      <c r="S11" s="286"/>
      <c r="T11" s="287"/>
      <c r="U11" s="282"/>
      <c r="V11" s="282"/>
      <c r="W11" s="282"/>
      <c r="X11" s="282"/>
      <c r="Y11" s="282"/>
      <c r="Z11" s="282"/>
      <c r="AA11" s="282"/>
      <c r="AB11" s="282"/>
      <c r="AC11" s="282"/>
      <c r="AD11" s="288"/>
      <c r="AE11" s="282"/>
      <c r="AF11" s="288"/>
      <c r="AG11" s="281"/>
      <c r="AH11" s="282"/>
      <c r="AI11" s="288"/>
      <c r="AJ11" s="282"/>
      <c r="AK11" s="288"/>
      <c r="AL11" s="281"/>
      <c r="AM11" s="288"/>
      <c r="AN11" s="281"/>
      <c r="AO11" s="281"/>
    </row>
    <row r="12" spans="1:41" s="130" customFormat="1" ht="79.5" customHeight="1">
      <c r="A12" s="277"/>
      <c r="B12" s="2971"/>
      <c r="C12" s="2372"/>
      <c r="D12" s="2975"/>
      <c r="E12" s="2339"/>
      <c r="F12" s="2977"/>
      <c r="G12" s="2978"/>
      <c r="H12" s="2404">
        <v>244</v>
      </c>
      <c r="I12" s="2405" t="s">
        <v>188</v>
      </c>
      <c r="J12" s="2405" t="s">
        <v>189</v>
      </c>
      <c r="K12" s="2404">
        <v>12</v>
      </c>
      <c r="L12" s="2405" t="s">
        <v>190</v>
      </c>
      <c r="M12" s="2404" t="s">
        <v>191</v>
      </c>
      <c r="N12" s="2405" t="s">
        <v>192</v>
      </c>
      <c r="O12" s="2979">
        <f>SUM(T12:T15)/P12</f>
        <v>1</v>
      </c>
      <c r="P12" s="2980">
        <f>SUM(T12:T15)</f>
        <v>627000000</v>
      </c>
      <c r="Q12" s="2405" t="s">
        <v>193</v>
      </c>
      <c r="R12" s="2981" t="s">
        <v>194</v>
      </c>
      <c r="S12" s="289" t="s">
        <v>195</v>
      </c>
      <c r="T12" s="290">
        <v>113080000</v>
      </c>
      <c r="U12" s="2919" t="s">
        <v>63</v>
      </c>
      <c r="V12" s="2378" t="s">
        <v>196</v>
      </c>
      <c r="W12" s="2927">
        <v>292684</v>
      </c>
      <c r="X12" s="2927">
        <v>282326</v>
      </c>
      <c r="Y12" s="2927">
        <v>135912</v>
      </c>
      <c r="Z12" s="2927">
        <v>45122</v>
      </c>
      <c r="AA12" s="2927">
        <v>307101</v>
      </c>
      <c r="AB12" s="2927">
        <v>86875</v>
      </c>
      <c r="AC12" s="2927">
        <v>2145</v>
      </c>
      <c r="AD12" s="2927">
        <v>12718</v>
      </c>
      <c r="AE12" s="2992">
        <v>26</v>
      </c>
      <c r="AF12" s="2992">
        <v>37</v>
      </c>
      <c r="AG12" s="2944">
        <v>0</v>
      </c>
      <c r="AH12" s="2944">
        <v>0</v>
      </c>
      <c r="AI12" s="2927">
        <v>53164</v>
      </c>
      <c r="AJ12" s="2927">
        <v>16982</v>
      </c>
      <c r="AK12" s="2927">
        <v>6013</v>
      </c>
      <c r="AL12" s="2990">
        <f>+Y12+Z12+AA12+AB12</f>
        <v>575010</v>
      </c>
      <c r="AM12" s="2991">
        <v>43101</v>
      </c>
      <c r="AN12" s="2991">
        <v>43465</v>
      </c>
      <c r="AO12" s="2981" t="s">
        <v>197</v>
      </c>
    </row>
    <row r="13" spans="1:41" s="130" customFormat="1" ht="79.5" customHeight="1">
      <c r="A13" s="277"/>
      <c r="B13" s="2971"/>
      <c r="C13" s="2372"/>
      <c r="D13" s="2975"/>
      <c r="E13" s="2339"/>
      <c r="F13" s="2977"/>
      <c r="G13" s="2978"/>
      <c r="H13" s="2404"/>
      <c r="I13" s="2405"/>
      <c r="J13" s="2405"/>
      <c r="K13" s="2404"/>
      <c r="L13" s="2405"/>
      <c r="M13" s="2404"/>
      <c r="N13" s="2405"/>
      <c r="O13" s="2979"/>
      <c r="P13" s="2980"/>
      <c r="Q13" s="2405"/>
      <c r="R13" s="2981"/>
      <c r="S13" s="291" t="s">
        <v>198</v>
      </c>
      <c r="T13" s="290">
        <f>274230000+60000000</f>
        <v>334230000</v>
      </c>
      <c r="U13" s="2929"/>
      <c r="V13" s="2373"/>
      <c r="W13" s="2927"/>
      <c r="X13" s="2927"/>
      <c r="Y13" s="2927">
        <v>135912</v>
      </c>
      <c r="Z13" s="2927">
        <v>45122</v>
      </c>
      <c r="AA13" s="2927">
        <v>307101</v>
      </c>
      <c r="AB13" s="2927">
        <v>86875</v>
      </c>
      <c r="AC13" s="2927">
        <v>2145</v>
      </c>
      <c r="AD13" s="2927">
        <v>12718</v>
      </c>
      <c r="AE13" s="2992">
        <v>26</v>
      </c>
      <c r="AF13" s="2992">
        <v>37</v>
      </c>
      <c r="AG13" s="2944"/>
      <c r="AH13" s="2944"/>
      <c r="AI13" s="2927">
        <v>53164</v>
      </c>
      <c r="AJ13" s="2927">
        <v>16982</v>
      </c>
      <c r="AK13" s="2927">
        <v>6013</v>
      </c>
      <c r="AL13" s="2990"/>
      <c r="AM13" s="2991"/>
      <c r="AN13" s="2991"/>
      <c r="AO13" s="2981"/>
    </row>
    <row r="14" spans="1:41" s="130" customFormat="1" ht="79.5" customHeight="1">
      <c r="A14" s="277"/>
      <c r="B14" s="2971"/>
      <c r="C14" s="2372"/>
      <c r="D14" s="2975"/>
      <c r="E14" s="2339"/>
      <c r="F14" s="2977"/>
      <c r="G14" s="2978"/>
      <c r="H14" s="2404"/>
      <c r="I14" s="2405"/>
      <c r="J14" s="2405"/>
      <c r="K14" s="2404"/>
      <c r="L14" s="2405"/>
      <c r="M14" s="2404"/>
      <c r="N14" s="2405"/>
      <c r="O14" s="2979"/>
      <c r="P14" s="2980"/>
      <c r="Q14" s="2405"/>
      <c r="R14" s="2405" t="s">
        <v>199</v>
      </c>
      <c r="S14" s="289" t="s">
        <v>200</v>
      </c>
      <c r="T14" s="290">
        <v>119690000</v>
      </c>
      <c r="U14" s="2929"/>
      <c r="V14" s="2373"/>
      <c r="W14" s="2927"/>
      <c r="X14" s="2927"/>
      <c r="Y14" s="2927">
        <v>135912</v>
      </c>
      <c r="Z14" s="2927">
        <v>45122</v>
      </c>
      <c r="AA14" s="2927">
        <v>307101</v>
      </c>
      <c r="AB14" s="2927">
        <v>86875</v>
      </c>
      <c r="AC14" s="2927">
        <v>2145</v>
      </c>
      <c r="AD14" s="2927">
        <v>12718</v>
      </c>
      <c r="AE14" s="2992">
        <v>26</v>
      </c>
      <c r="AF14" s="2992">
        <v>37</v>
      </c>
      <c r="AG14" s="2944"/>
      <c r="AH14" s="2944"/>
      <c r="AI14" s="2927">
        <v>53164</v>
      </c>
      <c r="AJ14" s="2927">
        <v>16982</v>
      </c>
      <c r="AK14" s="2927">
        <v>6013</v>
      </c>
      <c r="AL14" s="2990"/>
      <c r="AM14" s="2991"/>
      <c r="AN14" s="2991"/>
      <c r="AO14" s="2981"/>
    </row>
    <row r="15" spans="1:41" s="130" customFormat="1" ht="79.5" customHeight="1">
      <c r="A15" s="277"/>
      <c r="B15" s="2971"/>
      <c r="C15" s="2372"/>
      <c r="D15" s="2975"/>
      <c r="E15" s="2339"/>
      <c r="F15" s="2977"/>
      <c r="G15" s="2978"/>
      <c r="H15" s="2404"/>
      <c r="I15" s="2405"/>
      <c r="J15" s="2405"/>
      <c r="K15" s="2404"/>
      <c r="L15" s="2405"/>
      <c r="M15" s="2404"/>
      <c r="N15" s="2405"/>
      <c r="O15" s="2979"/>
      <c r="P15" s="2980"/>
      <c r="Q15" s="2405"/>
      <c r="R15" s="2405"/>
      <c r="S15" s="289" t="s">
        <v>201</v>
      </c>
      <c r="T15" s="290">
        <v>60000000</v>
      </c>
      <c r="U15" s="2920"/>
      <c r="V15" s="2374"/>
      <c r="W15" s="2927"/>
      <c r="X15" s="2927"/>
      <c r="Y15" s="2927">
        <v>135912</v>
      </c>
      <c r="Z15" s="2927">
        <v>45122</v>
      </c>
      <c r="AA15" s="2927">
        <v>307101</v>
      </c>
      <c r="AB15" s="2927">
        <v>86875</v>
      </c>
      <c r="AC15" s="2927">
        <v>2145</v>
      </c>
      <c r="AD15" s="2927">
        <v>12718</v>
      </c>
      <c r="AE15" s="2992">
        <v>26</v>
      </c>
      <c r="AF15" s="2992">
        <v>37</v>
      </c>
      <c r="AG15" s="2944"/>
      <c r="AH15" s="2944"/>
      <c r="AI15" s="2927">
        <v>53164</v>
      </c>
      <c r="AJ15" s="2927">
        <v>16982</v>
      </c>
      <c r="AK15" s="2927">
        <v>6013</v>
      </c>
      <c r="AL15" s="2952"/>
      <c r="AM15" s="2991"/>
      <c r="AN15" s="2991"/>
      <c r="AO15" s="2981"/>
    </row>
    <row r="16" spans="1:41" s="130" customFormat="1" ht="215.25" customHeight="1">
      <c r="A16" s="277"/>
      <c r="B16" s="2971"/>
      <c r="C16" s="2372"/>
      <c r="D16" s="2976"/>
      <c r="E16" s="2918"/>
      <c r="F16" s="2977"/>
      <c r="G16" s="2978"/>
      <c r="H16" s="292">
        <v>245</v>
      </c>
      <c r="I16" s="289" t="s">
        <v>202</v>
      </c>
      <c r="J16" s="289" t="s">
        <v>203</v>
      </c>
      <c r="K16" s="292">
        <v>1</v>
      </c>
      <c r="L16" s="293" t="s">
        <v>204</v>
      </c>
      <c r="M16" s="292" t="s">
        <v>205</v>
      </c>
      <c r="N16" s="289" t="s">
        <v>206</v>
      </c>
      <c r="O16" s="294">
        <f>SUM(T16)/P16</f>
        <v>1</v>
      </c>
      <c r="P16" s="295">
        <f>SUM(T16:T16)</f>
        <v>60000000</v>
      </c>
      <c r="Q16" s="289" t="s">
        <v>207</v>
      </c>
      <c r="R16" s="289" t="s">
        <v>208</v>
      </c>
      <c r="S16" s="289" t="s">
        <v>209</v>
      </c>
      <c r="T16" s="290">
        <v>60000000</v>
      </c>
      <c r="U16" s="296">
        <v>20</v>
      </c>
      <c r="V16" s="289" t="s">
        <v>80</v>
      </c>
      <c r="W16" s="297">
        <v>292684</v>
      </c>
      <c r="X16" s="297">
        <v>282326</v>
      </c>
      <c r="Y16" s="298">
        <v>135912</v>
      </c>
      <c r="Z16" s="298">
        <v>45122</v>
      </c>
      <c r="AA16" s="298">
        <v>307101</v>
      </c>
      <c r="AB16" s="298">
        <v>86875</v>
      </c>
      <c r="AC16" s="298">
        <v>2145</v>
      </c>
      <c r="AD16" s="298">
        <v>12718</v>
      </c>
      <c r="AE16" s="298">
        <v>26</v>
      </c>
      <c r="AF16" s="298">
        <v>37</v>
      </c>
      <c r="AG16" s="298">
        <v>0</v>
      </c>
      <c r="AH16" s="298">
        <v>0</v>
      </c>
      <c r="AI16" s="298">
        <v>53164</v>
      </c>
      <c r="AJ16" s="298">
        <v>16982</v>
      </c>
      <c r="AK16" s="298">
        <v>6013</v>
      </c>
      <c r="AL16" s="298">
        <f>+Y16+Z16+AA16+AB16</f>
        <v>575010</v>
      </c>
      <c r="AM16" s="299">
        <v>43101</v>
      </c>
      <c r="AN16" s="299">
        <v>43465</v>
      </c>
      <c r="AO16" s="289" t="s">
        <v>197</v>
      </c>
    </row>
    <row r="17" spans="1:41" ht="15.75">
      <c r="A17" s="277"/>
      <c r="B17" s="2971"/>
      <c r="C17" s="2372"/>
      <c r="D17" s="300">
        <v>28</v>
      </c>
      <c r="E17" s="265" t="s">
        <v>210</v>
      </c>
      <c r="F17" s="301"/>
      <c r="G17" s="301"/>
      <c r="H17" s="302"/>
      <c r="I17" s="276"/>
      <c r="J17" s="276"/>
      <c r="K17" s="274"/>
      <c r="L17" s="303"/>
      <c r="M17" s="276"/>
      <c r="N17" s="304"/>
      <c r="O17" s="305"/>
      <c r="P17" s="276"/>
      <c r="Q17" s="276"/>
      <c r="R17" s="276"/>
      <c r="S17" s="306"/>
      <c r="T17" s="307"/>
      <c r="U17" s="303"/>
      <c r="V17" s="303"/>
      <c r="W17" s="303"/>
      <c r="X17" s="303"/>
      <c r="Y17" s="303"/>
      <c r="Z17" s="303"/>
      <c r="AA17" s="303"/>
      <c r="AB17" s="303"/>
      <c r="AC17" s="303"/>
      <c r="AD17" s="303"/>
      <c r="AE17" s="303"/>
      <c r="AF17" s="303"/>
      <c r="AG17" s="303"/>
      <c r="AH17" s="303"/>
      <c r="AI17" s="303"/>
      <c r="AJ17" s="303"/>
      <c r="AK17" s="303"/>
      <c r="AL17" s="303"/>
      <c r="AM17" s="303"/>
      <c r="AN17" s="303"/>
      <c r="AO17" s="276"/>
    </row>
    <row r="18" spans="1:41" ht="15.75">
      <c r="A18" s="277"/>
      <c r="B18" s="2971"/>
      <c r="C18" s="2372"/>
      <c r="D18" s="2982"/>
      <c r="E18" s="2985"/>
      <c r="F18" s="308">
        <v>89</v>
      </c>
      <c r="G18" s="2988" t="s">
        <v>211</v>
      </c>
      <c r="H18" s="2988"/>
      <c r="I18" s="2988"/>
      <c r="J18" s="2988"/>
      <c r="K18" s="2988"/>
      <c r="L18" s="309"/>
      <c r="M18" s="2989"/>
      <c r="N18" s="2989"/>
      <c r="O18" s="2989"/>
      <c r="P18" s="2989"/>
      <c r="Q18" s="2989"/>
      <c r="R18" s="2989"/>
      <c r="S18" s="2989"/>
      <c r="T18" s="310"/>
      <c r="U18" s="2989"/>
      <c r="V18" s="2989"/>
      <c r="W18" s="2989"/>
      <c r="X18" s="2989"/>
      <c r="Y18" s="2989"/>
      <c r="Z18" s="2989"/>
      <c r="AA18" s="2989"/>
      <c r="AB18" s="2989"/>
      <c r="AC18" s="2989"/>
      <c r="AD18" s="2989"/>
      <c r="AE18" s="2989"/>
      <c r="AF18" s="2989"/>
      <c r="AG18" s="2989"/>
      <c r="AH18" s="2989"/>
      <c r="AI18" s="2989"/>
      <c r="AJ18" s="2989"/>
      <c r="AK18" s="2989"/>
      <c r="AL18" s="2989"/>
      <c r="AM18" s="2989"/>
      <c r="AN18" s="2989"/>
      <c r="AO18" s="2989"/>
    </row>
    <row r="19" spans="1:49" ht="56.25" customHeight="1">
      <c r="A19" s="277"/>
      <c r="B19" s="2971"/>
      <c r="C19" s="2372"/>
      <c r="D19" s="2983"/>
      <c r="E19" s="2986"/>
      <c r="F19" s="2994"/>
      <c r="G19" s="2994"/>
      <c r="H19" s="2404">
        <v>288</v>
      </c>
      <c r="I19" s="2405" t="s">
        <v>212</v>
      </c>
      <c r="J19" s="2405" t="s">
        <v>213</v>
      </c>
      <c r="K19" s="2404">
        <v>1</v>
      </c>
      <c r="L19" s="2404" t="s">
        <v>214</v>
      </c>
      <c r="M19" s="2404" t="s">
        <v>215</v>
      </c>
      <c r="N19" s="2405" t="s">
        <v>216</v>
      </c>
      <c r="O19" s="3005">
        <f>SUM(T19:T21)/P19</f>
        <v>1</v>
      </c>
      <c r="P19" s="2728">
        <f>SUM(T19:T21)</f>
        <v>867000000</v>
      </c>
      <c r="Q19" s="2377" t="s">
        <v>217</v>
      </c>
      <c r="R19" s="3007" t="s">
        <v>218</v>
      </c>
      <c r="S19" s="311" t="s">
        <v>219</v>
      </c>
      <c r="T19" s="312">
        <f>266600600+200000000</f>
        <v>466600600</v>
      </c>
      <c r="U19" s="2919" t="s">
        <v>220</v>
      </c>
      <c r="V19" s="2378" t="s">
        <v>221</v>
      </c>
      <c r="W19" s="2997">
        <v>292684</v>
      </c>
      <c r="X19" s="2997">
        <v>282326</v>
      </c>
      <c r="Y19" s="2997">
        <v>135912</v>
      </c>
      <c r="Z19" s="2997">
        <v>45122</v>
      </c>
      <c r="AA19" s="2997">
        <v>307101</v>
      </c>
      <c r="AB19" s="2997">
        <v>86875</v>
      </c>
      <c r="AC19" s="2997">
        <v>2145</v>
      </c>
      <c r="AD19" s="2997">
        <v>12718</v>
      </c>
      <c r="AE19" s="3001">
        <v>26</v>
      </c>
      <c r="AF19" s="3001">
        <v>37</v>
      </c>
      <c r="AG19" s="3003">
        <v>0</v>
      </c>
      <c r="AH19" s="3003">
        <v>0</v>
      </c>
      <c r="AI19" s="2997">
        <v>53164</v>
      </c>
      <c r="AJ19" s="2997">
        <v>16982</v>
      </c>
      <c r="AK19" s="2997">
        <v>6013</v>
      </c>
      <c r="AL19" s="2997">
        <f>+Y19+Z19+AA19+AB19</f>
        <v>575010</v>
      </c>
      <c r="AM19" s="2999">
        <v>43101</v>
      </c>
      <c r="AN19" s="2732">
        <v>43465</v>
      </c>
      <c r="AO19" s="2395" t="s">
        <v>197</v>
      </c>
      <c r="AP19" s="130"/>
      <c r="AQ19" s="130"/>
      <c r="AR19" s="130"/>
      <c r="AS19" s="130"/>
      <c r="AT19" s="130"/>
      <c r="AU19" s="130"/>
      <c r="AV19" s="130"/>
      <c r="AW19" s="130"/>
    </row>
    <row r="20" spans="1:49" ht="73.5" customHeight="1">
      <c r="A20" s="277"/>
      <c r="B20" s="2971"/>
      <c r="C20" s="2372"/>
      <c r="D20" s="2983"/>
      <c r="E20" s="2986"/>
      <c r="F20" s="2994"/>
      <c r="G20" s="2994"/>
      <c r="H20" s="2404"/>
      <c r="I20" s="2405"/>
      <c r="J20" s="2405"/>
      <c r="K20" s="2404"/>
      <c r="L20" s="2404"/>
      <c r="M20" s="2404"/>
      <c r="N20" s="2405"/>
      <c r="O20" s="3006"/>
      <c r="P20" s="2980"/>
      <c r="Q20" s="2405"/>
      <c r="R20" s="3007"/>
      <c r="S20" s="311" t="s">
        <v>222</v>
      </c>
      <c r="T20" s="312">
        <v>29549400</v>
      </c>
      <c r="U20" s="2929"/>
      <c r="V20" s="2373"/>
      <c r="W20" s="2997"/>
      <c r="X20" s="2997"/>
      <c r="Y20" s="2997"/>
      <c r="Z20" s="2997"/>
      <c r="AA20" s="2997"/>
      <c r="AB20" s="2997"/>
      <c r="AC20" s="2997"/>
      <c r="AD20" s="2997"/>
      <c r="AE20" s="3001"/>
      <c r="AF20" s="3001"/>
      <c r="AG20" s="3004"/>
      <c r="AH20" s="3004"/>
      <c r="AI20" s="2997"/>
      <c r="AJ20" s="2997"/>
      <c r="AK20" s="2997"/>
      <c r="AL20" s="2997"/>
      <c r="AM20" s="2925"/>
      <c r="AN20" s="3000"/>
      <c r="AO20" s="2981"/>
      <c r="AP20" s="130"/>
      <c r="AQ20" s="130"/>
      <c r="AR20" s="130"/>
      <c r="AS20" s="130"/>
      <c r="AT20" s="130"/>
      <c r="AU20" s="130"/>
      <c r="AV20" s="130"/>
      <c r="AW20" s="130"/>
    </row>
    <row r="21" spans="1:49" ht="100.5" customHeight="1" thickBot="1">
      <c r="A21" s="313"/>
      <c r="B21" s="2972"/>
      <c r="C21" s="2973"/>
      <c r="D21" s="2984"/>
      <c r="E21" s="2987"/>
      <c r="F21" s="2995"/>
      <c r="G21" s="2995"/>
      <c r="H21" s="2378"/>
      <c r="I21" s="2375"/>
      <c r="J21" s="2375"/>
      <c r="K21" s="2378"/>
      <c r="L21" s="2378"/>
      <c r="M21" s="2378"/>
      <c r="N21" s="2375"/>
      <c r="O21" s="3006"/>
      <c r="P21" s="2727"/>
      <c r="Q21" s="2375"/>
      <c r="R21" s="314" t="s">
        <v>223</v>
      </c>
      <c r="S21" s="315" t="s">
        <v>224</v>
      </c>
      <c r="T21" s="316">
        <f>320850000+50000000</f>
        <v>370850000</v>
      </c>
      <c r="U21" s="3008"/>
      <c r="V21" s="2993"/>
      <c r="W21" s="2998"/>
      <c r="X21" s="2998"/>
      <c r="Y21" s="2998"/>
      <c r="Z21" s="2998"/>
      <c r="AA21" s="2998"/>
      <c r="AB21" s="2998"/>
      <c r="AC21" s="2998"/>
      <c r="AD21" s="2998"/>
      <c r="AE21" s="3002"/>
      <c r="AF21" s="3002"/>
      <c r="AG21" s="3004"/>
      <c r="AH21" s="3004"/>
      <c r="AI21" s="2998"/>
      <c r="AJ21" s="2998"/>
      <c r="AK21" s="2998"/>
      <c r="AL21" s="2998"/>
      <c r="AM21" s="2734"/>
      <c r="AN21" s="3000"/>
      <c r="AO21" s="2393"/>
      <c r="AP21" s="130"/>
      <c r="AQ21" s="130"/>
      <c r="AR21" s="130"/>
      <c r="AS21" s="130"/>
      <c r="AT21" s="130"/>
      <c r="AU21" s="130"/>
      <c r="AV21" s="130"/>
      <c r="AW21" s="130"/>
    </row>
    <row r="22" spans="1:41" s="328" customFormat="1" ht="16.5" thickBot="1">
      <c r="A22" s="317"/>
      <c r="B22" s="318"/>
      <c r="C22" s="318"/>
      <c r="D22" s="318"/>
      <c r="E22" s="319"/>
      <c r="F22" s="2996" t="s">
        <v>225</v>
      </c>
      <c r="G22" s="2483"/>
      <c r="H22" s="2483"/>
      <c r="I22" s="2483"/>
      <c r="J22" s="2483"/>
      <c r="K22" s="2483"/>
      <c r="L22" s="2483"/>
      <c r="M22" s="2483"/>
      <c r="N22" s="2483"/>
      <c r="O22" s="2484"/>
      <c r="P22" s="320">
        <f>+P12+P16+P19</f>
        <v>1554000000</v>
      </c>
      <c r="Q22" s="317"/>
      <c r="R22" s="318"/>
      <c r="S22" s="321"/>
      <c r="T22" s="322">
        <f>SUM(T12:T21)</f>
        <v>1554000000</v>
      </c>
      <c r="U22" s="323"/>
      <c r="V22" s="324"/>
      <c r="W22" s="324"/>
      <c r="X22" s="324"/>
      <c r="Y22" s="324"/>
      <c r="Z22" s="324"/>
      <c r="AA22" s="324"/>
      <c r="AB22" s="324"/>
      <c r="AC22" s="324"/>
      <c r="AD22" s="324"/>
      <c r="AE22" s="324"/>
      <c r="AF22" s="324"/>
      <c r="AG22" s="324"/>
      <c r="AH22" s="324"/>
      <c r="AI22" s="324"/>
      <c r="AJ22" s="324"/>
      <c r="AK22" s="324"/>
      <c r="AL22" s="324"/>
      <c r="AM22" s="325"/>
      <c r="AN22" s="326"/>
      <c r="AO22" s="327"/>
    </row>
    <row r="23" ht="15">
      <c r="P23" s="329"/>
    </row>
    <row r="24" ht="15">
      <c r="P24" s="331"/>
    </row>
    <row r="28" spans="11:13" ht="15.75">
      <c r="K28" s="332" t="s">
        <v>226</v>
      </c>
      <c r="L28" s="333"/>
      <c r="M28" s="333"/>
    </row>
    <row r="29" spans="11:12" ht="15.75">
      <c r="K29" s="334" t="s">
        <v>227</v>
      </c>
      <c r="L29" s="334"/>
    </row>
  </sheetData>
  <sheetProtection password="CBEB" sheet="1" objects="1" scenarios="1"/>
  <mergeCells count="116">
    <mergeCell ref="F22:O22"/>
    <mergeCell ref="AI19:AI21"/>
    <mergeCell ref="AJ19:AJ21"/>
    <mergeCell ref="AK19:AK21"/>
    <mergeCell ref="AL19:AL21"/>
    <mergeCell ref="AM19:AM21"/>
    <mergeCell ref="AN19:AN21"/>
    <mergeCell ref="AC19:AC21"/>
    <mergeCell ref="AD19:AD21"/>
    <mergeCell ref="AE19:AE21"/>
    <mergeCell ref="AF19:AF21"/>
    <mergeCell ref="AG19:AG21"/>
    <mergeCell ref="AH19:AH21"/>
    <mergeCell ref="W19:W21"/>
    <mergeCell ref="X19:X21"/>
    <mergeCell ref="Y19:Y21"/>
    <mergeCell ref="Z19:Z21"/>
    <mergeCell ref="AA19:AA21"/>
    <mergeCell ref="AB19:AB21"/>
    <mergeCell ref="O19:O21"/>
    <mergeCell ref="P19:P21"/>
    <mergeCell ref="Q19:Q21"/>
    <mergeCell ref="R19:R20"/>
    <mergeCell ref="U19:U21"/>
    <mergeCell ref="V19:V21"/>
    <mergeCell ref="AK18:AL18"/>
    <mergeCell ref="AM18:AO18"/>
    <mergeCell ref="F19:G21"/>
    <mergeCell ref="H19:H21"/>
    <mergeCell ref="I19:I21"/>
    <mergeCell ref="J19:J21"/>
    <mergeCell ref="K19:K21"/>
    <mergeCell ref="L19:L21"/>
    <mergeCell ref="M19:M21"/>
    <mergeCell ref="N19:N21"/>
    <mergeCell ref="AO19:AO21"/>
    <mergeCell ref="AO12:AO15"/>
    <mergeCell ref="R14:R15"/>
    <mergeCell ref="D18:D21"/>
    <mergeCell ref="E18:E21"/>
    <mergeCell ref="G18:K18"/>
    <mergeCell ref="M18:S18"/>
    <mergeCell ref="U18:X18"/>
    <mergeCell ref="Y18:AB18"/>
    <mergeCell ref="AC18:AF18"/>
    <mergeCell ref="AG18:AJ18"/>
    <mergeCell ref="AI12:AI15"/>
    <mergeCell ref="AJ12:AJ15"/>
    <mergeCell ref="AK12:AK15"/>
    <mergeCell ref="AL12:AL15"/>
    <mergeCell ref="AM12:AM15"/>
    <mergeCell ref="AN12:AN15"/>
    <mergeCell ref="AC12:AC15"/>
    <mergeCell ref="AD12:AD15"/>
    <mergeCell ref="AE12:AE15"/>
    <mergeCell ref="AF12:AF15"/>
    <mergeCell ref="AG12:AG15"/>
    <mergeCell ref="AH12:AH15"/>
    <mergeCell ref="W12:W15"/>
    <mergeCell ref="X12:X15"/>
    <mergeCell ref="Y12:Y15"/>
    <mergeCell ref="Z12:Z15"/>
    <mergeCell ref="AA12:AA15"/>
    <mergeCell ref="AB12:AB15"/>
    <mergeCell ref="O12:O15"/>
    <mergeCell ref="P12:P15"/>
    <mergeCell ref="Q12:Q15"/>
    <mergeCell ref="R12:R13"/>
    <mergeCell ref="U12:U15"/>
    <mergeCell ref="V12:V15"/>
    <mergeCell ref="I12:I15"/>
    <mergeCell ref="J12:J15"/>
    <mergeCell ref="K12:K15"/>
    <mergeCell ref="L12:L15"/>
    <mergeCell ref="M12:M15"/>
    <mergeCell ref="N12:N15"/>
    <mergeCell ref="B10:C21"/>
    <mergeCell ref="D11:D16"/>
    <mergeCell ref="E11:E16"/>
    <mergeCell ref="F12:F16"/>
    <mergeCell ref="G12:G16"/>
    <mergeCell ref="H12:H15"/>
    <mergeCell ref="AL7:AL8"/>
    <mergeCell ref="AM7:AM8"/>
    <mergeCell ref="AN7:AN8"/>
    <mergeCell ref="AO7:AO8"/>
    <mergeCell ref="S7:S8"/>
    <mergeCell ref="T7:T8"/>
    <mergeCell ref="U7:U8"/>
    <mergeCell ref="V7:V8"/>
    <mergeCell ref="W7:X7"/>
    <mergeCell ref="Y7:AB7"/>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dcterms:created xsi:type="dcterms:W3CDTF">2019-02-04T23:48:35Z</dcterms:created>
  <dcterms:modified xsi:type="dcterms:W3CDTF">2019-02-06T21:47:15Z</dcterms:modified>
  <cp:category/>
  <cp:version/>
  <cp:contentType/>
  <cp:contentStatus/>
</cp:coreProperties>
</file>